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430"/>
  <workbookPr defaultThemeVersion="166925"/>
  <mc:AlternateContent xmlns:mc="http://schemas.openxmlformats.org/markup-compatibility/2006">
    <mc:Choice Requires="x15">
      <x15ac:absPath xmlns:x15ac="http://schemas.microsoft.com/office/spreadsheetml/2010/11/ac" url="https://d.docs.live.net/969e59c9516f6486/Bureau/"/>
    </mc:Choice>
  </mc:AlternateContent>
  <xr:revisionPtr revIDLastSave="0" documentId="8_{E903804F-0F08-4633-B00F-B1A78442D4FA}" xr6:coauthVersionLast="45" xr6:coauthVersionMax="45" xr10:uidLastSave="{00000000-0000-0000-0000-000000000000}"/>
  <bookViews>
    <workbookView xWindow="-108" yWindow="-108" windowWidth="23256" windowHeight="12576" activeTab="1" xr2:uid="{00000000-000D-0000-FFFF-FFFF00000000}"/>
  </bookViews>
  <sheets>
    <sheet name="Feuil1" sheetId="9" r:id="rId1"/>
    <sheet name="Form responses" sheetId="1" r:id="rId2"/>
    <sheet name="Sum Results" sheetId="2" r:id="rId3"/>
    <sheet name="Enjoy the most" sheetId="3" r:id="rId4"/>
    <sheet name="Game Mode" sheetId="4" r:id="rId5"/>
    <sheet name="Purhcase Purpose" sheetId="5" r:id="rId6"/>
    <sheet name="Top 5" sheetId="6" r:id="rId7"/>
    <sheet name="Fav Master" sheetId="7" r:id="rId8"/>
    <sheet name="Games played" sheetId="8" r:id="rId9"/>
  </sheets>
  <definedNames>
    <definedName name="_xlnm._FilterDatabase" localSheetId="1" hidden="1">'Form responses'!$A$1:$AK$1293</definedName>
  </definedNames>
  <calcPr calcId="181029"/>
  <pivotCaches>
    <pivotCache cacheId="3" r:id="rId10"/>
  </pivotCaches>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197" i="8" l="1"/>
  <c r="B566" i="8"/>
  <c r="C566" i="8" s="1"/>
  <c r="B565" i="8"/>
  <c r="C565" i="8" s="1"/>
  <c r="B564" i="8"/>
  <c r="C564" i="8" s="1"/>
  <c r="B563" i="8"/>
  <c r="C563" i="8" s="1"/>
  <c r="B562" i="8"/>
  <c r="C562" i="8" s="1"/>
  <c r="B561" i="8"/>
  <c r="C561" i="8" s="1"/>
  <c r="B560" i="8"/>
  <c r="C560" i="8" s="1"/>
  <c r="B559" i="8"/>
  <c r="C559" i="8" s="1"/>
  <c r="B558" i="8"/>
  <c r="C558" i="8" s="1"/>
  <c r="B557" i="8"/>
  <c r="C557" i="8" s="1"/>
  <c r="B556" i="8"/>
  <c r="C556" i="8" s="1"/>
  <c r="B555" i="8"/>
  <c r="C555" i="8" s="1"/>
  <c r="B554" i="8"/>
  <c r="C554" i="8" s="1"/>
  <c r="B553" i="8"/>
  <c r="C553" i="8" s="1"/>
  <c r="B552" i="8"/>
  <c r="C552" i="8" s="1"/>
  <c r="B551" i="8"/>
  <c r="C551" i="8" s="1"/>
  <c r="B550" i="8"/>
  <c r="C550" i="8" s="1"/>
  <c r="B549" i="8"/>
  <c r="C549" i="8" s="1"/>
  <c r="B548" i="8"/>
  <c r="C548" i="8" s="1"/>
  <c r="B547" i="8"/>
  <c r="C547" i="8" s="1"/>
  <c r="B546" i="8"/>
  <c r="C546" i="8" s="1"/>
  <c r="B545" i="8"/>
  <c r="C545" i="8" s="1"/>
  <c r="B544" i="8"/>
  <c r="C544" i="8" s="1"/>
  <c r="B543" i="8"/>
  <c r="C543" i="8" s="1"/>
  <c r="B542" i="8"/>
  <c r="C542" i="8" s="1"/>
  <c r="B541" i="8"/>
  <c r="C541" i="8" s="1"/>
  <c r="B540" i="8"/>
  <c r="C540" i="8" s="1"/>
  <c r="B539" i="8"/>
  <c r="C539" i="8" s="1"/>
  <c r="B538" i="8"/>
  <c r="C538" i="8" s="1"/>
  <c r="B537" i="8"/>
  <c r="C537" i="8" s="1"/>
  <c r="B536" i="8"/>
  <c r="C536" i="8" s="1"/>
  <c r="B535" i="8"/>
  <c r="C535" i="8" s="1"/>
  <c r="B534" i="8"/>
  <c r="C534" i="8" s="1"/>
  <c r="B533" i="8"/>
  <c r="C533" i="8" s="1"/>
  <c r="B532" i="8"/>
  <c r="C532" i="8" s="1"/>
  <c r="B531" i="8"/>
  <c r="C531" i="8" s="1"/>
  <c r="B530" i="8"/>
  <c r="C530" i="8" s="1"/>
  <c r="B529" i="8"/>
  <c r="C529" i="8" s="1"/>
  <c r="B528" i="8"/>
  <c r="C528" i="8" s="1"/>
  <c r="B527" i="8"/>
  <c r="C527" i="8" s="1"/>
  <c r="B526" i="8"/>
  <c r="C526" i="8" s="1"/>
  <c r="B525" i="8"/>
  <c r="C525" i="8" s="1"/>
  <c r="B524" i="8"/>
  <c r="C524" i="8" s="1"/>
  <c r="B523" i="8"/>
  <c r="C523" i="8" s="1"/>
  <c r="B522" i="8"/>
  <c r="C522" i="8" s="1"/>
  <c r="B521" i="8"/>
  <c r="C521" i="8" s="1"/>
  <c r="B520" i="8"/>
  <c r="C520" i="8" s="1"/>
  <c r="B519" i="8"/>
  <c r="C519" i="8" s="1"/>
  <c r="B518" i="8"/>
  <c r="C518" i="8" s="1"/>
  <c r="B517" i="8"/>
  <c r="C517" i="8" s="1"/>
  <c r="B516" i="8"/>
  <c r="C516" i="8" s="1"/>
  <c r="B515" i="8"/>
  <c r="C515" i="8" s="1"/>
  <c r="B514" i="8"/>
  <c r="C514" i="8" s="1"/>
  <c r="B513" i="8"/>
  <c r="C513" i="8" s="1"/>
  <c r="B512" i="8"/>
  <c r="C512" i="8" s="1"/>
  <c r="B511" i="8"/>
  <c r="C511" i="8" s="1"/>
  <c r="B510" i="8"/>
  <c r="C510" i="8" s="1"/>
  <c r="B509" i="8"/>
  <c r="C509" i="8" s="1"/>
  <c r="B508" i="8"/>
  <c r="C508" i="8" s="1"/>
  <c r="B507" i="8"/>
  <c r="C507" i="8" s="1"/>
  <c r="B506" i="8"/>
  <c r="C506" i="8" s="1"/>
  <c r="B505" i="8"/>
  <c r="C505" i="8" s="1"/>
  <c r="B504" i="8"/>
  <c r="C504" i="8" s="1"/>
  <c r="B503" i="8"/>
  <c r="C503" i="8" s="1"/>
  <c r="B502" i="8"/>
  <c r="C502" i="8" s="1"/>
  <c r="B501" i="8"/>
  <c r="C501" i="8" s="1"/>
  <c r="B500" i="8"/>
  <c r="C500" i="8" s="1"/>
  <c r="B499" i="8"/>
  <c r="C499" i="8" s="1"/>
  <c r="B498" i="8"/>
  <c r="C498" i="8" s="1"/>
  <c r="B497" i="8"/>
  <c r="C497" i="8" s="1"/>
  <c r="B496" i="8"/>
  <c r="C496" i="8" s="1"/>
  <c r="B495" i="8"/>
  <c r="C495" i="8" s="1"/>
  <c r="B494" i="8"/>
  <c r="C494" i="8" s="1"/>
  <c r="B493" i="8"/>
  <c r="C493" i="8" s="1"/>
  <c r="B492" i="8"/>
  <c r="C492" i="8" s="1"/>
  <c r="B491" i="8"/>
  <c r="C491" i="8" s="1"/>
  <c r="B490" i="8"/>
  <c r="C490" i="8" s="1"/>
  <c r="B489" i="8"/>
  <c r="C489" i="8" s="1"/>
  <c r="B488" i="8"/>
  <c r="C488" i="8" s="1"/>
  <c r="B487" i="8"/>
  <c r="C487" i="8" s="1"/>
  <c r="B486" i="8"/>
  <c r="C486" i="8" s="1"/>
  <c r="B485" i="8"/>
  <c r="C485" i="8" s="1"/>
  <c r="B484" i="8"/>
  <c r="C484" i="8" s="1"/>
  <c r="B483" i="8"/>
  <c r="C483" i="8" s="1"/>
  <c r="B482" i="8"/>
  <c r="C482" i="8" s="1"/>
  <c r="B481" i="8"/>
  <c r="C481" i="8" s="1"/>
  <c r="B480" i="8"/>
  <c r="C480" i="8" s="1"/>
  <c r="B479" i="8"/>
  <c r="C479" i="8" s="1"/>
  <c r="B478" i="8"/>
  <c r="C478" i="8" s="1"/>
  <c r="B477" i="8"/>
  <c r="C477" i="8" s="1"/>
  <c r="B476" i="8"/>
  <c r="C476" i="8" s="1"/>
  <c r="B475" i="8"/>
  <c r="C475" i="8" s="1"/>
  <c r="B474" i="8"/>
  <c r="C474" i="8" s="1"/>
  <c r="B473" i="8"/>
  <c r="C473" i="8" s="1"/>
  <c r="B472" i="8"/>
  <c r="C472" i="8" s="1"/>
  <c r="B471" i="8"/>
  <c r="C471" i="8" s="1"/>
  <c r="B470" i="8"/>
  <c r="C470" i="8" s="1"/>
  <c r="B469" i="8"/>
  <c r="C469" i="8" s="1"/>
  <c r="B468" i="8"/>
  <c r="C468" i="8" s="1"/>
  <c r="B467" i="8"/>
  <c r="C467" i="8" s="1"/>
  <c r="B466" i="8"/>
  <c r="C466" i="8" s="1"/>
  <c r="B465" i="8"/>
  <c r="C465" i="8" s="1"/>
  <c r="B464" i="8"/>
  <c r="C464" i="8" s="1"/>
  <c r="B463" i="8"/>
  <c r="C463" i="8" s="1"/>
  <c r="B462" i="8"/>
  <c r="C462" i="8" s="1"/>
  <c r="B461" i="8"/>
  <c r="C461" i="8" s="1"/>
  <c r="B460" i="8"/>
  <c r="C460" i="8" s="1"/>
  <c r="B459" i="8"/>
  <c r="C459" i="8" s="1"/>
  <c r="B458" i="8"/>
  <c r="C458" i="8" s="1"/>
  <c r="B457" i="8"/>
  <c r="C457" i="8" s="1"/>
  <c r="B456" i="8"/>
  <c r="C456" i="8" s="1"/>
  <c r="B455" i="8"/>
  <c r="C455" i="8" s="1"/>
  <c r="B454" i="8"/>
  <c r="C454" i="8" s="1"/>
  <c r="B453" i="8"/>
  <c r="C453" i="8" s="1"/>
  <c r="B452" i="8"/>
  <c r="C452" i="8" s="1"/>
  <c r="B451" i="8"/>
  <c r="C451" i="8" s="1"/>
  <c r="B450" i="8"/>
  <c r="C450" i="8" s="1"/>
  <c r="B449" i="8"/>
  <c r="C449" i="8" s="1"/>
  <c r="B448" i="8"/>
  <c r="C448" i="8" s="1"/>
  <c r="B447" i="8"/>
  <c r="C447" i="8" s="1"/>
  <c r="B446" i="8"/>
  <c r="C446" i="8" s="1"/>
  <c r="B445" i="8"/>
  <c r="C445" i="8" s="1"/>
  <c r="B444" i="8"/>
  <c r="C444" i="8" s="1"/>
  <c r="B443" i="8"/>
  <c r="C443" i="8" s="1"/>
  <c r="B442" i="8"/>
  <c r="C442" i="8" s="1"/>
  <c r="B441" i="8"/>
  <c r="C441" i="8" s="1"/>
  <c r="B440" i="8"/>
  <c r="C440" i="8" s="1"/>
  <c r="B439" i="8"/>
  <c r="C439" i="8" s="1"/>
  <c r="B438" i="8"/>
  <c r="C438" i="8" s="1"/>
  <c r="B437" i="8"/>
  <c r="C437" i="8" s="1"/>
  <c r="B436" i="8"/>
  <c r="C436" i="8" s="1"/>
  <c r="B435" i="8"/>
  <c r="C435" i="8" s="1"/>
  <c r="B434" i="8"/>
  <c r="C434" i="8" s="1"/>
  <c r="B433" i="8"/>
  <c r="C433" i="8" s="1"/>
  <c r="B432" i="8"/>
  <c r="C432" i="8" s="1"/>
  <c r="B431" i="8"/>
  <c r="C431" i="8" s="1"/>
  <c r="B430" i="8"/>
  <c r="C430" i="8" s="1"/>
  <c r="B429" i="8"/>
  <c r="C429" i="8" s="1"/>
  <c r="B428" i="8"/>
  <c r="C428" i="8" s="1"/>
  <c r="B427" i="8"/>
  <c r="C427" i="8" s="1"/>
  <c r="B426" i="8"/>
  <c r="C426" i="8" s="1"/>
  <c r="B425" i="8"/>
  <c r="C425" i="8" s="1"/>
  <c r="B424" i="8"/>
  <c r="C424" i="8" s="1"/>
  <c r="B423" i="8"/>
  <c r="C423" i="8" s="1"/>
  <c r="B422" i="8"/>
  <c r="C422" i="8" s="1"/>
  <c r="B421" i="8"/>
  <c r="C421" i="8" s="1"/>
  <c r="B420" i="8"/>
  <c r="C420" i="8" s="1"/>
  <c r="B419" i="8"/>
  <c r="C419" i="8" s="1"/>
  <c r="B418" i="8"/>
  <c r="C418" i="8" s="1"/>
  <c r="B417" i="8"/>
  <c r="C417" i="8" s="1"/>
  <c r="B416" i="8"/>
  <c r="C416" i="8" s="1"/>
  <c r="B415" i="8"/>
  <c r="C415" i="8" s="1"/>
  <c r="B414" i="8"/>
  <c r="C414" i="8" s="1"/>
  <c r="B413" i="8"/>
  <c r="C413" i="8" s="1"/>
  <c r="B412" i="8"/>
  <c r="C412" i="8" s="1"/>
  <c r="B411" i="8"/>
  <c r="C411" i="8" s="1"/>
  <c r="B410" i="8"/>
  <c r="C410" i="8" s="1"/>
  <c r="B409" i="8"/>
  <c r="C409" i="8" s="1"/>
  <c r="B408" i="8"/>
  <c r="C408" i="8" s="1"/>
  <c r="B407" i="8"/>
  <c r="C407" i="8" s="1"/>
  <c r="B406" i="8"/>
  <c r="C406" i="8" s="1"/>
  <c r="B405" i="8"/>
  <c r="C405" i="8" s="1"/>
  <c r="B404" i="8"/>
  <c r="C404" i="8" s="1"/>
  <c r="B403" i="8"/>
  <c r="C403" i="8" s="1"/>
  <c r="B402" i="8"/>
  <c r="C402" i="8" s="1"/>
  <c r="B401" i="8"/>
  <c r="C401" i="8" s="1"/>
  <c r="B400" i="8"/>
  <c r="C400" i="8" s="1"/>
  <c r="B399" i="8"/>
  <c r="C399" i="8" s="1"/>
  <c r="B398" i="8"/>
  <c r="C398" i="8" s="1"/>
  <c r="B397" i="8"/>
  <c r="C397" i="8" s="1"/>
  <c r="B396" i="8"/>
  <c r="C396" i="8" s="1"/>
  <c r="B395" i="8"/>
  <c r="C395" i="8" s="1"/>
  <c r="B394" i="8"/>
  <c r="C394" i="8" s="1"/>
  <c r="B393" i="8"/>
  <c r="C393" i="8" s="1"/>
  <c r="B392" i="8"/>
  <c r="C392" i="8" s="1"/>
  <c r="B391" i="8"/>
  <c r="C391" i="8" s="1"/>
  <c r="B390" i="8"/>
  <c r="C390" i="8" s="1"/>
  <c r="B389" i="8"/>
  <c r="C389" i="8" s="1"/>
  <c r="B388" i="8"/>
  <c r="C388" i="8" s="1"/>
  <c r="B387" i="8"/>
  <c r="C387" i="8" s="1"/>
  <c r="B386" i="8"/>
  <c r="C386" i="8" s="1"/>
  <c r="B385" i="8"/>
  <c r="C385" i="8" s="1"/>
  <c r="B384" i="8"/>
  <c r="C384" i="8" s="1"/>
  <c r="B383" i="8"/>
  <c r="C383" i="8" s="1"/>
  <c r="B382" i="8"/>
  <c r="C382" i="8" s="1"/>
  <c r="B381" i="8"/>
  <c r="C381" i="8" s="1"/>
  <c r="B380" i="8"/>
  <c r="C380" i="8" s="1"/>
  <c r="B379" i="8"/>
  <c r="C379" i="8" s="1"/>
  <c r="B378" i="8"/>
  <c r="C378" i="8" s="1"/>
  <c r="B377" i="8"/>
  <c r="C377" i="8" s="1"/>
  <c r="B376" i="8"/>
  <c r="C376" i="8" s="1"/>
  <c r="B375" i="8"/>
  <c r="C375" i="8" s="1"/>
  <c r="B374" i="8"/>
  <c r="C374" i="8" s="1"/>
  <c r="B373" i="8"/>
  <c r="C373" i="8" s="1"/>
  <c r="B372" i="8"/>
  <c r="C372" i="8" s="1"/>
  <c r="B371" i="8"/>
  <c r="C371" i="8" s="1"/>
  <c r="B370" i="8"/>
  <c r="C370" i="8" s="1"/>
  <c r="B369" i="8"/>
  <c r="C369" i="8" s="1"/>
  <c r="B368" i="8"/>
  <c r="C368" i="8" s="1"/>
  <c r="B367" i="8"/>
  <c r="C367" i="8" s="1"/>
  <c r="B366" i="8"/>
  <c r="C366" i="8" s="1"/>
  <c r="B365" i="8"/>
  <c r="C365" i="8" s="1"/>
  <c r="B364" i="8"/>
  <c r="C364" i="8" s="1"/>
  <c r="B363" i="8"/>
  <c r="C363" i="8" s="1"/>
  <c r="B362" i="8"/>
  <c r="C362" i="8" s="1"/>
  <c r="B361" i="8"/>
  <c r="C361" i="8" s="1"/>
  <c r="B360" i="8"/>
  <c r="C360" i="8" s="1"/>
  <c r="B359" i="8"/>
  <c r="C359" i="8" s="1"/>
  <c r="B358" i="8"/>
  <c r="C358" i="8" s="1"/>
  <c r="B357" i="8"/>
  <c r="C357" i="8" s="1"/>
  <c r="B356" i="8"/>
  <c r="C356" i="8" s="1"/>
  <c r="B355" i="8"/>
  <c r="C355" i="8" s="1"/>
  <c r="B354" i="8"/>
  <c r="C354" i="8" s="1"/>
  <c r="B353" i="8"/>
  <c r="C353" i="8" s="1"/>
  <c r="B352" i="8"/>
  <c r="C352" i="8" s="1"/>
  <c r="B351" i="8"/>
  <c r="C351" i="8" s="1"/>
  <c r="B350" i="8"/>
  <c r="C350" i="8" s="1"/>
  <c r="B349" i="8"/>
  <c r="C349" i="8" s="1"/>
  <c r="B348" i="8"/>
  <c r="C348" i="8" s="1"/>
  <c r="B347" i="8"/>
  <c r="C347" i="8" s="1"/>
  <c r="B346" i="8"/>
  <c r="C346" i="8" s="1"/>
  <c r="B345" i="8"/>
  <c r="C345" i="8" s="1"/>
  <c r="B344" i="8"/>
  <c r="C344" i="8" s="1"/>
  <c r="B343" i="8"/>
  <c r="C343" i="8" s="1"/>
  <c r="B342" i="8"/>
  <c r="C342" i="8" s="1"/>
  <c r="B341" i="8"/>
  <c r="C341" i="8" s="1"/>
  <c r="B340" i="8"/>
  <c r="C340" i="8" s="1"/>
  <c r="B339" i="8"/>
  <c r="C339" i="8" s="1"/>
  <c r="B338" i="8"/>
  <c r="C338" i="8" s="1"/>
  <c r="B337" i="8"/>
  <c r="C337" i="8" s="1"/>
  <c r="B336" i="8"/>
  <c r="C336" i="8" s="1"/>
  <c r="B335" i="8"/>
  <c r="C335" i="8" s="1"/>
  <c r="B334" i="8"/>
  <c r="C334" i="8" s="1"/>
  <c r="B333" i="8"/>
  <c r="C333" i="8" s="1"/>
  <c r="B332" i="8"/>
  <c r="C332" i="8" s="1"/>
  <c r="B331" i="8"/>
  <c r="C331" i="8" s="1"/>
  <c r="B330" i="8"/>
  <c r="C330" i="8" s="1"/>
  <c r="B329" i="8"/>
  <c r="C329" i="8" s="1"/>
  <c r="B328" i="8"/>
  <c r="C328" i="8" s="1"/>
  <c r="B327" i="8"/>
  <c r="C327" i="8" s="1"/>
  <c r="B326" i="8"/>
  <c r="C326" i="8" s="1"/>
  <c r="B325" i="8"/>
  <c r="C325" i="8" s="1"/>
  <c r="B324" i="8"/>
  <c r="C324" i="8" s="1"/>
  <c r="B323" i="8"/>
  <c r="C323" i="8" s="1"/>
  <c r="B322" i="8"/>
  <c r="C322" i="8" s="1"/>
  <c r="B321" i="8"/>
  <c r="C321" i="8" s="1"/>
  <c r="B320" i="8"/>
  <c r="C320" i="8" s="1"/>
  <c r="B319" i="8"/>
  <c r="C319" i="8" s="1"/>
  <c r="B318" i="8"/>
  <c r="C318" i="8" s="1"/>
  <c r="B317" i="8"/>
  <c r="C317" i="8" s="1"/>
  <c r="B316" i="8"/>
  <c r="C316" i="8" s="1"/>
  <c r="B315" i="8"/>
  <c r="C315" i="8" s="1"/>
  <c r="B314" i="8"/>
  <c r="C314" i="8" s="1"/>
  <c r="B313" i="8"/>
  <c r="C313" i="8" s="1"/>
  <c r="B312" i="8"/>
  <c r="C312" i="8" s="1"/>
  <c r="B311" i="8"/>
  <c r="C311" i="8" s="1"/>
  <c r="B310" i="8"/>
  <c r="C310" i="8" s="1"/>
  <c r="B309" i="8"/>
  <c r="C309" i="8" s="1"/>
  <c r="B308" i="8"/>
  <c r="C308" i="8" s="1"/>
  <c r="B307" i="8"/>
  <c r="C307" i="8" s="1"/>
  <c r="B306" i="8"/>
  <c r="C306" i="8" s="1"/>
  <c r="B305" i="8"/>
  <c r="C305" i="8" s="1"/>
  <c r="B304" i="8"/>
  <c r="C304" i="8" s="1"/>
  <c r="B303" i="8"/>
  <c r="C303" i="8" s="1"/>
  <c r="B302" i="8"/>
  <c r="C302" i="8" s="1"/>
  <c r="B301" i="8"/>
  <c r="C301" i="8" s="1"/>
  <c r="B300" i="8"/>
  <c r="C300" i="8" s="1"/>
  <c r="B299" i="8"/>
  <c r="C299" i="8" s="1"/>
  <c r="B298" i="8"/>
  <c r="C298" i="8" s="1"/>
  <c r="B297" i="8"/>
  <c r="C297" i="8" s="1"/>
  <c r="B296" i="8"/>
  <c r="C296" i="8" s="1"/>
  <c r="B295" i="8"/>
  <c r="C295" i="8" s="1"/>
  <c r="B294" i="8"/>
  <c r="C294" i="8" s="1"/>
  <c r="B293" i="8"/>
  <c r="C293" i="8" s="1"/>
  <c r="B292" i="8"/>
  <c r="C292" i="8" s="1"/>
  <c r="B291" i="8"/>
  <c r="C291" i="8" s="1"/>
  <c r="B290" i="8"/>
  <c r="C290" i="8" s="1"/>
  <c r="B289" i="8"/>
  <c r="C289" i="8" s="1"/>
  <c r="B288" i="8"/>
  <c r="C288" i="8" s="1"/>
  <c r="B287" i="8"/>
  <c r="C287" i="8" s="1"/>
  <c r="B286" i="8"/>
  <c r="C286" i="8" s="1"/>
  <c r="B285" i="8"/>
  <c r="C285" i="8" s="1"/>
  <c r="B284" i="8"/>
  <c r="C284" i="8" s="1"/>
  <c r="B283" i="8"/>
  <c r="C283" i="8" s="1"/>
  <c r="B282" i="8"/>
  <c r="C282" i="8" s="1"/>
  <c r="B281" i="8"/>
  <c r="C281" i="8" s="1"/>
  <c r="B280" i="8"/>
  <c r="C280" i="8" s="1"/>
  <c r="B279" i="8"/>
  <c r="C279" i="8" s="1"/>
  <c r="B278" i="8"/>
  <c r="C278" i="8" s="1"/>
  <c r="B277" i="8"/>
  <c r="C277" i="8" s="1"/>
  <c r="B276" i="8"/>
  <c r="C276" i="8" s="1"/>
  <c r="B275" i="8"/>
  <c r="C275" i="8" s="1"/>
  <c r="B274" i="8"/>
  <c r="C274" i="8" s="1"/>
  <c r="B273" i="8"/>
  <c r="C273" i="8" s="1"/>
  <c r="B272" i="8"/>
  <c r="C272" i="8" s="1"/>
  <c r="B271" i="8"/>
  <c r="C271" i="8" s="1"/>
  <c r="B270" i="8"/>
  <c r="C270" i="8" s="1"/>
  <c r="B269" i="8"/>
  <c r="C269" i="8" s="1"/>
  <c r="B268" i="8"/>
  <c r="C268" i="8" s="1"/>
  <c r="B267" i="8"/>
  <c r="C267" i="8" s="1"/>
  <c r="B266" i="8"/>
  <c r="C266" i="8" s="1"/>
  <c r="B265" i="8"/>
  <c r="C265" i="8" s="1"/>
  <c r="B264" i="8"/>
  <c r="C264" i="8" s="1"/>
  <c r="B263" i="8"/>
  <c r="C263" i="8" s="1"/>
  <c r="B262" i="8"/>
  <c r="C262" i="8" s="1"/>
  <c r="B261" i="8"/>
  <c r="C261" i="8" s="1"/>
  <c r="B260" i="8"/>
  <c r="C260" i="8" s="1"/>
  <c r="B259" i="8"/>
  <c r="C259" i="8" s="1"/>
  <c r="B258" i="8"/>
  <c r="C258" i="8" s="1"/>
  <c r="B257" i="8"/>
  <c r="C257" i="8" s="1"/>
  <c r="B256" i="8"/>
  <c r="C256" i="8" s="1"/>
  <c r="B255" i="8"/>
  <c r="C255" i="8" s="1"/>
  <c r="B254" i="8"/>
  <c r="C254" i="8" s="1"/>
  <c r="B253" i="8"/>
  <c r="C253" i="8" s="1"/>
  <c r="B252" i="8"/>
  <c r="C252" i="8" s="1"/>
  <c r="B251" i="8"/>
  <c r="C251" i="8" s="1"/>
  <c r="B250" i="8"/>
  <c r="C250" i="8" s="1"/>
  <c r="B249" i="8"/>
  <c r="C249" i="8" s="1"/>
  <c r="B248" i="8"/>
  <c r="C248" i="8" s="1"/>
  <c r="B247" i="8"/>
  <c r="C247" i="8" s="1"/>
  <c r="B246" i="8"/>
  <c r="C246" i="8" s="1"/>
  <c r="B245" i="8"/>
  <c r="C245" i="8" s="1"/>
  <c r="B244" i="8"/>
  <c r="C244" i="8" s="1"/>
  <c r="B243" i="8"/>
  <c r="C243" i="8" s="1"/>
  <c r="B242" i="8"/>
  <c r="C242" i="8" s="1"/>
  <c r="B241" i="8"/>
  <c r="C241" i="8" s="1"/>
  <c r="B240" i="8"/>
  <c r="C240" i="8" s="1"/>
  <c r="B239" i="8"/>
  <c r="C239" i="8" s="1"/>
  <c r="B238" i="8"/>
  <c r="C238" i="8" s="1"/>
  <c r="B237" i="8"/>
  <c r="C237" i="8" s="1"/>
  <c r="B236" i="8"/>
  <c r="C236" i="8" s="1"/>
  <c r="B235" i="8"/>
  <c r="C235" i="8" s="1"/>
  <c r="B234" i="8"/>
  <c r="C234" i="8" s="1"/>
  <c r="B233" i="8"/>
  <c r="C233" i="8" s="1"/>
  <c r="B232" i="8"/>
  <c r="C232" i="8" s="1"/>
  <c r="B231" i="8"/>
  <c r="C231" i="8" s="1"/>
  <c r="B230" i="8"/>
  <c r="C230" i="8" s="1"/>
  <c r="B229" i="8"/>
  <c r="C229" i="8" s="1"/>
  <c r="B228" i="8"/>
  <c r="C228" i="8" s="1"/>
  <c r="B227" i="8"/>
  <c r="C227" i="8" s="1"/>
  <c r="B226" i="8"/>
  <c r="C226" i="8" s="1"/>
  <c r="B225" i="8"/>
  <c r="C225" i="8" s="1"/>
  <c r="B224" i="8"/>
  <c r="C224" i="8" s="1"/>
  <c r="B223" i="8"/>
  <c r="C223" i="8" s="1"/>
  <c r="B222" i="8"/>
  <c r="C222" i="8" s="1"/>
  <c r="B221" i="8"/>
  <c r="C221" i="8" s="1"/>
  <c r="B220" i="8"/>
  <c r="C220" i="8" s="1"/>
  <c r="B219" i="8"/>
  <c r="C219" i="8" s="1"/>
  <c r="B218" i="8"/>
  <c r="C218" i="8" s="1"/>
  <c r="B217" i="8"/>
  <c r="C217" i="8" s="1"/>
  <c r="B216" i="8"/>
  <c r="C216" i="8" s="1"/>
  <c r="B215" i="8"/>
  <c r="C215" i="8" s="1"/>
  <c r="B214" i="8"/>
  <c r="C214" i="8" s="1"/>
  <c r="B213" i="8"/>
  <c r="C213" i="8" s="1"/>
  <c r="B212" i="8"/>
  <c r="C212" i="8" s="1"/>
  <c r="B211" i="8"/>
  <c r="C211" i="8" s="1"/>
  <c r="B210" i="8"/>
  <c r="C210" i="8" s="1"/>
  <c r="B209" i="8"/>
  <c r="C209" i="8" s="1"/>
  <c r="B208" i="8"/>
  <c r="C208" i="8" s="1"/>
  <c r="B207" i="8"/>
  <c r="C207" i="8" s="1"/>
  <c r="B206" i="8"/>
  <c r="C206" i="8" s="1"/>
  <c r="B205" i="8"/>
  <c r="C205" i="8" s="1"/>
  <c r="B204" i="8"/>
  <c r="C204" i="8" s="1"/>
  <c r="B203" i="8"/>
  <c r="C203" i="8" s="1"/>
  <c r="B202" i="8"/>
  <c r="C202" i="8" s="1"/>
  <c r="B201" i="8"/>
  <c r="C201" i="8" s="1"/>
  <c r="B200" i="8"/>
  <c r="C200" i="8" s="1"/>
  <c r="B199" i="8"/>
  <c r="C199" i="8" s="1"/>
  <c r="B198" i="8"/>
  <c r="C198" i="8" s="1"/>
  <c r="C197" i="8"/>
  <c r="B196" i="8"/>
  <c r="C196" i="8" s="1"/>
  <c r="B195" i="8"/>
  <c r="C195" i="8" s="1"/>
  <c r="B194" i="8"/>
  <c r="C194" i="8" s="1"/>
  <c r="B193" i="8"/>
  <c r="C193" i="8" s="1"/>
  <c r="B192" i="8"/>
  <c r="C192" i="8" s="1"/>
  <c r="B191" i="8"/>
  <c r="C191" i="8" s="1"/>
  <c r="B190" i="8"/>
  <c r="C190" i="8" s="1"/>
  <c r="B189" i="8"/>
  <c r="C189" i="8" s="1"/>
  <c r="B188" i="8"/>
  <c r="C188" i="8" s="1"/>
  <c r="B187" i="8"/>
  <c r="C187" i="8" s="1"/>
  <c r="B186" i="8"/>
  <c r="C186" i="8" s="1"/>
  <c r="B185" i="8"/>
  <c r="C185" i="8" s="1"/>
  <c r="B184" i="8"/>
  <c r="C184" i="8" s="1"/>
  <c r="B183" i="8"/>
  <c r="C183" i="8" s="1"/>
  <c r="B182" i="8"/>
  <c r="C182" i="8" s="1"/>
  <c r="B181" i="8"/>
  <c r="C181" i="8" s="1"/>
  <c r="B180" i="8"/>
  <c r="C180" i="8" s="1"/>
  <c r="B179" i="8"/>
  <c r="C179" i="8" s="1"/>
  <c r="B178" i="8"/>
  <c r="C178" i="8" s="1"/>
  <c r="B177" i="8"/>
  <c r="C177" i="8" s="1"/>
  <c r="B176" i="8"/>
  <c r="C176" i="8" s="1"/>
  <c r="B175" i="8"/>
  <c r="C175" i="8" s="1"/>
  <c r="B174" i="8"/>
  <c r="C174" i="8" s="1"/>
  <c r="B173" i="8"/>
  <c r="C173" i="8" s="1"/>
  <c r="B172" i="8"/>
  <c r="C172" i="8" s="1"/>
  <c r="B171" i="8"/>
  <c r="C171" i="8" s="1"/>
  <c r="B170" i="8"/>
  <c r="C170" i="8" s="1"/>
  <c r="B169" i="8"/>
  <c r="C169" i="8" s="1"/>
  <c r="B168" i="8"/>
  <c r="C168" i="8" s="1"/>
  <c r="B167" i="8"/>
  <c r="C167" i="8" s="1"/>
  <c r="B166" i="8"/>
  <c r="C166" i="8" s="1"/>
  <c r="B165" i="8"/>
  <c r="C165" i="8" s="1"/>
  <c r="B164" i="8"/>
  <c r="C164" i="8" s="1"/>
  <c r="B163" i="8"/>
  <c r="C163" i="8" s="1"/>
  <c r="B162" i="8"/>
  <c r="C162" i="8" s="1"/>
  <c r="B161" i="8"/>
  <c r="C161" i="8" s="1"/>
  <c r="B160" i="8"/>
  <c r="C160" i="8" s="1"/>
  <c r="B159" i="8"/>
  <c r="C159" i="8" s="1"/>
  <c r="B158" i="8"/>
  <c r="C158" i="8" s="1"/>
  <c r="B157" i="8"/>
  <c r="C157" i="8" s="1"/>
  <c r="B156" i="8"/>
  <c r="C156" i="8" s="1"/>
  <c r="B155" i="8"/>
  <c r="C155" i="8" s="1"/>
  <c r="B154" i="8"/>
  <c r="C154" i="8" s="1"/>
  <c r="B153" i="8"/>
  <c r="C153" i="8" s="1"/>
  <c r="B152" i="8"/>
  <c r="C152" i="8" s="1"/>
  <c r="B151" i="8"/>
  <c r="C151" i="8" s="1"/>
  <c r="B150" i="8"/>
  <c r="C150" i="8" s="1"/>
  <c r="B149" i="8"/>
  <c r="C149" i="8" s="1"/>
  <c r="B148" i="8"/>
  <c r="C148" i="8" s="1"/>
  <c r="B147" i="8"/>
  <c r="C147" i="8" s="1"/>
  <c r="B146" i="8"/>
  <c r="C146" i="8" s="1"/>
  <c r="B145" i="8"/>
  <c r="C145" i="8" s="1"/>
  <c r="B144" i="8"/>
  <c r="C144" i="8" s="1"/>
  <c r="B143" i="8"/>
  <c r="C143" i="8" s="1"/>
  <c r="B142" i="8"/>
  <c r="C142" i="8" s="1"/>
  <c r="B141" i="8"/>
  <c r="C141" i="8" s="1"/>
  <c r="B140" i="8"/>
  <c r="C140" i="8" s="1"/>
  <c r="B139" i="8"/>
  <c r="C139" i="8" s="1"/>
  <c r="B138" i="8"/>
  <c r="C138" i="8" s="1"/>
  <c r="B137" i="8"/>
  <c r="C137" i="8" s="1"/>
  <c r="B136" i="8"/>
  <c r="C136" i="8" s="1"/>
  <c r="B135" i="8"/>
  <c r="C135" i="8" s="1"/>
  <c r="B134" i="8"/>
  <c r="C134" i="8" s="1"/>
  <c r="B133" i="8"/>
  <c r="C133" i="8" s="1"/>
  <c r="B132" i="8"/>
  <c r="C132" i="8" s="1"/>
  <c r="B131" i="8"/>
  <c r="C131" i="8" s="1"/>
  <c r="B130" i="8"/>
  <c r="C130" i="8" s="1"/>
  <c r="B129" i="8"/>
  <c r="C129" i="8" s="1"/>
  <c r="B128" i="8"/>
  <c r="C128" i="8" s="1"/>
  <c r="B127" i="8"/>
  <c r="C127" i="8" s="1"/>
  <c r="B126" i="8"/>
  <c r="C126" i="8" s="1"/>
  <c r="B125" i="8"/>
  <c r="C125" i="8" s="1"/>
  <c r="B124" i="8"/>
  <c r="C124" i="8" s="1"/>
  <c r="B123" i="8"/>
  <c r="C123" i="8" s="1"/>
  <c r="B122" i="8"/>
  <c r="C122" i="8" s="1"/>
  <c r="B121" i="8"/>
  <c r="C121" i="8" s="1"/>
  <c r="B120" i="8"/>
  <c r="C120" i="8" s="1"/>
  <c r="B119" i="8"/>
  <c r="C119" i="8" s="1"/>
  <c r="B118" i="8"/>
  <c r="C118" i="8" s="1"/>
  <c r="B117" i="8"/>
  <c r="C117" i="8" s="1"/>
  <c r="B116" i="8"/>
  <c r="C116" i="8" s="1"/>
  <c r="B115" i="8"/>
  <c r="C115" i="8" s="1"/>
  <c r="B114" i="8"/>
  <c r="C114" i="8" s="1"/>
  <c r="B113" i="8"/>
  <c r="C113" i="8" s="1"/>
  <c r="B112" i="8"/>
  <c r="C112" i="8" s="1"/>
  <c r="B111" i="8"/>
  <c r="C111" i="8" s="1"/>
  <c r="B110" i="8"/>
  <c r="C110" i="8" s="1"/>
  <c r="B109" i="8"/>
  <c r="C109" i="8" s="1"/>
  <c r="B108" i="8"/>
  <c r="C108" i="8" s="1"/>
  <c r="B107" i="8"/>
  <c r="C107" i="8" s="1"/>
  <c r="B106" i="8"/>
  <c r="C106" i="8" s="1"/>
  <c r="B105" i="8"/>
  <c r="C105" i="8" s="1"/>
  <c r="B104" i="8"/>
  <c r="C104" i="8" s="1"/>
  <c r="B103" i="8"/>
  <c r="C103" i="8" s="1"/>
  <c r="B102" i="8"/>
  <c r="C102" i="8" s="1"/>
  <c r="B101" i="8"/>
  <c r="C101" i="8" s="1"/>
  <c r="B100" i="8"/>
  <c r="C100" i="8" s="1"/>
  <c r="B99" i="8"/>
  <c r="C99" i="8" s="1"/>
  <c r="B98" i="8"/>
  <c r="C98" i="8" s="1"/>
  <c r="B97" i="8"/>
  <c r="C97" i="8" s="1"/>
  <c r="B96" i="8"/>
  <c r="C96" i="8" s="1"/>
  <c r="B95" i="8"/>
  <c r="C95" i="8" s="1"/>
  <c r="B94" i="8"/>
  <c r="C94" i="8" s="1"/>
  <c r="B93" i="8"/>
  <c r="C93" i="8" s="1"/>
  <c r="B92" i="8"/>
  <c r="C92" i="8" s="1"/>
  <c r="B91" i="8"/>
  <c r="C91" i="8" s="1"/>
  <c r="B90" i="8"/>
  <c r="C90" i="8" s="1"/>
  <c r="B89" i="8"/>
  <c r="C89" i="8" s="1"/>
  <c r="B88" i="8"/>
  <c r="C88" i="8" s="1"/>
  <c r="B87" i="8"/>
  <c r="C87" i="8" s="1"/>
  <c r="B86" i="8"/>
  <c r="C86" i="8" s="1"/>
  <c r="B85" i="8"/>
  <c r="C85" i="8" s="1"/>
  <c r="B84" i="8"/>
  <c r="C84" i="8" s="1"/>
  <c r="B83" i="8"/>
  <c r="C83" i="8" s="1"/>
  <c r="B82" i="8"/>
  <c r="C82" i="8" s="1"/>
  <c r="B81" i="8"/>
  <c r="C81" i="8" s="1"/>
  <c r="B80" i="8"/>
  <c r="C80" i="8" s="1"/>
  <c r="B79" i="8"/>
  <c r="C79" i="8" s="1"/>
  <c r="B78" i="8"/>
  <c r="C78" i="8" s="1"/>
  <c r="B77" i="8"/>
  <c r="C77" i="8" s="1"/>
  <c r="B76" i="8"/>
  <c r="C76" i="8" s="1"/>
  <c r="B75" i="8"/>
  <c r="C75" i="8" s="1"/>
  <c r="B74" i="8"/>
  <c r="C74" i="8" s="1"/>
  <c r="B73" i="8"/>
  <c r="C73" i="8" s="1"/>
  <c r="B72" i="8"/>
  <c r="C72" i="8" s="1"/>
  <c r="B71" i="8"/>
  <c r="C71" i="8" s="1"/>
  <c r="B70" i="8"/>
  <c r="C70" i="8" s="1"/>
  <c r="B69" i="8"/>
  <c r="C69" i="8" s="1"/>
  <c r="B68" i="8"/>
  <c r="C68" i="8" s="1"/>
  <c r="B67" i="8"/>
  <c r="C67" i="8" s="1"/>
  <c r="B66" i="8"/>
  <c r="C66" i="8" s="1"/>
  <c r="B65" i="8"/>
  <c r="C65" i="8" s="1"/>
  <c r="B64" i="8"/>
  <c r="C64" i="8" s="1"/>
  <c r="B63" i="8"/>
  <c r="C63" i="8" s="1"/>
  <c r="B62" i="8"/>
  <c r="C62" i="8" s="1"/>
  <c r="B61" i="8"/>
  <c r="C61" i="8" s="1"/>
  <c r="B60" i="8"/>
  <c r="C60" i="8" s="1"/>
  <c r="B59" i="8"/>
  <c r="C59" i="8" s="1"/>
  <c r="B58" i="8"/>
  <c r="C58" i="8" s="1"/>
  <c r="B57" i="8"/>
  <c r="C57" i="8" s="1"/>
  <c r="B56" i="8"/>
  <c r="C56" i="8" s="1"/>
  <c r="B55" i="8"/>
  <c r="C55" i="8" s="1"/>
  <c r="B54" i="8"/>
  <c r="C54" i="8" s="1"/>
  <c r="B53" i="8"/>
  <c r="C53" i="8" s="1"/>
  <c r="B52" i="8"/>
  <c r="C52" i="8" s="1"/>
  <c r="B51" i="8"/>
  <c r="C51" i="8" s="1"/>
  <c r="B50" i="8"/>
  <c r="C50" i="8" s="1"/>
  <c r="B49" i="8"/>
  <c r="C49" i="8" s="1"/>
  <c r="B48" i="8"/>
  <c r="C48" i="8" s="1"/>
  <c r="B47" i="8"/>
  <c r="C47" i="8" s="1"/>
  <c r="B46" i="8"/>
  <c r="C46" i="8" s="1"/>
  <c r="B45" i="8"/>
  <c r="C45" i="8" s="1"/>
  <c r="B44" i="8"/>
  <c r="C44" i="8" s="1"/>
  <c r="B43" i="8"/>
  <c r="C43" i="8" s="1"/>
  <c r="B42" i="8"/>
  <c r="C42" i="8" s="1"/>
  <c r="B41" i="8"/>
  <c r="C41" i="8" s="1"/>
  <c r="B40" i="8"/>
  <c r="C40" i="8" s="1"/>
  <c r="B39" i="8"/>
  <c r="C39" i="8" s="1"/>
  <c r="B38" i="8"/>
  <c r="C38" i="8" s="1"/>
  <c r="B37" i="8"/>
  <c r="C37" i="8" s="1"/>
  <c r="B36" i="8"/>
  <c r="C36" i="8" s="1"/>
  <c r="B35" i="8"/>
  <c r="C35" i="8" s="1"/>
  <c r="B34" i="8"/>
  <c r="C34" i="8" s="1"/>
  <c r="B33" i="8"/>
  <c r="C33" i="8" s="1"/>
  <c r="B32" i="8"/>
  <c r="C32" i="8" s="1"/>
  <c r="B31" i="8"/>
  <c r="C31" i="8" s="1"/>
  <c r="B30" i="8"/>
  <c r="C30" i="8" s="1"/>
  <c r="B29" i="8"/>
  <c r="C29" i="8" s="1"/>
  <c r="B28" i="8"/>
  <c r="C28" i="8" s="1"/>
  <c r="B27" i="8"/>
  <c r="C27" i="8" s="1"/>
  <c r="B26" i="8"/>
  <c r="C26" i="8" s="1"/>
  <c r="B25" i="8"/>
  <c r="C25" i="8" s="1"/>
  <c r="B24" i="8"/>
  <c r="C24" i="8" s="1"/>
  <c r="B23" i="8"/>
  <c r="C23" i="8" s="1"/>
  <c r="B22" i="8"/>
  <c r="C22" i="8" s="1"/>
  <c r="B21" i="8"/>
  <c r="C21" i="8" s="1"/>
  <c r="B20" i="8"/>
  <c r="C20" i="8" s="1"/>
  <c r="B19" i="8"/>
  <c r="C19" i="8" s="1"/>
  <c r="B18" i="8"/>
  <c r="C18" i="8" s="1"/>
  <c r="B17" i="8"/>
  <c r="C17" i="8" s="1"/>
  <c r="B16" i="8"/>
  <c r="C16" i="8" s="1"/>
  <c r="B15" i="8"/>
  <c r="C15" i="8" s="1"/>
  <c r="B14" i="8"/>
  <c r="C14" i="8" s="1"/>
  <c r="B13" i="8"/>
  <c r="C13" i="8" s="1"/>
  <c r="B12" i="8"/>
  <c r="C12" i="8" s="1"/>
  <c r="B11" i="8"/>
  <c r="C11" i="8" s="1"/>
  <c r="B10" i="8"/>
  <c r="C10" i="8" s="1"/>
  <c r="B9" i="8"/>
  <c r="B8" i="8"/>
  <c r="C9" i="8" s="1"/>
  <c r="B7" i="8"/>
  <c r="C7" i="8" s="1"/>
  <c r="B6" i="8"/>
  <c r="C6" i="8" s="1"/>
  <c r="B5" i="8"/>
  <c r="C5" i="8" s="1"/>
  <c r="B4" i="8"/>
  <c r="C4" i="8" s="1"/>
  <c r="B3" i="8"/>
  <c r="C3" i="8" s="1"/>
  <c r="B2" i="8"/>
  <c r="C2" i="8" s="1"/>
  <c r="B1" i="8"/>
  <c r="C1" i="8" s="1"/>
  <c r="Z33" i="6"/>
  <c r="X33" i="6"/>
  <c r="Z32" i="6"/>
  <c r="AA32" i="6" s="1"/>
  <c r="X32" i="6"/>
  <c r="Y32" i="6" s="1"/>
  <c r="Z31" i="6"/>
  <c r="AA31" i="6" s="1"/>
  <c r="X31" i="6"/>
  <c r="Y31" i="6" s="1"/>
  <c r="Z30" i="6"/>
  <c r="AA30" i="6" s="1"/>
  <c r="X30" i="6"/>
  <c r="Y30" i="6" s="1"/>
  <c r="Z29" i="6"/>
  <c r="AA29" i="6" s="1"/>
  <c r="X29" i="6"/>
  <c r="Y29" i="6" s="1"/>
  <c r="AB28" i="6"/>
  <c r="Z28" i="6"/>
  <c r="AA28" i="6" s="1"/>
  <c r="X28" i="6"/>
  <c r="Y28" i="6" s="1"/>
  <c r="AB27" i="6"/>
  <c r="AC27" i="6" s="1"/>
  <c r="Z27" i="6"/>
  <c r="AA27" i="6" s="1"/>
  <c r="X27" i="6"/>
  <c r="Y27" i="6" s="1"/>
  <c r="AB26" i="6"/>
  <c r="AC26" i="6" s="1"/>
  <c r="Z26" i="6"/>
  <c r="AA26" i="6" s="1"/>
  <c r="X26" i="6"/>
  <c r="Y26" i="6" s="1"/>
  <c r="AB25" i="6"/>
  <c r="AC25" i="6" s="1"/>
  <c r="Z25" i="6"/>
  <c r="AA25" i="6" s="1"/>
  <c r="X25" i="6"/>
  <c r="Y25" i="6" s="1"/>
  <c r="AB24" i="6"/>
  <c r="AC24" i="6" s="1"/>
  <c r="Z24" i="6"/>
  <c r="AA24" i="6" s="1"/>
  <c r="X24" i="6"/>
  <c r="Y24" i="6" s="1"/>
  <c r="AB23" i="6"/>
  <c r="AC23" i="6" s="1"/>
  <c r="Z23" i="6"/>
  <c r="AA23" i="6" s="1"/>
  <c r="X23" i="6"/>
  <c r="Y23" i="6" s="1"/>
  <c r="AB22" i="6"/>
  <c r="AC22" i="6" s="1"/>
  <c r="Z22" i="6"/>
  <c r="AA22" i="6" s="1"/>
  <c r="X22" i="6"/>
  <c r="Y22" i="6" s="1"/>
  <c r="AB21" i="6"/>
  <c r="AC21" i="6" s="1"/>
  <c r="Z21" i="6"/>
  <c r="AA21" i="6" s="1"/>
  <c r="X21" i="6"/>
  <c r="Y21" i="6" s="1"/>
  <c r="V21" i="6"/>
  <c r="AB20" i="6"/>
  <c r="AC20" i="6" s="1"/>
  <c r="Z20" i="6"/>
  <c r="AA20" i="6" s="1"/>
  <c r="X20" i="6"/>
  <c r="Y20" i="6" s="1"/>
  <c r="V20" i="6"/>
  <c r="W20" i="6" s="1"/>
  <c r="AB19" i="6"/>
  <c r="AC19" i="6" s="1"/>
  <c r="Z19" i="6"/>
  <c r="AA19" i="6" s="1"/>
  <c r="X19" i="6"/>
  <c r="Y19" i="6" s="1"/>
  <c r="V19" i="6"/>
  <c r="W19" i="6" s="1"/>
  <c r="AB18" i="6"/>
  <c r="AC18" i="6" s="1"/>
  <c r="Z18" i="6"/>
  <c r="AA18" i="6" s="1"/>
  <c r="X18" i="6"/>
  <c r="Y18" i="6" s="1"/>
  <c r="V18" i="6"/>
  <c r="W18" i="6" s="1"/>
  <c r="AB17" i="6"/>
  <c r="AC17" i="6" s="1"/>
  <c r="Z17" i="6"/>
  <c r="AA17" i="6" s="1"/>
  <c r="X17" i="6"/>
  <c r="Y17" i="6" s="1"/>
  <c r="V17" i="6"/>
  <c r="W17" i="6" s="1"/>
  <c r="AB16" i="6"/>
  <c r="AC16" i="6" s="1"/>
  <c r="Z16" i="6"/>
  <c r="AA16" i="6" s="1"/>
  <c r="X16" i="6"/>
  <c r="Y16" i="6" s="1"/>
  <c r="V16" i="6"/>
  <c r="W16" i="6" s="1"/>
  <c r="AB15" i="6"/>
  <c r="AC15" i="6" s="1"/>
  <c r="Z15" i="6"/>
  <c r="AA15" i="6" s="1"/>
  <c r="X15" i="6"/>
  <c r="Y15" i="6" s="1"/>
  <c r="V15" i="6"/>
  <c r="W15" i="6" s="1"/>
  <c r="AB14" i="6"/>
  <c r="AC14" i="6" s="1"/>
  <c r="Z14" i="6"/>
  <c r="AA14" i="6" s="1"/>
  <c r="X14" i="6"/>
  <c r="Y14" i="6" s="1"/>
  <c r="V14" i="6"/>
  <c r="W14" i="6" s="1"/>
  <c r="AB13" i="6"/>
  <c r="AC13" i="6" s="1"/>
  <c r="Z13" i="6"/>
  <c r="AA13" i="6" s="1"/>
  <c r="X13" i="6"/>
  <c r="Y13" i="6" s="1"/>
  <c r="V13" i="6"/>
  <c r="W13" i="6" s="1"/>
  <c r="AB12" i="6"/>
  <c r="AC12" i="6" s="1"/>
  <c r="Z12" i="6"/>
  <c r="AA12" i="6" s="1"/>
  <c r="X12" i="6"/>
  <c r="Y12" i="6" s="1"/>
  <c r="V12" i="6"/>
  <c r="W12" i="6" s="1"/>
  <c r="AD11" i="6"/>
  <c r="AB11" i="6"/>
  <c r="AC11" i="6" s="1"/>
  <c r="Z11" i="6"/>
  <c r="AA11" i="6" s="1"/>
  <c r="X11" i="6"/>
  <c r="Y11" i="6" s="1"/>
  <c r="V11" i="6"/>
  <c r="W11" i="6" s="1"/>
  <c r="AD10" i="6"/>
  <c r="AE10" i="6" s="1"/>
  <c r="AB10" i="6"/>
  <c r="AC10" i="6" s="1"/>
  <c r="Z10" i="6"/>
  <c r="AA10" i="6" s="1"/>
  <c r="X10" i="6"/>
  <c r="Y10" i="6" s="1"/>
  <c r="V10" i="6"/>
  <c r="W10" i="6" s="1"/>
  <c r="AF9" i="6"/>
  <c r="AD9" i="6"/>
  <c r="AE9" i="6" s="1"/>
  <c r="AB9" i="6"/>
  <c r="AC9" i="6" s="1"/>
  <c r="Z9" i="6"/>
  <c r="AA9" i="6" s="1"/>
  <c r="X9" i="6"/>
  <c r="Y9" i="6" s="1"/>
  <c r="V9" i="6"/>
  <c r="W9" i="6" s="1"/>
  <c r="R9" i="6"/>
  <c r="AF8" i="6"/>
  <c r="AG8" i="6" s="1"/>
  <c r="AD8" i="6"/>
  <c r="AE8" i="6" s="1"/>
  <c r="AB8" i="6"/>
  <c r="AC8" i="6" s="1"/>
  <c r="Z8" i="6"/>
  <c r="AA8" i="6" s="1"/>
  <c r="X8" i="6"/>
  <c r="Y8" i="6" s="1"/>
  <c r="V8" i="6"/>
  <c r="W8" i="6" s="1"/>
  <c r="R8" i="6"/>
  <c r="S8" i="6" s="1"/>
  <c r="AH7" i="6"/>
  <c r="AF7" i="6"/>
  <c r="AG7" i="6" s="1"/>
  <c r="AD7" i="6"/>
  <c r="AE7" i="6" s="1"/>
  <c r="AB7" i="6"/>
  <c r="AC7" i="6" s="1"/>
  <c r="Z7" i="6"/>
  <c r="AA7" i="6" s="1"/>
  <c r="X7" i="6"/>
  <c r="Y7" i="6" s="1"/>
  <c r="V7" i="6"/>
  <c r="W7" i="6" s="1"/>
  <c r="R7" i="6"/>
  <c r="S7" i="6" s="1"/>
  <c r="AH6" i="6"/>
  <c r="AI6" i="6" s="1"/>
  <c r="AF6" i="6"/>
  <c r="AG6" i="6" s="1"/>
  <c r="AD6" i="6"/>
  <c r="AE6" i="6" s="1"/>
  <c r="AB6" i="6"/>
  <c r="AC6" i="6" s="1"/>
  <c r="Z6" i="6"/>
  <c r="AA6" i="6" s="1"/>
  <c r="X6" i="6"/>
  <c r="Y6" i="6" s="1"/>
  <c r="V6" i="6"/>
  <c r="W6" i="6" s="1"/>
  <c r="T6" i="6"/>
  <c r="R6" i="6"/>
  <c r="S6" i="6" s="1"/>
  <c r="AH5" i="6"/>
  <c r="AI5" i="6" s="1"/>
  <c r="AF5" i="6"/>
  <c r="AG5" i="6" s="1"/>
  <c r="AD5" i="6"/>
  <c r="AE5" i="6" s="1"/>
  <c r="AB5" i="6"/>
  <c r="AC5" i="6" s="1"/>
  <c r="Z5" i="6"/>
  <c r="AA5" i="6" s="1"/>
  <c r="X5" i="6"/>
  <c r="Y5" i="6" s="1"/>
  <c r="V5" i="6"/>
  <c r="W5" i="6" s="1"/>
  <c r="T5" i="6"/>
  <c r="U5" i="6" s="1"/>
  <c r="R5" i="6"/>
  <c r="S5" i="6" s="1"/>
  <c r="AJ4" i="6"/>
  <c r="AH4" i="6"/>
  <c r="AI4" i="6" s="1"/>
  <c r="AF4" i="6"/>
  <c r="AG4" i="6" s="1"/>
  <c r="AD4" i="6"/>
  <c r="AE4" i="6" s="1"/>
  <c r="AB4" i="6"/>
  <c r="AC4" i="6" s="1"/>
  <c r="Z4" i="6"/>
  <c r="AA4" i="6" s="1"/>
  <c r="X4" i="6"/>
  <c r="Y4" i="6" s="1"/>
  <c r="V4" i="6"/>
  <c r="W4" i="6" s="1"/>
  <c r="T4" i="6"/>
  <c r="U4" i="6" s="1"/>
  <c r="R4" i="6"/>
  <c r="S4" i="6" s="1"/>
  <c r="AL3" i="6"/>
  <c r="AJ3" i="6"/>
  <c r="AK3" i="6" s="1"/>
  <c r="AH3" i="6"/>
  <c r="AI3" i="6" s="1"/>
  <c r="AF3" i="6"/>
  <c r="AG3" i="6" s="1"/>
  <c r="AD3" i="6"/>
  <c r="AE3" i="6" s="1"/>
  <c r="AB3" i="6"/>
  <c r="AC3" i="6" s="1"/>
  <c r="Z3" i="6"/>
  <c r="AA3" i="6" s="1"/>
  <c r="X3" i="6"/>
  <c r="Y3" i="6" s="1"/>
  <c r="V3" i="6"/>
  <c r="W3" i="6" s="1"/>
  <c r="T3" i="6"/>
  <c r="U3" i="6" s="1"/>
  <c r="R3" i="6"/>
  <c r="S3" i="6" s="1"/>
  <c r="AL2" i="6"/>
  <c r="AM2" i="6" s="1"/>
  <c r="AJ2" i="6"/>
  <c r="AK2" i="6" s="1"/>
  <c r="AH2" i="6"/>
  <c r="AI2" i="6" s="1"/>
  <c r="AF2" i="6"/>
  <c r="AG2" i="6" s="1"/>
  <c r="AD2" i="6"/>
  <c r="AE2" i="6" s="1"/>
  <c r="AB2" i="6"/>
  <c r="AC2" i="6" s="1"/>
  <c r="Z2" i="6"/>
  <c r="AA2" i="6" s="1"/>
  <c r="X2" i="6"/>
  <c r="Y2" i="6" s="1"/>
  <c r="V2" i="6"/>
  <c r="W2" i="6" s="1"/>
  <c r="T2" i="6"/>
  <c r="U2" i="6" s="1"/>
  <c r="R2" i="6"/>
  <c r="S2" i="6" s="1"/>
  <c r="K3" i="2"/>
  <c r="K2" i="2"/>
  <c r="C8" i="8" l="1"/>
</calcChain>
</file>

<file path=xl/sharedStrings.xml><?xml version="1.0" encoding="utf-8"?>
<sst xmlns="http://schemas.openxmlformats.org/spreadsheetml/2006/main" count="38310" uniqueCount="5846">
  <si>
    <t>Timestamp</t>
  </si>
  <si>
    <t>What do you enjoy the most about Minion Masters?</t>
  </si>
  <si>
    <t>Which game mode(s) do you prefer?</t>
  </si>
  <si>
    <t>Which in-game customizations do you enjoy the most?</t>
  </si>
  <si>
    <t>Have you spent money on rubies?</t>
  </si>
  <si>
    <t>If yes for what purpose?</t>
  </si>
  <si>
    <t>Are you satisfied with your purchase?</t>
  </si>
  <si>
    <t>Can you list your top 5 favourite cards?</t>
  </si>
  <si>
    <t>#</t>
  </si>
  <si>
    <t>Fast-paced, quick, CCG, etc</t>
  </si>
  <si>
    <t>Skins,Sounds, Aesthetics, etc.</t>
  </si>
  <si>
    <t>GAME MODE</t>
  </si>
  <si>
    <t>Strategy</t>
  </si>
  <si>
    <t>Others</t>
  </si>
  <si>
    <t>All Of The Above</t>
  </si>
  <si>
    <t>Who is your favourite master?</t>
  </si>
  <si>
    <t>Why did you choose this Master?</t>
  </si>
  <si>
    <t>What is the highest rank you've reached?</t>
  </si>
  <si>
    <t>How many hours have you spent on Minion Masters so far?</t>
  </si>
  <si>
    <t>What other games do you play? Please specify.</t>
  </si>
  <si>
    <t>On an average week how much time do you spend playing games?</t>
  </si>
  <si>
    <t>Do you watch or stream games on Twitch?</t>
  </si>
  <si>
    <t>Gender</t>
  </si>
  <si>
    <t>Age</t>
  </si>
  <si>
    <t>Occupation</t>
  </si>
  <si>
    <t>Country</t>
  </si>
  <si>
    <t>Collecting Cards/Masters</t>
  </si>
  <si>
    <t>Community</t>
  </si>
  <si>
    <t>Competitions/Tournaments</t>
  </si>
  <si>
    <t>Crafting system</t>
  </si>
  <si>
    <t>Gameplay</t>
  </si>
  <si>
    <t>Graphics</t>
  </si>
  <si>
    <t>Game modes</t>
  </si>
  <si>
    <t>Streamer features</t>
  </si>
  <si>
    <t>Deckbuilding</t>
  </si>
  <si>
    <t>Achievements</t>
  </si>
  <si>
    <t>Battle Pass</t>
  </si>
  <si>
    <t>Multiplayer</t>
  </si>
  <si>
    <t>F2P</t>
  </si>
  <si>
    <t>Playing with friends</t>
  </si>
  <si>
    <t>Leveling System</t>
  </si>
  <si>
    <t>NOT P2W</t>
  </si>
  <si>
    <t>Puffs</t>
  </si>
  <si>
    <t>Rewards</t>
  </si>
  <si>
    <t>Gameplay, Competitions</t>
  </si>
  <si>
    <t>Solo</t>
  </si>
  <si>
    <t>Master Skins</t>
  </si>
  <si>
    <t>Getting my DNest deck faster</t>
  </si>
  <si>
    <t>Yes</t>
  </si>
  <si>
    <t>Anything aggressive that lets me focus more on defeating my opponent rather than accumulating exp for a quicker mana frenzy. (old palace/dnest decks, most cards an aggressive mordar deck would play (in other words: DNest, cleaver, succubus, colossus, etc.))</t>
  </si>
  <si>
    <t>Settsu</t>
  </si>
  <si>
    <t>Grandmaster</t>
  </si>
  <si>
    <t>200-1000</t>
  </si>
  <si>
    <t xml:space="preserve">Lately? Prismata, Slay the Spire, </t>
  </si>
  <si>
    <t>Daily</t>
  </si>
  <si>
    <t>Watch, Stream</t>
  </si>
  <si>
    <t>Male</t>
  </si>
  <si>
    <t>I prefer not to say</t>
  </si>
  <si>
    <t>Employed</t>
  </si>
  <si>
    <t>Sweden</t>
  </si>
  <si>
    <t>Gameplay, Collecting Cards/Masters</t>
  </si>
  <si>
    <t>Solo, Duo, Premade Duo, Mayhem Duo</t>
  </si>
  <si>
    <t>Just the premium</t>
  </si>
  <si>
    <t>Tranquil Shi-hou, Cannon Roller, Future Present, Black Hole, Musketeer</t>
  </si>
  <si>
    <t>Apep</t>
  </si>
  <si>
    <t>1000+</t>
  </si>
  <si>
    <t>Lately just Path of Exile, but I've have many hours in various action/isometric/FPS RPGs and standard FPSs</t>
  </si>
  <si>
    <t>Watch</t>
  </si>
  <si>
    <t>26-35</t>
  </si>
  <si>
    <t>Australia</t>
  </si>
  <si>
    <t>Gameplay, Collecting Cards/Masters, Competitions</t>
  </si>
  <si>
    <t>Paid to win the battlepass when it first came out for the LULz and for master skins</t>
  </si>
  <si>
    <t>Future Present, Future Past, Nether Step, Scrat Pack, Blackhole</t>
  </si>
  <si>
    <t>Mordar</t>
  </si>
  <si>
    <t>Overwatch, CoD Black Ops 4, scary games</t>
  </si>
  <si>
    <t>19-25</t>
  </si>
  <si>
    <t>Student</t>
  </si>
  <si>
    <t>USA</t>
  </si>
  <si>
    <t>Collecting Cards/Masters, Competitions, King Puff Cup</t>
  </si>
  <si>
    <t>Solo, Premade Duo</t>
  </si>
  <si>
    <t>Yes, for 12 win draft runs back before glory. Lost a lot of economy from the poor communication behind the switch to Glory though.</t>
  </si>
  <si>
    <t>No</t>
  </si>
  <si>
    <t>Lighting Bolt, Trick Swap (in old KP), Heal Puff, Wall, Cleaver</t>
  </si>
  <si>
    <t>MtG: Arena, Chess, Star Craft</t>
  </si>
  <si>
    <t>3-4 times a week</t>
  </si>
  <si>
    <t>Premade Duo, Mayhem Duo</t>
  </si>
  <si>
    <t>no</t>
  </si>
  <si>
    <t>I've not made a purchase</t>
  </si>
  <si>
    <t>bolt, whirly, shi hou, morgrul, prowler</t>
  </si>
  <si>
    <t>Ravager</t>
  </si>
  <si>
    <t>Solo, Duo</t>
  </si>
  <si>
    <t>Emotes</t>
  </si>
  <si>
    <t>Stormbringer</t>
  </si>
  <si>
    <t>Bronze</t>
  </si>
  <si>
    <t>5-25</t>
  </si>
  <si>
    <t>Premade Duo</t>
  </si>
  <si>
    <t>Harbinger, Crossbow Guild, Fireball, Ghost, Sniper Squad</t>
  </si>
  <si>
    <t>Can drop into the arena anywhere!</t>
  </si>
  <si>
    <t>Gold</t>
  </si>
  <si>
    <t>100-200</t>
  </si>
  <si>
    <t>League of Legends, Ragnarok M</t>
  </si>
  <si>
    <t>Neither</t>
  </si>
  <si>
    <t>Philippines</t>
  </si>
  <si>
    <t>Gameplay, Competitions/Tournaments</t>
  </si>
  <si>
    <t>Solo, Premade Duo, Mayhem Solo</t>
  </si>
  <si>
    <t xml:space="preserve">crystal archer, sniper scart, bounty sniper, sniper squad, banner man </t>
  </si>
  <si>
    <t>Milloween</t>
  </si>
  <si>
    <t>Arcane Golem</t>
  </si>
  <si>
    <t>LoL, Tabletop Sim, Overwatch, Heros of the Strom, Undertale, etc.</t>
  </si>
  <si>
    <t>Female</t>
  </si>
  <si>
    <t>King Puff</t>
  </si>
  <si>
    <t>cool perks and looks cool</t>
  </si>
  <si>
    <t>Master</t>
  </si>
  <si>
    <t>Duelyst, Lunatic Rave 2, Borderlands 2</t>
  </si>
  <si>
    <t>5-6 times a week</t>
  </si>
  <si>
    <t>Germany</t>
  </si>
  <si>
    <t>Duo</t>
  </si>
  <si>
    <t>I was intrigued by the character abilities and I also just love sci-fi</t>
  </si>
  <si>
    <t>Ravenfield, Crossout(rarely)</t>
  </si>
  <si>
    <t>1-2 times a week</t>
  </si>
  <si>
    <t>Suits my playstyle</t>
  </si>
  <si>
    <t>Silver</t>
  </si>
  <si>
    <t>Diablo 2, Hearthstone</t>
  </si>
  <si>
    <t>I don't have favourite cards</t>
  </si>
  <si>
    <t>she's a cute girl</t>
  </si>
  <si>
    <t>oldschool runescape</t>
  </si>
  <si>
    <t>Unemployed</t>
  </si>
  <si>
    <t>Gameplay, Graphics, Collecting Cards/Masters</t>
  </si>
  <si>
    <t>Duo, Premade Duo</t>
  </si>
  <si>
    <t>Master Skins, Arenas, Emotes</t>
  </si>
  <si>
    <t>The extend reach of the master is really cool</t>
  </si>
  <si>
    <t>25-100</t>
  </si>
  <si>
    <t>France</t>
  </si>
  <si>
    <t>Avatars</t>
  </si>
  <si>
    <t>Future Pass, Future Present, Hypnotize, Demon Warrior, Bridge Shrine.</t>
  </si>
  <si>
    <t>He's the good late game snek w/ free cards.</t>
  </si>
  <si>
    <t>Warframe, Stellaris, KRITIKA Online</t>
  </si>
  <si>
    <t>Ukraine</t>
  </si>
  <si>
    <t>Master Skins, Avatars</t>
  </si>
  <si>
    <t>Skins</t>
  </si>
  <si>
    <t>Wall, Stixy, Cleaver, Clear Skies, Screaming Scrat</t>
  </si>
  <si>
    <t>I play all masters pretty much equally, there is none i really prefer it's more about the decks they enable</t>
  </si>
  <si>
    <t>Xiao Long</t>
  </si>
  <si>
    <t>Path of Exile</t>
  </si>
  <si>
    <t>Self-Employed</t>
  </si>
  <si>
    <t>Skills &amp; Gameplay</t>
  </si>
  <si>
    <t>Skin, Battle Pass</t>
  </si>
  <si>
    <t>Netherstep, Morgrul, Succubus, Mana Puff Madness, Blastmancer</t>
  </si>
  <si>
    <t>Because I like spells and she has good use for it with the Golem</t>
  </si>
  <si>
    <t>League of Legends</t>
  </si>
  <si>
    <t>osu!, Rocket League</t>
  </si>
  <si>
    <t>His lvl up abilities</t>
  </si>
  <si>
    <t>It's the one true free one, and the free Marksman feels nice if nothing else.</t>
  </si>
  <si>
    <t>Ghost Recon Wildlands, From The Depths, Starbound, Warframe, Children of a Dead Earth, Robocraft</t>
  </si>
  <si>
    <t>Gameplay, Graphics</t>
  </si>
  <si>
    <t>Arenas, Avatars</t>
  </si>
  <si>
    <t>Just for having them</t>
  </si>
  <si>
    <t>Living Statue, Blastmancer, Cannon Roller, Daggerfall, Disruptor Puffs</t>
  </si>
  <si>
    <t>Volco</t>
  </si>
  <si>
    <t>Good control, good agression</t>
  </si>
  <si>
    <t>Strategy games (like HOI4), some fighting games (like Tekken), some RTS (like Starcraft) and some shooters (like L4D)</t>
  </si>
  <si>
    <t>14-18</t>
  </si>
  <si>
    <t>Bulgaria</t>
  </si>
  <si>
    <t>Master Skins, Arenas</t>
  </si>
  <si>
    <t>cause pewpew</t>
  </si>
  <si>
    <t>Arenas</t>
  </si>
  <si>
    <t>from beginning</t>
  </si>
  <si>
    <t>Stone</t>
  </si>
  <si>
    <t>0-5</t>
  </si>
  <si>
    <t>Dota 2</t>
  </si>
  <si>
    <t>Norway</t>
  </si>
  <si>
    <t>I dont really have any of the good cards i want, yet.</t>
  </si>
  <si>
    <t>Her arcane golems and her lvl 2 passive.</t>
  </si>
  <si>
    <t>League of Legends, Runescape and valkyrie Connect.</t>
  </si>
  <si>
    <t>United Kingdom</t>
  </si>
  <si>
    <t>Premium</t>
  </si>
  <si>
    <t>Divine Warrior</t>
  </si>
  <si>
    <t>Every Scrat card</t>
  </si>
  <si>
    <t>free unit</t>
  </si>
  <si>
    <t>Cards &amp; Decks</t>
  </si>
  <si>
    <t>League</t>
  </si>
  <si>
    <t>Platinum</t>
  </si>
  <si>
    <t>Hearthstone</t>
  </si>
  <si>
    <t>Battle pass</t>
  </si>
  <si>
    <t>Ratbo</t>
  </si>
  <si>
    <t>Final Fantasy XIV</t>
  </si>
  <si>
    <t>Shop Offers</t>
  </si>
  <si>
    <t>Canada</t>
  </si>
  <si>
    <t>Harbringer</t>
  </si>
  <si>
    <t>Looks</t>
  </si>
  <si>
    <t>Arenas, Emotes</t>
  </si>
  <si>
    <t>Buying heroes and season pass</t>
  </si>
  <si>
    <t>Overwatch</t>
  </si>
  <si>
    <t>I like the control game and the supportive buff</t>
  </si>
  <si>
    <t>Vermintide 2, league of legends, gang beasts and slay the spire</t>
  </si>
  <si>
    <t>Expeditions</t>
  </si>
  <si>
    <t>Scrat Pack, Plasma Marines, Blue Golem, Blast Entry, Xiao Long</t>
  </si>
  <si>
    <t>Plasma Marines</t>
  </si>
  <si>
    <t>Versatility of decks available.</t>
  </si>
  <si>
    <t>Free</t>
  </si>
  <si>
    <t>Trackmania 2 Stadium, Maplestory 2, Battlerite</t>
  </si>
  <si>
    <t>Heroes of the Storm</t>
  </si>
  <si>
    <t>Occasionally</t>
  </si>
  <si>
    <t>Stream</t>
  </si>
  <si>
    <t>Croatia</t>
  </si>
  <si>
    <t>over 36</t>
  </si>
  <si>
    <t>Draft</t>
  </si>
  <si>
    <t xml:space="preserve">Daily deals. The best ones are for cards that I really want. </t>
  </si>
  <si>
    <t>Cleaver, Plasma Marines, Dragon, Xiao Long, Divine Warrior, Scrat pack</t>
  </si>
  <si>
    <t>Stun Lancers</t>
  </si>
  <si>
    <t>Resurrection</t>
  </si>
  <si>
    <t>Other</t>
  </si>
  <si>
    <t>Diamond</t>
  </si>
  <si>
    <t>Guild Wars 2 and Maple Story 2</t>
  </si>
  <si>
    <t>others</t>
  </si>
  <si>
    <t>Solo, Duo, Premade Duo</t>
  </si>
  <si>
    <t>Came with premium</t>
  </si>
  <si>
    <t>Game Modes</t>
  </si>
  <si>
    <t>Mayhem Solo</t>
  </si>
  <si>
    <t xml:space="preserve">Plasma marines, infiltration, card that transforms random minion into cleaver, </t>
  </si>
  <si>
    <t>Masters</t>
  </si>
  <si>
    <t>Like his style, also works well with my tactics</t>
  </si>
  <si>
    <t>Succubus</t>
  </si>
  <si>
    <t>Space engineers, robocraft, Empyrion, Payday 2, warframe, etc</t>
  </si>
  <si>
    <t>CS:GO</t>
  </si>
  <si>
    <t>South Africa</t>
  </si>
  <si>
    <t>Retired</t>
  </si>
  <si>
    <t>Mayhem Duo</t>
  </si>
  <si>
    <t xml:space="preserve">Scrat, scrat Horde, harbinger, Knight with the shield, </t>
  </si>
  <si>
    <t xml:space="preserve">Long range and semi high damage </t>
  </si>
  <si>
    <t>Mostly FPS games such as csgo and I also play adventure games</t>
  </si>
  <si>
    <t>Support the Devs</t>
  </si>
  <si>
    <t>Fire Imp</t>
  </si>
  <si>
    <t>Denmark</t>
  </si>
  <si>
    <t>World of Warcraft</t>
  </si>
  <si>
    <t>Graphics, characters</t>
  </si>
  <si>
    <t>General use</t>
  </si>
  <si>
    <t>Solo, Expeditions</t>
  </si>
  <si>
    <t>Colossus</t>
  </si>
  <si>
    <t>to earn 2xEXP and to support the developer</t>
  </si>
  <si>
    <t>manapuff, annihilator, XP Shrine, that swap spell from king puff, shock trooper</t>
  </si>
  <si>
    <t>he is too damn cute</t>
  </si>
  <si>
    <t>Warframe</t>
  </si>
  <si>
    <t>everything but PVP shooter, all of them, from divinity:OS2 to exapunks</t>
  </si>
  <si>
    <t>Russia</t>
  </si>
  <si>
    <t>All of the above</t>
  </si>
  <si>
    <t>Cleaver</t>
  </si>
  <si>
    <t>Master Skins, Emotes, Avatars</t>
  </si>
  <si>
    <t>Wood</t>
  </si>
  <si>
    <t>MTG</t>
  </si>
  <si>
    <t>Cheese Date, Rabid Prowler, Blue Golem, Guardian, Harbinger</t>
  </si>
  <si>
    <t xml:space="preserve">His gravestones has turned around so many games for my premade and I. Also skeleton, heckin’ love anything skeleton </t>
  </si>
  <si>
    <t>Fortnite, League of Legends</t>
  </si>
  <si>
    <t>Intend to purchase</t>
  </si>
  <si>
    <t>Rocket League</t>
  </si>
  <si>
    <t>Ireland</t>
  </si>
  <si>
    <t>The Netherlands</t>
  </si>
  <si>
    <t>His lv 3</t>
  </si>
  <si>
    <t>lol, csgo, wow, mount and blade, and a lot of others (more than 200 game in steam)</t>
  </si>
  <si>
    <t>Poland</t>
  </si>
  <si>
    <t>Brazil</t>
  </si>
  <si>
    <t>Master Skins, Emotes</t>
  </si>
  <si>
    <t>season pass</t>
  </si>
  <si>
    <t>Results: "Enjoy the most" Sheet</t>
  </si>
  <si>
    <t>all rounder</t>
  </si>
  <si>
    <t>Battlerite royal / aion / lost ark</t>
  </si>
  <si>
    <t>Morocco</t>
  </si>
  <si>
    <t>Scrat Launcher, Re-boomer, Spiritmancer, Bonemancer, Hyponotize</t>
  </si>
  <si>
    <t>Control 4/5 Mana Deck</t>
  </si>
  <si>
    <t>Dark Souls, Dark Souls 3</t>
  </si>
  <si>
    <t>colossus, annihilator, xiao long, daggerfall, cursebearer</t>
  </si>
  <si>
    <t>it was present a lot in top 10</t>
  </si>
  <si>
    <t>World of Warcraft, Heroes of the Storm, Starcraft 2</t>
  </si>
  <si>
    <t>Beam of Doom, AIMBot, Harbringer</t>
  </si>
  <si>
    <t>Results: "Game Mode" Sheet</t>
  </si>
  <si>
    <t>Best for my playstyle</t>
  </si>
  <si>
    <t>Minecraft, ROBLOX</t>
  </si>
  <si>
    <t>Account upgrade</t>
  </si>
  <si>
    <t>Hot girl</t>
  </si>
  <si>
    <t>Results: "Purchase Purpose" Sheet</t>
  </si>
  <si>
    <t>Results: "TOP 5" Sheet</t>
  </si>
  <si>
    <t>Results: "Fav Master" Sheet</t>
  </si>
  <si>
    <t>Solo, Duo, Expeditions, Mayhem Solo</t>
  </si>
  <si>
    <t>Results: "Games played" Sheet</t>
  </si>
  <si>
    <t>Because I did not see it used often at the higher ranks</t>
  </si>
  <si>
    <t>Sdorica, mobile game</t>
  </si>
  <si>
    <t>Spain</t>
  </si>
  <si>
    <t>Duo, Expeditions</t>
  </si>
  <si>
    <t>Italy</t>
  </si>
  <si>
    <t>Walking blind date, Xiao Long, Chain lightning, banner man, Plasma marines</t>
  </si>
  <si>
    <t>Her spell spam</t>
  </si>
  <si>
    <t>Turkey</t>
  </si>
  <si>
    <t>Overwatch, Borderlands 2</t>
  </si>
  <si>
    <t>Czech Republic</t>
  </si>
  <si>
    <t>Gameplay, Collecting Cards/Masters, Competitions/Tournaments</t>
  </si>
  <si>
    <t>Argentina</t>
  </si>
  <si>
    <t>Austria</t>
  </si>
  <si>
    <t>Belgium</t>
  </si>
  <si>
    <t>Overpowered</t>
  </si>
  <si>
    <t>Realm Royale</t>
  </si>
  <si>
    <t>Finland</t>
  </si>
  <si>
    <t>I bought the Premium Package. To get the permanent Boosts and to support the Devs</t>
  </si>
  <si>
    <t>I like the Range Increase</t>
  </si>
  <si>
    <t>RimWorld, World of Warcraft</t>
  </si>
  <si>
    <t>New Zealand</t>
  </si>
  <si>
    <t>Gameplay, Graphics, Collecting Cards/Masters, Competitions/Tournaments, Crafting system</t>
  </si>
  <si>
    <t>Solo, Duo, Expeditions</t>
  </si>
  <si>
    <t>Master Skins, Arenas, Avatars</t>
  </si>
  <si>
    <t>Blind date, crystal archers, screaming scrat, 10 mana card (forgot name), musketeer</t>
  </si>
  <si>
    <t>Chile</t>
  </si>
  <si>
    <t>Cool, good skills, works well for me</t>
  </si>
  <si>
    <t>Call of duty, fallout games, Skyrim, final fantasy, resident evil, pretty much anything except sport games.</t>
  </si>
  <si>
    <t>Indonesia</t>
  </si>
  <si>
    <t>Romania</t>
  </si>
  <si>
    <t>Switzerland</t>
  </si>
  <si>
    <t>To have rubies. (Battle pass)</t>
  </si>
  <si>
    <t>Harbringer, Crossbow Guild, Scrat Horde, Plasma Marines, Arcane Golem</t>
  </si>
  <si>
    <t>It seems good, I enjoy they range and his auto hit is basically like always having a minion in play.</t>
  </si>
  <si>
    <t>Estonia</t>
  </si>
  <si>
    <t>Golf It, Hot Lava, Binding of Isaac, Borderlands 2, Heroes of the Storm, Hearthstone, Hitman, Nimbatus, Talos Principle, Slay the Spire, Dead Cells etc.</t>
  </si>
  <si>
    <t>Greece</t>
  </si>
  <si>
    <t>Hungary</t>
  </si>
  <si>
    <t>Duo, Mayhem Solo</t>
  </si>
  <si>
    <t>To support the game</t>
  </si>
  <si>
    <t>Malaysia</t>
  </si>
  <si>
    <t>Black Hole, Arcane Golem, Whirly Scrat, Priestess, Crystal Archers</t>
  </si>
  <si>
    <t>Useful in general</t>
  </si>
  <si>
    <t>Heroes of the Storm, various indie.</t>
  </si>
  <si>
    <t>Portugal</t>
  </si>
  <si>
    <t>Brasil</t>
  </si>
  <si>
    <t>Premium account</t>
  </si>
  <si>
    <t>Good tempo  wide variety of cards to use each game</t>
  </si>
  <si>
    <t>Osu, dragon quest</t>
  </si>
  <si>
    <t>Egypt</t>
  </si>
  <si>
    <t>Israel</t>
  </si>
  <si>
    <t>Lithuania</t>
  </si>
  <si>
    <t>mana puff madness, styx, black hole, chain lightning, troubadour</t>
  </si>
  <si>
    <t>marksman skill is so good to have in duo</t>
  </si>
  <si>
    <t>North America</t>
  </si>
  <si>
    <t>Smite, Rocket League</t>
  </si>
  <si>
    <t>Serbia</t>
  </si>
  <si>
    <t>Solo, Expeditions, Mayhem Solo</t>
  </si>
  <si>
    <t>Liked the Battlepass idea. Wanted to jumpstart my xp and will use the rest probably for a master.</t>
  </si>
  <si>
    <t xml:space="preserve">xiao long, Banner man, sniper scrat, defenso chopper, armoured escort </t>
  </si>
  <si>
    <t>Singapore</t>
  </si>
  <si>
    <t>I really like the spells being oriented as a part of her golem as well as the nice feeling of the endgame golems. Her attack is also nice so I don't have to defend against some things with cards so I can save up for a push.</t>
  </si>
  <si>
    <t xml:space="preserve">League of legends, Hearthstone, Atlas Reactor, Battlecon-online, Total war Warhammer, </t>
  </si>
  <si>
    <t>Thailand</t>
  </si>
  <si>
    <t>Japan</t>
  </si>
  <si>
    <t>Solo, Duo, Premade Duo, Expeditions</t>
  </si>
  <si>
    <t>Slovenia</t>
  </si>
  <si>
    <t>Overall a good, solid master to pick with the ability to shoot the minions everywhere and even the enermy master :D</t>
  </si>
  <si>
    <t>Hearthstone, FPS, games with a good story and games i can enjoy with my friends</t>
  </si>
  <si>
    <t>Taiwan</t>
  </si>
  <si>
    <t>Gameplay, Collecting Cards/Masters, building combos</t>
  </si>
  <si>
    <t>Propeller horde, Dragon ball, Gor'rakk brutes, Red golem and Dragon nest</t>
  </si>
  <si>
    <t>Vietnam</t>
  </si>
  <si>
    <t>becuse she enables deck strategy</t>
  </si>
  <si>
    <t>Hots, Fallout 76, path of exile, MTG.</t>
  </si>
  <si>
    <t>Algeria</t>
  </si>
  <si>
    <t xml:space="preserve">Canada </t>
  </si>
  <si>
    <t>Cyprus</t>
  </si>
  <si>
    <t>Mexico</t>
  </si>
  <si>
    <t>Sudan</t>
  </si>
  <si>
    <t>America</t>
  </si>
  <si>
    <t>i like his abilitys</t>
  </si>
  <si>
    <t>https://steamcommunity.com/profiles/76561198030546142/ lol to many to write her</t>
  </si>
  <si>
    <t>Bangladesh</t>
  </si>
  <si>
    <t xml:space="preserve">Belgium </t>
  </si>
  <si>
    <t>The announcer</t>
  </si>
  <si>
    <t>Cleaver, Golem, Ghost, Daggerfall, Stun Stone</t>
  </si>
  <si>
    <t>Bosnia</t>
  </si>
  <si>
    <t>His perk 3 to turn invincible is OP.</t>
  </si>
  <si>
    <t>a lot of them. switch games and pc games.</t>
  </si>
  <si>
    <t>Central America</t>
  </si>
  <si>
    <t>China</t>
  </si>
  <si>
    <t>Ecuador</t>
  </si>
  <si>
    <t xml:space="preserve">Egypt </t>
  </si>
  <si>
    <t>Duo, Premade Duo, Expeditions</t>
  </si>
  <si>
    <t>having enough for battlepack</t>
  </si>
  <si>
    <t>black hole, shock rock, hypnotize (though it needs buff), healing fire ball, screaming scrat</t>
  </si>
  <si>
    <t>Europe</t>
  </si>
  <si>
    <t>she's cute and I think spells are the most fun and interesting thing to play</t>
  </si>
  <si>
    <t xml:space="preserve">Germany </t>
  </si>
  <si>
    <t>xcom 2, duelyst, atlas reactor, eternal</t>
  </si>
  <si>
    <t>Guatemala</t>
  </si>
  <si>
    <t>Haiti</t>
  </si>
  <si>
    <t>Iran</t>
  </si>
  <si>
    <t>Chain Lightning, Hypnotize, Incubus, Netherstep, Walking Blind Date</t>
  </si>
  <si>
    <t>Brutus is so good when you can keep him alive long enough</t>
  </si>
  <si>
    <t>Kazakhstan</t>
  </si>
  <si>
    <t>Kenya</t>
  </si>
  <si>
    <t xml:space="preserve">Warframe, League of Legends, Soul Calibur VI, Hearthstone </t>
  </si>
  <si>
    <t xml:space="preserve">Daggerfall, raging reinforcements, healing fireball, plasma marines and blue golem </t>
  </si>
  <si>
    <t>His tier 2 upgrade and the built in tank minions without using suchba high mana costing card</t>
  </si>
  <si>
    <t xml:space="preserve">Leagur of legends, diablo 3, bloons td battles, everything </t>
  </si>
  <si>
    <t>Korea</t>
  </si>
  <si>
    <t>Gameplay, Collecting Cards/Masters, Crafting system</t>
  </si>
  <si>
    <t>Latvia</t>
  </si>
  <si>
    <t xml:space="preserve">Scrat Pack, Spiritmancer, Spirit Vessel, Plasma Marines, Daggerfall </t>
  </si>
  <si>
    <t>Love the global presence and marksmanship ability, provides great support for Duos.</t>
  </si>
  <si>
    <t>Luxembourg</t>
  </si>
  <si>
    <t>Planetside 2, Arma 3, Many many RTS, Heroes Of The Storm</t>
  </si>
  <si>
    <t>Macedonia</t>
  </si>
  <si>
    <t>Malta</t>
  </si>
  <si>
    <t>Mana puffs | Arcane Missiles | Crystal Archers | Crystal Construct | Blood Imps</t>
  </si>
  <si>
    <t>She is a powerful female character</t>
  </si>
  <si>
    <t xml:space="preserve">Quake 4 | Killing Floor 2 | Battlefield </t>
  </si>
  <si>
    <t>Nigeria</t>
  </si>
  <si>
    <t>Peru</t>
  </si>
  <si>
    <t xml:space="preserve">Portugal </t>
  </si>
  <si>
    <t>Reunion Island</t>
  </si>
  <si>
    <t>Saudi Arabia</t>
  </si>
  <si>
    <t>Escorts, Plasma Marines, Black Hole, Infiltration, The Twins</t>
  </si>
  <si>
    <t>I love Fast Games and big Combo Pushes</t>
  </si>
  <si>
    <t>Slovakia</t>
  </si>
  <si>
    <t>Path of Exile, Heartstone, Fortnite</t>
  </si>
  <si>
    <t>South Korea</t>
  </si>
  <si>
    <t>Srilanka</t>
  </si>
  <si>
    <t>Duo, Premade Duo, Expeditions, Mayhem Duo</t>
  </si>
  <si>
    <t>Divine warrior, healing shrine, illusion reaver, bridge buddies</t>
  </si>
  <si>
    <t>Texas</t>
  </si>
  <si>
    <t>Marksmanship passive</t>
  </si>
  <si>
    <t>Overwatch, Destiny 2, Warframe, Minesweeper</t>
  </si>
  <si>
    <t xml:space="preserve">The Netherlands </t>
  </si>
  <si>
    <t>United Arab Emirates</t>
  </si>
  <si>
    <t>Global range</t>
  </si>
  <si>
    <t>Numerous</t>
  </si>
  <si>
    <t>All</t>
  </si>
  <si>
    <t>Morgrul, Black Hole, Wheel of Doom now^^, Fireball, Xiao</t>
  </si>
  <si>
    <t>Perks</t>
  </si>
  <si>
    <t>Faeria, choas reborn, spellweaver,forced showdown</t>
  </si>
  <si>
    <t>look at her boobs :), and for her gameplay</t>
  </si>
  <si>
    <t>Clash Royal, CS GO, W3</t>
  </si>
  <si>
    <t>Solo, Premade Duo, Expeditions</t>
  </si>
  <si>
    <t xml:space="preserve">1. Prowler, 2. Blue Golem, 3. </t>
  </si>
  <si>
    <t>The tombstones are fun to use</t>
  </si>
  <si>
    <t>Hearthstone, and occasionally point and click story based games (TWDG, Stardew, To the Moon etc.)</t>
  </si>
  <si>
    <t>Capability of range damage</t>
  </si>
  <si>
    <t>League of Legends, Legion TD 2</t>
  </si>
  <si>
    <t>Gems of War; mainstream single player(CRPG, Action, Adv.); occassionally MMO</t>
  </si>
  <si>
    <t>To buy a champion</t>
  </si>
  <si>
    <t xml:space="preserve">Nana puff, re-boomer, </t>
  </si>
  <si>
    <t>Global attack range</t>
  </si>
  <si>
    <t xml:space="preserve">Disc jam, total war Warhammer, wurm unlimited, </t>
  </si>
  <si>
    <t>Gameplay, Competitions/Tournaments, Community</t>
  </si>
  <si>
    <t>Get rid of my tournament money, (Conquering the Universe),being kind to devs, get battlepass, (pay2win)</t>
  </si>
  <si>
    <t>Black Hole, Plasma Marines, Netherstep, Prowler, (Snail),Bridge Swap</t>
  </si>
  <si>
    <t>Because you really need to think carefully about the things you do and it requires lots of skill to play, has nice playmaking potential, diversified matches</t>
  </si>
  <si>
    <t xml:space="preserve">League of Legends, </t>
  </si>
  <si>
    <t>Divine warrior, arrows, sniper scrat, Mana puff and plasma gunners!</t>
  </si>
  <si>
    <t>I like his range and he is very basic. I'm new so learning the cards is more important than the Masters rn</t>
  </si>
  <si>
    <t xml:space="preserve">LoL, OW, Sonic adventure battle 2 </t>
  </si>
  <si>
    <t>plasma marines, stun lancers, wheel of doom, spear throwers, rockshock</t>
  </si>
  <si>
    <t>easy to play, hard to master. Trickery with bridge swaps can either lead to doom or great surprising turning point.</t>
  </si>
  <si>
    <t>darkest dungeon; im not a fan of playing multiple games in same time</t>
  </si>
  <si>
    <t>well...premium</t>
  </si>
  <si>
    <t>xiao long, scrat pack, ilusory cleaver, shrsrak twins, pre-change dragon ball</t>
  </si>
  <si>
    <t>because I enjoy punishing opponents mistakes</t>
  </si>
  <si>
    <t xml:space="preserve">Gameplay, Playing with my best friend on the other side of the world </t>
  </si>
  <si>
    <t xml:space="preserve">Magma storm (value rocks), elite swarmer, annihilator, shock rock, tranquil shi ho </t>
  </si>
  <si>
    <t>Sheer value, cycle decks are fun and random apep is always funny</t>
  </si>
  <si>
    <t xml:space="preserve">Total war and eu4 mostly </t>
  </si>
  <si>
    <t>Gameplay, Graphics, Collecting Cards/Masters, Crafting system</t>
  </si>
  <si>
    <t>Reaper</t>
  </si>
  <si>
    <t>Strong</t>
  </si>
  <si>
    <t>The most fun perks</t>
  </si>
  <si>
    <t>Just a little to get earlier the pass so I could finish it with 3 hours a day of gaming, but your pass is too long to complete for someone with a decent job sadely</t>
  </si>
  <si>
    <t>Scott the sensitive savage, Incubus, Defenso Chopper, Dragon Ball and Clear Skies because it's so manly</t>
  </si>
  <si>
    <t>Because it's the only one I could afford to purchase xD</t>
  </si>
  <si>
    <t>League of Legends, Hearthstone, Heroes of the Storm, Overwatch, Destiny 2, Battlerite and usually all the solo games bethesda make</t>
  </si>
  <si>
    <t>To buy masters</t>
  </si>
  <si>
    <t>I love fire</t>
  </si>
  <si>
    <t>World of Warcraft, Overwatch, League of legends</t>
  </si>
  <si>
    <t>Arcane Golem, Spiritmancer, Tranquil Shi-Hou, Armored Escort, Chain Lightning</t>
  </si>
  <si>
    <t>Early game control into late game monster.</t>
  </si>
  <si>
    <t>Heroes of the Storm, League of Legends, Binding of Isaac, Dead by Daylight</t>
  </si>
  <si>
    <t>Premade Duo, Expeditions</t>
  </si>
  <si>
    <t>starter pack and season pass</t>
  </si>
  <si>
    <t>Assassin, Dragon ball, Xiao Long, Last stand, Empowered soul stealer.</t>
  </si>
  <si>
    <t>His long range shooting ability.</t>
  </si>
  <si>
    <t>Fallout, Xcom, Fortnite, Rocket league, etc</t>
  </si>
  <si>
    <t>Duo, Premade Duo, Mayhem Duo</t>
  </si>
  <si>
    <t>To Get master’s faster and cards i was missing</t>
  </si>
  <si>
    <t xml:space="preserve"> Colossus, spiritmancer, succubus, comander azali, musketeer.</t>
  </si>
  <si>
    <t>I really like Masters which have a boost to Their minions so i also like ravager and stormbringer</t>
  </si>
  <si>
    <t>Kingdom Rush, fallout 3 and other fallout games also owerwatch and hearthstone and rocket League and Lots of other games.</t>
  </si>
  <si>
    <t xml:space="preserve">Gameplay, Collecting Cards/Masters, Competitions/Tournaments, Better community </t>
  </si>
  <si>
    <t>xiao long,shock rock,wall,fire imps and divine warrior</t>
  </si>
  <si>
    <t>cute,pretty and my playstyle suit her</t>
  </si>
  <si>
    <t>rise of nations,roblox and ourWorld(browsergame)</t>
  </si>
  <si>
    <t>No im not on my pc atm</t>
  </si>
  <si>
    <t>Cs GO</t>
  </si>
  <si>
    <t>Annihilator, demon warrior, Beam of doom, divine warrior, crystal archers :)</t>
  </si>
  <si>
    <t>i like the free random cards</t>
  </si>
  <si>
    <t>League of Legends, Warframe, Rainbow six siege, Monster Hunter World</t>
  </si>
  <si>
    <t>(Random order)  blind date, lightning bolt, musketeer, (following are uncertain)prowler, incubus</t>
  </si>
  <si>
    <t>I like mainly the powerfull basic attack. But overall the perks dont need a lot of card synergy. It ends up being a really flexible master that is also fun to play.</t>
  </si>
  <si>
    <t xml:space="preserve">Threre is not a spefic genre. Hearthstone, counter-strike global offensive (haven't played in a long time), slay the spire,  left for dead 2, misc indie games </t>
  </si>
  <si>
    <t>Gameplay, Specifically the Diverse Masters that cater for all the different play styles that people play.</t>
  </si>
  <si>
    <t>Yes. Black hole, Crossbow Dudes, Lost Legionnaires, Crossbow Guild and Scrat Launcher</t>
  </si>
  <si>
    <t>I enjoy his playstyle.</t>
  </si>
  <si>
    <t>Infinity Wars Reborn and Diablo 3</t>
  </si>
  <si>
    <t>Support the devs (It was the 20$ thing on steam)</t>
  </si>
  <si>
    <t>based on game design, not strength : screaming scrat / arcane bolt / shock rock / succubus / tranquil shi hou</t>
  </si>
  <si>
    <t>I like to pretend spiritmancer doesn't exist and I get to have fun playing kinda swarmy</t>
  </si>
  <si>
    <t>Bunch of card games (Faeria MTGA Duelyst, Spellweaver, Gwent, Scrolls soon Artifact) Also path of exile every new league for a few weeks</t>
  </si>
  <si>
    <t>Fortnite</t>
  </si>
  <si>
    <t>Cause its so CUTE</t>
  </si>
  <si>
    <t>Collecting Cards/Masters, playing with friends</t>
  </si>
  <si>
    <t>Master Skins, Arenas, Emotes, Avatars</t>
  </si>
  <si>
    <t>buying stuff in the shop</t>
  </si>
  <si>
    <t>no because you will nerf them</t>
  </si>
  <si>
    <t>didnt because you will nerf it</t>
  </si>
  <si>
    <t>poe, any free sex game i like titties</t>
  </si>
  <si>
    <t>Packs</t>
  </si>
  <si>
    <t>Musketeer, Scott The Sensitive Savage, Assassin, Styxi, Fire Imp</t>
  </si>
  <si>
    <t>Abilities</t>
  </si>
  <si>
    <t>Minecraft, Clash Royale, Undertale, Half Life</t>
  </si>
  <si>
    <t>Black Hole, Guardian, Scrat Launcher, Plasma Marines and Incubus</t>
  </si>
  <si>
    <t>Good attack with a deck not based on the second skill but amazing with one.</t>
  </si>
  <si>
    <t>CS:GO, Ravenfield and Payday 2</t>
  </si>
  <si>
    <t>incubus/succubus</t>
  </si>
  <si>
    <t>he looks cool and reminds me of another game</t>
  </si>
  <si>
    <t>MOBA/MMORPG</t>
  </si>
  <si>
    <t>Stun Lancers, Commander Azali, Fire Imp, Gor'Rakk Brutes, Daggerfall</t>
  </si>
  <si>
    <t>If you played your cards right, when Brutus comes into play he would stomp the opposing masters</t>
  </si>
  <si>
    <t>Overwatch, Rainbow Six Siege, Terraria</t>
  </si>
  <si>
    <t xml:space="preserve">Is cute </t>
  </si>
  <si>
    <t>MOBAs, FPSs</t>
  </si>
  <si>
    <t>Harbinger, Spiritmancer, Necromancer, Arcane Bolt, Priestess</t>
  </si>
  <si>
    <t>Constant pressure with ranged auto attacks</t>
  </si>
  <si>
    <t>Warframe, Real Racing 3</t>
  </si>
  <si>
    <t>The 4-cost minion that makes the ground burn; Crossbow Guild, The 5-cost shielded paladin, Daggerfall, Crystal Archers</t>
  </si>
  <si>
    <t>Bringing back strong minions is awesome and cost-efficient</t>
  </si>
  <si>
    <t>Gameplay, Collecting Cards/Masters, Deckbuilding ya Dingus</t>
  </si>
  <si>
    <t>Battle Pass, Account Upgrade, good sales</t>
  </si>
  <si>
    <t>Infiltration, Shars'Rack Twins, Commander Azali, Lost Legionaires</t>
  </si>
  <si>
    <t xml:space="preserve">Because her Golem is sick. Setsu is a close second. </t>
  </si>
  <si>
    <t xml:space="preserve">Lol, MTGA, Hearthstone, Tons of Single Player </t>
  </si>
  <si>
    <t>Scrat horde or what its called, elven archers, harbinger, reinforcements and.. not sure</t>
  </si>
  <si>
    <t>I enjoy her abilities, her basic attacks and how she looks</t>
  </si>
  <si>
    <t>League of Legends, Overwatch, World of Warcraft, Dragon Age, Witcher, Skyrim, Minecraft, Monster Hunter World and more.</t>
  </si>
  <si>
    <t>Gameplay, Graphics, Collecting Cards/Masters, Competitions/Tournaments</t>
  </si>
  <si>
    <t>Solo, Duo, Premade Duo, Mayhem Solo</t>
  </si>
  <si>
    <t>Demon Warrior, Demon Warrior, Demon Warrior, Demon Warrior, Demon Warrior</t>
  </si>
  <si>
    <t>Demon Warrior</t>
  </si>
  <si>
    <t>Destiny 2 and others</t>
  </si>
  <si>
    <t>Because I have no self control</t>
  </si>
  <si>
    <t xml:space="preserve">Flightless Dragons, Defenso Chopper, Whirly Scrat, Daggerfall, Mana Puff Madness </t>
  </si>
  <si>
    <t>OP</t>
  </si>
  <si>
    <t>Too many</t>
  </si>
  <si>
    <t>I like spells.</t>
  </si>
  <si>
    <t>DotA 2, Counter-Strike and World of Warcraft are the games I return to time and time again. I dabble in many other games.</t>
  </si>
  <si>
    <t>mostly roguelikes isaac wizard of legends enter the gungeon fresh body etc</t>
  </si>
  <si>
    <t>Crystal construct, crystal archers, lightning strike, xia long, bridge buddies</t>
  </si>
  <si>
    <t xml:space="preserve">Like the spell synergy and her constructs </t>
  </si>
  <si>
    <t>Eternal card game, call of Cthulhu, smite</t>
  </si>
  <si>
    <t>premium account</t>
  </si>
  <si>
    <t xml:space="preserve">Harbringer / cristal archers / living statue / undying skeleton / colossus </t>
  </si>
  <si>
    <t>Revive mechanic</t>
  </si>
  <si>
    <t>hots / overwatch / ps4 games exclusives</t>
  </si>
  <si>
    <t>Scrat horde, prowler, incubus, shield totem and Colossus</t>
  </si>
  <si>
    <t>It gives you a free extra card and a shield totem.</t>
  </si>
  <si>
    <t>Rocket League, Overwatch and Rainbow Six siege</t>
  </si>
  <si>
    <t>starter pack</t>
  </si>
  <si>
    <t>yes</t>
  </si>
  <si>
    <t>Fun</t>
  </si>
  <si>
    <t>Everything</t>
  </si>
  <si>
    <t>Battlepass</t>
  </si>
  <si>
    <t>Crystal Golem, Mousqetier, Spirit Mancer, daggerfall, Sensitive Scott</t>
  </si>
  <si>
    <t>The only pretty  looking Master, even though her voice is somehwat annoying (to high pitched)</t>
  </si>
  <si>
    <t>Rainbow Six Siege, Dead by Daylight, Outlast, Assassin's Creed Series</t>
  </si>
  <si>
    <t>Gameplay, Collecting Cards/Masters, Competitions/Tournaments, Not being P2W</t>
  </si>
  <si>
    <t>Scrat Punk, Cleaver, Succubus, Prowler, Fire Imp.</t>
  </si>
  <si>
    <t>Because of its ability to protect itself with the Shield Totem and for the 2 and 4 mana cards for free. Also because its DPS changes depending on the mana cost of cards in your hand.</t>
  </si>
  <si>
    <t>Mainly First Person Shooters: Half-Life, Counter-Strike, Quake, Doom, Left 4 Dead 2, Killing Floor 2, and many others.</t>
  </si>
  <si>
    <t xml:space="preserve">Black Hole, Styxi, Commander Azali, Magma Storm, Illusory Cleaver </t>
  </si>
  <si>
    <t>I like the mechanics of her auto attack and the planning it brings with it and that you can bring her with you in a push.</t>
  </si>
  <si>
    <t>Monster Hunter: World, Warfame, Yakuza 0, Crosscode, Tales of Berseria, West of Loathing</t>
  </si>
  <si>
    <t>Not yet.</t>
  </si>
  <si>
    <t>*insert lenny face*</t>
  </si>
  <si>
    <t>MC, ROBLOX, Undertale, Deltarune</t>
  </si>
  <si>
    <t>Forgot -3-</t>
  </si>
  <si>
    <t>Fun looking character, good abilities &amp; works well with rage.</t>
  </si>
  <si>
    <t>Counter strike global offensive, hearts of iron 4, crusader kings 2, terraria.</t>
  </si>
  <si>
    <t>battlepass</t>
  </si>
  <si>
    <t>rammer / chain lightning / scrat tank / dragon welp / arcane sentry</t>
  </si>
  <si>
    <t>ability</t>
  </si>
  <si>
    <t>league of legends / destiny 2 / overwatch / dragonball fighter z</t>
  </si>
  <si>
    <t xml:space="preserve">Ark, Rust, Minecraft, Rainbow 6 seige, Assasinsc </t>
  </si>
  <si>
    <t>succubus, escorts, wizard puff, arcane golem (? first perk milloween) and divine warrior ig?? idk</t>
  </si>
  <si>
    <t xml:space="preserve">well i like her perks and also i think she looks nice </t>
  </si>
  <si>
    <t>none like this but i play heroes of the storm</t>
  </si>
  <si>
    <t>I like spam</t>
  </si>
  <si>
    <t>good abilities</t>
  </si>
  <si>
    <t>team based fps</t>
  </si>
  <si>
    <t>the premium upgrade</t>
  </si>
  <si>
    <t>netherstep, colossus, crossbow guild, future present, dragon ball</t>
  </si>
  <si>
    <t>reviving big things just feels good</t>
  </si>
  <si>
    <t>dead cells, lethal league blaze</t>
  </si>
  <si>
    <t>Range</t>
  </si>
  <si>
    <t xml:space="preserve">Mobas, rpg, mmorpg </t>
  </si>
  <si>
    <t>Assassin, Zeppelin Bomber, Blastmancer,  Styxi, Musketeer</t>
  </si>
  <si>
    <t>Stomping minions on entry and stunlocking the enemy master with perk 3</t>
  </si>
  <si>
    <t>Dota, Gmod(TTT), Anything that looks good and is free ;)</t>
  </si>
  <si>
    <t xml:space="preserve">Succubus Soul Eater Cleaver Golem and Divine person with a sword  </t>
  </si>
  <si>
    <t>It's range boost is amazing.</t>
  </si>
  <si>
    <t>Roblox, Factorio, Brower games</t>
  </si>
  <si>
    <t>Buy a Master</t>
  </si>
  <si>
    <t xml:space="preserve">Hachoir Illusoir, meutes de scats, Marines Plasma, Succube,  Golem Bleu </t>
  </si>
  <si>
    <t>The 0 cost cards skill</t>
  </si>
  <si>
    <t>Magic the Gathering Arena</t>
  </si>
  <si>
    <t>Gameplay, What it COULD become.... Minion masters lacks content, greatly. It needs more content. I had an idea I think you guys could impliment and would make the game WAY better. As in with your campaign mode tabletop thing. You could make a strategy game with it such as. Giving each player on each side a set of those ("NPC") minion masters they can place on said map. That have a preset deck. Which would mean they would have to collect those NPC minion masters as well. And each player takes ("turns") moving a piece to obtain something on the map..  Like a resource or something.  And where people could use actual strategy on that board with the units to fight one another. Taking the other player's ("base") would be instant win. When units touch, they enter combat as one would normally, but you would be playing as that NPC master with a preset deck.</t>
  </si>
  <si>
    <t>.... One skin... Really wanted it.</t>
  </si>
  <si>
    <t>Musketeer, Rabid Prowler, Cheese Date, Xiao Long, Guardian</t>
  </si>
  <si>
    <t xml:space="preserve">It was a difficult choice between Apep, King Puff, and Settsu for me. I choose Settsu mainly due to her in combat summon card along with her range attack. Though, it tends to be more double edge. However, she is rather decent. Plus, just love mechs and mech suits. </t>
  </si>
  <si>
    <t xml:space="preserve">Too many to specify. Mostly fighting, strategy, or ("D&amp;D") games . </t>
  </si>
  <si>
    <t>Bazooka Scrat, Harbinger, Healing Totem, S.T.INT., Chain Lightning</t>
  </si>
  <si>
    <t>Brutus helps greatly as a free tank for a push involving things such as Harbinger, great support Master, strong close range attack.</t>
  </si>
  <si>
    <t>Fallout 76, Fortnite, TerraTech</t>
  </si>
  <si>
    <t>Discord sponsoring this game made me check it out, disappointed, same as Clash royale, but better graphics.</t>
  </si>
  <si>
    <t>Dont know the cards here, but on Clash royale Hog rider, minions, ice spirit fireball and the log</t>
  </si>
  <si>
    <t>I have no idea what are these names.</t>
  </si>
  <si>
    <t>Overwatch, fortnite, Clash royale</t>
  </si>
  <si>
    <t>Xiao long, shars'rakk twins, dragonball, armored escorts, morgul the swarm king</t>
  </si>
  <si>
    <t>Brutus allows for good counter pushes</t>
  </si>
  <si>
    <t>Minecraft, clash royale, duelyst, elder scrolls legends</t>
  </si>
  <si>
    <t>styxi - crystal arcanist - fire imp - ghost - commander azali</t>
  </si>
  <si>
    <t xml:space="preserve">his ability yo shoot at everything </t>
  </si>
  <si>
    <t>hearthstone (a long time ago) / portal 2 (coop/maps)/ brawlhalla (ranked) / darkest dungeon</t>
  </si>
  <si>
    <t>Morgrul, Soul stealer, Stun lancers, black hole, fencer</t>
  </si>
  <si>
    <t>He provides a consistent advantage in equal trades, allowing for easier tempo-oriented play</t>
  </si>
  <si>
    <t>Warframe, Elder Scrolls Legends</t>
  </si>
  <si>
    <t>Gameplay, Graphics, Competitions/Tournaments</t>
  </si>
  <si>
    <t>control, perks</t>
  </si>
  <si>
    <t>hon, hearthstone</t>
  </si>
  <si>
    <t>Account upgrade, Battle Pass and some Masters</t>
  </si>
  <si>
    <t>Walking Blinde Date, Wizard Puff, Snake Druid, Cannon Roller, Styxi(he needs some love)</t>
  </si>
  <si>
    <t>Great perks</t>
  </si>
  <si>
    <t>To get the king puff pack it was on sale</t>
  </si>
  <si>
    <t>Stun lancer, commandar Azali, immune warrior, scratch pack, spear throwers</t>
  </si>
  <si>
    <t>I like the push</t>
  </si>
  <si>
    <t>Alot</t>
  </si>
  <si>
    <t>Krosmaga</t>
  </si>
  <si>
    <t>battle pass, shop offers, power tokens. basically anything. main reason was to support you guys.</t>
  </si>
  <si>
    <t>yes. assassin, shakalaka twins, fake cleaver,  dragonball, wheel of doom</t>
  </si>
  <si>
    <t>because i have to choose one.  i play anything, except ratbo and volco.</t>
  </si>
  <si>
    <t>almost anything multiplayer-like</t>
  </si>
  <si>
    <t>Legendary ghoul that spawns with 2 small ghouls, the flying bald guy, fire mage, priestess, warrior with shield. Im sorry I can't remember the names :/</t>
  </si>
  <si>
    <t>Strong early late game, bridge swap is fun.</t>
  </si>
  <si>
    <t>Clash Royale</t>
  </si>
  <si>
    <t>2.00 dollars, wanted to try a new master</t>
  </si>
  <si>
    <t>Plasma Marine, Beam of Doom, Divine Warrior, Cannon Roller, Annihilator</t>
  </si>
  <si>
    <t>The constant arrow spam is strong at my tier</t>
  </si>
  <si>
    <t>Path of Exile, Destiny 2, Ark: Survival Evolved, Heroes of the Storm, Vermintide 2, too many really</t>
  </si>
  <si>
    <t>Solo, Premade Duo, Mayhem Solo, Mayhem Duo</t>
  </si>
  <si>
    <t>Battle Pass And Masters</t>
  </si>
  <si>
    <t>Not of the top of my head</t>
  </si>
  <si>
    <t>I like spellcasters</t>
  </si>
  <si>
    <t>Hearthstone, Battlefield, CoD, Battlerite</t>
  </si>
  <si>
    <t>Chain lightning, Fire Imp, Elite Swarmer, Harbinger, Stun Lancers</t>
  </si>
  <si>
    <t>Feels Strong</t>
  </si>
  <si>
    <t>Duo, Mayhem Solo, Mayhem Duo</t>
  </si>
  <si>
    <t>bundles</t>
  </si>
  <si>
    <t>Season pass</t>
  </si>
  <si>
    <t>Plasma marines, Divine Warrior, Cursebearer, Choper, Xiao Long (but I dont have yet)</t>
  </si>
  <si>
    <t>I'ts Defensive and offensive</t>
  </si>
  <si>
    <t>Warframe, Dungeon Defenders 2, Witcher 3, Titanfall 2, etc</t>
  </si>
  <si>
    <t>Assassin, Harbringer, Incubus, Annihilator, Spiritmancer</t>
  </si>
  <si>
    <t xml:space="preserve">Consistency and interesting use that applies well to nearly any kind of deck. </t>
  </si>
  <si>
    <t>Warcraft 3, Total War, Rainbow Six: Siege, Dungeons &amp; Dragons.</t>
  </si>
  <si>
    <t>Fifa, Pro Evolution Soccer, Stardew Valley</t>
  </si>
  <si>
    <t>Solo, Premade Duo, Mayhem Duo</t>
  </si>
  <si>
    <t>mobility, strategy possible</t>
  </si>
  <si>
    <t>Overwatch, Into The Breach, Clash Royale, Borderlands</t>
  </si>
  <si>
    <t>Sucube and incube/ mana colosus/ sucube and that’s it</t>
  </si>
  <si>
    <t>I like his disign , and i love ressurection system</t>
  </si>
  <si>
    <t>League of legend /spiral knight / hearthstones</t>
  </si>
  <si>
    <t xml:space="preserve">Scrat tank, chain lightning, whirly scrat, wizard puff, troubadour </t>
  </si>
  <si>
    <t xml:space="preserve">Thematically it reminds me of a voidborn zerg type creature, i tend to use zerg swarm strategies with my partner having heavier cards. He spawns his own big minion to help. He also looks rather cool. </t>
  </si>
  <si>
    <t>League of legends, killing floor 2, rust, hearthstone, monster hunter world (current selection i play)</t>
  </si>
  <si>
    <t>Gameplay, Graphics, Collecting Cards/Masters, Competitions/Tournaments, the devs being so active in the community is amazing</t>
  </si>
  <si>
    <t>morgrul, blood imp, zooka, MEMESTORM, scrat tank</t>
  </si>
  <si>
    <t>cause u made me choose only one</t>
  </si>
  <si>
    <t>Terraria, Slay the Spire, Brawlhalla</t>
  </si>
  <si>
    <t>Premade Duo, Mayhem Solo</t>
  </si>
  <si>
    <t>Rammer, Harbinger, Cleaver, Last Stand, Gor'Rakk Sacrifice.</t>
  </si>
  <si>
    <t>His passives, being able to spawn a tanky unit with decent damage helps wit h my playstyle i believe. His ability to kill weak minions in melee range is quite usefull too.</t>
  </si>
  <si>
    <t>Warframe, Oxygen not Included, Warcraft 3, Skyrim, Frostpunk, Life is Strange, The walking dead, Total War: Warhammer, Rise to Ruins, League of Legends, Path of Exile, among others ( with variying frequency).</t>
  </si>
  <si>
    <t>Hypnotize, future present, spiritmancer, burn the bridges, blastmancer</t>
  </si>
  <si>
    <t>Easy and fum</t>
  </si>
  <si>
    <t>Heroes of the Storm, dota, fortnite</t>
  </si>
  <si>
    <t>Not sure I was new</t>
  </si>
  <si>
    <t>Not good with names but Shawn the sensitive is funny not a bad card either</t>
  </si>
  <si>
    <t>It’s free on discord</t>
  </si>
  <si>
    <t>Duo, Mayhem Duo</t>
  </si>
  <si>
    <t>Annilator, Blue golem, Healer, and i dont have a lot</t>
  </si>
  <si>
    <t>IDK</t>
  </si>
  <si>
    <t>ROBLOX</t>
  </si>
  <si>
    <t>Battle pass, Master skins from deals</t>
  </si>
  <si>
    <t>Reboomer, Beam of DOOM, Annihilator, Blood imps, Harbringer.</t>
  </si>
  <si>
    <t>The other masters are sort of focused towards one thing, while Apep is focused on random stuff happening. Plus he synergises with high cost cards.</t>
  </si>
  <si>
    <t>All sorts of card games - heartstone, spellweaver, eternal; All sorts of board games - Atlas reactor, warbands bushido,  Chaos reborn; all sorts of f2p games - Star conflict, Crossout, battlerite, brawlhalla (all in the descending order)</t>
  </si>
  <si>
    <t>Good all around</t>
  </si>
  <si>
    <t>Duo, Draft</t>
  </si>
  <si>
    <t xml:space="preserve">Marines, Zooka,  Flying snek, Mustache man, Pounce lizard. </t>
  </si>
  <si>
    <t>Can only pick one and this is the most versatile.</t>
  </si>
  <si>
    <t>Summoners War</t>
  </si>
  <si>
    <t>Draft, Mayhem Solo</t>
  </si>
  <si>
    <t>I wanted to buy the battle pass</t>
  </si>
  <si>
    <t>1 Whirly Scrat 2 Rammer 3 Daggerfall 4 assassin 5 Legionnaires</t>
  </si>
  <si>
    <t xml:space="preserve">I really like everything with this master . Gameplay / skin / voice </t>
  </si>
  <si>
    <t>World Of warcraft</t>
  </si>
  <si>
    <t>Incubus, Fire Imp, Whirly Scrat, Cleaver, Mana Puff</t>
  </si>
  <si>
    <t>He's a spooky scary skeleton</t>
  </si>
  <si>
    <t>Warframe, League of Legends, Skyrim</t>
  </si>
  <si>
    <t>Duo, Expeditions, Mayhem Solo, Mayhem Duo</t>
  </si>
  <si>
    <t>2 mana scrats, Scott, flying unit with +1 range, blackhole, zone stun</t>
  </si>
  <si>
    <t>revival, tombs used as walls. not meta atm though</t>
  </si>
  <si>
    <t>Artifact soon ^^. hearthstone. Gwent. eternal.</t>
  </si>
  <si>
    <t>Solo, Premade Duo, Draft, Mayhem Solo, Mayhem Duo</t>
  </si>
  <si>
    <t>for the battlepass</t>
  </si>
  <si>
    <t>assasin, bruiser, soulstealer, scratt mine, puff sorcerer</t>
  </si>
  <si>
    <t>because I like the way she interact directly with the battle</t>
  </si>
  <si>
    <t xml:space="preserve">WoW, brawlhalla, CS:GO, MH: WORLD, Don't starve Together </t>
  </si>
  <si>
    <t>Gameplay, Graphics, Collecting Cards/Masters, Combinations of Cards/Minions, makes it feel like MOBA on fast pace.</t>
  </si>
  <si>
    <t>Account Upgrades, Cards, Masters.</t>
  </si>
  <si>
    <t xml:space="preserve">Whirling Scamp, Harbinger, Crystal Archers, Arcane Golem, Beam of Doom. </t>
  </si>
  <si>
    <t>The fact it can go into the Arena, it is underpowered I feel though, but still fun to see "YOURSELF" fighting.</t>
  </si>
  <si>
    <t>Lots - Tyranny, SCUM, 7 Days to Die, Dota 2, League of Legends, Final Fantasy Omnia Opera.</t>
  </si>
  <si>
    <t>Colossus, Beam of Doom!, Infiltration, Empowered Soul Stealer, Styxi</t>
  </si>
  <si>
    <t>versatile hero because can also enter battlefield</t>
  </si>
  <si>
    <t>Dota2, Yugioh Duel Link</t>
  </si>
  <si>
    <t>Starting Pack</t>
  </si>
  <si>
    <t>All of the Mana Frenzy guys</t>
  </si>
  <si>
    <t xml:space="preserve">Rabid Prowler, Succubus,  Xiao Long, Assassin, Spiritmancer </t>
  </si>
  <si>
    <t>Think that the long range shots are pretty op</t>
  </si>
  <si>
    <t>rammer, cleaver, crystal archers, lving statue, assassin.</t>
  </si>
  <si>
    <t>because he can spawn in very powerful allys to help with a push</t>
  </si>
  <si>
    <t>csgo, minecraft, kf2.</t>
  </si>
  <si>
    <t>I wanted the Battle Pass</t>
  </si>
  <si>
    <t>Bridge buddies, cheese date, dragonball, whirly scat, fire imp</t>
  </si>
  <si>
    <t>I feel like can can direct her actions more</t>
  </si>
  <si>
    <t>Path of Exile, Heroes of the Storm, Raft, Don't Starve Together</t>
  </si>
  <si>
    <t>Premium upgrade</t>
  </si>
  <si>
    <t>Reminds me of starcraft</t>
  </si>
  <si>
    <t>Every fighting game known to man</t>
  </si>
  <si>
    <t>Gameplay, Collecting Cards/Masters, 2vs2 Mode</t>
  </si>
  <si>
    <t>Solo, Premade Duo, Draft</t>
  </si>
  <si>
    <t xml:space="preserve">Cheese Date Propeller Horde Blind Date Chain Lighting Assasin </t>
  </si>
  <si>
    <t>Because of the PowerSpike of the 2nd Perk.</t>
  </si>
  <si>
    <t>League of Legends, Rocket League, PUBG</t>
  </si>
  <si>
    <t>Shop</t>
  </si>
  <si>
    <t>High skill cap 1st perk</t>
  </si>
  <si>
    <t>Cod, mtg, rocket league, etc</t>
  </si>
  <si>
    <t>Solo, Duo, Draft</t>
  </si>
  <si>
    <t>free</t>
  </si>
  <si>
    <t>pokemon go</t>
  </si>
  <si>
    <t>Lighting Lancers, Mystery box, The flying rats(6 or 12 with rage), the evil elf lady(gets stronger after the 5th time played), and the two gun boys</t>
  </si>
  <si>
    <t>cross map arrows</t>
  </si>
  <si>
    <t>Destiny 2, Rainbow Six Siege</t>
  </si>
  <si>
    <t>Because of her kit and the look of her</t>
  </si>
  <si>
    <t>League of Legends, Vainglory and Summoners War</t>
  </si>
  <si>
    <t>whirly scrat, xiao-long,drone buzzers, spear throwers</t>
  </si>
  <si>
    <t>cool looking and brutus</t>
  </si>
  <si>
    <t>hearthstone</t>
  </si>
  <si>
    <t>daggerfall, hypnotize, stun lancers, rampage, incubus</t>
  </si>
  <si>
    <t>tombs</t>
  </si>
  <si>
    <t>warthunder, various browser games, some quests...actually many and diverse styles</t>
  </si>
  <si>
    <t>Gameplay, Collecting Cards/Masters, Competitions/Tournaments, Crafting system</t>
  </si>
  <si>
    <t>Solo, Duo, Draft, Expeditions</t>
  </si>
  <si>
    <t>Arenas, Emotes, Avatars</t>
  </si>
  <si>
    <t>Nope</t>
  </si>
  <si>
    <t>Played the most on him</t>
  </si>
  <si>
    <t>MTG Arena, LoL, Path of Exile, Most Nintendo Switch titles, MMORPG's when they come out and look interesting- ooooh is that a penny!</t>
  </si>
  <si>
    <t>Solo, Premade Duo, Draft, Mayhem Solo</t>
  </si>
  <si>
    <t>Feuerteufel, Kristallbogenschützin, Himmelskriegerin, Drachenball, Verteidugungshäcksler</t>
  </si>
  <si>
    <t>Ist good, vs all ather Cards!</t>
  </si>
  <si>
    <t xml:space="preserve">Yu-gi-oh, Fort night, Anno, </t>
  </si>
  <si>
    <t>Sniper squad, sniper scrat, bounty sniper, demon warrior, and that one super sniper scrat</t>
  </si>
  <si>
    <t>Helps my deck best so far</t>
  </si>
  <si>
    <t>Cs go, PUBG, overwatch, civ v, heroes of the storm, destiny 2</t>
  </si>
  <si>
    <t>Bought the premium account upgrade (which contained rubies) because I found the game fun so I wanted to support the devs and also to get the Battle Pass</t>
  </si>
  <si>
    <t>Drone Walker - Living Statue - Plasma Marines - Dagger Fall - Scrat Pack</t>
  </si>
  <si>
    <t>I don't really play one master in particular but Settsu is really badass</t>
  </si>
  <si>
    <t>CS:GO, Geometry Dash, Clash Royale, Minecraft, Terraria, Quake Champions</t>
  </si>
  <si>
    <t>Hachoir</t>
  </si>
  <si>
    <t>Nice skill</t>
  </si>
  <si>
    <t>minecraft</t>
  </si>
  <si>
    <t>Solo, Duo, Premade Duo, Draft, Expeditions</t>
  </si>
  <si>
    <t>Versatile</t>
  </si>
  <si>
    <t xml:space="preserve">Battle pass </t>
  </si>
  <si>
    <t>Zelda, Clash Royale</t>
  </si>
  <si>
    <t>Solo, Duo, Mayhem Solo</t>
  </si>
  <si>
    <t>Blood imps, magma storm, sniper squad, walll, mana puff</t>
  </si>
  <si>
    <t>The best master for my type of play style</t>
  </si>
  <si>
    <t>Osu!, Dark souls, The witcher</t>
  </si>
  <si>
    <t>Xiao, fake-cleaver, tantrum throwers, both flying yellow dudes</t>
  </si>
  <si>
    <t>Ez and effective</t>
  </si>
  <si>
    <t>Blops 4 blackout</t>
  </si>
  <si>
    <t>Collosus, 4 mana monkey, Xiao Long, arrow rain spell, Swarmer King</t>
  </si>
  <si>
    <t>Versatile and OP in premade duo</t>
  </si>
  <si>
    <t>EU4, Call of Duty, Rise of Nations etc.</t>
  </si>
  <si>
    <t>SCRATS!!</t>
  </si>
  <si>
    <t>interesting mechanics</t>
  </si>
  <si>
    <t>HOTS, Rainbow 6</t>
  </si>
  <si>
    <t>Duo, Premade Duo, Expeditions, Mayhem Solo</t>
  </si>
  <si>
    <t>Swarmers, statue, poison skeleton, shielded woman, daggerfall</t>
  </si>
  <si>
    <t xml:space="preserve">Good for the extra range on my Minion </t>
  </si>
  <si>
    <t>Lotro, stardew valley, rust</t>
  </si>
  <si>
    <t>Kind of, i bought premium otherwise yall got a awesome way to actually get rubies free.</t>
  </si>
  <si>
    <t>fire imp, flightless dragons, dragon ball, morgrul the swarmer king, spear throwers</t>
  </si>
  <si>
    <t>uhh duh hes king puff</t>
  </si>
  <si>
    <t>league of legends, world of warcraft, final fantasy, legend of zelda</t>
  </si>
  <si>
    <t>Xiao Long, Sniper Scrat, Succubus, Cleaver, Whirly Scrat</t>
  </si>
  <si>
    <t>First Time playing, Free rotation for the week. Has potential</t>
  </si>
  <si>
    <t>Solo, Duo, Premade Duo, Expeditions, Mayhem Solo, Mayhem Duo</t>
  </si>
  <si>
    <t xml:space="preserve">Just to have encase i see a good daily sale. </t>
  </si>
  <si>
    <t>Walking Blind Date,Blind Date,Swarmer Totem,Harbinger,Crossbow Guild</t>
  </si>
  <si>
    <t>King RNG i like playing my odds that i might get something good with his powers.</t>
  </si>
  <si>
    <t xml:space="preserve">Diablo 3,WoW,Destiny 2,Sins of the Solar Empire </t>
  </si>
  <si>
    <t>No, sorry</t>
  </si>
  <si>
    <t>It's free and seems strong</t>
  </si>
  <si>
    <t>Purchase remaining rubirs needed for season pass</t>
  </si>
  <si>
    <t>Free heavy monsters</t>
  </si>
  <si>
    <t xml:space="preserve">Rainbow six seige, forza horizon, battlefield 5... im all over tue place across many genres. </t>
  </si>
  <si>
    <t>Empowered Soul Stealer; Defenso Chopper; Red Golem; Stun Lancers; Scott the Sensitive Savage</t>
  </si>
  <si>
    <t>For the shield he gets at level 3</t>
  </si>
  <si>
    <t>Premade Duo, Draft</t>
  </si>
  <si>
    <t>VIP</t>
  </si>
  <si>
    <t>PEW PEW</t>
  </si>
  <si>
    <t>Brawl Stars</t>
  </si>
  <si>
    <t>Gameplay, Crafting system</t>
  </si>
  <si>
    <t>Assassin, Defenso Chopper, Wizard Puff, Colossus, Illusory Cleaver</t>
  </si>
  <si>
    <t>Style + Tombstone mechanic</t>
  </si>
  <si>
    <t>Slay the Spire, Factorio, Rocket League</t>
  </si>
  <si>
    <t>Arcane Golem, Disruptor Puffs, Stun Lancers, Mana Puff Madness, Crystal Construct</t>
  </si>
  <si>
    <t>it's satisfying seeing my Arcane Golem grow xD</t>
  </si>
  <si>
    <t>Fire Imp, Crystal Archers, Drone Buzzers, Lord Sentinel Thelec, and Gorakk Sacrifice</t>
  </si>
  <si>
    <t xml:space="preserve">He’s very effective in long term battles. </t>
  </si>
  <si>
    <t xml:space="preserve">There are several games that I play, so I’ll list my favorites: Dark Souls (the entire series), Subnautica, Minecraft, Skyrim (modded), Mount and Blade: Warband, Mount and Blade: Viking Conquest, and Sinner: Sacrifice for Redemption. </t>
  </si>
  <si>
    <t xml:space="preserve">divine warrior, fireball, blue/red golem, </t>
  </si>
  <si>
    <t>I enjoy using the cards</t>
  </si>
  <si>
    <t>Minecraft, Terraria, TF2</t>
  </si>
  <si>
    <t>the satisfaction of beating someone with better cards than you</t>
  </si>
  <si>
    <t>Emotes, Avatars</t>
  </si>
  <si>
    <t>xiao long (op sht), scott the mvp, sun burn (had a good long laugh about this card),  rammer, healer</t>
  </si>
  <si>
    <t>free tank at lv 1 and 3</t>
  </si>
  <si>
    <t>rainbow six, heroes of the storm, battlerite, overwatch, destiny 2</t>
  </si>
  <si>
    <t>Duo, Premade Duo, Draft, Expeditions</t>
  </si>
  <si>
    <t>Store deals for power tokens on sale</t>
  </si>
  <si>
    <t xml:space="preserve">Soul Stealer, annihilator, crossbow guild, daggerfall, stun lancers </t>
  </si>
  <si>
    <t>I like her abilities the most</t>
  </si>
  <si>
    <t>The Witcher 3, Ark: Survival Evolved</t>
  </si>
  <si>
    <t>Crafting</t>
  </si>
  <si>
    <t>Soulstealer, armored escort, xiao long, dragonball, defensochopper</t>
  </si>
  <si>
    <t>Playstyle</t>
  </si>
  <si>
    <t>Hots, ring of elysium, jackbox, deceit</t>
  </si>
  <si>
    <t>Stun Lancers, Living Statue, Black Hole, Divine Warrior and Blind Date</t>
  </si>
  <si>
    <t>i liked the game play style</t>
  </si>
  <si>
    <t>too many to count in this one answer!</t>
  </si>
  <si>
    <t>to buy a master</t>
  </si>
  <si>
    <t>xiao long, lightning bolt, legionnaires, scrat pack, fire imp</t>
  </si>
  <si>
    <t>cause that arcane golem does some good damage</t>
  </si>
  <si>
    <t>roblox</t>
  </si>
  <si>
    <t>Blastomancer, Rammer, Wizard Puff, Divine Warrior, Arcane Golem</t>
  </si>
  <si>
    <t>I like the "spells-gameplay".</t>
  </si>
  <si>
    <t>Rocket League, Battleblock Theater, PUBG, Castle Crashers, Football Manager</t>
  </si>
  <si>
    <t>Crystal archers construct cant remember names of others</t>
  </si>
  <si>
    <t>I like his skills</t>
  </si>
  <si>
    <t>Solo, Premade Duo, Draft, Expeditions, Mayhem Solo</t>
  </si>
  <si>
    <t>Arenas and Master unlocks, the occasional card pack</t>
  </si>
  <si>
    <t>Cleaver, Chopper, Morgul, Spear Throwers, Incubus</t>
  </si>
  <si>
    <t>Rewards solid play, bridge control, with face damage just by playing cards</t>
  </si>
  <si>
    <t>Path of Exile, Rocket League, Hyper Heroes</t>
  </si>
  <si>
    <t>Solo, Duo, Draft, Mayhem Solo, Mayhem Duo</t>
  </si>
  <si>
    <t>buying skins, arenas and battle passes</t>
  </si>
  <si>
    <t>assassin, swarmer totem, priestess, styxi, wheel of doom</t>
  </si>
  <si>
    <t>good perks and looks cool</t>
  </si>
  <si>
    <t>Strategy, FPS, Sim, Open World games</t>
  </si>
  <si>
    <t>Harbinger, Beam of DOOM, Armored Escort, Commander Azali, Lord-Sentinel Thelec (if only he was good)</t>
  </si>
  <si>
    <t>Hearthstone, Don't Starve Together</t>
  </si>
  <si>
    <t>Duo, Premade Duo, Draft, Expeditions, Mayhem Duo</t>
  </si>
  <si>
    <t>She is adorable and I love her play style</t>
  </si>
  <si>
    <t>Pokemon, Maple Story 2, Minecraft, Yu-Gi-Oh duel links, and tons others</t>
  </si>
  <si>
    <t>traits</t>
  </si>
  <si>
    <t>I just started playing so not by name, there is the card that does a fireball or a healing fireball. That's cool.</t>
  </si>
  <si>
    <t>Summons big guy.</t>
  </si>
  <si>
    <t>Legion TD 2, Counter-Strike, Hearthstone</t>
  </si>
  <si>
    <t xml:space="preserve">Lightning bolt, Assassin, </t>
  </si>
  <si>
    <t>His free 2 and 4 mana cards are awesome. And hes a sssssnake.</t>
  </si>
  <si>
    <t xml:space="preserve">Overwatch </t>
  </si>
  <si>
    <t>Heal puff Swarmers Jack o box (walking box dude)</t>
  </si>
  <si>
    <t xml:space="preserve">Rainbow Six Siege </t>
  </si>
  <si>
    <t>Last stand, annihilator</t>
  </si>
  <si>
    <t>Ability to take out long ranged minions, consistent damage output, buffs ranged, doesn't take up card slot with ability</t>
  </si>
  <si>
    <t>heroes of the storm, fist full of frags, counter strike source</t>
  </si>
  <si>
    <t>Undying skeleton, legendary spell counter dragon, scrat duo, shiekded warrior</t>
  </si>
  <si>
    <t>Fits my playstyle of bid satisfying rushes and early pressure, goes well with anyone in duos wich makes him more of a supporting pusher and he looks and sounds good, unlike the minigun wannabe knock off sounding rambo wich i hate please give him proper soun acting</t>
  </si>
  <si>
    <t xml:space="preserve">LoL, i also play games like Heartstone </t>
  </si>
  <si>
    <t>i can't</t>
  </si>
  <si>
    <t>Can't say i'm shure why.</t>
  </si>
  <si>
    <t>It was free</t>
  </si>
  <si>
    <t>xiao long, expshrine, infiltration, disrupter puf's, brutish betrayer</t>
  </si>
  <si>
    <t>more interesting playstyle, ability to be more adaptive depending on the opponent's deck (using the infiltration as offense or defense), strong auto attack with downside</t>
  </si>
  <si>
    <t>haertstne, magic the gathering, clash royal, black dessert</t>
  </si>
  <si>
    <t>Empowered Soul Stealer, Tantrum Throwers, Crystal Sentry, Musketeer, Incubus</t>
  </si>
  <si>
    <t>I like him. He is simple yet effective. He is not over powered, but not underpowered.</t>
  </si>
  <si>
    <t>Overwatch, Hearthstone, Terraria, (Always open to try new games)</t>
  </si>
  <si>
    <t>its free</t>
  </si>
  <si>
    <t xml:space="preserve">hots, Magic, </t>
  </si>
  <si>
    <t>power tokens / battlepass</t>
  </si>
  <si>
    <t xml:space="preserve">i like her "air strike" </t>
  </si>
  <si>
    <t>Crossbow Guild, mana puff, cheese date, Healer’s fireball and chain lighting... are the names I remember off the top of my head</t>
  </si>
  <si>
    <t>His ability to pinpoint any enemy minion and second ability buff to ranged minions</t>
  </si>
  <si>
    <t>Too many to list</t>
  </si>
  <si>
    <t>Duo, Draft, Mayhem Solo</t>
  </si>
  <si>
    <t>I bought rubies for the first battle pass.</t>
  </si>
  <si>
    <t>Wheel of Doom, Morgrul, Ghost, Illusory Cleaver, Scrat Pack</t>
  </si>
  <si>
    <t>Primarily card based and/or turn based games. Slay the Spire, Darkest Dungeon, West/Kingdom of Loathing, Hearthstone. Also Don't Starve and TF2.</t>
  </si>
  <si>
    <t>Overwatch, League of Legends</t>
  </si>
  <si>
    <t>Gameplay, Collecting Cards/Masters, Competitions/Tournaments, In this game you dont need to donate (thanks for this)</t>
  </si>
  <si>
    <t>Solo, Duo, Premade Duo, Draft</t>
  </si>
  <si>
    <t>good skills</t>
  </si>
  <si>
    <t>so many...</t>
  </si>
  <si>
    <t>Is Cute</t>
  </si>
  <si>
    <t xml:space="preserve">League of Legends, World of Warcraft, Pokemon... </t>
  </si>
  <si>
    <t>Easier to play with, well-balanced and fits many decks</t>
  </si>
  <si>
    <t>PUBG CSGO Clash Royale</t>
  </si>
  <si>
    <t xml:space="preserve">Tokens, account upgrades, skins </t>
  </si>
  <si>
    <t>Gameplay, Collecting Cards/Masters, Competitions/Tournaments, the power token and etc.</t>
  </si>
  <si>
    <t>Stun lancers, Harbinger, Blast mancer, Future past, Beam of doom</t>
  </si>
  <si>
    <t>Because the Tombstone sometimes is really helpful</t>
  </si>
  <si>
    <t xml:space="preserve">Clash royale </t>
  </si>
  <si>
    <t>Try to get the cards i need.</t>
  </si>
  <si>
    <t>D3, Fallout 76, MTG Arena</t>
  </si>
  <si>
    <t>Watchdogs</t>
  </si>
  <si>
    <t>Variety (BPass, master skins, ptokens)</t>
  </si>
  <si>
    <t>Bridge Buddies, Snake Druid, Demon Warrior, Reboomer, Assassin</t>
  </si>
  <si>
    <t>PC: League of Legends, Warframe, Warcraft 3, Rainbow 6 Siege, Black Squad; NinSwitch: Dark Souls, Fortnite, The Flame and the Flood</t>
  </si>
  <si>
    <t>That's difficult, Colossus, Cheese date, Mana Puff madness, Thelec, and scrat horde maybe?</t>
  </si>
  <si>
    <t>Because I was going for an all scrat deck, which I still have, but I added a colossus, mana puff madness and blastmancer.</t>
  </si>
  <si>
    <t>Many others, Ravenfield, Slime Rancher</t>
  </si>
  <si>
    <t>Solo, Duo, Premade Duo, Draft, Mayhem Solo, Mayhem Duo</t>
  </si>
  <si>
    <t>Tranquil Shi-Hou, Blackhole, Bounty Sniper, Hypnotize, Ravenous Swarmers</t>
  </si>
  <si>
    <t>Because i like Volcos perks the most of all Masters</t>
  </si>
  <si>
    <t>League of Legends, Slay the Spire, Minecraft</t>
  </si>
  <si>
    <t>escorts, cursebearer, prowler, soul stealer, daggerfall</t>
  </si>
  <si>
    <t>I feel like his attack is the most useful considering he attacks the whole map not just my side.</t>
  </si>
  <si>
    <t>alot... I have over 150 games on my steam account and I play alot. Mainly rts, fps, and adventure games.</t>
  </si>
  <si>
    <t>Morgul bundle</t>
  </si>
  <si>
    <t>Fire imp, assasin, succubus, incubus &amp; colossus</t>
  </si>
  <si>
    <t>Tombstones</t>
  </si>
  <si>
    <t>League of legends, fifa, smite, MTG: Arena</t>
  </si>
  <si>
    <t>Pour le premium et pour debloque des skins</t>
  </si>
  <si>
    <t xml:space="preserve">Guerrière collosus succube scott Dragon ball </t>
  </si>
  <si>
    <t>Volco il est assez spécial a joué il faut beaucoup de controle au niveau des pont pour reussir avec et son gain de puissance est fort interressant au lvl 3 malheureusement la méta actuel le rend difficile a joué Mais il reste un de mes préfèrer</t>
  </si>
  <si>
    <t xml:space="preserve">ARK L4D Battlefield </t>
  </si>
  <si>
    <t>Black Hole, Hypnotize, Netherstep, Divine Warrior, Defenso Chopper</t>
  </si>
  <si>
    <t>Outplay potential is the highest</t>
  </si>
  <si>
    <t>Battletech, My Town At Portia, Slay the Spire</t>
  </si>
  <si>
    <t>She is cute</t>
  </si>
  <si>
    <t>Crystal Archer, Crystal arcanist,Assasine,ground dragons,One man fighting drone</t>
  </si>
  <si>
    <t>Because he brings a lot of outplay potential</t>
  </si>
  <si>
    <t>League of Legends, Heroes of the storm,Skyrim,Dark souls! Mostly MOBA and RPG</t>
  </si>
  <si>
    <t>his abilities are more layed out on manipulating the enemys attack than attacking the enemys units or master directly</t>
  </si>
  <si>
    <t>mostly multiplayer like csgo or lol otherwise as singleplayer only horrorgames</t>
  </si>
  <si>
    <t>He is by far the best master. At grandmaster we run double mortar and really aren’t stopped with it.</t>
  </si>
  <si>
    <t>Chess</t>
  </si>
  <si>
    <t>Fallout 1-4, Witcher, Graveyard Keeper,  Tabletop Simulator, Gary’s Mod,</t>
  </si>
  <si>
    <t>Solo, Draft</t>
  </si>
  <si>
    <t>starcraft</t>
  </si>
  <si>
    <t xml:space="preserve">Harbinger </t>
  </si>
  <si>
    <t>Because eh attacks fast and doesnt afraid of anything</t>
  </si>
  <si>
    <t>Silent hill 2, hollow knight</t>
  </si>
  <si>
    <t>Gameplay, Collecting Cards/Masters, Good strategy game</t>
  </si>
  <si>
    <t>cards and *common* skins</t>
  </si>
  <si>
    <t>scott the sensitive savage, morgurl the swarmers king, styxi, dragon nest, cleaver</t>
  </si>
  <si>
    <t>great for pushing, low mana-cost</t>
  </si>
  <si>
    <t>PUBG Mobile, Ravenfield, Chess, yu-gi-oh</t>
  </si>
  <si>
    <t>starter</t>
  </si>
  <si>
    <t>to get the premium game</t>
  </si>
  <si>
    <t xml:space="preserve">drone buzzer,tantrum throwers,plasma marines,fire imp and divine warrior </t>
  </si>
  <si>
    <t>is cute also powerfull</t>
  </si>
  <si>
    <t>rocket league,</t>
  </si>
  <si>
    <t>Solo, Duo, Premade Duo, Draft, Expeditions, Mayhem Duo</t>
  </si>
  <si>
    <t>I Present to you the top 5 cards that need to be buffed 1. Soul Stealer each stolen soul should increase his damage by Aprox. 50 2. Spiritmancer each kill should spawn Mini Colossus 3. Harbringer should do 1000 damage to towers 4. Rabid prowler should get Long's buffs 5. Guardian should have 2000 hp and cost 4 mana :angry emoji:</t>
  </si>
  <si>
    <t>HURR DURR Scrats fool!</t>
  </si>
  <si>
    <t>Platformers , MMO's , CO-OP , FPS Anything really except simulators</t>
  </si>
  <si>
    <t>1.Scrat Horde 2.Spawn Totem 3.Blue golem 4.Stun lancers 5. Healing Fire ball</t>
  </si>
  <si>
    <t>I love the ability to attack minion cross map</t>
  </si>
  <si>
    <t>Town of Salem, Pokemon, Gmod, Tabletop Sim.</t>
  </si>
  <si>
    <t>battle pass</t>
  </si>
  <si>
    <t>plasma marines, lord thelec, dragon whelp, fireball, scrat horde</t>
  </si>
  <si>
    <t>I got him for free and everyone else is too expensive</t>
  </si>
  <si>
    <t>Overwatch, League of Legends, Tetris, Rust</t>
  </si>
  <si>
    <t>Enough to get the battle pass</t>
  </si>
  <si>
    <t>Sentry Escort, Dragon nest, Red Golem, Spiritmancer, fierce battle monkey</t>
  </si>
  <si>
    <t>The Witcher 3, God of War 4, card games, Streets of Rogue, Mario Kart Wii, Crawl</t>
  </si>
  <si>
    <t>It was my first</t>
  </si>
  <si>
    <t>Multiplayer and Single Player on console: Assassin’s Creed IV, Fortnite, PUBG, Last Of Us, Minecraft, FIFA, etc...</t>
  </si>
  <si>
    <t>I've spent WAY too much on the store deals and for deluxe mayhem mode.</t>
  </si>
  <si>
    <t>Troubador, hypnotize, netherstep, scrat horde</t>
  </si>
  <si>
    <t>I love his abilities and the fact he can attack melee minions pretty fast</t>
  </si>
  <si>
    <t>The Elder Scrolls Legends, Magic the Gathering, Overwatch, Heroes of the Storm, Age of Empires 2 &amp; 3, Endless Legend, Endless Space 2, Slay the Spire, Sorcerer King Rivals</t>
  </si>
  <si>
    <t>Kax the world bomb, Prowler, Ghost, Chain lightning and  Blind date.</t>
  </si>
  <si>
    <t>I find his powers to be really creative and fun.</t>
  </si>
  <si>
    <t xml:space="preserve">League of Legends, Smite, Starcraft 2, Hearthstone and Assasins creed odyssey. </t>
  </si>
  <si>
    <t>To buy stuff - I don't remember what</t>
  </si>
  <si>
    <t>Spiritmancer, Defenso-Chopper, Cursebearer, Dragon Fireball, Xiao Long</t>
  </si>
  <si>
    <t>I like the tombstones which can be used for pushes OR as defense</t>
  </si>
  <si>
    <t>Hearthstone, Banished, Flash games</t>
  </si>
  <si>
    <t>As a new player he feels helpful</t>
  </si>
  <si>
    <t>League of Legends, Overwatch</t>
  </si>
  <si>
    <t>Rammer, Rammer, Rammer, Rammer, Morgul</t>
  </si>
  <si>
    <t>Looks Cool and its very strong</t>
  </si>
  <si>
    <t>Bought them as account upgrade for battle pass</t>
  </si>
  <si>
    <t>Divine Warrior (Shield), Black hole, Rage Prowler, Harbringer, atg drone</t>
  </si>
  <si>
    <t>Looks first, than the skillset especially for the shield rage combo</t>
  </si>
  <si>
    <t>Rec room, Lol, Rocket league, I am a casual online gamer, not really into long comitment so I dropped lol for the lengthy rounds. I enjoy that the most in MM, short and sweet victory or loss :D</t>
  </si>
  <si>
    <t>Dragon ball, cursebearer, plasma marines, scrat pack, dragon whelp</t>
  </si>
  <si>
    <t>Cause the random deck</t>
  </si>
  <si>
    <t>Quake champions, dark souls</t>
  </si>
  <si>
    <t xml:space="preserve">Crystal Construct Crystal Arcanist Wizard Puff Cheese Date Assassin </t>
  </si>
  <si>
    <t>looks cool and has interesting abilities which can be used by 2 players + global range for interesting strategies</t>
  </si>
  <si>
    <t>Smite; some rpgs, especially final fantasies, rarely shooters like resident evil. tower defense games like dungeon defenders or orcs must die.</t>
  </si>
  <si>
    <t>Solo, Draft, Mayhem Solo</t>
  </si>
  <si>
    <t>I mainly play draft and his level up rewards are free early wins</t>
  </si>
  <si>
    <t>League of Legends, Enter the Gungeon, Super Smash Brothers</t>
  </si>
  <si>
    <t xml:space="preserve">scrat tank, xin lao, propel horde, dragonball, </t>
  </si>
  <si>
    <t>his second perk is awesome</t>
  </si>
  <si>
    <t>I intend to purchase rubies soon so that I can get the battle pass, though I wish I could get rubies in game a little easier.</t>
  </si>
  <si>
    <t xml:space="preserve">Beam of DOOM!, Crossbow Guild, Crystal Archers, Arcane Bolt, Annihilator  </t>
  </si>
  <si>
    <t>I haven't experienced many Masters yet, but she's really fun in 2v2. Also, the Arcane Golem is an interesting and powerful minion.</t>
  </si>
  <si>
    <t>A Hat In Time, Slay the Spire, Oxygen Not Included, Portal 2, Slime Rancher, and Evolution.</t>
  </si>
  <si>
    <t>buying Apep</t>
  </si>
  <si>
    <t>Defenso chopper, Plasma marines, STINT, Divine Warrior, Chainlightning</t>
  </si>
  <si>
    <t>0 mana cost cards give you push advantage</t>
  </si>
  <si>
    <t>League of Legends only besides MM</t>
  </si>
  <si>
    <t>packs mostly</t>
  </si>
  <si>
    <t>Black hole,Shars Rakk twins</t>
  </si>
  <si>
    <t>she encourages you to build a deck in a suboptimal way(more spells than a normal deck)</t>
  </si>
  <si>
    <t>Rainbow 6, LoL,Total War warhammer</t>
  </si>
  <si>
    <t>Solo, Draft, Expeditions</t>
  </si>
  <si>
    <t>Morgul, Cleaver, Soulstealer, Incubus and Marines</t>
  </si>
  <si>
    <t>I like his perks and he has a nice attack animation.</t>
  </si>
  <si>
    <t>TF2 (think you know that game),  Síd Meyers Civilization 6 and Kards, a deck building game themed around WII.</t>
  </si>
  <si>
    <t>Scrats n shit</t>
  </si>
  <si>
    <t>Zergs</t>
  </si>
  <si>
    <t>BR games</t>
  </si>
  <si>
    <t>Arcane Golem, Future Past (or present, the 8 mana one), cleaver, cheese date and spiritmancer</t>
  </si>
  <si>
    <t>Its based around playing spells, which is my favourite thing in this game.</t>
  </si>
  <si>
    <t>Premium Upgrade - using rubies for valuable offers in shop</t>
  </si>
  <si>
    <t>Assassin, Dragon Ball, Fire Imp, Stun Lancers, Harbinger</t>
  </si>
  <si>
    <t>Utility + strong tier 2</t>
  </si>
  <si>
    <t>SWTOR</t>
  </si>
  <si>
    <t>Warrior , plasma Soldiers,magma canon, stun...troops,</t>
  </si>
  <si>
    <t>i like his abilitys , and he was free</t>
  </si>
  <si>
    <t>She so pretty</t>
  </si>
  <si>
    <t>World of Warcraft / Overwatch</t>
  </si>
  <si>
    <t>Duo, Premade Duo, Draft</t>
  </si>
  <si>
    <t>Chining light, dragon 3mana,  angry spearman, angry prowler, divinevwarrior</t>
  </si>
  <si>
    <t>Fate hounter</t>
  </si>
  <si>
    <t>Defenso Chopper, Stun Lancers, Spiritmancer, Walking Blind Date, Elite Swarmer</t>
  </si>
  <si>
    <t>He's very versatile. randomness of his powers makes games as him different every time and hes pretty fair imo</t>
  </si>
  <si>
    <t>Atlas Reactor, Slay the Spire, Rocket Legue, etc</t>
  </si>
  <si>
    <t xml:space="preserve">She is cute </t>
  </si>
  <si>
    <t>League of Legends, Fallout 76, Prison Architect</t>
  </si>
  <si>
    <t>dota2</t>
  </si>
  <si>
    <t>Blastmancer, Reboomer, the Swarmer King Legendary, Crossbow Guild, and Beam of Doom</t>
  </si>
  <si>
    <t>AoE basic Attack and Rage synergy in mid-game</t>
  </si>
  <si>
    <t>Recently: StarCraft 2, Heroes of the Storm, Sentinels of the Multiverse, Savage Worlds, Left 4 Dead 2, homemade games through Tabletop Simulator.</t>
  </si>
  <si>
    <t>Cleaver, Mana puff madness, dragon ball, xiao, burn the bridges</t>
  </si>
  <si>
    <t>easy to learn pros and cons and play with it</t>
  </si>
  <si>
    <t>Just the premium upgrade. :D</t>
  </si>
  <si>
    <t>Rabid Prowler, Black hole, Wall</t>
  </si>
  <si>
    <t>Skills!</t>
  </si>
  <si>
    <t>Strategy games like Starcraft II, Gwent, Sid Meiers CIV 6, Slay the Spire</t>
  </si>
  <si>
    <t>Gameplay, The Ragdoll physics, just something about them was done Right.</t>
  </si>
  <si>
    <t>Assassin, Prowler, Defenso Chopper, Annihilator, More Dakka!</t>
  </si>
  <si>
    <t>Volco's First Perk, it gives me a chance to damage Masters while not being able to reach them.</t>
  </si>
  <si>
    <t>League of Legends, Pokemon Ultra Moon, Dungeon Defenders 2, Realm Grinder, and Grim Dawn.</t>
  </si>
  <si>
    <t>Collecting Cards/Masters, F2P</t>
  </si>
  <si>
    <t>Divine Warrior.Healing Fireball,SpriteMancer,Fireimp,Spear Throwers</t>
  </si>
  <si>
    <t>Free cheap card</t>
  </si>
  <si>
    <t>Just cause</t>
  </si>
  <si>
    <t>Nope got too many!</t>
  </si>
  <si>
    <t>He’s the Ravager duhhh</t>
  </si>
  <si>
    <t>Rocket League, Cod, APB Reloaded, etc</t>
  </si>
  <si>
    <t>buy a legedary card and a master</t>
  </si>
  <si>
    <t>harbinger, colossus, the guy that stacks atack speed, bridge miners,chain lightning</t>
  </si>
  <si>
    <t>is the best all around</t>
  </si>
  <si>
    <t>destiny 2 , rainbow six siege, hearthstone,etc</t>
  </si>
  <si>
    <t xml:space="preserve">smite heartstone dota2 </t>
  </si>
  <si>
    <t>(In no order) Crystal Concstruct, Sniper squad, Musketeer, Stun Lancers, Fireball</t>
  </si>
  <si>
    <t>Only one I have 😂</t>
  </si>
  <si>
    <t>consistent damage output with global range and increased attack speed.</t>
  </si>
  <si>
    <t>breath of the wild, bloodborne, titanfall 2, monster hunter, rocket league.</t>
  </si>
  <si>
    <t>Harbringer, Divine warrior, Future present/Future past, Fire imp, Wizard puff</t>
  </si>
  <si>
    <t>Random stuff to make fun</t>
  </si>
  <si>
    <t>Battlefield, Street Fighter, Death's gambit, Salt and sanctuary, and some other challenging 2D</t>
  </si>
  <si>
    <t>Solo, Mayhem Solo</t>
  </si>
  <si>
    <t>He is hot</t>
  </si>
  <si>
    <t>Xp shrine, mana puff, cleaver, blood imp, red golem</t>
  </si>
  <si>
    <t>Each game is unique and fun with the apep perk RNG</t>
  </si>
  <si>
    <t>Master Skin</t>
  </si>
  <si>
    <t>So cool</t>
  </si>
  <si>
    <t>Roblox, Asphalt,</t>
  </si>
  <si>
    <t>AutoAttacks</t>
  </si>
  <si>
    <t>Gameplay, Graphics, Crafting system</t>
  </si>
  <si>
    <t>Crystal escort, shock lancers,succubus,cleaver (the one you get via tutorial) Big gun guy (Sci fi trooper thingamajig)</t>
  </si>
  <si>
    <t>He's a good allrounder, ability to attack globaly is kind of overpowered, letting people strike their foes beforehand and thinning their numbers back on the other side of the map.</t>
  </si>
  <si>
    <t>Ghost / Psychomancien / Armored Squad the spell / Fire Heal Ball / Rage Potion</t>
  </si>
  <si>
    <t xml:space="preserve">for casting spell ! </t>
  </si>
  <si>
    <t>Dead Cells</t>
  </si>
  <si>
    <t>Colossus, xiao long, harbinger, crossbow dudes, prowler</t>
  </si>
  <si>
    <t>Rocket League, Battlefront II</t>
  </si>
  <si>
    <t>Duo, Premade Duo, Mayhem Solo, Mayhem Duo</t>
  </si>
  <si>
    <t>Indirectly; got the premium upgrade which also gave me rubies. Those again I spent on the first battle pass season.</t>
  </si>
  <si>
    <t>Nether Step, Scott the Savage, Spiritmancer, Whirly Scrat, Plasma Marines</t>
  </si>
  <si>
    <t>Stormbringer has been the first master I achieved GM with iirc after 2 seasons of playing. I've enjoyed him a lot, even before he was initially buffed, as I got to play a style I liked in a for me efficient manner</t>
  </si>
  <si>
    <t>Borderlands 2, Skyrim, League of Legends, The Elder Scrolls: Legends, Eternal Card Game</t>
  </si>
  <si>
    <t>Hes got the rang of the whole arena with his perk</t>
  </si>
  <si>
    <t>I just bought the premium upgrade for the game, so i could get the battle pass and other cool stuff.</t>
  </si>
  <si>
    <t>Daggerfall, Musketeer, Morgul The Swarmer King, Spiritmancer, Screaming Scrat</t>
  </si>
  <si>
    <t>I like the playstyle of King Puff, trying to get to the second perk and get your spike there.</t>
  </si>
  <si>
    <t xml:space="preserve">League of Legends, Hearthstone, Fortnite, Rocket League, Overwatch, Diablo 3, </t>
  </si>
  <si>
    <t>Havent memorised names yet lol</t>
  </si>
  <si>
    <t xml:space="preserve">Mostly the cosmetics. </t>
  </si>
  <si>
    <t>Final fantasy 14 Runescape Maple Story 2</t>
  </si>
  <si>
    <t xml:space="preserve">Gameplay, Competitions/Tournaments, id love a 5v5 mode. or a 3v3 </t>
  </si>
  <si>
    <t xml:space="preserve">season pass. its a bitt to grindy doe for what i preffer </t>
  </si>
  <si>
    <t xml:space="preserve">havent tried them all yet so wont be fair to review the cards. </t>
  </si>
  <si>
    <t xml:space="preserve">he is funn. </t>
  </si>
  <si>
    <t xml:space="preserve">paladins. </t>
  </si>
  <si>
    <t xml:space="preserve">Fire Imp, Rammer, </t>
  </si>
  <si>
    <t>Nice abilities. Fun to play. And he isn't OP like stormbringer.... I like use apep and milloween too.</t>
  </si>
  <si>
    <t>Rocket League, Sanctum 1 and 2, Borderlands</t>
  </si>
  <si>
    <t xml:space="preserve">Cleaver, Sensitive Savage, Mana Puff, Plasma Marines and Crossbow Dudes  </t>
  </si>
  <si>
    <t>Love his exp traits</t>
  </si>
  <si>
    <t>Hearthstone- Card Game and random RTS games</t>
  </si>
  <si>
    <t>Solo, Duo, Premade Duo, Draft, Expeditions, Mayhem Solo</t>
  </si>
  <si>
    <t>league of legends</t>
  </si>
  <si>
    <t>Masters/Cards</t>
  </si>
  <si>
    <t>Because i play a lot  of spells</t>
  </si>
  <si>
    <t>Dragon Ball,Disruptor Puffs,Blue Golem,Black Hole,Cursebearer</t>
  </si>
  <si>
    <t>Tombstone mechanics</t>
  </si>
  <si>
    <t>Divine Warrior, Crystal Construct, Scrat Horde, Plasma Marines, Daggerfall</t>
  </si>
  <si>
    <t>Tombsones</t>
  </si>
  <si>
    <t>Warframe, Stellaris, The Elders Scrolls Online, The Division, Ghost Recon Wildlands</t>
  </si>
  <si>
    <t>Shars'Rakk Twins, Scrat pack, Armored Escort, Defenso Chopper, and Cursebearer</t>
  </si>
  <si>
    <t>I like a lot of masters, but ravager beats the decks I hate the most.</t>
  </si>
  <si>
    <t>Recently, Overkill's The Walking Dead, but mostly FPS, fighting games, Mobas, Card Games, and more.</t>
  </si>
  <si>
    <t>Harbinger, Cursebearer, Demon Warrior, Legionnaires, Shars'Rakk Twins</t>
  </si>
  <si>
    <t>Ravager's attack is very good for dealing with large groups of melee minions which some other masters struggle against. The frenzy on minions below half health is very beneficial to most minions. Brutus and Terror Brutus can be great distractions and absorb a lot of damage if the enemy master is not prepared.</t>
  </si>
  <si>
    <t>Card games such as Hearthstone, simulation games such as Factorio, some FPS games such as Overwatch and Killing Floor 2</t>
  </si>
  <si>
    <t xml:space="preserve">Troubadour, Wizard Puff, Bounty Sniper, Last Stand,Scrat Tank </t>
  </si>
  <si>
    <t>Because it is the starter and i got used to it.</t>
  </si>
  <si>
    <t>Harbinger, annihilator, prowler, commander azali, morgrul the swarm king</t>
  </si>
  <si>
    <t xml:space="preserve">Effective abilities </t>
  </si>
  <si>
    <t>League of legends, battlerite, Warframe, path of exile</t>
  </si>
  <si>
    <t>Permanent xp and gold boosts</t>
  </si>
  <si>
    <t>Mana puff, heal puff, stormbringer, chain lightning, last stand</t>
  </si>
  <si>
    <t>Rewards thoughtful gameplay and deck design</t>
  </si>
  <si>
    <t>World of Warcraft, Hearthstone, wizard of legend</t>
  </si>
  <si>
    <t>Crystall Archers, Soul Stealer, Daggerfall, Flightless Dragons, Divine Warrior</t>
  </si>
  <si>
    <t>Global Range &amp; Range Minion Buff</t>
  </si>
  <si>
    <t>3rdPersonShooter; FirstPersonShooter; Strategy Games; Action RPGs; RPGs; ActionAdventures;</t>
  </si>
  <si>
    <t>Harbinger, blind date, plasma soldiers, annhilator, fireball</t>
  </si>
  <si>
    <t>It supports versatility</t>
  </si>
  <si>
    <t>Maplestory, Town Of Salem, Destiny 2</t>
  </si>
  <si>
    <t>I like his ability to shoot across the entire map</t>
  </si>
  <si>
    <t>Terraria</t>
  </si>
  <si>
    <t>Duo, Premade Duo, Draft, Mayhem Solo, Mayhem Duo</t>
  </si>
  <si>
    <t>premium</t>
  </si>
  <si>
    <t>brawler, divine warrior, dragon ball, arrow 3 mana card, stun rock</t>
  </si>
  <si>
    <t>easy to play and understand</t>
  </si>
  <si>
    <t>Realm of the mad god, curve fever 2, CSGO, CSS surf, lost and lots of surf, steambirds alliance, other games</t>
  </si>
  <si>
    <t>Skins(Both Master and Arena)</t>
  </si>
  <si>
    <t>Duo, Draft, Expeditions, Mayhem Duo</t>
  </si>
  <si>
    <t>Shop Offers(Tokens, Bundles, Sales, Emotes, Cards)</t>
  </si>
  <si>
    <t>Support the Dev</t>
  </si>
  <si>
    <t>Cards</t>
  </si>
  <si>
    <t>I intend to purchase soon</t>
  </si>
  <si>
    <t>I will spend probably, i just started this game</t>
  </si>
  <si>
    <t>Mayhem</t>
  </si>
  <si>
    <t>While I have not made a purchase yet, I plan to, at least for the battle pass.</t>
  </si>
  <si>
    <t>Screaming Scrat, Rammer, Spear Throwers , Future Present, Black Hole</t>
  </si>
  <si>
    <t xml:space="preserve">amazing perks (if used well) can deal with ground and air(+high damage) </t>
  </si>
  <si>
    <t>I'm a sucker</t>
  </si>
  <si>
    <t>counter strike global offensive, league of legends</t>
  </si>
  <si>
    <t>i know i don't need to write here if i answered "no", but if i had spent money on it, it would be for the battle pass.</t>
  </si>
  <si>
    <t>I would like to in the future, but i just haven't played much yet</t>
  </si>
  <si>
    <t>because it's one of the standard ones</t>
  </si>
  <si>
    <t>When I do it will be for the battlepass, granted it has viable loot</t>
  </si>
  <si>
    <t>Third Person Shooters, RTS's</t>
  </si>
  <si>
    <t>Competitions/Tournaments, More Multiplayer please</t>
  </si>
  <si>
    <t>Getting that one card...</t>
  </si>
  <si>
    <t>My top 5 are whatever works for now...</t>
  </si>
  <si>
    <t>his 4-5 buff is OP</t>
  </si>
  <si>
    <t>I play MMOs, have been for 2 decades</t>
  </si>
  <si>
    <t>Gameplay, Collecting Cards/Masters, Competitions/Tournaments, Player base</t>
  </si>
  <si>
    <t>Just to have them</t>
  </si>
  <si>
    <t>Escort, Azuri, Screaming Scrat, Flightless Dragon, Black Hole</t>
  </si>
  <si>
    <t>Synergy</t>
  </si>
  <si>
    <t>Not much at the moment</t>
  </si>
  <si>
    <t>Started with, feels strong</t>
  </si>
  <si>
    <t>Streamer interaction!</t>
  </si>
  <si>
    <t>Morghul, Xian Lao (fairy dragon), Muskateer, Defenso Chooper, Heal/Fireball spell</t>
  </si>
  <si>
    <t>To support a company that doesn't care to listen to its community.</t>
  </si>
  <si>
    <t>How do you beat his level 2 perk LUL</t>
  </si>
  <si>
    <t>Arena of Valor, Dota 2</t>
  </si>
  <si>
    <t>To support the company in hopes that my money would help somewhat with development.</t>
  </si>
  <si>
    <t>Prowler &gt; Annihilator &gt; Assassin &gt; Xiao Long &gt; Harbinger</t>
  </si>
  <si>
    <t xml:space="preserve">Cool summoning perks, very tanky, and great characteristic as well. </t>
  </si>
  <si>
    <t>Maplestory / Yu-Gi-Oh! Duel Links / League Of Legends / osu! / Overwatch</t>
  </si>
  <si>
    <t>Solo, Duo, Expeditions, Mayhem Duo</t>
  </si>
  <si>
    <t>Schwertkriegerin, Elfenbogenschützen, Dragonball, Attentäter und den Drachen</t>
  </si>
  <si>
    <t>Stärkste Angriff und passt perfekt zu meinem Deck</t>
  </si>
  <si>
    <t>Alles mögliche, ich schreibe hier jetzt keine 500+ Games hin</t>
  </si>
  <si>
    <t>I got a key for free early on, but when you spent the amount of hours I have, it's only fair to give something back.</t>
  </si>
  <si>
    <t>getting cards</t>
  </si>
  <si>
    <t>Divine Warrior, Combustion, Fire Imp, Magma Storm, Troubadur</t>
  </si>
  <si>
    <t>i like perks he have</t>
  </si>
  <si>
    <t>Path of Exile, Total War series, Slay the spire, Hearhstone</t>
  </si>
  <si>
    <t xml:space="preserve"> to thank you for this good game.</t>
  </si>
  <si>
    <t>Once to support a quality game.</t>
  </si>
  <si>
    <t xml:space="preserve">Just to get me started </t>
  </si>
  <si>
    <t>Harbinger, Cleaver, Succubus, Living statue, Crossbow guild</t>
  </si>
  <si>
    <t>The abilities mesh well with the cards i have</t>
  </si>
  <si>
    <t xml:space="preserve">Rainbow six siege, Rocket league, Red dead redemption 2, </t>
  </si>
  <si>
    <t>Beginner Pack and Skins / Masters</t>
  </si>
  <si>
    <t>honestly to support u guys a little bit for making this happen:i also purchased the game on steam for the same reason</t>
  </si>
  <si>
    <t>No, because I don’t have favourites</t>
  </si>
  <si>
    <t>Burn The Bridges is really useful.</t>
  </si>
  <si>
    <t>Minecraft, Roblox, Dota 2, Injustice 2, Star Wars Battlefront 1 &amp; 2, Fortnite.</t>
  </si>
  <si>
    <t>Seasen pass and more...</t>
  </si>
  <si>
    <t>He can defend him selves and attacks the tower of the Enemy.</t>
  </si>
  <si>
    <t>She’s the most feminine so most relatable</t>
  </si>
  <si>
    <t>Minecraft, League of Legends, Fortnite, Undertale</t>
  </si>
  <si>
    <t>Colossus, Infiltration, Shock Rock, Dragonball, Wizard Puff</t>
  </si>
  <si>
    <t>Good synergy with Colossus</t>
  </si>
  <si>
    <t>PokeOne, Dead by Daylight</t>
  </si>
  <si>
    <t>Legion td 2</t>
  </si>
  <si>
    <t>1-Soirée fromage  2-rôdeur   3-horde à hélice  4-défenseur   5-rocher choquant</t>
  </si>
  <si>
    <t>Scrat is life!</t>
  </si>
  <si>
    <t>MMORPGs (wakfu and Guild Wars 2 especially); Minecraft; The Powder Toy; The Ultimatest Battle...</t>
  </si>
  <si>
    <t>This amount is huge... But mostly SMITE</t>
  </si>
  <si>
    <t>Premade Duo, Draft, Expeditions</t>
  </si>
  <si>
    <t>buying the season pass, looked like great value</t>
  </si>
  <si>
    <t>Yes I can: 1) Harbinger 2) Plasma Marines 3) Chain Lighting 4) Sniper Squad 5) Swarmer Totem</t>
  </si>
  <si>
    <t>Because he synergizes well with ranged units. Also Stormbringer punishes passive playstyles by opponents, as he is pretty much a win-more master</t>
  </si>
  <si>
    <t>RPGs (like AC:Odyssey, WoW), Online-TCGs (Hearthstone, MTG:A), Legion TD 2</t>
  </si>
  <si>
    <t>Shop offer</t>
  </si>
  <si>
    <t>DOOM, Battlefield, CSGO</t>
  </si>
  <si>
    <t>Not quite. All the snipers.</t>
  </si>
  <si>
    <t>Snipers.</t>
  </si>
  <si>
    <t>League of Legends, Heroes of the Storm, Soul Calibur VI, Rivals of Aether, SSBM, DOOM, Nier: Automata, Divinity: Original Sin 2, Stellaris, and a whole lot more</t>
  </si>
  <si>
    <t>dragon for 3, rambo, statue, sukubus, angle</t>
  </si>
  <si>
    <t>because of brutus</t>
  </si>
  <si>
    <t>heroes of the storm</t>
  </si>
  <si>
    <t>easy strat</t>
  </si>
  <si>
    <t>poe, osrs, csgo, dota2</t>
  </si>
  <si>
    <t>Not really</t>
  </si>
  <si>
    <t>Because his talents are good for both flooding and defending</t>
  </si>
  <si>
    <t>I play pretty much every game, not  focusing on a single genre.</t>
  </si>
  <si>
    <t>Gameplay, Graphics, Collecting Cards/Masters, Meaningful Strategy/Tactics</t>
  </si>
  <si>
    <t>Scrat Tank, Defenso Chopper, Assassin, Undying Skeleton, Infiltration</t>
  </si>
  <si>
    <t>I value his full arena range.</t>
  </si>
  <si>
    <t>Hearthstone, Starcraft 2, Go, Chess, MagicTG</t>
  </si>
  <si>
    <t>Armored_Scrats Annihilator Scrat_Tank Cannon_Roller Prowler</t>
  </si>
  <si>
    <t>I always had the bad habit of spending too much manna and then not being able to summon anything, this Master Helps me with that! :)</t>
  </si>
  <si>
    <t>Paladins Overwatch Warface Spiral_Knights  Minecraft</t>
  </si>
  <si>
    <t>Anti-Air with global range</t>
  </si>
  <si>
    <t>Overwatch, Hearthstone, Lethal League</t>
  </si>
  <si>
    <t>Succubus, Scrat Horde, Swarmers, Undying Skeleton, Mana Puff Madness</t>
  </si>
  <si>
    <t>Because I like him the most.</t>
  </si>
  <si>
    <t>Gwent, Hearthstone, Fortnite, Doom, Too many point-n-click Adventure games to count.</t>
  </si>
  <si>
    <t>Gameplay, puffs</t>
  </si>
  <si>
    <t>Bridge shrine, sniper scrat, mana puff, undying calcium boi, snake druid</t>
  </si>
  <si>
    <t>giant aoe op</t>
  </si>
  <si>
    <t>Warframe, Grim Dawn</t>
  </si>
  <si>
    <t>Offers</t>
  </si>
  <si>
    <t>Troubadour, Cleaver, Harbinger, Succubus, Wheel of Doom</t>
  </si>
  <si>
    <t xml:space="preserve">Mostly Aesthetic </t>
  </si>
  <si>
    <t>League of Legends, Overwatch, Magic the Gathering</t>
  </si>
  <si>
    <t>seson pass</t>
  </si>
  <si>
    <t>not today ;v</t>
  </si>
  <si>
    <t>"Milloween here" XD</t>
  </si>
  <si>
    <t>fallouts,rainbow six sige,tomb raider</t>
  </si>
  <si>
    <t>Gameplay, Graphics, Collecting Cards/Masters, community</t>
  </si>
  <si>
    <t>skins , battle pass</t>
  </si>
  <si>
    <t>(sorry for bad spelling) commander azali , prowler , rabid prowler,  crystal construct , dragon ball</t>
  </si>
  <si>
    <t>looked cool, but then i found he played well with my deck</t>
  </si>
  <si>
    <t>fps (overwatch, rainbow six) and grindy rpgs (fortnite stw)</t>
  </si>
  <si>
    <t>Begginers pack</t>
  </si>
  <si>
    <t>Play style - rush units</t>
  </si>
  <si>
    <t>LoL, HotS, OW, Diablo 3</t>
  </si>
  <si>
    <t>His range</t>
  </si>
  <si>
    <t>Danganronpa</t>
  </si>
  <si>
    <t>Not really, but my favourite card is Last Stand(7) - it's just awesome.</t>
  </si>
  <si>
    <t>It was free on weekly so I tried him and I got to like his abilities - Trick Swap is quite useful, if not sometimes gamechanging; the second ability(can't remember the name) bolsters troops up and the last ability can save you at desperate times.</t>
  </si>
  <si>
    <t>Currently, other that MM, I sometimes play Hearthstone and Warframe - they're good for relaxing after work. I play them mostly because they don't take up that much time and you can stop almost anytime - these games are a bit boring and repetitive so when you get bored, you just do something different. +there's that feeling of progress just from getting daily rewards.</t>
  </si>
  <si>
    <t>Starter bundle to buy the battle pass :)</t>
  </si>
  <si>
    <t>Lord-Sentinel Thelec (even tho he's bad), Ghost, Crystal Archers, Armored Escort and Assassin</t>
  </si>
  <si>
    <t xml:space="preserve">Playing with spells is fun. </t>
  </si>
  <si>
    <t>crossbow dudes</t>
  </si>
  <si>
    <t>he op</t>
  </si>
  <si>
    <t>dota</t>
  </si>
  <si>
    <t>Gameplay, Collecting Cards/Masters, Skins and other aesthetics</t>
  </si>
  <si>
    <t>Really like Arcane Golem</t>
  </si>
  <si>
    <t>Mostly CO-OP FPS, RPG, ARPG</t>
  </si>
  <si>
    <t>Premade Duo, Draft, Mayhem Duo</t>
  </si>
  <si>
    <t xml:space="preserve">To buy a battlepass </t>
  </si>
  <si>
    <t>(OLD HARBRINGER) StunBlast, Stun Lancers, Colassus, Spirit Mancer, Spirit Infusion</t>
  </si>
  <si>
    <t xml:space="preserve">OG </t>
  </si>
  <si>
    <t>This one</t>
  </si>
  <si>
    <t>League of legends, Nostale, Elsword, Hearthstone,...</t>
  </si>
  <si>
    <t>generates free minions</t>
  </si>
  <si>
    <t>CS:GO, Rainbow Six Siege</t>
  </si>
  <si>
    <t xml:space="preserve">Skins/Arenas/Battlepass </t>
  </si>
  <si>
    <t>Succubus, Priestess, Dragon Ball, Blastmancer and Undying Skeleton</t>
  </si>
  <si>
    <t xml:space="preserve">I love the Tombstone/Undying Skeleton combo. Worked great with ReBoomer too until you nerfed it XD </t>
  </si>
  <si>
    <t>Crossout, Agents of Mayhem, GTAV, Witcher 3, Wreckfest.</t>
  </si>
  <si>
    <t>Gameplay, Graphics, Collecting Cards/Masters, Crafting system, Multiplayer</t>
  </si>
  <si>
    <t>Cheese Date, Swarmer Totem, Crossbow Guild, Beam of Doom, Scott the Sensitive Savage</t>
  </si>
  <si>
    <t>Because he summons Brutus, which is a great time to push.</t>
  </si>
  <si>
    <t>Pretty much any multiplayer game</t>
  </si>
  <si>
    <t>TO BUY MORE PACKS</t>
  </si>
  <si>
    <t>To buy skins, few masters and some deals.</t>
  </si>
  <si>
    <t>Soul Stealer, Defenso Chopper, Rammer, Xiao Long, Divine Warrior.</t>
  </si>
  <si>
    <t>Cute design, interesting perks.</t>
  </si>
  <si>
    <t>Hearthstone, Overwatch, Vermintide 2.</t>
  </si>
  <si>
    <t>I purchased premium so I guess that counts as buying rubies</t>
  </si>
  <si>
    <t>Colossus, Cursebearer, Blackhole, Shock rock, Fire imp</t>
  </si>
  <si>
    <t>He has great card cycle and immunity whenever you want it</t>
  </si>
  <si>
    <t>Smite, Battlefield, I don't really play too many different games. I like to stick to a select few.</t>
  </si>
  <si>
    <t>Banner Man, Mana Surge cards, Musketeer, Incubus, daggers</t>
  </si>
  <si>
    <t>Cause it feels like I have additional control and objectives throughout the match, unlike a fixed master such as Stormbringer.</t>
  </si>
  <si>
    <t>League of Legends, Destiny 2, Witcher 3, Skyrim, Tricky Towers.</t>
  </si>
  <si>
    <t>Propeller scrats - Cannon Roller - Prowler - Crystal Arcanist - Incubus</t>
  </si>
  <si>
    <t>Was the starter and I like how well rounded his attack is - I don't have to compensate with cards. Gives me more freedom in deck building I feel.</t>
  </si>
  <si>
    <t xml:space="preserve">Fortnite - Diablo 3 - MtG - Hearthstone - Cube Cube - Sudoku - CS:GO occasionally - Lots of RPGs - X-Wing - SC:2 </t>
  </si>
  <si>
    <t>gemeos sharsrakk,esfera do dragao, mosqueteiro, thelec, comandante azali</t>
  </si>
  <si>
    <t>the passive frenesi affects allies in 2x2 too</t>
  </si>
  <si>
    <t>tes legends, hearthstone</t>
  </si>
  <si>
    <t>flightless dragons, scott the sensitive savage, incubus, succubus, cleaver</t>
  </si>
  <si>
    <t>Fun and intuitive</t>
  </si>
  <si>
    <t>0 Mana Cost Cards</t>
  </si>
  <si>
    <t>0*</t>
  </si>
  <si>
    <t>League of Legends, battlerite, brawlhalla, overwatch</t>
  </si>
  <si>
    <t>1*</t>
  </si>
  <si>
    <t>2*</t>
  </si>
  <si>
    <t>3*</t>
  </si>
  <si>
    <t>4*</t>
  </si>
  <si>
    <t>5*</t>
  </si>
  <si>
    <t>6*</t>
  </si>
  <si>
    <t>7*</t>
  </si>
  <si>
    <t>8*</t>
  </si>
  <si>
    <t>9*</t>
  </si>
  <si>
    <t>10*</t>
  </si>
  <si>
    <t>All of the cards:</t>
  </si>
  <si>
    <t>To buy more masters and battlepass</t>
  </si>
  <si>
    <t>Xiao Long, Soulstealer, Fire Imp, Prowler, Chain Lightning</t>
  </si>
  <si>
    <t>Divided by MANA:</t>
  </si>
  <si>
    <t>It fits my playstyle</t>
  </si>
  <si>
    <t>Lol, Overwatch, Oldschool Runescape</t>
  </si>
  <si>
    <t>cleaver, dragon whelp, whirly scrat, brutish betrayer and incubus</t>
  </si>
  <si>
    <t>All legendaries</t>
  </si>
  <si>
    <t>best buds</t>
  </si>
  <si>
    <t>Arcane Missiles</t>
  </si>
  <si>
    <t>h1z1</t>
  </si>
  <si>
    <t>Illusory Cleaver</t>
  </si>
  <si>
    <t>Black Hole</t>
  </si>
  <si>
    <t>"Armored" Scrats</t>
  </si>
  <si>
    <t>Assassin</t>
  </si>
  <si>
    <t>A.I.M. Bot</t>
  </si>
  <si>
    <t>Armored Escort</t>
  </si>
  <si>
    <t>Beam of DOOM</t>
  </si>
  <si>
    <t>Commander Azali</t>
  </si>
  <si>
    <t>Lord-Sentinel Thelec</t>
  </si>
  <si>
    <t>Gameplay, Competitions/Tournaments, Play with my girlfriend</t>
  </si>
  <si>
    <t>scrat pack, fite imp, blastmancer, divine warrior, tantrum throwers</t>
  </si>
  <si>
    <t>possibility of tactics</t>
  </si>
  <si>
    <t>World of Warcraft, osu!</t>
  </si>
  <si>
    <t>sniper squad, crossbow guild, infiltration, undying skeleton, commander azali</t>
  </si>
  <si>
    <t xml:space="preserve">permanent autoattack is oppressive in gameplay (though brutallus op) </t>
  </si>
  <si>
    <t xml:space="preserve">too many to list - hearthstone,stormguard,league of legends,world of warcraft, heroes of the storm, overwatch, monster hunter world, etc. etc. </t>
  </si>
  <si>
    <t>Graphics, Collecting Cards/Masters, Competitions/Tournaments</t>
  </si>
  <si>
    <t>very strong</t>
  </si>
  <si>
    <t>Buy skins/arenas</t>
  </si>
  <si>
    <t>Whirly Scrat, Crystal Archers, Armored Escort, Dragonball, Screaming Scrat</t>
  </si>
  <si>
    <t>Heroes of the Storm, Overwatch</t>
  </si>
  <si>
    <t xml:space="preserve">Xiao Long, Divine Warrior, Blastmancer, Spiritmancer </t>
  </si>
  <si>
    <t>Looks cool and has good perks.</t>
  </si>
  <si>
    <t>Currently only playing Battlehand</t>
  </si>
  <si>
    <t>got the tools to fight every others</t>
  </si>
  <si>
    <t>cs go, battlerite</t>
  </si>
  <si>
    <t>Flightless Dragons, Morgrul, Defense Chopper, Divine Warrior. Rabid Prowler</t>
  </si>
  <si>
    <t>I like his perks the most.</t>
  </si>
  <si>
    <t>Paladins, Realm Royale, MTG Arena, Destiny 2</t>
  </si>
  <si>
    <t>Collecting Cards/Masters, Crafting system</t>
  </si>
  <si>
    <t>Collecting more cards</t>
  </si>
  <si>
    <t>that 3* fire drake, 9*Coloss, 4* healer, 4* guy that only attacks base, Hypnose</t>
  </si>
  <si>
    <t>Random cards are AWESOME</t>
  </si>
  <si>
    <t>Hunt: showdown, League of legends, Dead by daylight</t>
  </si>
  <si>
    <t>To buy masters / Power Tokens / Bundle packs</t>
  </si>
  <si>
    <t>Wheel of Doom / crystal Archers / Defenso choper/ Xiao Long / Harbinger</t>
  </si>
  <si>
    <t>I've always like being more range focused in games but im still just a new guy ;P</t>
  </si>
  <si>
    <t>League of Legends/ R6 Siege / CS GO / Dota 2 / Warframe / DnD / and a load more</t>
  </si>
  <si>
    <t>Daggerfall, Dragon whelp, Tantrum throwers, Xiao Long, Morgul the swarmer king</t>
  </si>
  <si>
    <t>because I like the frenzy he gives to minions, because it's like the only way to get frenzy, on top of that the brutus minions he spawns are troublesome to deal with.</t>
  </si>
  <si>
    <t>League of Legends, Path of Exile, Terraria</t>
  </si>
  <si>
    <t xml:space="preserve">skins and cards </t>
  </si>
  <si>
    <t>xiao long, Setsu's perk 1, and spear throwers are really strong</t>
  </si>
  <si>
    <t>she's really cool and fun but not very good Puff is the best tho</t>
  </si>
  <si>
    <t>too many to list</t>
  </si>
  <si>
    <t>back when i started settsu was new and incredibly op so i bought her with rubies becuase thats how i thought i would be able to win any games then, i wouldnt do that again.</t>
  </si>
  <si>
    <t>Scott, Plasmas, Daggerfall, Xiao (pre-rework was NOT broken),  cursebearer</t>
  </si>
  <si>
    <t>Because its the one where you can actually interact with whats happening on the field.</t>
  </si>
  <si>
    <t>FPS games like Battlefield 1 and BO4, RTS games like Age of Wonders</t>
  </si>
  <si>
    <t>Solo, Duo, Premade Duo, Draft, Expeditions, Mayhem Solo, Mayhem Duo</t>
  </si>
  <si>
    <t xml:space="preserve">graves :) </t>
  </si>
  <si>
    <t>mmorpg</t>
  </si>
  <si>
    <t>basically all legendaries</t>
  </si>
  <si>
    <t>Best passives</t>
  </si>
  <si>
    <t>Hearthstone dota 2 clash royale</t>
  </si>
  <si>
    <t>Swarmers/Dagger Fall/Hypnotize/Xiao Long/Defensochopper</t>
  </si>
  <si>
    <t>I suck at spells, but like to cast them. I also like how her perks synergise. Also, apparently you nerfed her, and I think she deserves some love...</t>
  </si>
  <si>
    <t>Minecraft, Borderlands 2, Europa Universalis 4</t>
  </si>
  <si>
    <t>Gameplay, Games are simple, self contained, never more than ~10 minutes</t>
  </si>
  <si>
    <t>Premium upgrade cause it was on sale</t>
  </si>
  <si>
    <t>Harbinger, Demon Warrior, Succubus, Fire Imp, maybe Screaming Scrat?</t>
  </si>
  <si>
    <t>I haven't played them in a while, but I LOVE facerush decks</t>
  </si>
  <si>
    <t>For Honor, Destiny, Overwatch, PUBG, Warframe, Witcher, Dark Souls, Hammerwatch, Spelunky, and soooo many more</t>
  </si>
  <si>
    <t>Divine warrior, Armoured Scrats, Chain Lightning, Annihilator, Living Statue</t>
  </si>
  <si>
    <t>I like all his abilities</t>
  </si>
  <si>
    <t>Many different kinds, eg. MLB The Show, Spiderman, Sea of Thieves, lots of puzzle games</t>
  </si>
  <si>
    <t>Cleaver, Prowler. Scrat Horde, Succubus, Flame Imp</t>
  </si>
  <si>
    <t>Good perks, fair but not broken</t>
  </si>
  <si>
    <t>Annihilator</t>
  </si>
  <si>
    <t xml:space="preserve">Too many to list, WoW, Heroes of the storm, Red dead Redemption 2, literally everything else. </t>
  </si>
  <si>
    <t>New masters, rubies were from starter pack.</t>
  </si>
  <si>
    <t xml:space="preserve">Blood imp, Guardian, Gax the world bomb,healing fireball, and re-boomer </t>
  </si>
  <si>
    <t>Reviving Boomers/Guardians</t>
  </si>
  <si>
    <t>Warframe, pokemon TCG, Hearthstone, magic the gathering arena</t>
  </si>
  <si>
    <t xml:space="preserve">Dont need extra expensive cards for him. </t>
  </si>
  <si>
    <t xml:space="preserve">Hearthstone HOTs Dota </t>
  </si>
  <si>
    <t>masters skins and some offers</t>
  </si>
  <si>
    <t>sharns twins/assassin/fireimp/xiaolong/morgul</t>
  </si>
  <si>
    <t>he is aggresive like me</t>
  </si>
  <si>
    <t>Niggers</t>
  </si>
  <si>
    <t>Nigger, Nigger, Nigger, Nigger, Nigger</t>
  </si>
  <si>
    <t>Nigger</t>
  </si>
  <si>
    <t xml:space="preserve">Crystal Construct, Blind Date, Plasma Marines, Spirit Infusion, Undying Skeleton </t>
  </si>
  <si>
    <t xml:space="preserve">I like RNG in my decks, </t>
  </si>
  <si>
    <t>Minecraft, Super Smash Bros. serie, "Rogue Lite" games in general</t>
  </si>
  <si>
    <t>-</t>
  </si>
  <si>
    <t>¯\_(ツ)_/¯</t>
  </si>
  <si>
    <t>crystal archer, xia long, blast mancer, whirly scrat, warrior</t>
  </si>
  <si>
    <t>I like the randomness and the 3 extra free cards but I usually use stormbringer instead as he's better with higher mana cost builds where you have a good portion ranged units</t>
  </si>
  <si>
    <t>Killing Floor 2, Gothic+Risen+Elex(All Piranha Bytes games), S.T.A.L.K.E.R. series, Metro series, WoW, Diablo, Path of Exile, Realm of the Mad God, Europa Universalis 4, Warcraft 3, Borderlands series, and much more</t>
  </si>
  <si>
    <t>card lvl 1</t>
  </si>
  <si>
    <t>Lol, fortnite, csgo, cod 4, lif MMO...</t>
  </si>
  <si>
    <t>Thelec (the big 10 mana dude), divine warrior, the monkey guy who heals himself, assassin, sniper</t>
  </si>
  <si>
    <t>Looks and plays great</t>
  </si>
  <si>
    <t>League of Legends, Guild Wars 2, CS:GO</t>
  </si>
  <si>
    <t xml:space="preserve">While I have not made a purchase yet, I plan to, at least for the battle pass. </t>
  </si>
  <si>
    <t>The swarmer king, the ufo death beam, the mana golem</t>
  </si>
  <si>
    <t xml:space="preserve">He looked cool and I like his play style </t>
  </si>
  <si>
    <t xml:space="preserve">Rpgs, Fallout 76 more recently. A bit of everything to be honest. I like variety. </t>
  </si>
  <si>
    <t>Harbinger, Xiao Long, Stun Lancers, Cursebearer, Wall</t>
  </si>
  <si>
    <t>Versatile, newbie-friendly</t>
  </si>
  <si>
    <t>Overwatch, Atlas Reactor, Skyrim, Crusader Kings 2</t>
  </si>
  <si>
    <t>I enjoy his long ranged attacks</t>
  </si>
  <si>
    <t>All that can rush</t>
  </si>
  <si>
    <t xml:space="preserve">anything I find interesting </t>
  </si>
  <si>
    <t>musketeer, plasma marines, harbinger, dragonball, morgrul the swarmer king</t>
  </si>
  <si>
    <t>I only play this with my girlfriend and strombringer + volco is a good 2vs2 combo</t>
  </si>
  <si>
    <t>roblox, l4d2, tf2, garry's mod</t>
  </si>
  <si>
    <t>to buy the battle pass</t>
  </si>
  <si>
    <t xml:space="preserve">the mana surge cards </t>
  </si>
  <si>
    <t>well... i start with him... and the mana surge stuff is mostly ranged</t>
  </si>
  <si>
    <t>league or legends &amp; slay the spire, mostly</t>
  </si>
  <si>
    <t>infinite Range damage</t>
  </si>
  <si>
    <t>Balck Ops 4 - Overwatch - HOTS - R6</t>
  </si>
  <si>
    <t>Solo, Duo, Premade Duo, Draft, Mayhem Solo</t>
  </si>
  <si>
    <t>Nicknamed, Wrecksu.</t>
  </si>
  <si>
    <t>RPGs</t>
  </si>
  <si>
    <t>Colossus Last Stand Gax Crystal Construct and Harbringer</t>
  </si>
  <si>
    <t>Couse he is ssssneaky bassssstard, and gives 0 cost cards</t>
  </si>
  <si>
    <t>Overwatch, hero shooter, Clash Royale, mobile, Gwent, card game</t>
  </si>
  <si>
    <t>Gameplay, Graphics, Crafting system, anti-pay to win, es lindo jugar un juego donde no dependes de la plata para mejorar</t>
  </si>
  <si>
    <t>me parecio gracioso.</t>
  </si>
  <si>
    <t>diablo 2, Mu online, ragnarok online.</t>
  </si>
  <si>
    <t>Master skins</t>
  </si>
  <si>
    <t>The random event cards such as Cheese date and blind date</t>
  </si>
  <si>
    <t>Spell spam is hilarious and fun</t>
  </si>
  <si>
    <t>League of legends and minecraft</t>
  </si>
  <si>
    <t xml:space="preserve">Spiritmancer, Crossbow Guild, Undying Skeleton, Divine Warrior, Xiao Long </t>
  </si>
  <si>
    <t>Spells looks fun</t>
  </si>
  <si>
    <t>Slay the Spire, other</t>
  </si>
  <si>
    <t>To buy the battle pass</t>
  </si>
  <si>
    <t>Crystal Archers, Rabid Prowler, Shars'Rakk Twins, Morgrul The Swarmer King, Dragonball</t>
  </si>
  <si>
    <t>I love the way she looks, love spells, cute voice, elves are the best</t>
  </si>
  <si>
    <t>World of Warcraft, Dead by Daylight, Fortnite, League of Legends, Smite, and others</t>
  </si>
  <si>
    <t>Strategy in premade duo</t>
  </si>
  <si>
    <t>Dota 2, World of Warships, Tom Clany's Rainbow Six Siege, Overwatch, MTG Arena</t>
  </si>
  <si>
    <t xml:space="preserve">combustion, netherstep, beam of doom, dragonball, scott the sensitive,  </t>
  </si>
  <si>
    <t>tier 2 perk is op</t>
  </si>
  <si>
    <t>diablo 3, counter strike:go, PUBG</t>
  </si>
  <si>
    <t>cuz of the mini gun</t>
  </si>
  <si>
    <t>battlefield, fortnite, minecraft, survive io, and limbo</t>
  </si>
  <si>
    <t>Any Dragon Cards</t>
  </si>
  <si>
    <t>Blood Imps</t>
  </si>
  <si>
    <t>Divine Warrior, Fire Imp, Scott, Xiao and Hypnotize</t>
  </si>
  <si>
    <t>Because it allow me switch bridge messing with enemies big cards with healers.</t>
  </si>
  <si>
    <t xml:space="preserve">csgo, ori and the blind forest, rayman legends, middle-earth:shadow of mordor,lineage 2 </t>
  </si>
  <si>
    <t>Hard to say, it depends on deck build, but combo card are in favor</t>
  </si>
  <si>
    <t>strong early push with his minion, but Stormbringer is my 2nd favorite</t>
  </si>
  <si>
    <t>Rocket League, Heartstone, mobile legends</t>
  </si>
  <si>
    <t>mana puff madness, scrat tank, styxi, dragon nest, daggers</t>
  </si>
  <si>
    <t>DRAGON NEST</t>
  </si>
  <si>
    <t xml:space="preserve">ARK, Diablo </t>
  </si>
  <si>
    <t>Not sure yet</t>
  </si>
  <si>
    <t>I like his level 2</t>
  </si>
  <si>
    <t>The elder scrolls: legends</t>
  </si>
  <si>
    <t>To get Masters</t>
  </si>
  <si>
    <t>Scrat Pack, Crossbow dudes, Legionnaires, Living Statue, Laser Turret</t>
  </si>
  <si>
    <t>He kills Minion really fast</t>
  </si>
  <si>
    <t>black hole prowler quiet Shi Hou soul stealer healing shrine</t>
  </si>
  <si>
    <t>Nice buff and bridge change skill</t>
  </si>
  <si>
    <t>Collecting Cards/Masters, Competitions/Tournaments</t>
  </si>
  <si>
    <t>Free and it's achievement to use current weeks master</t>
  </si>
  <si>
    <t>DC Legends</t>
  </si>
  <si>
    <t>Buy season pass, have many left</t>
  </si>
  <si>
    <t>Mechanics for being immune at 3</t>
  </si>
  <si>
    <t>Wow, warframe</t>
  </si>
  <si>
    <t>Any Mana Frenzy</t>
  </si>
  <si>
    <t>stardew, warframe, paladins, slime rancher</t>
  </si>
  <si>
    <t>the battle pass</t>
  </si>
  <si>
    <t xml:space="preserve">Thelec, Magma storm, Daggerfall, Gambler's ball, Mana puff </t>
  </si>
  <si>
    <t>spells are fun, yo</t>
  </si>
  <si>
    <t>Default</t>
  </si>
  <si>
    <t xml:space="preserve">Powertoken and bundles </t>
  </si>
  <si>
    <t>1. Xiao long 2. Hypnotize 3. Morgul 4. Drone Force One 5. Assasin</t>
  </si>
  <si>
    <t xml:space="preserve">His randomness makes every game more interesting! </t>
  </si>
  <si>
    <t>League of Legends, ARK</t>
  </si>
  <si>
    <t>Gameplay, Collecting Cards/Masters, Different game modes</t>
  </si>
  <si>
    <t>Black hole, troubadour, blood imp, spear throwers, priestess</t>
  </si>
  <si>
    <t>Face strat</t>
  </si>
  <si>
    <t>Realm royale, gwent, creative destruction, runeward,</t>
  </si>
  <si>
    <t>the graves</t>
  </si>
  <si>
    <t>Indirectly via premium upgrade, and once for the very first battle pass</t>
  </si>
  <si>
    <t>Plasma Marines, Arcane Golem, Assassin, Mana Puff Madness, Infiltration</t>
  </si>
  <si>
    <t>Going all in with spells to level the golem is great fun</t>
  </si>
  <si>
    <t>Forza, Cities Skylines, Planet Coaster, Brawlhalla, Riff Racer</t>
  </si>
  <si>
    <t>Incubus, Boomer, Dragon Nest, Gax the World Bomb, Wizard Puff</t>
  </si>
  <si>
    <t>The Tombstones add a really interesting level of gameplay</t>
  </si>
  <si>
    <t>Forced(Great game) and 100+ games on Xbox plus 200+ games on Steam</t>
  </si>
  <si>
    <t xml:space="preserve">he shot along the arena and fast </t>
  </si>
  <si>
    <t>clash royale</t>
  </si>
  <si>
    <t>Its just fun using him and the other random minion cards. Like blind date and all that</t>
  </si>
  <si>
    <t>League pf Legends, Destiny 2, Fallout 4,  Rising Storm 2, Warhammer Vermintide 1&amp;2, Warhammer 40,000 Dawn of War, Escape from Tarkov, Dayz, WoW, Hearthstone, Starcraft 2</t>
  </si>
  <si>
    <t>Solo, Duo, Draft, Expeditions, Mayhem Solo</t>
  </si>
  <si>
    <t>SMITE , Hearthstone , Monster Hunter : WORLD</t>
  </si>
  <si>
    <t>Xiao Long (broken, but fun), Crystal Archers(simple, elegant, powerfull), spiritmancer, commander azali, incubus</t>
  </si>
  <si>
    <t>I think his abilities are fun</t>
  </si>
  <si>
    <t>LoL, HS, DN, Eternal, Poe</t>
  </si>
  <si>
    <t>all</t>
  </si>
  <si>
    <t>Any Puffs and Puff Spells</t>
  </si>
  <si>
    <t xml:space="preserve">Daggerfall, Dragon Whelp, Assassin, Succubus, Whirly Scrat </t>
  </si>
  <si>
    <t>Arcane Missiles is a fun card</t>
  </si>
  <si>
    <t>League of Legends, CS:GO, Garry's Mod</t>
  </si>
  <si>
    <t>Destiny, Minecraft, AC, TWD</t>
  </si>
  <si>
    <t>Styxi,Blue Golem,Stun Lancers,Mana Puff Madness,Beam of Doom</t>
  </si>
  <si>
    <t>Because he is badass</t>
  </si>
  <si>
    <t>Brawlhall,War Thunder</t>
  </si>
  <si>
    <t>Harbringer, Troubadour, Future Presen, Blind Date &amp; Prowler.</t>
  </si>
  <si>
    <t>Waifu, of course.</t>
  </si>
  <si>
    <t>Blade &amp; Soul, Starcraft 2, Torchlight 2, Destiny Child and a big etc.</t>
  </si>
  <si>
    <t>Duo, Premade Duo, Draft, Mayhem Duo</t>
  </si>
  <si>
    <t>getting more cards or sometimes for a skins</t>
  </si>
  <si>
    <t>Scrat Pack, Plasma Marines, Prowler, Musketeer, Colossus</t>
  </si>
  <si>
    <t>because of his abilities that gives you 2 cards for free mana :)</t>
  </si>
  <si>
    <t xml:space="preserve">Tabletop Simulator, SCP secret laboratory, </t>
  </si>
  <si>
    <t>Scrat Pack, Re-Boomer, Wheel of Doom, AtG Drone X8, Beam of Doom</t>
  </si>
  <si>
    <t>It fits my slow and ranged minion based playstyle</t>
  </si>
  <si>
    <t>swarmers, prowler, sniper mana, mana puff madness, curse bearer</t>
  </si>
  <si>
    <t>i love his skins, and i like the swap bridge mechanics</t>
  </si>
  <si>
    <t>League of legends, payday 2, battleborn, rocket league and a tons of others</t>
  </si>
  <si>
    <t xml:space="preserve"> no</t>
  </si>
  <si>
    <t>Daggerfall, Wall, Divine Warrior, Musketeer, Rocket Scrat/Scrat Launcher</t>
  </si>
  <si>
    <t>I have a playstyel that focuses on efficiently counter enemy units then using the surplus mana I gained by doing so to mount a push against the enemy, Apep allows both stalling an efficient pushes with his Shield Totem and Gift of the Snake God effects. His psuedo randomness also allows me to counter some decks I otherwise might not be able too, and prevent me getting cycled upon (A cycle is the 10 cards in your deck and the order you play them in, if by chance you play a succubus and the opponent plays a Cleaver to kill her, you know that by the time she gets in your hand again the changes are exceedingly high that the enemy Cleaver has made its way back into the opponents hand just waiting to counter the Succubus. CYCLED means that you can keep countering opponets cards in the same order they play them over, and over as you keep drawing the same 10 cards over and over. Apep's psudeo randomness allows me to outright avoid that, or throw enough of a wrench into the mix to allow me to overcome it.)</t>
  </si>
  <si>
    <t>Skyrim, Divine Divinity Original Sin, Pillars of Eternity, Bauldrs Gate, Reassembly, Titan Quest Immortal Throne, Grim Dawn, (Mostly, ARPGs, RPGs, TBS games)</t>
  </si>
  <si>
    <t>Get battle pass</t>
  </si>
  <si>
    <t>Abilities are nuts</t>
  </si>
  <si>
    <t>Graphics, Collecting Cards/Masters</t>
  </si>
  <si>
    <t>For the battle pass</t>
  </si>
  <si>
    <t>I don't test all Masters, Mordar is my main for the moment because i love the resurection mecanic</t>
  </si>
  <si>
    <t>Fortnite, clash of clan, Rocket League, Hearthstone</t>
  </si>
  <si>
    <t>For the premium account and the battlepass</t>
  </si>
  <si>
    <t>Colossus, plasma marines, harbringer, xiao long and Drone buzzers</t>
  </si>
  <si>
    <t>Because of his second perk "Buff dealer"</t>
  </si>
  <si>
    <t>League of legends, rainbow six siege and counter strike global offensive</t>
  </si>
  <si>
    <t>Skins, Cards, Power Tokens</t>
  </si>
  <si>
    <t>Scrat Pack, Crystal Archer, Crystal Golem, Fireball, Mana Puff</t>
  </si>
  <si>
    <t>The perks</t>
  </si>
  <si>
    <t>Hearthstone, Brawlhalla, COD BO4</t>
  </si>
  <si>
    <t>Gameplay, Collecting Cards/Masters, It feels like fighting game mixed with CCG. Like Sirlin's Yomi but real-time.</t>
  </si>
  <si>
    <t>To get strong options</t>
  </si>
  <si>
    <t>Nothing particular. I like strong cards with multiple purposes but not braindead OP.</t>
  </si>
  <si>
    <t>I'm playing around week and half. Seems strong for me and not overcomplicated. And not disgusting like Ratbo.</t>
  </si>
  <si>
    <t>I'm playing since 7 or so. Now I'm 30. I played literally everything that I could put my hands on till 20. But for 17-23 I played fighting games really competitively and almost exclusively. Nowadays I'm on Blizzard needle. Overwatch a little (GM), some HS. Mahjong IRL. A lot of Destiny 2.</t>
  </si>
  <si>
    <t>Mana Puff, Xiao Long, Cleaver, Plasma Marines, Succubus</t>
  </si>
  <si>
    <t>I liked his designe</t>
  </si>
  <si>
    <t>League of Legends. Clash Royle.</t>
  </si>
  <si>
    <t>Binding of Isaac, DOTA, Hearthstone</t>
  </si>
  <si>
    <t xml:space="preserve">Plasma Marines, Scott, Xiao Long, </t>
  </si>
  <si>
    <t>I like to have more range</t>
  </si>
  <si>
    <t>tranquil shi-hou, swarmers, plasma marines, sniper scrat and harbinger.</t>
  </si>
  <si>
    <t>League of legends, rainbo 6 siege, assassin's creed, the witcher, shadow of war.</t>
  </si>
  <si>
    <t>Buying a 1950 ruby item set with 5 troubadours last week</t>
  </si>
  <si>
    <t>Troubadour, chain lightning, Mordor's tombstone, Annihilator, daggerfall</t>
  </si>
  <si>
    <t>I enjoy the counter play and ability to get massive tempo off of playing a card correctly. I like running small minions in my mordor deck and still getting revives on troubadour/annihlator/xiao long</t>
  </si>
  <si>
    <t>Hearthstone, clash royale, PUBG, Slay the Spire, red dead redemption 2, dark souls 1-3 + bloodbourne, mario party switch, mario odyssey</t>
  </si>
  <si>
    <t>Any Scrats cards</t>
  </si>
  <si>
    <t>all that can rush</t>
  </si>
  <si>
    <t>op</t>
  </si>
  <si>
    <t>Morclur The Swarmer King, Cursebearer, Cleaver, Propeller Horse, Last Stand</t>
  </si>
  <si>
    <t>I like his Tombstones and AoE basic attacks.</t>
  </si>
  <si>
    <t>Dragalia Lost, Shadowverse</t>
  </si>
  <si>
    <t>Wheel of doom, Plasma marines, Prowler, Harbinger, Cleaver</t>
  </si>
  <si>
    <t>First obtained champion</t>
  </si>
  <si>
    <t>Warhammer 2, Rainbow six, League of Legends</t>
  </si>
  <si>
    <t>season pass and power tokens</t>
  </si>
  <si>
    <t>colossus, azali, gorrakk sacrifice, spiritmancer, blood imps</t>
  </si>
  <si>
    <t>free minions</t>
  </si>
  <si>
    <t>rainbow six siege, forza horizon 4</t>
  </si>
  <si>
    <t>Shooter, MMO, BR</t>
  </si>
  <si>
    <t>Randomness</t>
  </si>
  <si>
    <t>Csgo, hearthstone</t>
  </si>
  <si>
    <t>Gameplay, Graphics, Collecting Cards/Masters, This is a better version of hearthstone in my opinion. Took the idea of Masters to a new level which is balanced and fun!</t>
  </si>
  <si>
    <t>Master and arena skins</t>
  </si>
  <si>
    <t>Xiao Long, Crystal Sentry, Annihilator, Soul Stealer, Crystal Construct</t>
  </si>
  <si>
    <t>She works the best with the deck I’m going for. Gives a ranged tank card and a free spell card to use.</t>
  </si>
  <si>
    <t>League of legends, Hearthstone, Destiny 2, Back Ops 4</t>
  </si>
  <si>
    <t>Armored Escort, Musketeer, Colossus, Blood Imps, Combustion</t>
  </si>
  <si>
    <t>OP...cough cough i mean fun and engaging</t>
  </si>
  <si>
    <t>League, Hearthstone, COD, CS:GO, MTG arena</t>
  </si>
  <si>
    <t xml:space="preserve">Stun Lanchers, Sniper scrat,  Demon warrior, shi hou, divine warrior </t>
  </si>
  <si>
    <t>Not tried any of the othere yet</t>
  </si>
  <si>
    <t xml:space="preserve">Rocket League, Clash Royale, Project zomboid, </t>
  </si>
  <si>
    <t>Soulstealer, defenso choper, xiao long, stun blast, walking blind date</t>
  </si>
  <si>
    <t>Random cards give some juice to stereotype... Make you think on the go... Shortly, every game is little different...</t>
  </si>
  <si>
    <t>Metroidvanias (like Hollow Knight), League of legends (sometimes), logic/card/puzzle games (especially with rpg elements, like Gems of War)</t>
  </si>
  <si>
    <t>Morgrul the Swarmer King</t>
  </si>
  <si>
    <t>Black Hole, Hypnotize, Succubus, Combustion, Dragonball</t>
  </si>
  <si>
    <t>Very well rounded and fun to play.</t>
  </si>
  <si>
    <t>Titan Quest, Tales of Maj'Eyal, Binding of Isaac</t>
  </si>
  <si>
    <t>Premade Duo, Expeditions, Mayhem Duo</t>
  </si>
  <si>
    <t>better acount</t>
  </si>
  <si>
    <t>soulstealer, spiritmancer, stunlancers, assassin, xialong</t>
  </si>
  <si>
    <t>big minions :D</t>
  </si>
  <si>
    <t>lol</t>
  </si>
  <si>
    <t>For the premium upgrade</t>
  </si>
  <si>
    <t>Scrat Pack / Black Hole / Dragon Ball / Defenso Chopper / Divine Warrior</t>
  </si>
  <si>
    <t>Because Puffs are cute</t>
  </si>
  <si>
    <t>Hearthstone, Factorio, MTG Arena, RimWorld, Dwarf Fortress...</t>
  </si>
  <si>
    <t>Ajax world destroyer, chain lightning, mini puff madness, cleaver, flying dude that gains attack speed on kills</t>
  </si>
  <si>
    <t>Fun spellcaster</t>
  </si>
  <si>
    <t xml:space="preserve">Dead by daylight, league of legends </t>
  </si>
  <si>
    <t>Elven Archers, Fiery Dragons, Turret, Stun Lancers, Avatar</t>
  </si>
  <si>
    <t>His minions from leveling allow different card combonations than normal</t>
  </si>
  <si>
    <t>WoW, Fallout, Hearthstone, CoD, BF</t>
  </si>
  <si>
    <t>Chain lightning, Priestess, Scrat horde, Drone buzzers, Raging Reinforcements</t>
  </si>
  <si>
    <t>She was the only master I liked from the ones that were f2p when I started playing.</t>
  </si>
  <si>
    <t>Pretty much everything except simulation games, online games I play at the moment are: Dead by daylight, League of Legends, Overwatch, and Warframe.</t>
  </si>
  <si>
    <t>Crystal Archers</t>
  </si>
  <si>
    <t>Battle Pass, Masters</t>
  </si>
  <si>
    <t>I like spell rotation</t>
  </si>
  <si>
    <t>League of Legends, Clash Royale, Slay the Spire, Bad North</t>
  </si>
  <si>
    <t xml:space="preserve">Brutus is fun! Frenzy is fun! Master himself has good attack Speeds for Defense. </t>
  </si>
  <si>
    <t>LeagueOfLegends, Destiny2, MagicTheGatheringArena, Hearthstone, Diablo II, Pub-G, KnightOnline</t>
  </si>
  <si>
    <t>Solo, Duo, Draft, Expeditions, Mayhem Solo, Mayhem Duo</t>
  </si>
  <si>
    <t>his abilities are my favorite to work with</t>
  </si>
  <si>
    <t xml:space="preserve">league, cod, fortnite, </t>
  </si>
  <si>
    <t>Regularly, I play more than 20 games of different kind. However, there are no other "card" games.</t>
  </si>
  <si>
    <t>Snake  Druid,  Harbringer, Wizard Puff, Styxi,  Re-Boomer</t>
  </si>
  <si>
    <t>I used to  absolutely love his stalling playstyle after winning  my first  arena run with this sort of deck, then  climbing  to a very high rank  and almost beating the #1 player with it. I  enjoy the idea  of  4  and 5  power  minions being buffed too,  but  it's not the  same any more a nd he doesn't feel quite right -  nonetheless, I still  enjoy his playstyle a  lot!</t>
  </si>
  <si>
    <t>Rainbow Six: Siege, Crusader Kings 2, Heroes of the Storm,  Overwatch</t>
  </si>
  <si>
    <t>Daggerfall</t>
  </si>
  <si>
    <t>I have no money</t>
  </si>
  <si>
    <t xml:space="preserve">1. Assassin 2. Flame Imp 3. Magma Storm 4. Succubus 5. Morgrul the Swarmer King </t>
  </si>
  <si>
    <t xml:space="preserve">Bridge swap is a high skill ceiling spell that feels really satisfying and mentally intensive to use to its fullest potential. Puff's 2nd perk creates interesting deckbuilding choices and interesting opportunities to reach new damage thresholds with rage units or improve matchups against certain things e.g. cleaver with shielded units. The 3rd perk is somewhat uninteresting but feels strong and satisfying to make use of. </t>
  </si>
  <si>
    <t>League of Legends, Battlerite, XCOM, Factorio, Rimworld to name a few</t>
  </si>
  <si>
    <t>Because paying for a well made free to play game, that has a fair business model, feels like giving the money to the right people, that do not only want to make money, but also a good game</t>
  </si>
  <si>
    <t>Fun abilities</t>
  </si>
  <si>
    <t xml:space="preserve">I like spells </t>
  </si>
  <si>
    <t>Legionnaires, Dragon Ball, Whirly Scrat, Rammer, Shock Rock</t>
  </si>
  <si>
    <t>Every time you play him, you play with a new deck and have to use different tactics</t>
  </si>
  <si>
    <t>Other indie steam games or games on sale. Recently played Reassembly and Slay the Spire</t>
  </si>
  <si>
    <t>colossus</t>
  </si>
  <si>
    <t>Dragon Ball</t>
  </si>
  <si>
    <t xml:space="preserve">Im not at my computer so i dont remember their names </t>
  </si>
  <si>
    <t>She got a strong range attack, her ability to enter the battlefield is very good and her third perk stuns and do more damage</t>
  </si>
  <si>
    <t>WoW, cod black ops 4. CS:GO</t>
  </si>
  <si>
    <t xml:space="preserve">Portopoddy storm lancer </t>
  </si>
  <si>
    <t>Best ability solo</t>
  </si>
  <si>
    <t>Lots</t>
  </si>
  <si>
    <t>Bundled with premium upgrade</t>
  </si>
  <si>
    <t xml:space="preserve">Assassin, Divine Warrior, Harbinger, Scrat Tank, and Commander Azali </t>
  </si>
  <si>
    <t>Call of Duty, Battlefield, Starcraft, Fallout 76, Overwatch, Rocket League</t>
  </si>
  <si>
    <t>Any Swarmers</t>
  </si>
  <si>
    <t xml:space="preserve">i like big melee weapons </t>
  </si>
  <si>
    <t>WoW, LoL, OW.</t>
  </si>
  <si>
    <t>Solo, Premade Duo, Draft, Expeditions</t>
  </si>
  <si>
    <t>Empowered Soul Stealer, Future Past, Future Present, Heal Puff and Scrat Horde</t>
  </si>
  <si>
    <t>i've played with it when it was on free rotation, then i got it from the MMVOLCO code and ever since the fist game i played with it i liked it a lot. so i ended playing with it always</t>
  </si>
  <si>
    <t>that's hard. manly alot of emulators, and i've been playing destiny 2 alot since it became free for a limited time.</t>
  </si>
  <si>
    <t>master and cards</t>
  </si>
  <si>
    <t>i love magic</t>
  </si>
  <si>
    <t>clash royale league of legends</t>
  </si>
  <si>
    <t>puff mania, morgrul, undying skelly, demon warrior and Blind date</t>
  </si>
  <si>
    <t>she has  very neat way of playing that the other masters just dont have.  her third perk is a little bland as it could be like one mana off 4+ mana spells</t>
  </si>
  <si>
    <t>Dead by daylight, warframe, rainbow six seige</t>
  </si>
  <si>
    <t xml:space="preserve">shock rock wall dragon ball assassin infiltration </t>
  </si>
  <si>
    <t>個性的なデッキを作りやすいから</t>
  </si>
  <si>
    <t>i bought the premier pack (for the account upgrades) and used the rubies to purchase the battle pass. Keep up the great work guys!</t>
  </si>
  <si>
    <t>harbinger, daggerfalll, divine warrior, stun lancers, living statue</t>
  </si>
  <si>
    <t>mostly for his ranged attacks, but also synergy with ranged minions</t>
  </si>
  <si>
    <t>rocket league, hearthstone, fortnite</t>
  </si>
  <si>
    <t>I bought premium acc update to support your game, while dont actually need rubies or other stuff from it</t>
  </si>
  <si>
    <t>Fire Imp, Morgul, Rabid Prowler, Living Statue, Plasma Marines</t>
  </si>
  <si>
    <t>all masters are great, I just play ravager for most time now</t>
  </si>
  <si>
    <t>Path of Exile, Warframe, 7 Days to die, Payday 2</t>
  </si>
  <si>
    <t>Gameplay, Collecting Cards/Masters, Deck strategy</t>
  </si>
  <si>
    <t>Styxi, rammer, spiritmancer, colosus, screaming scrat</t>
  </si>
  <si>
    <t>It was really tough, but the res value is very satisfying</t>
  </si>
  <si>
    <t>Path of exile, monster Hunter, eternal, almost anything else</t>
  </si>
  <si>
    <t>he is free</t>
  </si>
  <si>
    <t>Hearthstone, LOL, CS:GO, Battlerite, Atlas reactor</t>
  </si>
  <si>
    <t>First starting to build collection and then buying the founder's pack</t>
  </si>
  <si>
    <t>Flame Imp, Spiritmancer, Styxi, Sniper Squad, Cleaver</t>
  </si>
  <si>
    <t>I find his Brutus to be a really fun mechanic</t>
  </si>
  <si>
    <t>Heroes of the Storm, FFXIV, The Alchemist Code</t>
  </si>
  <si>
    <t>blastmancer-spiritmancer-shock rock-unddying skeleton-divine warrior.</t>
  </si>
  <si>
    <t>let dead die for u :D</t>
  </si>
  <si>
    <t>DOTA 2 - Fortntie .</t>
  </si>
  <si>
    <t>Depends on deck build and meta</t>
  </si>
  <si>
    <t>Mana Puff</t>
  </si>
  <si>
    <t>Incubus</t>
  </si>
  <si>
    <t>Red Golem, Dragon Whelp, Warrior, Fireball, Hypnotize</t>
  </si>
  <si>
    <t>Fun Spam</t>
  </si>
  <si>
    <t>League of Legends, MTG</t>
  </si>
  <si>
    <t>Gameplay, Collecting Cards/Masters, Constructing decks</t>
  </si>
  <si>
    <t>Battle Pass and some other stuff in daily offers</t>
  </si>
  <si>
    <t>Great mechanic, skill needed</t>
  </si>
  <si>
    <t>No any others. Sometimes i play in ps4</t>
  </si>
  <si>
    <t>divine warrior should nerfed (may be 7 second)</t>
  </si>
  <si>
    <t>heroes of the storm (moba from blizzard)</t>
  </si>
  <si>
    <t xml:space="preserve">Sucubuss, Blastmancer, ghost, beam of doom, black hole </t>
  </si>
  <si>
    <t>tombstones</t>
  </si>
  <si>
    <t>warframe</t>
  </si>
  <si>
    <t>Defenso Chopper</t>
  </si>
  <si>
    <t xml:space="preserve">Look of the master but i think they all look too generic. </t>
  </si>
  <si>
    <t>FPS</t>
  </si>
  <si>
    <t>to get permanent bonuses</t>
  </si>
  <si>
    <t>assassin, blastermancer, morgrul the swarmer king, whirly scrat, armored escort</t>
  </si>
  <si>
    <t>i like to play with ranged minions</t>
  </si>
  <si>
    <t>Neverwinter Nights Enhanced Edition, Clash Royale</t>
  </si>
  <si>
    <t>Season Pass</t>
  </si>
  <si>
    <t>Sucubus, Incubus, Prowler, Tranquil Shi-Hou, Musketeer</t>
  </si>
  <si>
    <t>Before the last update, she was the hardest master to play with and she's stylish and I like her perks</t>
  </si>
  <si>
    <t>Metal Gear Solid, Fallout, Moun And Blade, Terraria, Darkwood, Insurgency, Days of Infamy</t>
  </si>
  <si>
    <t>Premium upgrade only (mainly did it for the rubies)</t>
  </si>
  <si>
    <t>Troubadour, Wheel of Doom, Dragon Whelp, Armored Escort, Netherstep</t>
  </si>
  <si>
    <t>Prowler</t>
  </si>
  <si>
    <t>I like spellcasting, and she has nice skins.</t>
  </si>
  <si>
    <t>Guild Wars 2, League of Legends, Hearthstone, Slay the Spire, Don't Starve</t>
  </si>
  <si>
    <t>Battlepass and Skins</t>
  </si>
  <si>
    <t>Bridge swapping is fun!</t>
  </si>
  <si>
    <t>Too too many</t>
  </si>
  <si>
    <t>to soon</t>
  </si>
  <si>
    <t>good for range units pwnage</t>
  </si>
  <si>
    <t>Heartstone, duelyst, faeria etc</t>
  </si>
  <si>
    <t>Don't know the names in english</t>
  </si>
  <si>
    <t>Game breaking abilities</t>
  </si>
  <si>
    <t>Factorio, Rocket League, Hearthstone, Hots</t>
  </si>
  <si>
    <t>Don't have any</t>
  </si>
  <si>
    <t>cursebearer, blastmancer, colossus, prowler, rabid prowler</t>
  </si>
  <si>
    <t>it's fits my style of play</t>
  </si>
  <si>
    <t>Heroes of the Storm, MapleStory 2, Elder Scrolls</t>
  </si>
  <si>
    <t>Crossbow Guild</t>
  </si>
  <si>
    <t>Fire imp; cheese date; black hole; snake druid; assassin</t>
  </si>
  <si>
    <t>he looks funny and his swap spell</t>
  </si>
  <si>
    <t>Magic the gathering: arena; Hitman 2</t>
  </si>
  <si>
    <t>Gameplay, Competitions/Tournaments, achievements, fast matches</t>
  </si>
  <si>
    <t>stone golem, succubus, spell that makes enemies your allies, stream of doom, crossbow dudes guild</t>
  </si>
  <si>
    <t>mana surge cards</t>
  </si>
  <si>
    <t>horror games, fast FPS, mobile moba, dorky/funny games</t>
  </si>
  <si>
    <t xml:space="preserve">Succubus, Last Stand, Infiltration, Scott, Whirly Scrat </t>
  </si>
  <si>
    <t>Perks and Overall Design</t>
  </si>
  <si>
    <t>LOL GW2 ROE PUBG Hearthstone Diablo3 Sims 3&amp;4</t>
  </si>
  <si>
    <t>Battlepass and I bought the premium edition bout a year ago</t>
  </si>
  <si>
    <t xml:space="preserve">Future Present, Crystal construct, thelec, xiao long, musketeer </t>
  </si>
  <si>
    <t>Liked the look and also a lot of cool plays you can do</t>
  </si>
  <si>
    <t>Dragon Ball Xenoverse, darkest dungeon, borderlands. Those are the ones Ive been playing lately anyways</t>
  </si>
  <si>
    <t>cleaver, elf archers, snipers, healing ball, priest</t>
  </si>
  <si>
    <t>control</t>
  </si>
  <si>
    <t>hots</t>
  </si>
  <si>
    <t>Gor'Rakk Brutes, Stun lancers, Dragon Pack, Cheese Date, and Sniper Squad.</t>
  </si>
  <si>
    <t>because  shes fun to use</t>
  </si>
  <si>
    <t>Garrys mod, Roblox, dont starve together, and Brawlhalla</t>
  </si>
  <si>
    <t>Spiritmancer</t>
  </si>
  <si>
    <t>Duo, Expeditions, Mayhem Solo</t>
  </si>
  <si>
    <t>Necromancers are the best! ;)</t>
  </si>
  <si>
    <t>1400 Games on my account, so alot more than I care to list</t>
  </si>
  <si>
    <t>Cursebringer, Drone Walker, Scott The Sensitive Savage, ATG Drone, Spiritmancer</t>
  </si>
  <si>
    <t>Reviving value minions feels great.</t>
  </si>
  <si>
    <t>NCAA 14, Gran Turismo 4, Homebrew Vehicle Sandbox, MTG, Pokemon Stuff, CSGO.</t>
  </si>
  <si>
    <t>Baby Dragon, Crossbow Guild, Magma Launcher, ST Int, Eradicator</t>
  </si>
  <si>
    <t>I have tons of range-based cards, and ranged hits nearly everything in this game.</t>
  </si>
  <si>
    <t>Nowadays, mainly For Honor, Fortnite, Kingsway, and Stick Fight</t>
  </si>
  <si>
    <t>Shop/masters</t>
  </si>
  <si>
    <t>Arcane Construct, Magic Missile, fireball, daggerfall, Inflitration</t>
  </si>
  <si>
    <t>I like spell based decks</t>
  </si>
  <si>
    <t>R6 Siege, FF14, League of Legends, Heroes of the Storm, Dark Souls</t>
  </si>
  <si>
    <t>Blind Date</t>
  </si>
  <si>
    <t>Probably the crystal archers, gorrakks sacrifice, Blue golem, crystal anarchist, grenadier</t>
  </si>
  <si>
    <t>His marksmanship on ranged units is so nice.</t>
  </si>
  <si>
    <t xml:space="preserve">Destiny 2, Overwatch, Fortnite, Rainbow 6, Clash Royale, </t>
  </si>
  <si>
    <t>to buy the battle pass (rubies were in cluded in the premium upgrade)</t>
  </si>
  <si>
    <t>Cursebearer,asassin,drone buzzers, spear throwers and Harbinger</t>
  </si>
  <si>
    <t>Because his perks are good for control, and his damage to cards is also decent.</t>
  </si>
  <si>
    <t>League of legends, overwatch, fortnite</t>
  </si>
  <si>
    <t>New to the game. Dont know alot of cards as yet</t>
  </si>
  <si>
    <t>LoL destiny 2 killing floor 2 overwatch</t>
  </si>
  <si>
    <t>Stun Lancers, Infiltration, Shars'rakk Twins, Fire Ball, Swarmers</t>
  </si>
  <si>
    <t xml:space="preserve">Abilities to ranged troops, nice design, nice voicelines, nice skins. </t>
  </si>
  <si>
    <t>Fortnite, Overwatch</t>
  </si>
  <si>
    <t>1. Harbinger, 2. Arcane Golem, 3. Guardian, 4. Lightning Bolt, 5. Future past</t>
  </si>
  <si>
    <t>I prefer to play duo.. And that leads to me really enjoying a kind of support build that works great with 5-6 spells wich Milloween prefers!</t>
  </si>
  <si>
    <t>Burn the Bridges</t>
  </si>
  <si>
    <t>Gwent, Heroes of the storm, Ghost recon wildlands. Basically what my friends want to play</t>
  </si>
  <si>
    <t>Scott the Sensitive Savage</t>
  </si>
  <si>
    <t>I win a lot. I just started playing, so I'm not bored yet. I like the graphics, make Milloween's panties HD. And give me more sexy and cute stuff lol. More stuff to do besides ranked games and draft would be nice.</t>
  </si>
  <si>
    <t>No! I've only unlocked about 35. I like the female elves, for obvious reasons. I don't like cards that work only in specific decks. Making niche cards more versatile is healthy for the game. This problem mostly occurred to me in draft, where my cards might not work together at all.</t>
  </si>
  <si>
    <t>I can see her panties. No, seriously. And she has boob physics. Her special skins aren't sexy enough though.</t>
  </si>
  <si>
    <t>Mobile games, I have some free time but I don't feel like investing myself in the games I've bought on pc because I'm more focused on school right now.</t>
  </si>
  <si>
    <t>Musketeer, Gaurdian, Mana puff, Banner Man, Rammer.</t>
  </si>
  <si>
    <t>The Free 2 and 4 mana cards and tower defense structure.</t>
  </si>
  <si>
    <t>Rust, Fallout New Vegas, Rainbow Six Seige</t>
  </si>
  <si>
    <t xml:space="preserve">sniper </t>
  </si>
  <si>
    <t>because he is good at overfloing</t>
  </si>
  <si>
    <t>Whirly Scrat</t>
  </si>
  <si>
    <t>overwatch</t>
  </si>
  <si>
    <t>Annihilator, Prowler, Tranquil shi-hou, lightning bolt</t>
  </si>
  <si>
    <t>Free big minions</t>
  </si>
  <si>
    <t>Smite, diablo 3, magic the gathering</t>
  </si>
  <si>
    <t>Feels so cool dropping her in</t>
  </si>
  <si>
    <t>Sc2</t>
  </si>
  <si>
    <t>Gameplay, Collecting Cards/Masters, Theory Crafting decks and finding interesting card interactions</t>
  </si>
  <si>
    <t>Solo, Duo, Premade Duo, Expeditions, Mayhem Solo</t>
  </si>
  <si>
    <t>To gain access to the game</t>
  </si>
  <si>
    <t>Combustion re-boomer propeller-hoard gor'rak-sacrifice tranquil-shi-sho</t>
  </si>
  <si>
    <t>Combination of play style and asthetic.  I similarly enjoy King Puff and Milloween's play styles.  This masters tend to have more complex card interactions and more active play styles.</t>
  </si>
  <si>
    <t>Heat Signature, Warhammer vermintide 2, too many others to list at an infrequent rate</t>
  </si>
  <si>
    <t>Golem,Golem rouge, fantome,succube,lanceurs etourdissants</t>
  </si>
  <si>
    <t>revive the cards</t>
  </si>
  <si>
    <t>clash royal, earth stones</t>
  </si>
  <si>
    <t>Rammer</t>
  </si>
  <si>
    <t>Gameplay, Graphics, Collecting Cards/Masters, The ability to teamplay, or play against,  a friend, or a group of friends</t>
  </si>
  <si>
    <t>Activating the full season pass</t>
  </si>
  <si>
    <t>Guerrier Divin, Mirage Drone, Éclair, Psychomancien, Colosse</t>
  </si>
  <si>
    <t>The ability to ressurect a minion for no mana is one of the strongest Total Mana-on-the-map champion, and can flood an oppenent if well used</t>
  </si>
  <si>
    <t>Master Skins -- TOO EXPENSIVE!</t>
  </si>
  <si>
    <t xml:space="preserve">Defenso chopper, Scrat Pack, Assassin, legionaries </t>
  </si>
  <si>
    <t>Perk 2 for solo's</t>
  </si>
  <si>
    <t>Ark, 7 days to die, PUBG</t>
  </si>
  <si>
    <t>Blue Golem, Living Statue, Swarmers, Gnat Army, Netherstep</t>
  </si>
  <si>
    <t>I love spamming things like gnats during the game</t>
  </si>
  <si>
    <t>CSGO, LoL, R6, Minecraft, Terraria, The Binding of Isaac, Enter the Gungeon</t>
  </si>
  <si>
    <t>quick wins</t>
  </si>
  <si>
    <t>I have no job, because i don't have enough money.</t>
  </si>
  <si>
    <t xml:space="preserve">Demon Warrior, Blind Date, Stun Lances, Annihilator, Sniper Scrat </t>
  </si>
  <si>
    <t>Because it's a real time card game.</t>
  </si>
  <si>
    <t>Hots, Dota, Hearthstone, Overcoocked</t>
  </si>
  <si>
    <t>The Twins, The Demon guy(can't remember name), The Archer building, any 0 cost cards really, the fireball one that summons a whelp</t>
  </si>
  <si>
    <t>The overall balance and long range he gets late game</t>
  </si>
  <si>
    <t>Space Engineers, Heartstone, Overwatch, and Minecraft</t>
  </si>
  <si>
    <t>hots, fortnite, hearthstone, the long dark</t>
  </si>
  <si>
    <t>swarmers, stint, morgrul, flightless dragons, magma storm</t>
  </si>
  <si>
    <t>Fun to play, balanced</t>
  </si>
  <si>
    <t>if upgrading account counts.</t>
  </si>
  <si>
    <t>was rabid prowler till nerf. collosus, scrat horde, dragonball, beam, divine warrior</t>
  </si>
  <si>
    <t>really good in 2v2, balanced master</t>
  </si>
  <si>
    <t>Heroes of the Storm, Hearthstone, World of Warcraft mainly, and some fps</t>
  </si>
  <si>
    <t>Collecting Cards/Masters, Playing with friends</t>
  </si>
  <si>
    <t>Cheese!!, Outhouses</t>
  </si>
  <si>
    <t>I haven't experienced the other masters yet</t>
  </si>
  <si>
    <t>FFXIV, League of Legends, Town of Salem, Minecraft, Overwatch</t>
  </si>
  <si>
    <t>Dragon Ball, Defenso Chopper, Whirly Scrat, Xiao Long, Divine Warrior, Crystal Archers</t>
  </si>
  <si>
    <t>Good Tempo Pushes</t>
  </si>
  <si>
    <t>Hearthstone, Skyrim: Legends, Starcraft 2, Pokemon TCG Online, Warframe, Path of Exile.</t>
  </si>
  <si>
    <t xml:space="preserve">Re-Boomer, Blind Date, Future Present, Incubus, and Succubus </t>
  </si>
  <si>
    <t>I just played him once (via code) and he just stuck with me.</t>
  </si>
  <si>
    <t>ROBLOX (lmao), a good chunk of the Monster Hunter franchise, a lot of RPG Maker games, I frequent the Halo series and I play COD Black Ops (1).</t>
  </si>
  <si>
    <t>Mordar's Tombstone</t>
  </si>
  <si>
    <t>Chain Lightning</t>
  </si>
  <si>
    <t>I'm new to the game and trying stuff out.</t>
  </si>
  <si>
    <t xml:space="preserve">Fortnite, Surviv.io, Terraria, Roblox. </t>
  </si>
  <si>
    <t>Because of the premium pack</t>
  </si>
  <si>
    <t>I love mid-ranged playstyles</t>
  </si>
  <si>
    <t>League of legends, destiny, Mtg, borderlands, civ 5</t>
  </si>
  <si>
    <t>Lanceiros atordoantes, encontro às cegas, Styxi, predador e encontro às cegas ambulante</t>
  </si>
  <si>
    <t xml:space="preserve">Por causa de suas habilidades </t>
  </si>
  <si>
    <t>Dota 2, Creative Destruction</t>
  </si>
  <si>
    <t>New, legendary or epic cards. And for the ultimate package</t>
  </si>
  <si>
    <t>The Golem gets really strong with 3rd buff. Also the free spell - 2. skill, is quite decent.</t>
  </si>
  <si>
    <t>TW Warhammer 2, Vermintide 2, Clash Royal (strong "similiarities" (;  ), Sykrim, BDO, etc.</t>
  </si>
  <si>
    <t>Cursebearer</t>
  </si>
  <si>
    <t>Easy for me as a new player</t>
  </si>
  <si>
    <t>Hearthstone, overwatch, rocket league, quake champions</t>
  </si>
  <si>
    <t>Skins and shop deals</t>
  </si>
  <si>
    <t xml:space="preserve">Harbinger, Xao, Whirley Scrat, Rabid Prowler,  </t>
  </si>
  <si>
    <t>Brutus is a great tank for a final push</t>
  </si>
  <si>
    <t xml:space="preserve">FPS, this is my first card game </t>
  </si>
  <si>
    <t>New Cards</t>
  </si>
  <si>
    <t>Skyrim Legends, Planet Coaster, Jurassic World and many mor</t>
  </si>
  <si>
    <t>Banner Man</t>
  </si>
  <si>
    <t>Soul Stealer</t>
  </si>
  <si>
    <t>Solo, Duo, Draft, Mayhem Solo</t>
  </si>
  <si>
    <t>das lezte gefecht; Trittbrett; himmelskriegerin</t>
  </si>
  <si>
    <t>versatile</t>
  </si>
  <si>
    <t xml:space="preserve">World of warcraft </t>
  </si>
  <si>
    <t>Getting some stuff :D not sure what it was tbh. should be a bit of everything</t>
  </si>
  <si>
    <t>Morgul, Prowler, Xiao, Plasma Marines &amp; Healing Fireball</t>
  </si>
  <si>
    <t>I like his ability and his look</t>
  </si>
  <si>
    <t>Ark Survival Evolved, Rainbow Six Siege, Clash Royale and some of the classics like Unreal Tournament, Mario 64......</t>
  </si>
  <si>
    <t>More Dakka!</t>
  </si>
  <si>
    <t>Scrat Horde</t>
  </si>
  <si>
    <t>Blind Date, Fire Imp, Chain Lightning, Colossus and enpowered soul stealer</t>
  </si>
  <si>
    <t>I like the look and play style</t>
  </si>
  <si>
    <t>Duo, Draft, Expeditions</t>
  </si>
  <si>
    <t>Mana puff, heal puff, wizard puff (i like the puffs, they are cute), colossus, fire imp</t>
  </si>
  <si>
    <t>The stun across bridge, capture both bridges with, ITS A PUFF</t>
  </si>
  <si>
    <t>I stopped playing most games as i usually play this now</t>
  </si>
  <si>
    <t>crystal archer, harbinger, jade dragon, arcane golem, beam of doom</t>
  </si>
  <si>
    <t>like the looks and the perks, think stormbringer and king puff seem stronger though</t>
  </si>
  <si>
    <t>Shield Totem</t>
  </si>
  <si>
    <t>heroes of the storm, ff14, couple mobile games like dragonball legends or star wars heroes of galaxy</t>
  </si>
  <si>
    <t>Drone Force One</t>
  </si>
  <si>
    <t>Styxi</t>
  </si>
  <si>
    <t>Started with him but like the long range attack</t>
  </si>
  <si>
    <t>Hots, wow, botw</t>
  </si>
  <si>
    <t>Battle Pass, Shop</t>
  </si>
  <si>
    <t>Succubus, Succubus, Succubus, Succubus, Succubus</t>
  </si>
  <si>
    <t>He's a spooky skeleton with ghost fire, why wouldn't I choose him.</t>
  </si>
  <si>
    <t>Warhammer 2, Warframe, Guild Wars 2, Planetside 2, Starcraft 2, Oh, I'm noticing a pattern here.</t>
  </si>
  <si>
    <t>master skins</t>
  </si>
  <si>
    <t>skill</t>
  </si>
  <si>
    <t>Get Stuff</t>
  </si>
  <si>
    <t>I like his powers</t>
  </si>
  <si>
    <t>Blastmancer</t>
  </si>
  <si>
    <t>Battle pass and Skins</t>
  </si>
  <si>
    <t>Cursebearer, Rammer, Morgul, Chain lightening</t>
  </si>
  <si>
    <t xml:space="preserve">The resurrect </t>
  </si>
  <si>
    <t>Blood Bowl 2, Dark and Light</t>
  </si>
  <si>
    <t>I love it that he gets the unlimited range and better range for his minions.</t>
  </si>
  <si>
    <t>Smite</t>
  </si>
  <si>
    <t>Divine Warrior, Incubus, Blind Date, Whirly Scrat, Assassin</t>
  </si>
  <si>
    <t>Overwatch, GW2, WoW</t>
  </si>
  <si>
    <t>Blue Golem</t>
  </si>
  <si>
    <t>Don't know the names</t>
  </si>
  <si>
    <t>Trick Swap</t>
  </si>
  <si>
    <t>Support the development of a game I really enjoy.</t>
  </si>
  <si>
    <t>Black Hole, Scott, Curse Bearer, Wheel of Doom, Prowler</t>
  </si>
  <si>
    <t>King Puff influences both how you build your deck and how you play. In addition the small randomness allows each cycle through your deck to feel different.</t>
  </si>
  <si>
    <t>Scrat Pack</t>
  </si>
  <si>
    <t>I'm afraid that I don't really have time for more than 1 game right now.</t>
  </si>
  <si>
    <t>Future Present</t>
  </si>
  <si>
    <t>musketeer, prowler future past,future present, blastmancer</t>
  </si>
  <si>
    <t>free cards</t>
  </si>
  <si>
    <t>for honor,move or die(Good game btw), bad north</t>
  </si>
  <si>
    <t>Living Statue</t>
  </si>
  <si>
    <t>AtG Drone X8</t>
  </si>
  <si>
    <t>Mana puff, spiritmancer, commander azali, priestess</t>
  </si>
  <si>
    <t>He is adorable, and I like how he messes with arena</t>
  </si>
  <si>
    <t>Paladins, supreme commander, command and conquer</t>
  </si>
  <si>
    <t>Dragon Whelp</t>
  </si>
  <si>
    <t>Buy the Pass</t>
  </si>
  <si>
    <t>1-Xiao Long. 2-Morgrul. 3-Scrat Horde 4-Propeller Horde 5-Rammer</t>
  </si>
  <si>
    <t>A lot of poke potential</t>
  </si>
  <si>
    <t>League of legends, Hearthstone, Witcher 3, Dead by Daylight</t>
  </si>
  <si>
    <t>for the upgrade, thing, just so I can progress faster</t>
  </si>
  <si>
    <t xml:space="preserve">screaming scrat, </t>
  </si>
  <si>
    <t>Blast Entry</t>
  </si>
  <si>
    <t>Mordar has a high skill cap, I'm bad at him but whatever</t>
  </si>
  <si>
    <t>Musketeer</t>
  </si>
  <si>
    <t>Don't know the names in English</t>
  </si>
  <si>
    <t>Just for Premium.</t>
  </si>
  <si>
    <t>Scheinhackebeil, Kommandantin Azali, Zeppelin-Bomber, Mana-Hauch-Wahnsinn, Schreiender Scrat</t>
  </si>
  <si>
    <t>Because I like spam.</t>
  </si>
  <si>
    <t>Scrat Tank</t>
  </si>
  <si>
    <t>Warframe. Nothing more yet.</t>
  </si>
  <si>
    <t>Boomer</t>
  </si>
  <si>
    <t>Solo, Premade Duo, Expeditions, Mayhem Solo, Mayhem Duo</t>
  </si>
  <si>
    <t>Walking Blind Date</t>
  </si>
  <si>
    <t>BP</t>
  </si>
  <si>
    <t>Harbinger, "Stuntank", Annihilator, Guardian, Fire-Imp</t>
  </si>
  <si>
    <t>Shoots whole map</t>
  </si>
  <si>
    <t>Rocket League, COD 4, Fortnite</t>
  </si>
  <si>
    <t>Just for premium</t>
  </si>
  <si>
    <t>Xiao Long, Morgrul, Schreiender Scrat, Dämonenkrieger, Störhauch</t>
  </si>
  <si>
    <t>Bazooka Scrat</t>
  </si>
  <si>
    <t>Nützliches Schild und gute Karten</t>
  </si>
  <si>
    <t>Gears of War 1-4, Forza, Forza Horizon, Torchlight 2 &amp; more</t>
  </si>
  <si>
    <t>Priestess</t>
  </si>
  <si>
    <t>Premium Edition/Battle Pass</t>
  </si>
  <si>
    <t>Crystal Construct</t>
  </si>
  <si>
    <t>Unique Gameplay</t>
  </si>
  <si>
    <t>Blizzard Games, PoE, Steam Games</t>
  </si>
  <si>
    <t>Bridge Buddies</t>
  </si>
  <si>
    <t>Fireball</t>
  </si>
  <si>
    <t>Blastmancer, Scott the Sensitive Savage, Mana Puff Madness, Skrat Horde, Commander Azali</t>
  </si>
  <si>
    <t>Ravager can make or break a rush if you time his Brutus perks with heavy-hitters like Scott, Living Statue, Cleaver, etc.</t>
  </si>
  <si>
    <t>Hypnotize</t>
  </si>
  <si>
    <t>Red Dead Redemption 2, Tooth and Tail, GTAV Online, and a lot of others</t>
  </si>
  <si>
    <t>etc.</t>
  </si>
  <si>
    <t>Shock Rock</t>
  </si>
  <si>
    <t>Beam of DOOM, Fire imp, Disruptor puffs, Raging reinforcements, Scrat launcher</t>
  </si>
  <si>
    <t>In most games I play I always choose to play the characters that differ the most from others, and especially those with a high skill ceiling.</t>
  </si>
  <si>
    <t>Heroes of the Storm, Rust, StarCraft 2, Warcraft 3, Destiny 2, Dauntless, Smite, Clash Royale</t>
  </si>
  <si>
    <t>Sniper Scrat</t>
  </si>
  <si>
    <t>Black Hole, Nether Step, Drone Force One (Harbringer), Priestess, Guardian</t>
  </si>
  <si>
    <t>Wizard Puff</t>
  </si>
  <si>
    <t>Cheese Date</t>
  </si>
  <si>
    <t>TDvsTD</t>
  </si>
  <si>
    <t>Guardian</t>
  </si>
  <si>
    <t>support devs</t>
  </si>
  <si>
    <t>screaming rat, dragons, bcs of value - change every patch, need more funny/hot cards</t>
  </si>
  <si>
    <t>easy to play, need sexy Masters</t>
  </si>
  <si>
    <t>artifact - asap</t>
  </si>
  <si>
    <t>Last Stand</t>
  </si>
  <si>
    <t>Forgot the names</t>
  </si>
  <si>
    <t>scrat horde, 5 mana fireball that summons dragon, 7 mana card that summons incubus/succubus, tank guy with lid, rammer</t>
  </si>
  <si>
    <t>i like the obvious strengths he has with equally as obvious weaknesses, gives me something to build my deck around. ie pushing on 1st and 3rd perk and air defense</t>
  </si>
  <si>
    <t>Re-Boomer</t>
  </si>
  <si>
    <t>league of legends, WoW, overwatch, destiny 2</t>
  </si>
  <si>
    <t>Gameplay, Deckbuilding</t>
  </si>
  <si>
    <t>Hard to pick</t>
  </si>
  <si>
    <t>Brutish Betrayer</t>
  </si>
  <si>
    <t>To support the developers of the game</t>
  </si>
  <si>
    <t>Blastmancer, Lightning Bolt, Re-Boomer, Arcane Golem, Harbinger. However for art, I love Gor'Rakk Sacrifice</t>
  </si>
  <si>
    <t>I like supporting the Arcane Golem, as well as its inevitability late game</t>
  </si>
  <si>
    <t>League of Legends, Magic: the Gathering, Persona 5, Dungeons and Dragons</t>
  </si>
  <si>
    <t>Troubadour</t>
  </si>
  <si>
    <t>Haven't tried them all</t>
  </si>
  <si>
    <t>Undying Skeleton</t>
  </si>
  <si>
    <t>Mana Surge Cards</t>
  </si>
  <si>
    <t>Wheel of Doom</t>
  </si>
  <si>
    <t>New Player, haven't tried them all</t>
  </si>
  <si>
    <t>Call to Arms</t>
  </si>
  <si>
    <t>Arcane Bolt</t>
  </si>
  <si>
    <t>nice-looking, powerful</t>
  </si>
  <si>
    <t>Infiltration</t>
  </si>
  <si>
    <t>fortnite</t>
  </si>
  <si>
    <t>because it looks cool.</t>
  </si>
  <si>
    <t>Mana Puff Madness</t>
  </si>
  <si>
    <t>Shars'Rakk Twins</t>
  </si>
  <si>
    <t>None that I can bring to mind</t>
  </si>
  <si>
    <t>For deck synergy</t>
  </si>
  <si>
    <t>Combustion</t>
  </si>
  <si>
    <t>divnity original sin 2, endless legend, elite dangerous</t>
  </si>
  <si>
    <t>Future Past</t>
  </si>
  <si>
    <t>Meteor Storm, Colossus, Guardian, Annihilator, &amp; Last Stand</t>
  </si>
  <si>
    <t>Healing Fireball</t>
  </si>
  <si>
    <t>Marksmanship</t>
  </si>
  <si>
    <t>Art of War: Red Tides</t>
  </si>
  <si>
    <t>Battle Shi-Hou</t>
  </si>
  <si>
    <t>Spear Throwers</t>
  </si>
  <si>
    <t>vuy cards / characters</t>
  </si>
  <si>
    <t>Gor'Rakk Brutes</t>
  </si>
  <si>
    <t>Ghost</t>
  </si>
  <si>
    <t>(in german) Attentäter,styxi,explosionsbeschwörer,scharfschützen scrat,kopfgeldschütze</t>
  </si>
  <si>
    <t>his second skill is absolute aweome</t>
  </si>
  <si>
    <t>Netherstep</t>
  </si>
  <si>
    <t>Rabid Prowler</t>
  </si>
  <si>
    <t xml:space="preserve">i like her spells </t>
  </si>
  <si>
    <t>smite fallout 4</t>
  </si>
  <si>
    <t>Red Golem</t>
  </si>
  <si>
    <t>Rabid prowler</t>
  </si>
  <si>
    <t>Screaming Scrat</t>
  </si>
  <si>
    <t>his abilities</t>
  </si>
  <si>
    <t>Dark Souls, DotA 2, Stardew Valley, Enter the Gungeon, Hollow Knight</t>
  </si>
  <si>
    <t>Sniper Squad</t>
  </si>
  <si>
    <t xml:space="preserve">it’s character design is so cute </t>
  </si>
  <si>
    <t xml:space="preserve">league of legends dota hearthstone </t>
  </si>
  <si>
    <t>Gor'Rakk Sacrifice</t>
  </si>
  <si>
    <t>Lightning Bolt</t>
  </si>
  <si>
    <t>Stun Lancers, Annihilator, Crossbow Guild, Harbinger, Cheese Date</t>
  </si>
  <si>
    <t>Forza Horizon 4 and Diablo 3</t>
  </si>
  <si>
    <t>Propeller Horde</t>
  </si>
  <si>
    <t>Crossbow Dudes</t>
  </si>
  <si>
    <t>Bounty Sniper</t>
  </si>
  <si>
    <t>he is good</t>
  </si>
  <si>
    <t>Human fall flat</t>
  </si>
  <si>
    <t>Drone Buzzers</t>
  </si>
  <si>
    <t>Heal Puff</t>
  </si>
  <si>
    <t>I like spell cards</t>
  </si>
  <si>
    <t>Dragon Pack</t>
  </si>
  <si>
    <t>Scrat Launcher</t>
  </si>
  <si>
    <t xml:space="preserve">RTS,Estrategy Survival </t>
  </si>
  <si>
    <t>Flightless Dragons</t>
  </si>
  <si>
    <t>Duo, Expeditions, Mayhem Duo</t>
  </si>
  <si>
    <t>sales at the market</t>
  </si>
  <si>
    <t>Scrats!</t>
  </si>
  <si>
    <t>Gax the World Bomb</t>
  </si>
  <si>
    <t>passive</t>
  </si>
  <si>
    <t>Quake Champions Pokemon GO</t>
  </si>
  <si>
    <t>Empowered Soul Stealer</t>
  </si>
  <si>
    <t>Idk the exact english names: But the random cards are great</t>
  </si>
  <si>
    <t>Clear Skies</t>
  </si>
  <si>
    <t>RANDOMIZE</t>
  </si>
  <si>
    <t>Crystal Arcanist</t>
  </si>
  <si>
    <t>Smite, World of Warcraft, Heroes of the Storm, Warhammer (mostly all) Starwars all (except BF) Destiny 2, Diablo 3, Starcraft, Warcraft 3,  Horizon Zero Dawn, Darksouls 1, Darksouls 2, Darksouls 3, The Surge, Bloodborn, Mass Effect 1, Mass Effect 2, Mass Effect 3,  uhm. i dont want to place every steam game of my 260+ library here so thats it i guess.  Oh wait  Soulcalibur 6 is great and Smite tactics.  Im also in some TCG   like Magic the gathering</t>
  </si>
  <si>
    <t>Lancers and basicly anything scrat ^^</t>
  </si>
  <si>
    <t>He was fun and unique</t>
  </si>
  <si>
    <t>Disruptor Puffs</t>
  </si>
  <si>
    <t>They are all  awesome!</t>
  </si>
  <si>
    <t>He just looks awesome!</t>
  </si>
  <si>
    <t>Roblox.</t>
  </si>
  <si>
    <t>Hearthstone, Tibia</t>
  </si>
  <si>
    <t>Swarmers</t>
  </si>
  <si>
    <t xml:space="preserve">Magic the gathering </t>
  </si>
  <si>
    <t>Tranquil Shi-Hou</t>
  </si>
  <si>
    <t xml:space="preserve">Crystal Arcanist, Lord-Sentinel Thelec, Crystal Archers, Crystal Construct and Crystal Sentry </t>
  </si>
  <si>
    <t>Extra Minions that Spawn</t>
  </si>
  <si>
    <t>Adventure Quest 3D</t>
  </si>
  <si>
    <t>Bridge Shrine</t>
  </si>
  <si>
    <t>Elite Swarmer</t>
  </si>
  <si>
    <t xml:space="preserve">divine warrior, harbinger, priestess, statue, musketeer </t>
  </si>
  <si>
    <t>60 dps per spell</t>
  </si>
  <si>
    <t>Magma Storm</t>
  </si>
  <si>
    <t>wurm unlimited</t>
  </si>
  <si>
    <t>he kyoot</t>
  </si>
  <si>
    <t>not minion masters :^)</t>
  </si>
  <si>
    <t>Crystal Sentry</t>
  </si>
  <si>
    <t xml:space="preserve">Blind Date, Crystal Construct, Divine Warrior, Rampage, and Harbinger </t>
  </si>
  <si>
    <t>The 2nd and 3rd buff really can help turn the tide of the battle.</t>
  </si>
  <si>
    <t>Overwatch, Soulcalibur 6, Skyrim, and League of Legends</t>
  </si>
  <si>
    <t>Dragon Nest</t>
  </si>
  <si>
    <t>No because you will nerf them</t>
  </si>
  <si>
    <t>all scrats cards are my favourite</t>
  </si>
  <si>
    <t>cose of his kit</t>
  </si>
  <si>
    <t>HOTS, SimCity, Wakfu, Fifa19</t>
  </si>
  <si>
    <t>No! I've only unlocked about 35.</t>
  </si>
  <si>
    <t>S.T.INT</t>
  </si>
  <si>
    <t>bazooka scrat, bazooka scrat, bazooka scrat, bazooka scrat, bazooka scrat</t>
  </si>
  <si>
    <t>very easy to build a deck around</t>
  </si>
  <si>
    <t>rocket league, roblox</t>
  </si>
  <si>
    <t>card</t>
  </si>
  <si>
    <t>cool</t>
  </si>
  <si>
    <t>Duo, Premade Duo, Draft, Mayhem Solo</t>
  </si>
  <si>
    <t>No.  the 2-5 cost card range are my favourites though</t>
  </si>
  <si>
    <t>Balanced</t>
  </si>
  <si>
    <t>Hearthstone, Overwatch</t>
  </si>
  <si>
    <t>Wall</t>
  </si>
  <si>
    <t>Passive Buildings</t>
  </si>
  <si>
    <t>Warrior</t>
  </si>
  <si>
    <t>Master purchase</t>
  </si>
  <si>
    <t>Too difficult to answer</t>
  </si>
  <si>
    <t>Interesting playstyle</t>
  </si>
  <si>
    <t>Tantrum Throwers</t>
  </si>
  <si>
    <t>Grenadier</t>
  </si>
  <si>
    <t>Cannon Roller</t>
  </si>
  <si>
    <t>Free tank, can be easily supported if time well. Good close range defence agaisnt multiple enemies. I can choose to tank a minion that I normaly would spend mana on</t>
  </si>
  <si>
    <t>Healing Shrine</t>
  </si>
  <si>
    <t>combo cards</t>
  </si>
  <si>
    <t>Can hit enemies anywhere on the board.</t>
  </si>
  <si>
    <t>Rampage</t>
  </si>
  <si>
    <t>bard's tale IV</t>
  </si>
  <si>
    <t>Swarmer Totem</t>
  </si>
  <si>
    <t>get starter pass and battle pass</t>
  </si>
  <si>
    <t>bounty sniper,  defenso chopper, scrit hord, Morgrul, Grenadier</t>
  </si>
  <si>
    <t>marksmen buff</t>
  </si>
  <si>
    <t>Legionnaires</t>
  </si>
  <si>
    <t>he is very different from others</t>
  </si>
  <si>
    <t>heroes of the storm, hearthstone</t>
  </si>
  <si>
    <t>Raging Reinforcements</t>
  </si>
  <si>
    <t>Marines, Warrior, Drone Walker, Defenso-Chopper, Boomer</t>
  </si>
  <si>
    <t>I like the Idea of winning using Minions instead of spells</t>
  </si>
  <si>
    <t>Snake Druid</t>
  </si>
  <si>
    <t>Heroes of Newerth, Dota 2, Call of Duty Black ops 4, Company of Heroes 2, For Honor</t>
  </si>
  <si>
    <t>Sun Burn</t>
  </si>
  <si>
    <t>Buying masters</t>
  </si>
  <si>
    <t>Laser Turret</t>
  </si>
  <si>
    <t>Spirit Infusion</t>
  </si>
  <si>
    <t>powertokens and cards</t>
  </si>
  <si>
    <t>colosus , twins , musketeer , assasin , infiltration</t>
  </si>
  <si>
    <t>suits my playstile</t>
  </si>
  <si>
    <t>Stun Blast</t>
  </si>
  <si>
    <t>clash of clans , eve online , league of legends , heroes of the storm , hearthstone , etc</t>
  </si>
  <si>
    <t>Annihilator, Cleaver, Rammer, Colossus and Rampage</t>
  </si>
  <si>
    <t>I love to focus on getting some BIG hits with big minions. This one works more than well in that matter.</t>
  </si>
  <si>
    <t>Occasionally League of Legends, Warcraft III, Dark Souls II, Battlerite etc.</t>
  </si>
  <si>
    <t>to buy the upgrade and season pass</t>
  </si>
  <si>
    <t>Drone Walker</t>
  </si>
  <si>
    <t>Black hole, netherstep, Shock rock, Arcane golem,  defenso chopper</t>
  </si>
  <si>
    <t>I like her kit, and the spell based concept, i really like KP also.</t>
  </si>
  <si>
    <t>Lost Leggionnaires</t>
  </si>
  <si>
    <t>Heroes of the storm, MTG, Fortnite</t>
  </si>
  <si>
    <t>premium battlepass</t>
  </si>
  <si>
    <t>Cleaver, Divine Warrior, Dagger Fall, Burn the Bridges and Succubus</t>
  </si>
  <si>
    <t>Magma Cannon</t>
  </si>
  <si>
    <t>For his polyvalent use : after first lvl you'll get a permanent pressure on the ennemy master, forcing him to play card to not die slowly, and then you can easlily counter him and take the tempo. Also, he can OS most os small minions, attack air units and is still uselefull against heavy soldier if you can reduce their movement.</t>
  </si>
  <si>
    <t>League of Legend, Divinity 2 : Original Syn, The Witcher 3, Fallout 4, Battlerite Arena</t>
  </si>
  <si>
    <t>1st one i played and i liked him</t>
  </si>
  <si>
    <t>Propeller Scrats</t>
  </si>
  <si>
    <t>PUBG, LoL, Hearthstone</t>
  </si>
  <si>
    <t>His skillset</t>
  </si>
  <si>
    <t>Cards/Decks</t>
  </si>
  <si>
    <t>Jump start my collection and if a bundle catches my eye</t>
  </si>
  <si>
    <t>Musketeer, Cleaver, Blind Date, Dagger fall, and Stun Lancers in no particular order.</t>
  </si>
  <si>
    <t>Love the rando power he brings to the table. It can make a match or just be a distraction to your current deck strategy.</t>
  </si>
  <si>
    <t>Too many to name off</t>
  </si>
  <si>
    <t>Skills/Gameplay</t>
  </si>
  <si>
    <t>Styxi, Walking Statue, Empowered Soul Stealer, Undying Skeleton, and Stun Lancers</t>
  </si>
  <si>
    <t>I like the area damage that it does</t>
  </si>
  <si>
    <t>Clash Royale, Adventure Quest 3D, Club Penguin Online, AQWorlds, Dragonfable, Wizard101, and Toontown Rewritten</t>
  </si>
  <si>
    <t>cards for a pay to win system</t>
  </si>
  <si>
    <t>her play styel</t>
  </si>
  <si>
    <t>Gambler's Ball</t>
  </si>
  <si>
    <t>To purchase the 1st Battle Pass</t>
  </si>
  <si>
    <t>Divine Warrior, Dragonball, Fire Imp, Scrat Horde, Succubus</t>
  </si>
  <si>
    <t>Nice outplay potential with the bridge swap, as well as powering up your 4/5 mana cards to give you the edge.</t>
  </si>
  <si>
    <t>Zeppelin Bomber</t>
  </si>
  <si>
    <t>F1 2018, LoL, Maplestory 2</t>
  </si>
  <si>
    <t>Stun guards marines living statue burn the bridges and shadow step</t>
  </si>
  <si>
    <t>I like the design and the feel of the master</t>
  </si>
  <si>
    <t>The battle cats👌👌👌👌👌👌</t>
  </si>
  <si>
    <t>Ghost Turret</t>
  </si>
  <si>
    <t>annihilator, scrat horde, stun lancers, crystal archers, fireball</t>
  </si>
  <si>
    <t>Great ability, strong control, good buffs, Useful Early and Lategame perks, CUTE!!!</t>
  </si>
  <si>
    <t>i just seem to have an easier time winning while playing as her</t>
  </si>
  <si>
    <t>Looks funny. Havent played enough to fully understand everything, so i just go after the looks of the master</t>
  </si>
  <si>
    <t>Ravenous Swarmers</t>
  </si>
  <si>
    <t>Battle Shi-Hou, Fireball, Stun Lancers, Cleavers, Living Statures</t>
  </si>
  <si>
    <t>With his Excellent Range I take down many encroching enemies</t>
  </si>
  <si>
    <t>UNLEASH</t>
  </si>
  <si>
    <t>Battle pass and a skin... that isn't available yet (that's way more annoying than useful, I'm sure)</t>
  </si>
  <si>
    <t>Armed Escort, Blastmancer, Defenso Chopper, Wizard Puff &amp; Commander Azali (Can we get a Sun Wu Kong? Pleeease?!)</t>
  </si>
  <si>
    <t>The way he's balanced is interesting and reviving effective cards is really satisfying. Needs more skins tho!</t>
  </si>
  <si>
    <t>Badland Brawl (mobile) &amp; Elder Scrolls Online (MMO)</t>
  </si>
  <si>
    <t>sniper , marines, Harbringer</t>
  </si>
  <si>
    <t xml:space="preserve">Is Cute </t>
  </si>
  <si>
    <t>APEP DEMANDS WORSHIP</t>
  </si>
  <si>
    <t>Because there was a super sale of 75% off in a bundle</t>
  </si>
  <si>
    <t>Mana Puff, Crystal Archers, Chain Lightning,Crystal Construct, Divine Warrior</t>
  </si>
  <si>
    <t xml:space="preserve">I choose Settsu mainly due to her in combat summon card along with her range attack. Though, it tends to be more double edge. However, she is rather decent. Plus, just love mechs and mech suits. </t>
  </si>
  <si>
    <t>Enhances Ranged Units</t>
  </si>
  <si>
    <t>Because PUFFS</t>
  </si>
  <si>
    <t>Many games, action, mmorpg, adventure, racing, rpg, fps, sports</t>
  </si>
  <si>
    <t>Fast games a good game!</t>
  </si>
  <si>
    <t>Because he is like the only one I play :p</t>
  </si>
  <si>
    <t>King boi</t>
  </si>
  <si>
    <t>It's fun to me</t>
  </si>
  <si>
    <t>SKINS MAKE MORE</t>
  </si>
  <si>
    <t>CRYSTAL ARCHERS &amp; DEATH LAZER LOL</t>
  </si>
  <si>
    <t>Abalitys(was in the weekly rotation at the time)</t>
  </si>
  <si>
    <t>suck at anything else lol</t>
  </si>
  <si>
    <t>HEROES OF THE STORM</t>
  </si>
  <si>
    <t xml:space="preserve">because I cant afford the other ones ( make them purchasable with gold please ) </t>
  </si>
  <si>
    <t>cant explain just love it</t>
  </si>
  <si>
    <t>He was free, when I started playing and I like the playstyle.</t>
  </si>
  <si>
    <t>All Hail the Snake God \o/</t>
  </si>
  <si>
    <t>Gameplay, THe fun charm the game has</t>
  </si>
  <si>
    <t>Starter one, turns out I had the most success with it</t>
  </si>
  <si>
    <t>Favourite set of Perks + appeals to my Archery interest</t>
  </si>
  <si>
    <t>Its fun being able to call yourself into battle</t>
  </si>
  <si>
    <t>Hearthstone leauge of legends and a wide variety beyond that</t>
  </si>
  <si>
    <t>I started with him</t>
  </si>
  <si>
    <t>Yolo</t>
  </si>
  <si>
    <t>I believe is the first one you have to play with.</t>
  </si>
  <si>
    <t>Gameplay, Deck building</t>
  </si>
  <si>
    <t>idk</t>
  </si>
  <si>
    <t>Solo, Duo, Premade Duo, Mayhem Solo, Mayhem Duo</t>
  </si>
  <si>
    <t>Only one i have</t>
  </si>
  <si>
    <t>Win</t>
  </si>
  <si>
    <t>general use</t>
  </si>
  <si>
    <t>situational</t>
  </si>
  <si>
    <t>cause he is free and does great buffs for my distance shooter</t>
  </si>
  <si>
    <t>good question</t>
  </si>
  <si>
    <t>She was in the free rotation</t>
  </si>
  <si>
    <t>Just like it.</t>
  </si>
  <si>
    <t>starting master</t>
  </si>
  <si>
    <t>Its a king :D</t>
  </si>
  <si>
    <t xml:space="preserve">stun lancers, heal puff, crossbow guild, </t>
  </si>
  <si>
    <t>BURN THOSE BRIDGES</t>
  </si>
  <si>
    <t>I've played countless... but currently MM, WoW, spyro remastered, pokemon go / lets go</t>
  </si>
  <si>
    <t>He is easy to use, and I have not unlocked any other yet.</t>
  </si>
  <si>
    <t>He was affordable and the tempo allowed by Brutus is really strong</t>
  </si>
  <si>
    <t>various items</t>
  </si>
  <si>
    <t>Prowler, Elite Swarmer, Beam of Doom, Xiao Long, Morgrul</t>
  </si>
  <si>
    <t>I started with him and I got a new deck.</t>
  </si>
  <si>
    <t>Look cool and spawns monster</t>
  </si>
  <si>
    <t>just i like puff :p</t>
  </si>
  <si>
    <t>am new to the game</t>
  </si>
  <si>
    <t>King Derp</t>
  </si>
  <si>
    <t>master</t>
  </si>
  <si>
    <t xml:space="preserve">sniper, sniper squad, bounty hunter, </t>
  </si>
  <si>
    <t>bow</t>
  </si>
  <si>
    <t>First one that I chose</t>
  </si>
  <si>
    <t>league of legends, overwatch, gmod</t>
  </si>
  <si>
    <t>For the Big</t>
  </si>
  <si>
    <t>He was the default one and seems extremely powerful.</t>
  </si>
  <si>
    <t>no real reason.i enjoy them all.</t>
  </si>
  <si>
    <t>Crossbow Guild, The Harbinger, Plated Swarmer, Plasma Soldiers, Stun Lancers</t>
  </si>
  <si>
    <t>Free Cards Breh, Gotta Keep That Tempo</t>
  </si>
  <si>
    <t>free tank in rotation</t>
  </si>
  <si>
    <t xml:space="preserve">reminded me of War Hammer </t>
  </si>
  <si>
    <t>Everything. Dark Souls (Any), Magic the Gathering: Arena, Overwatch (only with friends), Heroes of the Storm, CS:GO, etc.</t>
  </si>
  <si>
    <t>only one i have</t>
  </si>
  <si>
    <t>Most Practise with him</t>
  </si>
  <si>
    <t>Defenso=Choppo, Scrat Horde, Sky Drones, Annihilator, NORMAL Prowler</t>
  </si>
  <si>
    <t>ONLY ONE IVE USED</t>
  </si>
  <si>
    <t>Global Range</t>
  </si>
  <si>
    <t>I like the names of his levels</t>
  </si>
  <si>
    <t>Overwatch, Fortnite, Door Kickers.</t>
  </si>
  <si>
    <t>Because he's got a bow which I like and he's the default.</t>
  </si>
  <si>
    <t>He has a bow. I do archery</t>
  </si>
  <si>
    <t xml:space="preserve">Team battle </t>
  </si>
  <si>
    <t>Crossbow guild plasma marines crystal archers</t>
  </si>
  <si>
    <t>love his perks havent tried the other since i haven't bought them</t>
  </si>
  <si>
    <t>I love Kardel from Dota 2</t>
  </si>
  <si>
    <t xml:space="preserve">Minecraft,Roblox,Town of Salem </t>
  </si>
  <si>
    <t>Because it's free</t>
  </si>
  <si>
    <t>I like archers</t>
  </si>
  <si>
    <t>First one I was introduced to and what I got to Plat on.</t>
  </si>
  <si>
    <t>Master skins and seasons.</t>
  </si>
  <si>
    <t>I don't remember names, just pictures sorry</t>
  </si>
  <si>
    <t>Musketeer, scrat horde, stun lancers, divine warrior, shock rock</t>
  </si>
  <si>
    <t xml:space="preserve">Most versatile. </t>
  </si>
  <si>
    <t>Started recentally</t>
  </si>
  <si>
    <t>Guild Wars 2</t>
  </si>
  <si>
    <t>Forced nostalgia</t>
  </si>
  <si>
    <t>He's the only one I have played with I enjoy</t>
  </si>
  <si>
    <t>Don't know</t>
  </si>
  <si>
    <t xml:space="preserve">Gameplay, Gamification and rewards through play. </t>
  </si>
  <si>
    <t xml:space="preserve">I wanted to unlock the starter pack and pass. </t>
  </si>
  <si>
    <t>Default starter master</t>
  </si>
  <si>
    <t xml:space="preserve">Looked the dumbest and most insulting to beat others with. </t>
  </si>
  <si>
    <t>Reminds me of Dehaka from SC2</t>
  </si>
  <si>
    <t>He has nice starter stats for a beginner like me.</t>
  </si>
  <si>
    <t>hes a hot head</t>
  </si>
  <si>
    <t>Divine Warrior, Prowler, Whirly Scrat, Crossbow Guild, Defenso Chopper</t>
  </si>
  <si>
    <t>I have only begun a few days ago and couldnt play any other master</t>
  </si>
  <si>
    <t>Great for control decks with rage / shield</t>
  </si>
  <si>
    <t>League of Legends, Overwatch, Pokemon</t>
  </si>
  <si>
    <t>Stormbringer is the only master I have.</t>
  </si>
  <si>
    <t>At first because you learn the game with it, then because I think his skills are really good.</t>
  </si>
  <si>
    <t>i like to support games that are good</t>
  </si>
  <si>
    <t>Shars'Rakk Twins, Morgrul, Divine Warrior, Screaming Scrat, Black Hole</t>
  </si>
  <si>
    <t>Love getting multiple 5-6 mp cards out of the tombstones</t>
  </si>
  <si>
    <t>I haven’t gotten any others</t>
  </si>
  <si>
    <t>Dead By Daylight, Battlerite Royale</t>
  </si>
  <si>
    <t>It had a free code  and I really liked his play style</t>
  </si>
  <si>
    <t>I dunno, I just kinda stumbled upon it during free rotation. When I put him to premade 2v2 with my friend he worked like a charm. Burn The Bridges is ridiculous, perk 3 is great for vain pushing with Rammer, and Afterburner also does that one bit of damage away from victory.</t>
  </si>
  <si>
    <t>n/a</t>
  </si>
  <si>
    <t>prowler, succubus, beam</t>
  </si>
  <si>
    <t>aggro</t>
  </si>
  <si>
    <t>default</t>
  </si>
  <si>
    <t>for honor, tf2, skyrim</t>
  </si>
  <si>
    <t>Love to; but as a New player: Im not to sure what there called.!</t>
  </si>
  <si>
    <t>Jut like this Master as a Newbie</t>
  </si>
  <si>
    <t>None Really - Just Minion Masters now!</t>
  </si>
  <si>
    <t xml:space="preserve">Started with him and I like him. </t>
  </si>
  <si>
    <t>Card collection and to support a game I enjoy</t>
  </si>
  <si>
    <t>Armored Escort, Crystal Archers, Re-Boomer, Divine Warrior, Fire Imp</t>
  </si>
  <si>
    <t>Good consistent pressure, works well for bait + punish, and works well with ranged units</t>
  </si>
  <si>
    <t>He's the first guy you get and seems good</t>
  </si>
  <si>
    <t>scrat pack, crystal archers, crystal sentry, chain lightning, wizard puff</t>
  </si>
  <si>
    <t>global attack</t>
  </si>
  <si>
    <t>Dota 2, Path of Exile</t>
  </si>
  <si>
    <t>I like his abilities</t>
  </si>
  <si>
    <t>Rocket League, CSGO, RanbowSix Siege</t>
  </si>
  <si>
    <t>bcuz he kyoot</t>
  </si>
  <si>
    <t>Purchase battle passes</t>
  </si>
  <si>
    <t>Harbinger, Styxi, Assassin, Incubus, Soul Eater(Stealer?)</t>
  </si>
  <si>
    <t>Very versatile and adds a satisfying speed component to any build</t>
  </si>
  <si>
    <t>Clash Royale, various rogue-lites, lots of strategy/management games, Killing Floor</t>
  </si>
  <si>
    <t>magic</t>
  </si>
  <si>
    <t>looks cool</t>
  </si>
  <si>
    <t xml:space="preserve">Healer, Guardian, Troubadour, Dragon Nest, Styxi </t>
  </si>
  <si>
    <t>Really interesting and fun kit</t>
  </si>
  <si>
    <t>Path of Exile, Warframe</t>
  </si>
  <si>
    <t>He is cute and useful</t>
  </si>
  <si>
    <t>Liked his design and ease of play</t>
  </si>
  <si>
    <t>Assassin, Troubadour, Scrat Tank, Rage, Undying Skeleton</t>
  </si>
  <si>
    <t>It is a cute master</t>
  </si>
  <si>
    <t>Because of the different kind of builds you can make with her, like Rage Settsu, and has a very good DPS as long as you can keep control of her reload ability.</t>
  </si>
  <si>
    <t>becouse is a female master and powerfull</t>
  </si>
  <si>
    <t>He's cute lol</t>
  </si>
  <si>
    <t>Clash Royale, Creative Destruction, Darkest Dungeon, Cuphead</t>
  </si>
  <si>
    <t>Adorable</t>
  </si>
  <si>
    <t>I like the idea of a zoo-ish gameplay and keeping brigdes for fast level progress and having lots of minions looks cool. (I'd choose Milloween second cause shes pretty, and Mordar for the revive mechanics))</t>
  </si>
  <si>
    <t>People think she's weak, she's cute elf chica, enjoy her perks</t>
  </si>
  <si>
    <t xml:space="preserve">I liked his skins and abilities </t>
  </si>
  <si>
    <t>Masters and Arenas</t>
  </si>
  <si>
    <t xml:space="preserve">Plasma Marines, Scrat Pack, STINT, Xiao Long, Colossus </t>
  </si>
  <si>
    <t>cute hero</t>
  </si>
  <si>
    <t>Love her Tankiness and gameplay</t>
  </si>
  <si>
    <t>cause his cute and lots of skins and works well with 4-5 mana cards which i use the most</t>
  </si>
  <si>
    <t>He cute. Also why bother with deckbuilding when you can just grab all your favourite 4 and 5 cost minions and stuff them in a deck</t>
  </si>
  <si>
    <t>He’s a skellie boi and I love getting free revives</t>
  </si>
  <si>
    <t>Good looking+interesting gameplay</t>
  </si>
  <si>
    <t>Solo, Draft, Expeditions, Mayhem Solo</t>
  </si>
  <si>
    <t>Waifu</t>
  </si>
  <si>
    <t>Red Golem, Tombstone, xiao long, scrat launcher,  harbinger</t>
  </si>
  <si>
    <t>Late game control setup</t>
  </si>
  <si>
    <t>Rocket League, Minecraft</t>
  </si>
  <si>
    <t>Spooky Skeleton</t>
  </si>
  <si>
    <t>I like his look. His special powers are so-so,but not bad.</t>
  </si>
  <si>
    <t>Easy and fun</t>
  </si>
  <si>
    <t>global range</t>
  </si>
  <si>
    <t>I like his theme.</t>
  </si>
  <si>
    <t>RTS style games</t>
  </si>
  <si>
    <t>Nice skin and fun cards</t>
  </si>
  <si>
    <t>Abilities and Aesthetic</t>
  </si>
  <si>
    <t>Battle pass and skins</t>
  </si>
  <si>
    <t>Assassin, Fire imp, Scrat tank, Sniper scrat, Spiritmancer</t>
  </si>
  <si>
    <t>Hard to tell but its the most enjoyable one</t>
  </si>
  <si>
    <t>The design and skins</t>
  </si>
  <si>
    <t>He's hilarious. I've never played him but he's so much fun to see and hear.</t>
  </si>
  <si>
    <t>Soul Eater, Annihilator, Healing Fireball, Stun Lancers, Defenso Chopper</t>
  </si>
  <si>
    <t>Rewarded for playing spells. Arcane Golems are clutch</t>
  </si>
  <si>
    <t>PUBG</t>
  </si>
  <si>
    <t>sexy xD</t>
  </si>
  <si>
    <t>She's an elf, the magic is just a good bonus.</t>
  </si>
  <si>
    <t>Skins/Arenas</t>
  </si>
  <si>
    <t>nicest and female</t>
  </si>
  <si>
    <t>1) Space Marines 2) Annihilator 3) Cursebearer 4)  Future Present 5) Shock Rock</t>
  </si>
  <si>
    <t>His variance from game to game, and the value you you get from the discounted cards</t>
  </si>
  <si>
    <t>League of Legends etc.</t>
  </si>
  <si>
    <t>The design is cute and bridge control is important</t>
  </si>
  <si>
    <t>Because he's silly looking and easy to build for</t>
  </si>
  <si>
    <t>Battle Pass, as well as one store deal I wanted.</t>
  </si>
  <si>
    <t>He's a cutie :D</t>
  </si>
  <si>
    <t>Xiao, Blastmancer, Scotty, Wizard Puff, Beam of Doom, FDM</t>
  </si>
  <si>
    <t>Steady damage across the course of the match, that can be good on both offense and defense, goes well with giving a slight edge to ranged minions.</t>
  </si>
  <si>
    <t>his skills are really helpful, plus he's cute</t>
  </si>
  <si>
    <t>A lot!  Mostly RPGs, puzzle games, and card games, but recently Shadow of War, too.</t>
  </si>
  <si>
    <t>I think his "best bud" relationship is charming and I love it when he says "You picked the alpha" :')</t>
  </si>
  <si>
    <t>Gorgeous</t>
  </si>
  <si>
    <t>Daggerfall, Scrat Pack, Dragon Whelp, Future Present, Shock Rock</t>
  </si>
  <si>
    <t>Because of his look. I love space marines.</t>
  </si>
  <si>
    <t>I like high tempo play style (Future Present/Past decks)</t>
  </si>
  <si>
    <t xml:space="preserve">RTS games like Dwarf Fortress, Men of War, etc. Some tower defense games here and there, MMO games. </t>
  </si>
  <si>
    <t>Because it's beautiful</t>
  </si>
  <si>
    <t>Because she's cool, and pretty efficient.</t>
  </si>
  <si>
    <t>1. cursebearer 2. warrior 3. living statue 4. stun lancers 5. fireball</t>
  </si>
  <si>
    <t>Abilities + Looks</t>
  </si>
  <si>
    <t>not really any (don't play games much)</t>
  </si>
  <si>
    <t>I like his Perks and the Devil King Puff Skins</t>
  </si>
  <si>
    <t>Xiao, Morgrul, Succubus, Dagger Fall, Guardian</t>
  </si>
  <si>
    <t>Always a new and different game due to the random cards</t>
  </si>
  <si>
    <t>Because she's pretty powerful and sooooooo hot ;3.</t>
  </si>
  <si>
    <t>Gameplay, Collecting Cards/Masters, it's very free to play friendly imo</t>
  </si>
  <si>
    <t xml:space="preserve">good design, summons good monsters. it's a close pick between this and apep/settsu </t>
  </si>
  <si>
    <t>Assassin, Cursebearer, Divine warrior, Cleaver, Healing Fireball</t>
  </si>
  <si>
    <t>Name is cool</t>
  </si>
  <si>
    <t>i love casting a lot of spells and the fact that she buff her golem with it is just a nice bonus</t>
  </si>
  <si>
    <t>starcraft 2, age of empires 2,  tekken 7, killing floor 2, diablo 3, heroes of the storm</t>
  </si>
  <si>
    <t>She is by far my favorite one due to her gameplay, aspect and personality. (Specially the voice lines and her tone of voice) The second one would be Settsu.</t>
  </si>
  <si>
    <t>Cheese date, raging reinforcements, rage throwers, crystal sentry, rapid prowler</t>
  </si>
  <si>
    <t>She's cute</t>
  </si>
  <si>
    <t>Path of exile, action rpgs...battle chef brigade...</t>
  </si>
  <si>
    <t>she is cute and badass</t>
  </si>
  <si>
    <t>Love her art and play style.</t>
  </si>
  <si>
    <t>His bridge control skill is OP.</t>
  </si>
  <si>
    <t>he look nice.</t>
  </si>
  <si>
    <t>Looks like a mage</t>
  </si>
  <si>
    <t>Overwatch, Smite, WoT, WoW, Diablo, Various console games.</t>
  </si>
  <si>
    <t>coolness</t>
  </si>
  <si>
    <t>Cute as hell ?!?</t>
  </si>
  <si>
    <t>the mana surge cards - (Armored Escort - Crystal Archers -Crystal Archanist) then Xiao Long &amp; Cleaver</t>
  </si>
  <si>
    <t>just cuz the cards i love fits him the most</t>
  </si>
  <si>
    <t>Skeletons are dope</t>
  </si>
  <si>
    <t xml:space="preserve">World of Warcraft - Leage of Legends  - Hearthstone - Path of exile </t>
  </si>
  <si>
    <t>He´s the cutest!</t>
  </si>
  <si>
    <t>like the look and the distance battles</t>
  </si>
  <si>
    <t>to get legendary card</t>
  </si>
  <si>
    <t>styxi, fire imp, dragon ball,</t>
  </si>
  <si>
    <t>revive</t>
  </si>
  <si>
    <t>cute</t>
  </si>
  <si>
    <t>clash royal, gwent</t>
  </si>
  <si>
    <t>Looks awesome</t>
  </si>
  <si>
    <t>He is cute and OP</t>
  </si>
  <si>
    <t>cleaver, golem, fireball, daggerfall</t>
  </si>
  <si>
    <t>Although I haven't played as Settsu, it looks cool and has the unique ability of jumping onto the battlefield.</t>
  </si>
  <si>
    <t>clash royale, league of legends, overwatch, warframe, fortnite, pubg, warcraft 3, starcraft 2</t>
  </si>
  <si>
    <t>So f*cking cute &lt;3</t>
  </si>
  <si>
    <t>I like his aesthetic</t>
  </si>
  <si>
    <t>Stun Lancer, Harbinger, Divine Warrior, Dragon Ball, Priestess</t>
  </si>
  <si>
    <t>Passive Direct dmg and Bridge Controll</t>
  </si>
  <si>
    <t>She is the perfect Mage, and nice</t>
  </si>
  <si>
    <t>WoW, Hots, 7 days to Die, Warframe, Payday 2</t>
  </si>
  <si>
    <t>Has a funny voice</t>
  </si>
  <si>
    <t>cause he's retarded looking and spammy lmfao</t>
  </si>
  <si>
    <t>Utility drops</t>
  </si>
  <si>
    <t>Cute and some cool abilities</t>
  </si>
  <si>
    <t>WoW</t>
  </si>
  <si>
    <t>it's hella cute</t>
  </si>
  <si>
    <t>Crossbow guild, ancient stone statue (only does dmg to structures), red golem</t>
  </si>
  <si>
    <t xml:space="preserve">CONSTANT PRESSURE </t>
  </si>
  <si>
    <t>Best look, nice skills. Even more childish (without breasts) it still makes her look better than others. I don't wanna win for an ugly alien.</t>
  </si>
  <si>
    <t xml:space="preserve">League of legends, overwatch, call of duty, hearthstone </t>
  </si>
  <si>
    <t xml:space="preserve">He looks cool aesthetically and gameplay wise </t>
  </si>
  <si>
    <t>Appearance and i like the magic turtle ^^</t>
  </si>
  <si>
    <t xml:space="preserve">I do not know the names </t>
  </si>
  <si>
    <t>I like his character design</t>
  </si>
  <si>
    <t>Guild Wars 2, League of Legends, CS:GO, Planet Side 2</t>
  </si>
  <si>
    <t>Masters and tokens</t>
  </si>
  <si>
    <t>Spirit Vessel, Re-Boomer, Spiritmancer, Musketeer, Styxi, and Banner Man</t>
  </si>
  <si>
    <t>I like their look.   I always play stormbringer though because his power is too good to compete without</t>
  </si>
  <si>
    <t>I enjoyed it the most.</t>
  </si>
  <si>
    <t>She is a lot of fun and i enjoy girl masters</t>
  </si>
  <si>
    <t>because I like her "Space Marine" outfit and her playstyle.</t>
  </si>
  <si>
    <t>General safety</t>
  </si>
  <si>
    <t>Hitman 2, Super Mario Odyssey</t>
  </si>
  <si>
    <t>KAWAII. And Bridge Swap Magic</t>
  </si>
  <si>
    <t>Arcane golem ability</t>
  </si>
  <si>
    <t>To unlock more Cards</t>
  </si>
  <si>
    <t xml:space="preserve">Wizard Puff, Swarmer King </t>
  </si>
  <si>
    <t>brutus</t>
  </si>
  <si>
    <t>I like 4/5 drops</t>
  </si>
  <si>
    <t>I Like his commentary. He's pretty funny.</t>
  </si>
  <si>
    <t>World of Warcraft, Rainbow6 Seige</t>
  </si>
  <si>
    <t>i love playing with 4 and 5 cost cards in his decks</t>
  </si>
  <si>
    <t>Her perks are kinda cool, also I just like robotics stuffs.</t>
  </si>
  <si>
    <t>Offers the oppurtunity to make all 4-5 drops playable/fun</t>
  </si>
  <si>
    <t>To get bulk power tokens</t>
  </si>
  <si>
    <t>Harbinger, divine warrior, spiritmancer, xio long, plasma marines</t>
  </si>
  <si>
    <t>I generally prefer ranged fighting in almost any game</t>
  </si>
  <si>
    <t>reminds me of having a mountain deck from magic the gathering</t>
  </si>
  <si>
    <t>Starcraft II, Overwatch</t>
  </si>
  <si>
    <t>Her basic attack + Arcane Golem spell mechanic</t>
  </si>
  <si>
    <t>Free cards</t>
  </si>
  <si>
    <t xml:space="preserve">Mana Puffs, Troubadour, </t>
  </si>
  <si>
    <t>I really enjoy how her deck can interact with the arcane golem</t>
  </si>
  <si>
    <t>Dota 2, Don't Starve Together, Town of Salem, Counter-Strike 1.6, World of Warcraft, Heroes of Might and Magic III, Terraria. That's my most played ones, not all.</t>
  </si>
  <si>
    <t>because brutus is great</t>
  </si>
  <si>
    <t>it puts extra cards in my deck</t>
  </si>
  <si>
    <t>most balanced, don't have to build around, variety in types of decks that can run</t>
  </si>
  <si>
    <t>I like ranged minions, one of his levels gives extra range</t>
  </si>
  <si>
    <t>idk I mean Scrats are pretty cute to me, once re reached Perk 3 his Dakka was powerful</t>
  </si>
  <si>
    <t>I like arcane golem</t>
  </si>
  <si>
    <t>Blind date, stun lancers, chain lightning, dragon ball</t>
  </si>
  <si>
    <t>Spells, Spells Spells!</t>
  </si>
  <si>
    <t>Call of Duty Black Ops 4, Fortnite, Overwatch, Rust, Hunt Showdown</t>
  </si>
  <si>
    <t>I like random cards :D</t>
  </si>
  <si>
    <t>I enjoy the playstyle of having large ammounts of minions at once.</t>
  </si>
  <si>
    <t>I like using lots of spells</t>
  </si>
  <si>
    <t>I enjoy getting my ass reamed by pay to win mom's credit cards</t>
  </si>
  <si>
    <t>Make the game less pay to win</t>
  </si>
  <si>
    <t>for range stats</t>
  </si>
  <si>
    <t>the marksman buff</t>
  </si>
  <si>
    <t>kjlkj</t>
  </si>
  <si>
    <t>Couse ive got a pretty good ranged deck, and the master isnt ranged.</t>
  </si>
  <si>
    <t>His random free card is very fun.</t>
  </si>
  <si>
    <t>Cosmetics and to get cards faster.</t>
  </si>
  <si>
    <t>spiritmancer, guardian, succubus, harbinger, xiao long</t>
  </si>
  <si>
    <t>don't have to pay attention to use his skill efficiently, fits almost every basic deck</t>
  </si>
  <si>
    <t>I enjoy the revive mechanic as well as the versatility of tombstone placement as a possible distraction (faux wall).</t>
  </si>
  <si>
    <t>League of Legends, PUBG, CSGO</t>
  </si>
  <si>
    <t>Love randomness</t>
  </si>
  <si>
    <t>I prefer ranged units and marksmanship was very helpful.</t>
  </si>
  <si>
    <t>Gravestones</t>
  </si>
  <si>
    <t>Free frenzy, and I love utilizing brutus for lots of earlygame damage</t>
  </si>
  <si>
    <t>I am a sucker for a spell based control gameplay</t>
  </si>
  <si>
    <t>I don't really do cheesy bullshit masters, but Apep is the most fun because of the random cards he gets. I don't think it matches his character though, but whatever, maybe it does.</t>
  </si>
  <si>
    <t xml:space="preserve">expand my collection </t>
  </si>
  <si>
    <t>free shit</t>
  </si>
  <si>
    <t>xio long, trovador,ariete, encontro as cegas,roda do destino</t>
  </si>
  <si>
    <t>0 cost buildings function as walls</t>
  </si>
  <si>
    <t>warframe,black squad , black desert</t>
  </si>
  <si>
    <t>ranged minion buffs</t>
  </si>
  <si>
    <t>cards</t>
  </si>
  <si>
    <t>assassin, azali, ghost, divine warrior, incubus</t>
  </si>
  <si>
    <t>league of legends, terraria, ark</t>
  </si>
  <si>
    <t>the arcane golem is sort of useful for push</t>
  </si>
  <si>
    <t xml:space="preserve">I like trading with low cost ranged units </t>
  </si>
  <si>
    <t>I like his synergy with big minions and his style</t>
  </si>
  <si>
    <t>Skins!</t>
  </si>
  <si>
    <t>Xiao, Cusebearer, Colossus, Heal Puff, Shock Rock</t>
  </si>
  <si>
    <t>because she works great with my deck</t>
  </si>
  <si>
    <t>Keeps little minions at bay</t>
  </si>
  <si>
    <t>Brutus is awesome</t>
  </si>
  <si>
    <t>RUST, Rocket League</t>
  </si>
  <si>
    <t>You can build Decks which are more expensiv and still viable.</t>
  </si>
  <si>
    <t>season pass and bonus gold</t>
  </si>
  <si>
    <t>he makes cards cheaper and get a free shield at level 2</t>
  </si>
  <si>
    <t>xiao long, harbinger, drone buzzers, assassin, divine warrior</t>
  </si>
  <si>
    <t>good for my main deck</t>
  </si>
  <si>
    <t>rpg, strategy</t>
  </si>
  <si>
    <t>i like getting brutus</t>
  </si>
  <si>
    <t>helps with my deck build</t>
  </si>
  <si>
    <t>Cleaver, Spear Thrower, Blood Imps, Gor'Rakk Sacrifice, Gor'Rakk Brutes</t>
  </si>
  <si>
    <t>Fun interactions with spells and places emphasis on deck building</t>
  </si>
  <si>
    <t>Used correctly, King Puff is a powerful master; He's able to switch which side a powerful minion is heading toward the enemy base, evading any counters. He also shocks all enemies on the bridge. He even shields himself from attacks if you control just one bridge.</t>
  </si>
  <si>
    <t>I like the idea of make combos with the spells</t>
  </si>
  <si>
    <t>arenas and the $20 upgrade</t>
  </si>
  <si>
    <t>I love swarm. Enough said, heh.</t>
  </si>
  <si>
    <t xml:space="preserve">daggerfall, scart horde, whirly scrat(spinny!) azali, </t>
  </si>
  <si>
    <t xml:space="preserve">the bridge control </t>
  </si>
  <si>
    <t>swarms</t>
  </si>
  <si>
    <t xml:space="preserve">POE, </t>
  </si>
  <si>
    <t>Milloween fits best with my deck's perks</t>
  </si>
  <si>
    <t>Resurection is super fun. He also doesnt restrict card pool like kimg puff with his 4 and 5 costs only</t>
  </si>
  <si>
    <t>The arcane golem is fun to play around</t>
  </si>
  <si>
    <t>For the extra spawning scrats (bridge taking &amp; swarming the opponent)</t>
  </si>
  <si>
    <t>Brutus is sickkkkkkkk</t>
  </si>
  <si>
    <t>His effect is very beneficial with my deck.</t>
  </si>
  <si>
    <t>drone buzzer, whirley scrat, assassin, cleaver, and plasma marines</t>
  </si>
  <si>
    <t>2 free cards with 0 cost is insane.</t>
  </si>
  <si>
    <t>Burn The Bridges</t>
  </si>
  <si>
    <t>wow, ark, 7d2d</t>
  </si>
  <si>
    <t>Cuz i love my deck and my deck needs apep</t>
  </si>
  <si>
    <t>Mana Golem</t>
  </si>
  <si>
    <t>Solo, Premade Duo, Expeditions, Mayhem Duo</t>
  </si>
  <si>
    <t>Dragonball, Fire Imp, Drone Buzzers, Soul Stealer, Assassin</t>
  </si>
  <si>
    <t>2nd perk</t>
  </si>
  <si>
    <t>None right now.</t>
  </si>
  <si>
    <t>Random means Fun.</t>
  </si>
  <si>
    <t>she get that card extra golem card</t>
  </si>
  <si>
    <t>His rage / shield buffs helps boost my deck's power</t>
  </si>
  <si>
    <t xml:space="preserve">Drone Buzzers, Defenso Chopper, </t>
  </si>
  <si>
    <t>Good AOE, bridge clear spell</t>
  </si>
  <si>
    <t>Random free cards allows for variety.</t>
  </si>
  <si>
    <t>Warframe, Killing Floor 2, Heros of the Storm</t>
  </si>
  <si>
    <t>Swarm strategy</t>
  </si>
  <si>
    <t>i always enjoy the sticky coming back again and again kind of minions</t>
  </si>
  <si>
    <t>First few games my cards matched him better than free rotation, played almost 1k games with him and almost none with others</t>
  </si>
  <si>
    <t>Getting cards/masters faster</t>
  </si>
  <si>
    <t>Scott, Musketeer, Daggerfall, Netherstep, Blind Date</t>
  </si>
  <si>
    <t>I like frenzy and his friends that he summons. :) He is also aggressive at ending early.</t>
  </si>
  <si>
    <t>Can spawn a strong Arcane Golem</t>
  </si>
  <si>
    <t>I think he has good potential synergy with the deck and the map. Allows to create powerful combinations based on his skills</t>
  </si>
  <si>
    <t>mana puff, heal puff, whirler scrat, incubus, colossus</t>
  </si>
  <si>
    <t xml:space="preserve">because even though its for high maa decks i realy like the 0 elixir cards and the invincibility is always great but i liked it the most when it did combo with blood imps :) </t>
  </si>
  <si>
    <t>Starcraft, monster hunter</t>
  </si>
  <si>
    <t>Free Cards</t>
  </si>
  <si>
    <t>Gameplay, Collecting Cards/Masters, The lack of upgrading cards to make them stronger.</t>
  </si>
  <si>
    <t>Starter pack and arena skins</t>
  </si>
  <si>
    <t>Flightless dragons, spear throwers, divine warrior, defenso chopper, and wizard puff</t>
  </si>
  <si>
    <t>Tombstone</t>
  </si>
  <si>
    <t>The bridge swapping drove me nuts when I played against him.</t>
  </si>
  <si>
    <t>free cards is overhelming power</t>
  </si>
  <si>
    <t>Epic Seven</t>
  </si>
  <si>
    <t>i like to stack my skeleton in duo Q, also works well with drones !</t>
  </si>
  <si>
    <t>Because I got the game for free</t>
  </si>
  <si>
    <t>Fits my deck and playstyle</t>
  </si>
  <si>
    <t>Spells are fun</t>
  </si>
  <si>
    <t>Free and can easily be used offensively</t>
  </si>
  <si>
    <t>Monster Hunter world, Souls Series</t>
  </si>
  <si>
    <t>Because of her unique playstyle and her special cards along with their special combos</t>
  </si>
  <si>
    <t>to get a king puff pack !</t>
  </si>
  <si>
    <t>wheel of doom, xiao long, cursebearer,snake druid,dragon whelp</t>
  </si>
  <si>
    <t>his first level is so strong ffor an early push</t>
  </si>
  <si>
    <t>give you random free cards</t>
  </si>
  <si>
    <t>Brutus is so fun to summon.</t>
  </si>
  <si>
    <t>I find the RNG of getting random cards is fun, because it allows you to use cards you do not normally have access to.</t>
  </si>
  <si>
    <t>battle chest</t>
  </si>
  <si>
    <t>I like having extra random cards</t>
  </si>
  <si>
    <t>xiao long, cursebraker, cristal construct,  divine warrior, illusory cleaver, chain lightning</t>
  </si>
  <si>
    <t xml:space="preserve">the cicle style. </t>
  </si>
  <si>
    <t>random cool cards</t>
  </si>
  <si>
    <t>path of exile, league of legends, chess.</t>
  </si>
  <si>
    <t>Por meu deck ter vantagens com precisão</t>
  </si>
  <si>
    <t>His two free cards are a great addition to any team &amp; the Shield Totem has many uses.</t>
  </si>
  <si>
    <t>Brutus</t>
  </si>
  <si>
    <t>5. Distortion Puff, 4. Crossbow Dudes w/ Shield 3. Shield Knight lady girl 2. Incubus. 1. That lava card u get on the lava guy</t>
  </si>
  <si>
    <t>My mordar deck is my best deck.</t>
  </si>
  <si>
    <t>He hits face a bunch and i like that sh*t</t>
  </si>
  <si>
    <t>I like the free cards and defensive options</t>
  </si>
  <si>
    <t>Overwatch, Hearthstone, Pokemon TCGO</t>
  </si>
  <si>
    <t>The 0-Cost cards make for very interesting gameplay and I love that bridge shrine lets you play some super cool control based stall decks.</t>
  </si>
  <si>
    <t>Empowered Soulstealer, Tantrum Throwers, Xiao Long, Whirly Scrat, Colossus</t>
  </si>
  <si>
    <t>Love the early pressure with brutus + the Rage bonus later on</t>
  </si>
  <si>
    <t>All of his passives are fun to play round</t>
  </si>
  <si>
    <t>League of Legends, Minecraft, a lot of steam games</t>
  </si>
  <si>
    <t>I love playing high cards while also gettin some for free</t>
  </si>
  <si>
    <t>He was a great beginner hero for me, and i like his constant support on the field. He is very simple for a new player like me, but i like the fact that most/all heros affect the kind of deck u wanna play with them.</t>
  </si>
  <si>
    <t>My favorite deck is all 4&amp;5 cost cards and puff is sweet when it comes to the buffs. My deck is literaly named "Puff Buff".</t>
  </si>
  <si>
    <t>In the beginning for masters and packs</t>
  </si>
  <si>
    <t>Undying Skeleton, DFO (rip), Plasmarines, Crystal Arcanist, Azali, Tantrum Throwers</t>
  </si>
  <si>
    <t>More+free Cards</t>
  </si>
  <si>
    <t>bonus cards</t>
  </si>
  <si>
    <t>They are billions, Battleforge, Archeage</t>
  </si>
  <si>
    <t>brutus is a strong body</t>
  </si>
  <si>
    <t>the turtle</t>
  </si>
  <si>
    <t>Works well with rush decks, with constant control over bridges.</t>
  </si>
  <si>
    <t>The high attack rate with high cards on hand</t>
  </si>
  <si>
    <t>card value</t>
  </si>
  <si>
    <t>suited the deck</t>
  </si>
  <si>
    <t>Dragon Ball, Incubus, S Twins, Xiao Long, Bounty Sniper</t>
  </si>
  <si>
    <t>I felt this was the best mater suited to my best deck.</t>
  </si>
  <si>
    <t>Shop offers (card bundles for rubies)</t>
  </si>
  <si>
    <t>Last Stand, Beam of Doom!, Divine Warrior, Spiritmancer, Xiao Long</t>
  </si>
  <si>
    <t>League of Legends, Hearthstone, Clash Royale</t>
  </si>
  <si>
    <t>Gameplay, Graphics, Collecting Cards/Masters, Competitions/Tournaments, Crafting system, All</t>
  </si>
  <si>
    <t>His power and attack</t>
  </si>
  <si>
    <t>Getting little bit of rubies needed to buy Milloween</t>
  </si>
  <si>
    <t>Cursebearer, Succubus, Daggerfall, Divine Warrior, Elf Archers</t>
  </si>
  <si>
    <t>RTS, RPGs, strategy games</t>
  </si>
  <si>
    <t>To get the season and try for legendaries!</t>
  </si>
  <si>
    <t>Xiao Long, Fire Imp, Harbinger, Troubadour and Succubus</t>
  </si>
  <si>
    <t>I like that at first level I can shoot anything across the map</t>
  </si>
  <si>
    <t>World of Warcraft, Elder Scrolls Online and Fallout 76</t>
  </si>
  <si>
    <t>Cursebearer, Divine warrior, Future present, Crossbow dudes, Arcane Archers</t>
  </si>
  <si>
    <t>MTG Arena</t>
  </si>
  <si>
    <t>Undying Skeleton, Curse Bearer, Life stealer, Plasma Marines, Soul Eater</t>
  </si>
  <si>
    <t xml:space="preserve">Interesting game mechanics (master specific cards might be nice) ;-) </t>
  </si>
  <si>
    <t>Hearthstone, Duelyst, Dreadnought, Grim Nights</t>
  </si>
  <si>
    <t>To get more cards</t>
  </si>
  <si>
    <t>Xiao Long, Harbinger, Fire Imp, Prowler, and Colossus</t>
  </si>
  <si>
    <t>I like his perks.</t>
  </si>
  <si>
    <t>Hearthstone, Call of Duty, Runescape, and Rocket League</t>
  </si>
  <si>
    <t>Playing a strategy game cooperatively</t>
  </si>
  <si>
    <t>There was good deals in the store as well as I wanted the premium account bonus</t>
  </si>
  <si>
    <t>Arcane Golem, Morgrul the Swarm King, chain lightning, reboomer, Styxi</t>
  </si>
  <si>
    <t>Assassins Creed, Smite, For Honor, PUBG</t>
  </si>
  <si>
    <t>Harbinger, Lord-Sentinel Thelec, Troubadour, Divine Warrior and Laser Turret</t>
  </si>
  <si>
    <t>free frenzy buff</t>
  </si>
  <si>
    <t>Black ops 4, Minecraft, Pong, Pac Man, and Minesweeper</t>
  </si>
  <si>
    <t>Collecting Cards/Masters, Competitions/Tournaments, lurking on discord, watching bob stream</t>
  </si>
  <si>
    <t>marines, crossbow dude guild, imps, succubus, harbinger</t>
  </si>
  <si>
    <t>very easy, good for beginner</t>
  </si>
  <si>
    <t>arrow outhouse, the ghost that takes over a card, incubus, succubus, flying scrat</t>
  </si>
  <si>
    <t>Never directly, just on the premium upgrade</t>
  </si>
  <si>
    <t>Blood imps, Combustion, Gor'Rakk sacrifice,  Future Present, Demon warrior (wish it was better)</t>
  </si>
  <si>
    <t>AoE2, Dragon ball Fighterz, Soul Caliber 6, Supreme Commander, and Beat saber take up most of my gaming time atm.</t>
  </si>
  <si>
    <t>Master Skins an Arenas</t>
  </si>
  <si>
    <t>The Assassin, the Snipers,The dragons,the escort card, and the incubis and sucubis</t>
  </si>
  <si>
    <t xml:space="preserve"> Irrelevant</t>
  </si>
  <si>
    <t>Drone buzzers, Assasin, Defenso Chopper, Incubus, Spear Throwers</t>
  </si>
  <si>
    <t>Good perks</t>
  </si>
  <si>
    <t>League of legends, maplestory 2</t>
  </si>
  <si>
    <t>he is allways good</t>
  </si>
  <si>
    <t>LoL</t>
  </si>
  <si>
    <t>the 5 mana one with a shield for 8 secs, the one that teleports against ranged cards, idk what else lol</t>
  </si>
  <si>
    <t>too many to list, but pretty much every genre except horror and puzzle. Love strategy the most</t>
  </si>
  <si>
    <t>I bought the $20 premium thing</t>
  </si>
  <si>
    <t>Spiritmancer, Blastmancer, Future Past, Future Present when I can use it, Soulstealer</t>
  </si>
  <si>
    <t>Favorite perks, they feel the most impactful. please don't nerf</t>
  </si>
  <si>
    <t>Overwatch when there's an event or a new hero. I would play wow if it didn't suck. I used to play league but now it sucks too. I play discord nitro games and started path of exile. Free to play is a big factor too.</t>
  </si>
  <si>
    <t>Defence</t>
  </si>
  <si>
    <t>League of Legends, Civ 5</t>
  </si>
  <si>
    <t>level 1</t>
  </si>
  <si>
    <t xml:space="preserve">gta,fall out, poke pro </t>
  </si>
  <si>
    <t>playing with a friend</t>
  </si>
  <si>
    <t>Gameplay, The tactics of the gameplay.  Having to think about the plays and counters.</t>
  </si>
  <si>
    <t>To support the game after my many hours of play</t>
  </si>
  <si>
    <t>Scott the Sensitive Savage.  Cursebearer. Shock Rock.  Dragon Whelp.  Xiao Long.</t>
  </si>
  <si>
    <t>Her style is cool, and her Blast Entry is really good.</t>
  </si>
  <si>
    <t>Single/Multi Player Steam Games: Thumper, Deus Ex, Witcher, Gauntlet.  Previously played: League of Legends, Hearthstone, Counter-Strike.</t>
  </si>
  <si>
    <t>1. living statue 2. cleaver 3. blue golem 4. stun lancers 5. blind date</t>
  </si>
  <si>
    <t>i like playing fortnite but now i do not. i like play other online games too.</t>
  </si>
  <si>
    <t>lightning bolt, beam of doom, infiltration, divine warrior, blind date</t>
  </si>
  <si>
    <t>MAGIC!!!!!!!!</t>
  </si>
  <si>
    <t>Dota 2, Lol, SC2</t>
  </si>
  <si>
    <t>Stun Lacers, The golem, Lightning strike, Living statue and The marines.</t>
  </si>
  <si>
    <t>On discord none other.</t>
  </si>
  <si>
    <t>Wizard Puff, Ghost, Troubadour, Scott the Sensitive Savage, and Harbinger</t>
  </si>
  <si>
    <t>CS:GO, Overwatch, Dota 2, Warcraft III, Terraria, Grand Theft Auto V, The Binding of Isaac: Rebirth, Rust, Warframe, Garry's Mod, Skyrim</t>
  </si>
  <si>
    <t>Cleaver, Sniper Scrat, Shock Rock, Plasma Marines, and Elite Swarmer</t>
  </si>
  <si>
    <t>I like his abilities the most. They feel the best to me</t>
  </si>
  <si>
    <t>Annihilator, Fire Imp, Drone Buzzers, Marines, Harbinger</t>
  </si>
  <si>
    <t xml:space="preserve">Balance </t>
  </si>
  <si>
    <t>Clash Royale, Fortnite</t>
  </si>
  <si>
    <t>To purchase bundles and the battlepass</t>
  </si>
  <si>
    <t>Morgul, Infiltration, Beam of Doom, Harbringer, Wizard Puff</t>
  </si>
  <si>
    <t xml:space="preserve">The playstyle that goes along with the master along with his perks match me </t>
  </si>
  <si>
    <t>League of Legends, Hearthstone, World of Warcraft</t>
  </si>
  <si>
    <t>Divine Warrior, Re-boomer, Guardian, Xiao Long, Cursebearer</t>
  </si>
  <si>
    <t>I like the Tombstone mechanic</t>
  </si>
  <si>
    <t>Hearthstone, Overwatch, Counter-Strike, many indie games</t>
  </si>
  <si>
    <t>Because honestly it's a bit pricey but it is supporting the game in a way</t>
  </si>
  <si>
    <t>Puff's All The Puffs More Puff I WANT PUFFS</t>
  </si>
  <si>
    <t>Runescape</t>
  </si>
  <si>
    <t>Swarmers, stint, scrat pack, cursebringer, and Xiao long!</t>
  </si>
  <si>
    <t>LoL, clash Royale, chess</t>
  </si>
  <si>
    <t>Laser Turret, Propeller Horde, Gax the world bomb, Re-Boomer, Beam of doom</t>
  </si>
  <si>
    <t>Love the special summons, high attack speed and I HATE Stormbringer.</t>
  </si>
  <si>
    <t>League of legends, lord of the rings online, final fantasy 14 and a mix genre of steam games.</t>
  </si>
  <si>
    <t>arcane golem. laser tower.  incubbus. fireball. blind date</t>
  </si>
  <si>
    <t>easy to use</t>
  </si>
  <si>
    <t xml:space="preserve">hearhstone. </t>
  </si>
  <si>
    <t>Blind Date, Blastomancer, Living Statue, Blood Imps, Crossbown Guild</t>
  </si>
  <si>
    <t>Is able to deal direct damage to the enemy master like Stormbringer, while being more interesting to play as, in my opinion.</t>
  </si>
  <si>
    <t>Strategy games like Europa Universalis, Civilizations and Total War; Fightning games; Card games (Magic, Shadowverse and waiting for Artifact), among others (RPGs, ARPGs, management games, etc).</t>
  </si>
  <si>
    <t>I like the range</t>
  </si>
  <si>
    <t>Magic the Gathering, Fortnite, Misc.</t>
  </si>
  <si>
    <t>premium accout</t>
  </si>
  <si>
    <t>1.mana puff 2.styxi 3.incubus 4.illusorry cleaver 5.succubus</t>
  </si>
  <si>
    <t>Classic to play</t>
  </si>
  <si>
    <t>Path of exile</t>
  </si>
  <si>
    <t>Destruction Beam, Stone Giant, The Flying Spaguetti Minions</t>
  </si>
  <si>
    <t>League of Leguends, Destiny 2, Clash Royale, Puzzle Empires</t>
  </si>
  <si>
    <t>Battlepass &amp; bundles (w/skin, tokens, and/or cards i wanted)</t>
  </si>
  <si>
    <t xml:space="preserve">daggerfall, illusory cleaver, blackhole, commander azali, crystal archers </t>
  </si>
  <si>
    <t>Heroes of the Storm, Monster Hunter World, Age of Wonders 3, Warframe</t>
  </si>
  <si>
    <t>she has a really fun ability, and in my opinion strong defense and offense with the right card loadout</t>
  </si>
  <si>
    <t xml:space="preserve">paladins champion of the realm </t>
  </si>
  <si>
    <t>Gameplay, Graphics, great time killer</t>
  </si>
  <si>
    <t>Buying packs</t>
  </si>
  <si>
    <t xml:space="preserve">Demon warrior, Scott the sensitive savage , Swarmers, Swarmer totem. Annihilator  </t>
  </si>
  <si>
    <t>League of legends, Hearthstone</t>
  </si>
  <si>
    <t>All Scrat Decks</t>
  </si>
  <si>
    <t>Left 4 Dead 2, Single Player games mostly</t>
  </si>
  <si>
    <t>Morgrul, Elite Swarmer, Swarmers, Shock Rock, Flightless Dragons</t>
  </si>
  <si>
    <t>Looks and active gameplay. She doesn't just go where I tell her to, but I also manage her reloading via spells.</t>
  </si>
  <si>
    <t>Titanfall: Assault, Overkill's The Walking Dead, Red Solstice, and over 1300 others.</t>
  </si>
  <si>
    <t>Idk I really like the ability to shoot over the whole map, can be a lifesaver yk.</t>
  </si>
  <si>
    <t>CS:GO, League, Destiny, Overwatch, and some Indies</t>
  </si>
  <si>
    <t>Graphics, Competitions/Tournaments</t>
  </si>
  <si>
    <t>Shars'rakk twins, Gor'rakk brutes, Lost leggionaires, Arcane Golem, Lorde Senitel Thelec</t>
  </si>
  <si>
    <t>Csgo, Ultimate Chicken Horse</t>
  </si>
  <si>
    <t>Gameplay, Collecting Cards/Masters, Leveling System, Battle Pass Progress</t>
  </si>
  <si>
    <t>Premium Account Upgrade and Battle Pass</t>
  </si>
  <si>
    <t>1.Arcane Golem 2. Soul Stealer 3. Wheel of Doom 4. Harbringer 5. Future Present</t>
  </si>
  <si>
    <t>Shooters, MMORPGs, MOBAs, almost everything actually</t>
  </si>
  <si>
    <t>He let's to pick cards with ressurection in mind.Where sacrifice can outbid the shortcomings or help in some cases more than that.</t>
  </si>
  <si>
    <t>long Range</t>
  </si>
  <si>
    <t>Gor'Rakk's sacrifice,Re-boomer,Future Past,Crossbow Guild.</t>
  </si>
  <si>
    <t>Because she fits my playstyle best</t>
  </si>
  <si>
    <t xml:space="preserve">tactics </t>
  </si>
  <si>
    <t>Heroes of the storm,Warcraft 3,Gemcraft-chasing shadows.</t>
  </si>
  <si>
    <t>I have best draft result with him. I also like the way that I have to time my tombstombs to get high value from them</t>
  </si>
  <si>
    <t>global attack yo</t>
  </si>
  <si>
    <t>He have perks can be helpfull for make pressure on Master oppenent. But i love Volco too for this control board.</t>
  </si>
  <si>
    <t>New Skins and Packs</t>
  </si>
  <si>
    <t>his special servants are (to) strong</t>
  </si>
  <si>
    <t xml:space="preserve">Other masters offer passive benefits based on what type of units you run, or which cost-range of cards you included in your deck. But with Settsu, how effective her perks and base-defense are is directly tied to your actions and timing. </t>
  </si>
  <si>
    <t>i can do good tactic with it</t>
  </si>
  <si>
    <t>I like that he can attack over the whole map, also the marksmanship.</t>
  </si>
  <si>
    <t xml:space="preserve">xia long, banner man, wizard puff, armored escort, walking blind date </t>
  </si>
  <si>
    <t>His abilitys are the best so far cause he reach the other side of the map to add pressure</t>
  </si>
  <si>
    <t>I like how you can clutch a match and the randomness often makes the game more fun and each game different.</t>
  </si>
  <si>
    <t>Skills</t>
  </si>
  <si>
    <t>Frenzy(2nd ability)</t>
  </si>
  <si>
    <t>Scrat Pack, Divine Warrior, Defenso Chopper, Plasma Marines, Dragon Whelp</t>
  </si>
  <si>
    <t>Magic: The Gathering Arena</t>
  </si>
  <si>
    <t>Nice range</t>
  </si>
  <si>
    <t>Her beast passive</t>
  </si>
  <si>
    <t>Draft, Expeditions</t>
  </si>
  <si>
    <t>to try get a good legendary</t>
  </si>
  <si>
    <t>wheel of doom cursebearer assassin prowler drone buzzers</t>
  </si>
  <si>
    <t>His long range</t>
  </si>
  <si>
    <t>tomb stones</t>
  </si>
  <si>
    <t xml:space="preserve">rust fallout rainbow six terraria </t>
  </si>
  <si>
    <t>Sooo strong</t>
  </si>
  <si>
    <t>she fun</t>
  </si>
  <si>
    <t>She is the most interactive master. Her toolkit may not be the best, but an active master is a sure sell for me</t>
  </si>
  <si>
    <t>He's so shooty. I almost picked Apep.</t>
  </si>
  <si>
    <t>fortnite, rainbow six siege</t>
  </si>
  <si>
    <t xml:space="preserve">Tombstone theme fun, attack interesting. </t>
  </si>
  <si>
    <t>easy to play and powerful</t>
  </si>
  <si>
    <t>I like Stormbringer's range abilities</t>
  </si>
  <si>
    <t>he have abilities i like.</t>
  </si>
  <si>
    <t>I need my fix of tokens man, I need it</t>
  </si>
  <si>
    <t>Scrat tank, plasma marines, divine warrior, harbinger, swirly scrat</t>
  </si>
  <si>
    <t>Before crystal construct nerf she was a nice combo with them :D</t>
  </si>
  <si>
    <t>League of legends, enter the gungeon, crusader kings</t>
  </si>
  <si>
    <t>I like the perks</t>
  </si>
  <si>
    <t>Easy map control</t>
  </si>
  <si>
    <t>I believe he's overpowered and he actually has a noticable playstyle unlike the rest. For example, he's best speced into having ranged minions.</t>
  </si>
  <si>
    <t>marksmanship</t>
  </si>
  <si>
    <t>FIRE</t>
  </si>
  <si>
    <t>I've always been pretty good at bridge controll, King puff made it much easier and let me get a buff for something I'm good at</t>
  </si>
  <si>
    <t>Walking blind date, Blastmancer, Future Present, sniper scrat, crossbow guild</t>
  </si>
  <si>
    <t>His abilities</t>
  </si>
  <si>
    <t>Heroes of the Storm, World of tanks, WoW, Hearthstone</t>
  </si>
  <si>
    <t>Cool perks</t>
  </si>
  <si>
    <t>He can change the match with a good transfert</t>
  </si>
  <si>
    <t>Cleaver, Wizard Puff, Scrat Tank, Soul Stealer, Scott The Sensitive Savage</t>
  </si>
  <si>
    <t>the 3 skills</t>
  </si>
  <si>
    <t>Long Range</t>
  </si>
  <si>
    <t>Face damage</t>
  </si>
  <si>
    <t>XCOM 2 War of the chosen</t>
  </si>
  <si>
    <t>Spells and basic attack.</t>
  </si>
  <si>
    <t>Broken</t>
  </si>
  <si>
    <t>Easy</t>
  </si>
  <si>
    <t>New at game sorry xD</t>
  </si>
  <si>
    <t>because i like the global range he gets</t>
  </si>
  <si>
    <t>Wow, Hots, hearthstone</t>
  </si>
  <si>
    <t>like his longshot perk</t>
  </si>
  <si>
    <t>à l'époque il avait une compétence marrante mais plus maintenant</t>
  </si>
  <si>
    <t xml:space="preserve">the fire bridge. </t>
  </si>
  <si>
    <t>Because it's the best to defend the tower against scrats and rammer with tombstone</t>
  </si>
  <si>
    <t xml:space="preserve">For Honor to Ubisoft. Blizzard Games : HoTS, Hearstone, Diablo III. </t>
  </si>
  <si>
    <t>She is a fun hero to play that feels much different to the rest</t>
  </si>
  <si>
    <t>I like his passive abilities when he levels up instead of getting actives like most of the other masters.</t>
  </si>
  <si>
    <t>League of legends</t>
  </si>
  <si>
    <t>He's the most fun!</t>
  </si>
  <si>
    <t>reboomer and all the vampyre-like cards</t>
  </si>
  <si>
    <t>hes got good range</t>
  </si>
  <si>
    <t>That premium upgrade. I got a key for free early on, but when you spent the amount of hours I have, it's only fair to give something back.</t>
  </si>
  <si>
    <t>In no particular order - Daggerfall, Dragon Whelp, Plasma Marines, Re-Boomer, Stun Lancers</t>
  </si>
  <si>
    <t xml:space="preserve">I like her perks </t>
  </si>
  <si>
    <t>All across the board, really. Besiege, Team Fortress 2, Oxygen not Included, Broforce, Vindictus... whichever, really. There isn't much of a red thread connecting what I like playing. Some stuff just clicks.</t>
  </si>
  <si>
    <t xml:space="preserve">Interesting game mechanics. </t>
  </si>
  <si>
    <t>I like ranged attackers</t>
  </si>
  <si>
    <t>Gameplay, Graphics, Collecting Cards/Masters, Competitions/Tournaments, Crafting system, im happy about getting very fast legendary and normal cards</t>
  </si>
  <si>
    <t>very good for complex strategy</t>
  </si>
  <si>
    <t>He is really good in Solo when played right</t>
  </si>
  <si>
    <t>Not just because its default, but I prefer the perks.</t>
  </si>
  <si>
    <t>Has fun ability to ressurrect creatures</t>
  </si>
  <si>
    <t>Premium upgrade and i will pay ca. 20€ for rubies</t>
  </si>
  <si>
    <t>He can shoot things on the bridge</t>
  </si>
  <si>
    <t>i like the constant value and impact he has on the battlefield</t>
  </si>
  <si>
    <t>LoL, no card games, shooter(BF4,5)</t>
  </si>
  <si>
    <t>tier 2 and 3 perk, mostly tier 2 because it makes heavy 4-5 builds interesting and makes rabid prowler easier to get full potential</t>
  </si>
  <si>
    <t>He had a very well balanced skill on both attack and defence</t>
  </si>
  <si>
    <t>When he was viable, his randomness offered variety. Every game was different.</t>
  </si>
  <si>
    <t>Season Battle Pass</t>
  </si>
  <si>
    <t>I like his global shooting</t>
  </si>
  <si>
    <t>Colossus, Crystle Archers, Xiao Long, Divine Warrior, Cleaver</t>
  </si>
  <si>
    <t>Legion TD 2, Path of Exile, Console (Suikoden 1+2 atm)</t>
  </si>
  <si>
    <t>I just love her gameplay. Spell synergy feels great.</t>
  </si>
  <si>
    <t>Constant DPS, also attacks air</t>
  </si>
  <si>
    <t>Controlling the board is rewarding with her</t>
  </si>
  <si>
    <t>cool perks</t>
  </si>
  <si>
    <t>ranged dps</t>
  </si>
  <si>
    <t xml:space="preserve">Allot of other games that is strategy and fps </t>
  </si>
  <si>
    <t>i realy love ratbo KP and Apep.. ratbo becose i love using 1st perk to defend. , KP.. well hes a puff whats not to like there.. also bridge swap is grate!., and Apep i love RNG..</t>
  </si>
  <si>
    <t>its a good defence master and good for killing alot of minions</t>
  </si>
  <si>
    <t>Best suited for strong creature control</t>
  </si>
  <si>
    <t xml:space="preserve">First one i bought like the drop into the fight aspect </t>
  </si>
  <si>
    <t>Cause its aggressive</t>
  </si>
  <si>
    <t>flex</t>
  </si>
  <si>
    <t>I like the tombstones</t>
  </si>
  <si>
    <t>Cardgames, MOBA</t>
  </si>
  <si>
    <t>becose of skills</t>
  </si>
  <si>
    <t>I like to buff her pet and protect it</t>
  </si>
  <si>
    <t>His Tier 2 perk</t>
  </si>
  <si>
    <t>Allow burst and nice skills</t>
  </si>
  <si>
    <t>Solo, Premade Duo, Draft, Mayhem Duo</t>
  </si>
  <si>
    <t>Premium &amp; Battle Pass</t>
  </si>
  <si>
    <t>Defensomatic, Fiery Imp, Scott the Sensitive Savage, Soul Stealer, Heal Puff</t>
  </si>
  <si>
    <t>strongest in my opinion</t>
  </si>
  <si>
    <t>Hitman 2, Rainbow Six Siege, Hearthstone, Super Smash Bros, Fallout 76</t>
  </si>
  <si>
    <t>Premium Upgrade, to buy battlepass</t>
  </si>
  <si>
    <t>Crystal Archers, Crystal Arcanist, Swarmer King, Mana Puff Madness, Illusion Cleaver</t>
  </si>
  <si>
    <t>Synergy marksman</t>
  </si>
  <si>
    <t>Dota, Hots, Destiny2</t>
  </si>
  <si>
    <t>he is late gamer, he is very weak in early, and it is good,</t>
  </si>
  <si>
    <t>Used to playing him.  Solid all round</t>
  </si>
  <si>
    <t>He is a tactical master</t>
  </si>
  <si>
    <t>Beam of Doom, Beam of Doom, Beam of Doom, Beam of Doom, Beam of Doom</t>
  </si>
  <si>
    <t>Because I think its strong</t>
  </si>
  <si>
    <t xml:space="preserve">He feels to be very strong in most situations where as other masters have a little bit of harder time adapting to every situation </t>
  </si>
  <si>
    <t xml:space="preserve">League of Legends, Hearthstone, Destiny 2, Heroes of the Storm, Fallout 3, Fallout 4, Fallout 76, PUBG, Cod Blackout,  Starcraft II, Clash Royale, Brawlhalla, Eve Online, Red Alert 2, Dominion 4, EU4, </t>
  </si>
  <si>
    <t>Haven't had Time to test them all yet sadly... But KP is pretty strong. I'm looking forward to try Apep, too</t>
  </si>
  <si>
    <t>Her powers</t>
  </si>
  <si>
    <t>Afterburner, because Face is the Place!</t>
  </si>
  <si>
    <t>To buy the rest of the Masters(initially I bought Masters with rubies from premium upgrade)</t>
  </si>
  <si>
    <t>Shield Bearer,Future Present,Demon Warrior,Last Stand,Colossus</t>
  </si>
  <si>
    <t xml:space="preserve">I like her spell combo. </t>
  </si>
  <si>
    <t>The synergy</t>
  </si>
  <si>
    <t>Warframe and occasionally some strategy, fighting, ... something else maybe</t>
  </si>
  <si>
    <t>his charge shot and the scat spam</t>
  </si>
  <si>
    <t>I play to win, so i play the best, and in my oppinion he is curently the best</t>
  </si>
  <si>
    <t>I like the perks espacially Level 1 And 3 And i think he kinda looks cool</t>
  </si>
  <si>
    <t>Walking Blind Date, Crossbow Guild, Stun Lancers, Armored Escort, Daggerfall</t>
  </si>
  <si>
    <t>global range + marksman for ranged minions</t>
  </si>
  <si>
    <t>Stellaris, Rimworld, Monster Hunter</t>
  </si>
  <si>
    <t>Long range Map pressure</t>
  </si>
  <si>
    <t>I've always been drawn to mages. Casting spells is nice and she encourages it.</t>
  </si>
  <si>
    <t>The gravestone respawn</t>
  </si>
  <si>
    <t>Basic, easy</t>
  </si>
  <si>
    <t>king puff for the second perk</t>
  </si>
  <si>
    <t>just to get a few cards and a good amount of crystals</t>
  </si>
  <si>
    <t>Crossbow Guild, Crossbowman, Dragon Whelp, Troubadur, ähm...Fire ball i guess</t>
  </si>
  <si>
    <t>Star Wars the Old Republic, League of Legends, Overwatch</t>
  </si>
  <si>
    <t>She is kinda fun?</t>
  </si>
  <si>
    <t>range</t>
  </si>
  <si>
    <t>skills</t>
  </si>
  <si>
    <t>Scott, Annihilator, Crystal Escort, Crystal Archer, Harbringer</t>
  </si>
  <si>
    <t>Good power spikes @ 1+3, can defend herself</t>
  </si>
  <si>
    <t>I play a lot of games lol. Playing FO76 right now</t>
  </si>
  <si>
    <t>cause hes powerful</t>
  </si>
  <si>
    <t>Whole arena range</t>
  </si>
  <si>
    <t xml:space="preserve">i like his skills </t>
  </si>
  <si>
    <t xml:space="preserve">Heroes of Newerth, Clash of Clans </t>
  </si>
  <si>
    <t>I love the random quality his abilities give.</t>
  </si>
  <si>
    <t>To promote the game and discover his features</t>
  </si>
  <si>
    <t>Raged bowler, Bridge budies, Void hole, Telec, 4 mana thunder spell</t>
  </si>
  <si>
    <t>range is pretty powerfull tactical advantage</t>
  </si>
  <si>
    <t>Cs:go, Clash royal, Rocket league</t>
  </si>
  <si>
    <t>Jumping skill is the thing i need</t>
  </si>
  <si>
    <t>first perk</t>
  </si>
  <si>
    <t>Premium and for 350 rubies once</t>
  </si>
  <si>
    <t>Lightning, healing fireball, milloween's 2nd perk card</t>
  </si>
  <si>
    <t>because he can be really fun to play with and really good for trolls!</t>
  </si>
  <si>
    <t>Love the bridge swap and his second perk</t>
  </si>
  <si>
    <t>CS:GO, Warframe, Rocket League, Osu!</t>
  </si>
  <si>
    <t>because of its AOE attack and the reviving function</t>
  </si>
  <si>
    <t>When I climb back to GM at the start of every month, it's nice to have a master who interacts continuously with your opponent (also why I like Settsu, KP, and Ravager) even if you spend most of the game on the enemy field. Also just fits my play style, I've played him the longest, etc.</t>
  </si>
  <si>
    <t>I enjoy seeing a game come together after gaining marksmanship</t>
  </si>
  <si>
    <t>Passive global impact for the majority of game</t>
  </si>
  <si>
    <t>The revival feature.</t>
  </si>
  <si>
    <t>i like it</t>
  </si>
  <si>
    <t>Killing off minions automatically at any range</t>
  </si>
  <si>
    <t>Sales</t>
  </si>
  <si>
    <t>Crossbow Guild, Hypnotize, Defenso Chopper, Healing Shrine, Banner Man</t>
  </si>
  <si>
    <t>because of his global shot ability</t>
  </si>
  <si>
    <t>His buffs are good</t>
  </si>
  <si>
    <t>Baldur's gate, Starbound, Warframe, Rollercoaster Tycoon, Stardew Valley, Rocket League, Project Zomboid, Exanima, Shadow of Mordor, Child of Light, Darkest Dungeon, Crypt of the Necrodancer, Dragon Age, Divine Divinity, Dragon's Dogma, Dreadout, Skyrim, Outlast, Final Fantasy 6-12, For Honor, Hammerwatch, Monster Slayers, Neverending Nightmares, Oxenfree, Pit People, Secrets of Grindea, Tomb Raider, This War of Mine, Pokemon, Monster Hunter, Sega Genesis, SNES, NES, Sega CD, Nintendo 64, Gameboy, Guild Wars 2, Drakensang Online</t>
  </si>
  <si>
    <t>Minigun</t>
  </si>
  <si>
    <t>Guardian, Assassin, Arcane Golem, Chain Lightning, Crossbow Guild</t>
  </si>
  <si>
    <t>his abilities are best suited to my play style</t>
  </si>
  <si>
    <t>He's able to use the switch bridges ability and just fun to play with.</t>
  </si>
  <si>
    <t>Theme Hospital, Prison Architech, Path of Exile, Warframe, Stardew Valley, Starbound, Project Zomboid, Baldur's Gate</t>
  </si>
  <si>
    <t>I love control play</t>
  </si>
  <si>
    <t>tough</t>
  </si>
  <si>
    <t>Gameplay, Graphics, The way that it is like an upgraded version of games of the same style</t>
  </si>
  <si>
    <t>I can’t name them but they are all the rage effect cards except the dude the flys on a slab</t>
  </si>
  <si>
    <t>Planetside 2 Guild wars 2 and sometimes Roblox</t>
  </si>
  <si>
    <t>Cause i'm allll about dmg</t>
  </si>
  <si>
    <t>soul stealer</t>
  </si>
  <si>
    <t>I love ranged mastery and his abilites</t>
  </si>
  <si>
    <t>The ability to turn a game around, playing the long game.</t>
  </si>
  <si>
    <t>I like his ability</t>
  </si>
  <si>
    <t>I like his Abilities</t>
  </si>
  <si>
    <t xml:space="preserve">SHE CAN FIN FIGHT </t>
  </si>
  <si>
    <t>Copains de Zizi</t>
  </si>
  <si>
    <t>becouse i like his pasives</t>
  </si>
  <si>
    <t>LoL Slay the Spire</t>
  </si>
  <si>
    <t>because he is the easiest and he makes a good combo with all my ranged troops</t>
  </si>
  <si>
    <t>I love the gameplay the grave add, it's super usefull and I found mordar cool in general</t>
  </si>
  <si>
    <t>base attack</t>
  </si>
  <si>
    <t>Neverwinter, Love Nikki, Marvel's Future Fight, Eldarya</t>
  </si>
  <si>
    <t>he is the best for mp</t>
  </si>
  <si>
    <t>Risk vs Reward is very high.   Getting 5+ mana back from tombstone spawn can be very powerful.</t>
  </si>
  <si>
    <t>5 mana rock that gives back 1 mana, cleaver, ranged aoe big gun guy, spirit master</t>
  </si>
  <si>
    <t>Can resurrect everything</t>
  </si>
  <si>
    <t xml:space="preserve">League of legends, Magic the gathering, MTGA, Hearthstone, For honor </t>
  </si>
  <si>
    <t>He's strong no matter what</t>
  </si>
  <si>
    <t>Because of his second buff</t>
  </si>
  <si>
    <t>Spiritmancer, Daggerfall, Living Statue, Cheese Date, Arcane Golem.</t>
  </si>
  <si>
    <t>His ranged attacks offer me the most stable lategame</t>
  </si>
  <si>
    <t>For Honor</t>
  </si>
  <si>
    <t>Fun RNG mechanics</t>
  </si>
  <si>
    <t>RNG-focused skills which can either be helpful or not, and the shield totem can save you in a pinch.</t>
  </si>
  <si>
    <t>Range on attack.</t>
  </si>
  <si>
    <t>I enjoy playing cost effective defense and bridge control</t>
  </si>
  <si>
    <t>revive dead minion</t>
  </si>
  <si>
    <t xml:space="preserve">S.T.INT, Divine Warrior, Mana Puff, Bridge Shrine, Xiao Long </t>
  </si>
  <si>
    <t>because i like spells</t>
  </si>
  <si>
    <t>Elder Scrolls Online, Warframe</t>
  </si>
  <si>
    <t>cause i can implement outmaneuver strategies</t>
  </si>
  <si>
    <t xml:space="preserve">i like that he spawns the big minions when he levels up, it gives good oportunities to attack </t>
  </si>
  <si>
    <t>Starter Pack</t>
  </si>
  <si>
    <t>Spear Throwers, Succubus, Soul Stealer, Cleaver, Defenso-Chopper</t>
  </si>
  <si>
    <t>Strong 2nd perk</t>
  </si>
  <si>
    <t xml:space="preserve">League of Legends, Dead by Daylight, Maplestory 2 </t>
  </si>
  <si>
    <t>I like his 2nd perk, it feels great to use it to it's fullest potential although it's hard to set up properly</t>
  </si>
  <si>
    <t>Ranged attack</t>
  </si>
  <si>
    <t>To buy the special offers</t>
  </si>
  <si>
    <t>Plasma Marines, Incubus, Succubus, Crossbow Guild, Colossus</t>
  </si>
  <si>
    <t>really interesting</t>
  </si>
  <si>
    <t>Divinity: Original Sin 2, Minecraft, Realm Grinder, Dungeons 3, thousands of games</t>
  </si>
  <si>
    <t>fun to play with some RNG elements</t>
  </si>
  <si>
    <t>The third power is really interesting.</t>
  </si>
  <si>
    <t>Crossbow guild, swarmer spawner, healing fireball, chain lightning, sniper squad</t>
  </si>
  <si>
    <t>command &amp; conquer 3:kanes wrath, command &amp; conquer 3: tiberium wars, they are billions, stronghold 2 steam edition, total war: war-hammer 2</t>
  </si>
  <si>
    <t>because of its powers of a MACHINE GUN!!</t>
  </si>
  <si>
    <t>His swarm-based ability seemed fun</t>
  </si>
  <si>
    <t>the fact that it can destroy hordes and enter the arena</t>
  </si>
  <si>
    <t>Support the developers, skins</t>
  </si>
  <si>
    <t>The lvl1 skill and lvl3</t>
  </si>
  <si>
    <t>Spiritmancer, Undying Skeleton, Mana Puff Madness, Azali Demon Commander, Scrat Tank</t>
  </si>
  <si>
    <t>Cookie Wars, MMOS, Shooter, Strategy, Golem Gates, Racing Games</t>
  </si>
  <si>
    <t>Mobility and Range</t>
  </si>
  <si>
    <t>The ability to traverse the arena</t>
  </si>
  <si>
    <t>CoD, LoL, Dead by Daylight, Battlerite, Battlerite Royale, Rainbow Six</t>
  </si>
  <si>
    <t>Because his skills sounded the most fun to play.</t>
  </si>
  <si>
    <t>cuzz itz hard to get frienzie on your monsters , make a card pls</t>
  </si>
  <si>
    <t xml:space="preserve">Call to arms, Bridge shrine, Defenso chopper, Scrat horde, Thelic. </t>
  </si>
  <si>
    <t>CSGO,  WoW.</t>
  </si>
  <si>
    <t>His second perk to burn the bridges is key to turning battles</t>
  </si>
  <si>
    <t>Used him most. Easy to use.</t>
  </si>
  <si>
    <t>Account Upgrade/ Battle Pass</t>
  </si>
  <si>
    <t>He ist the best</t>
  </si>
  <si>
    <t>I'll having two of him in duo's</t>
  </si>
  <si>
    <t>i like control</t>
  </si>
  <si>
    <t>They're fun.</t>
  </si>
  <si>
    <t>It has a free lizard that can grant you a win if the enemy is unprepared for it. Especially the level 3 one :D</t>
  </si>
  <si>
    <t xml:space="preserve">not meny mainly this </t>
  </si>
  <si>
    <t>i want him, abilities sounds awesome</t>
  </si>
  <si>
    <t xml:space="preserve">i like cards that summon random mobs ( don't nerf them ) </t>
  </si>
  <si>
    <t>It's just too OP and versatile</t>
  </si>
  <si>
    <t xml:space="preserve">league of legends , cs go , the biding of isaac , lots of independant games </t>
  </si>
  <si>
    <t>It looked like a fun take on the colletable card game</t>
  </si>
  <si>
    <t>Gameplay, Its just a fun game, couse its such a little game i can just play it on any pc/labtop</t>
  </si>
  <si>
    <t>Crystal archer, Wheel of doom, Stun lancers, Scrat pack, Rabid Prowler</t>
  </si>
  <si>
    <t>'Battle ground games''</t>
  </si>
  <si>
    <t>Versatile and straight-forward mechanically.</t>
  </si>
  <si>
    <t>The perks are fun and i enjoy spells</t>
  </si>
  <si>
    <t>while mordar isn't good right now and I don't have good cards for him, I still like the amount of flexibility his graves have</t>
  </si>
  <si>
    <t>I like playing tumbstone card its always good have a free minion</t>
  </si>
  <si>
    <t>Because he's underplayed</t>
  </si>
  <si>
    <t>because he is the one I play best</t>
  </si>
  <si>
    <t>I just love to send my master to the battlefield</t>
  </si>
  <si>
    <t>Counter-Strike, Overwatch, Starcraft just to name a few</t>
  </si>
  <si>
    <t>interesting gameplay and effective skills with low cost</t>
  </si>
  <si>
    <t>good perks</t>
  </si>
  <si>
    <t>Air Strike</t>
  </si>
  <si>
    <t>Blind Date, Walking Blind Date, Future Past, Future Present, Mana Puff Madness. In that order with Blind Date being the #1 Fav.</t>
  </si>
  <si>
    <t>AOE damage, tombstone fear retaining</t>
  </si>
  <si>
    <t>because of his 1st and 2nd perk, they enable some interesting plays</t>
  </si>
  <si>
    <t>he is good in aggro</t>
  </si>
  <si>
    <t>Guild Wars 2, Path of Exile, Factorio, Divinity Origional Sin 2.</t>
  </si>
  <si>
    <t>had an ability to perform global shot</t>
  </si>
  <si>
    <t>Whirly scrat, rampage, harbinger, colossus, scrat launcher</t>
  </si>
  <si>
    <t>No complex skills and straightforward attack.</t>
  </si>
  <si>
    <t>FPS, RTS, citybuilder and simulation games</t>
  </si>
  <si>
    <t>It's one of the most oppressive masters, and his second perk is one of the best in getting value.</t>
  </si>
  <si>
    <t>uppgraded to premium</t>
  </si>
  <si>
    <t>colossus, Harbringer, Rabid prowler, crystal sentry,incubus</t>
  </si>
  <si>
    <t>warframe, for honor, bloodbowl, total war arena</t>
  </si>
  <si>
    <t>escape from tarkov, league of legends, path of exile</t>
  </si>
  <si>
    <t>Gameplay, not having p2w mechanics</t>
  </si>
  <si>
    <t xml:space="preserve">Whirly Scrat, Crossbow Dudes (just for the flavor text), Scrat Tank, Fire Imp, Plasma Marines    </t>
  </si>
  <si>
    <t>LoL, Minecraft, single player RPGs from time to time</t>
  </si>
  <si>
    <t>Battle pass!</t>
  </si>
  <si>
    <t>Scrats - Scrats - Scrats - More SCRATS!</t>
  </si>
  <si>
    <t>Lots of multiplayer and singleplayer games</t>
  </si>
  <si>
    <t>Account Upgrade and for battle pass</t>
  </si>
  <si>
    <t>Plasma Soldiers, Dagger fall, Xiao Long, Bazooka Scrat and Scotty the barbarian^^</t>
  </si>
  <si>
    <t>Path of exile  Rocket League</t>
  </si>
  <si>
    <t xml:space="preserve">Overwatch, CSGO, </t>
  </si>
  <si>
    <t>Fallout 76, Albion Online</t>
  </si>
  <si>
    <t>Solo, Duo, Expeditions, Mayhem Solo, Mayhem Duo</t>
  </si>
  <si>
    <t>To get more skins - ran out of Rubies</t>
  </si>
  <si>
    <t>Black Hole, Wizard Puff, Regular Prowler, Bazooka Scrat, Scrat Launcher</t>
  </si>
  <si>
    <t>Skyrim, Minecraft</t>
  </si>
  <si>
    <t>crystal archers, whirly scrat, that warrior girl with the shield, bannerman, daggerfall,</t>
  </si>
  <si>
    <t>DOTA, GWENT, PUBG, They are Billions</t>
  </si>
  <si>
    <t>League of Legends, Gwent, Black Ops IV</t>
  </si>
  <si>
    <t>Gameplay, Collecting Cards/Masters, I want card skins to be added!</t>
  </si>
  <si>
    <t>Progress</t>
  </si>
  <si>
    <t>Gax The World Bomb,  Future Past, Future Present, Cleaver, Undying Skeleton</t>
  </si>
  <si>
    <t>Eternal Card Game, Smite</t>
  </si>
  <si>
    <t>Starters</t>
  </si>
  <si>
    <t>League of Legeds</t>
  </si>
  <si>
    <t>Skin</t>
  </si>
  <si>
    <t>Vermintide 2</t>
  </si>
  <si>
    <t>Propeller Hoard, Divine Warrior, Plasma Marines, Blue Golem, and Stun Lancers</t>
  </si>
  <si>
    <t>Mostly open world games (Fallout 4, Skyrim, Mass Effect: Andromeda, etc) but I also play a good few card games (Elder Scrolls Legends mostly) and a few other games (Fallout Shelter, RWBY:Amity Arena, Elder Scrolls Blades (Once it comes out)</t>
  </si>
  <si>
    <t xml:space="preserve">Reboomer, Illusory Cleaver, Scrat Horde, Cheese Date, Ghost </t>
  </si>
  <si>
    <t>Overwatch, Warframe, Destiny, Counter Strike, LoL</t>
  </si>
  <si>
    <t>not rly sorry</t>
  </si>
  <si>
    <t>dofus</t>
  </si>
  <si>
    <t>First special deals were worth it.</t>
  </si>
  <si>
    <t>Heal puff; Blind Date; Xiao Long; Incubus; Fire Imp</t>
  </si>
  <si>
    <t xml:space="preserve">40k Inquisitor; Fallout 4; Destiny 2; WoW; Hots; LoL; Vermintide 2; </t>
  </si>
  <si>
    <t>Gameplay, Feel/theme</t>
  </si>
  <si>
    <t>Demon Warrior, Succubus, Spiritmancer, Guardian, Arcane Golem</t>
  </si>
  <si>
    <t>CCGs (Hearthstone, Shadowverse), RPGs (currently Kingmaker), MMOs (WoW, Wildstar, Secret World)</t>
  </si>
  <si>
    <t>aion, l4d2</t>
  </si>
  <si>
    <t>Season Pass, customizations</t>
  </si>
  <si>
    <t>It being a fun, fast game I can play with my friend. Graphics could be better. More cards would be nice. Less overpowered and basically essential cards would be nice too. And I know it's stupid and can't work, but 3v3 would be hilarious.</t>
  </si>
  <si>
    <t>Because I feel like I would be missing out way too much since the game is pretty pay to win.</t>
  </si>
  <si>
    <t xml:space="preserve">cards I like because they are fun, but just suck. 1. Future Past. 2.Future Present. Normal cards: 3. Spirit Mancer 4. Beam of Doom 5. Scott because he is funny.  </t>
  </si>
  <si>
    <t>A ton of other games. League of legends, overwatch, rainbow six siege, tf2, gmod, it does on and on.</t>
  </si>
  <si>
    <t>For the prenium pass and battle pass</t>
  </si>
  <si>
    <t xml:space="preserve">Ghoul (legendary), hypnose, rammer, divine warrior and the defenser </t>
  </si>
  <si>
    <t>CS:GO, Don't starve together, legion td 2, resonance of fate, hearthstone and many other game multiplayer with my friends</t>
  </si>
  <si>
    <t>To buy cards and to thank you for this good game.</t>
  </si>
  <si>
    <t>guerrier, canon sur roue, annihilateur,guerrier divin, scrat tourniquet</t>
  </si>
  <si>
    <t>Civilization V</t>
  </si>
  <si>
    <t>2D games</t>
  </si>
  <si>
    <t>Assasin, Fire Imp, rammer,  and idk</t>
  </si>
  <si>
    <t>Incubus-cleaver-spirit infusion-battle shi hou--dragon ball</t>
  </si>
  <si>
    <t>To get Battle Pass</t>
  </si>
  <si>
    <t>Flightless Dragons, Propeller Horde, Crystal Construct, Sniper Scrat, Stun Lancers</t>
  </si>
  <si>
    <t>World of WarCraft, Team Fortress 2, Dragon Age,</t>
  </si>
  <si>
    <t>Incubus, Succubus, Illusory Cleaver, Re-Boomer, Mana Puff</t>
  </si>
  <si>
    <t>Slay the Spire, Dead Cells</t>
  </si>
  <si>
    <t>get cards and other offers</t>
  </si>
  <si>
    <t>Lol,Diablo 3,Starcraft2</t>
  </si>
  <si>
    <t>Annihilator, Prowler, Divine Warrior, Plasma Marines, Spiritmancer</t>
  </si>
  <si>
    <t>7 Days to Die</t>
  </si>
  <si>
    <t>Overwatch, Lobotomy Corp., Destiny 2, R6 Siege, Heroes of the Storm, Killing Floor 2,, Stardew Valley</t>
  </si>
  <si>
    <t>I have the game in spanish but I will try do correct translation: 1- Anikilator. 2-Stunning stunners. 3-Imp of fire. 4-Holy warrior- 5-Lightning in chain.</t>
  </si>
  <si>
    <t>GTA V, LOL, TotalWar: Arena, Stardew Valley, EuroTruck Simulator 2, Assassin's Creed Unity, Overwatch and RocketLeague</t>
  </si>
  <si>
    <t>chest</t>
  </si>
  <si>
    <t>Gameplay, Graphics, Collecting Cards/Masters, Its world</t>
  </si>
  <si>
    <t>Divine Warrior, Stun Lancers, Spear Throwers, Scott, Archer Guild</t>
  </si>
  <si>
    <t>Nothing</t>
  </si>
  <si>
    <t>one hour one life</t>
  </si>
  <si>
    <t>was feeling kinda gimped and wanted the battle pass so i could maybe get something that would help... still feel gimped...</t>
  </si>
  <si>
    <t>chain lightening, crossbow guild, blind date, walking blind date and defenseo chopper or whatever it's called</t>
  </si>
  <si>
    <t>A Hat In Time</t>
  </si>
  <si>
    <t>Paladins, total war serial...</t>
  </si>
  <si>
    <t>League of Legends, Warframe</t>
  </si>
  <si>
    <t>Action games</t>
  </si>
  <si>
    <t>Succubus, Incubus, Shars'Rakk Twins, Crystal Archers, Chain Lightning</t>
  </si>
  <si>
    <t>Dark Souls, Warframe, Overwatch and Kingdom Hearts just to name a few</t>
  </si>
  <si>
    <t>everything</t>
  </si>
  <si>
    <t>Not worth it</t>
  </si>
  <si>
    <t>Dragonball, Commander Azali, Defenso Chopper,  Blue Golem, All Sniper Scrats</t>
  </si>
  <si>
    <t>Battlerite, Royale Games, FPS</t>
  </si>
  <si>
    <t>Rainbow Six Siege</t>
  </si>
  <si>
    <t>blind date, blue golem, exterminator, incubus, dagger storm</t>
  </si>
  <si>
    <t>DotA 2</t>
  </si>
  <si>
    <t>League of Legends, Town of Salem</t>
  </si>
  <si>
    <t>Destiny 2</t>
  </si>
  <si>
    <t>buy skins</t>
  </si>
  <si>
    <t>Overwatch, TF2</t>
  </si>
  <si>
    <t>Netherstep,Fire imp, Rammer,Colossus,Beam of doom</t>
  </si>
  <si>
    <t>Minecraft</t>
  </si>
  <si>
    <t>Diablo, HotS, Battlefield</t>
  </si>
  <si>
    <t>Adventure games</t>
  </si>
  <si>
    <t>Duo, Draft, Mayhem Duo</t>
  </si>
  <si>
    <t>lightning bolt, infiltration, blastmancer, collossus, harbinger</t>
  </si>
  <si>
    <t>avoir des cartes plus facilement au début du jeu quand on commence</t>
  </si>
  <si>
    <t>Call of Duty Black Ops 4</t>
  </si>
  <si>
    <t xml:space="preserve">Collecting Cards/Masters, Competitions/Tournaments, tower defense and quick games. </t>
  </si>
  <si>
    <t>harbinger, healing shrine, heal puff, sniper scrat</t>
  </si>
  <si>
    <t xml:space="preserve">dota2. </t>
  </si>
  <si>
    <t>Diablo series</t>
  </si>
  <si>
    <t>gardian, succubus, spirit vessel, shocking rock, infiltration</t>
  </si>
  <si>
    <t>warframe, terraria, brawlhalla</t>
  </si>
  <si>
    <t>Starcraft 2</t>
  </si>
  <si>
    <t>Total War Warhammer</t>
  </si>
  <si>
    <t>Archer's guild, and the legendaries are cool.</t>
  </si>
  <si>
    <t>Priestess, Bannerman, Commander Azali, Guardian, prowler</t>
  </si>
  <si>
    <t>Overwatch, MTGA, HearthStone, Theme Hospital, COD:BO4, Stardew Valley, Rocket League</t>
  </si>
  <si>
    <t>Slay the Spire</t>
  </si>
  <si>
    <t>dota 2</t>
  </si>
  <si>
    <t>Age of Empires</t>
  </si>
  <si>
    <t>Crystal Archers and Crystal Archers behind Crystal archers with a statue in front ;p</t>
  </si>
  <si>
    <t>Mostly league now, played just about every genre though, still play Clash Royale for bout 5 years, what brought me to your game</t>
  </si>
  <si>
    <t>Dark Souls</t>
  </si>
  <si>
    <t>Premium, Skin bundle</t>
  </si>
  <si>
    <t>Succubus, Commander Azali, Scott the sensitive savage, Soul Stealer, Spiritmancer</t>
  </si>
  <si>
    <t>RPG</t>
  </si>
  <si>
    <t>Morghul, assasin, sniper, rammer, plasma marines</t>
  </si>
  <si>
    <t>Colossus, Mogrul, Black Hole, Netherstep, Stun Lancers</t>
  </si>
  <si>
    <t>Fallout 1-4</t>
  </si>
  <si>
    <t>Skins &amp; Cards</t>
  </si>
  <si>
    <t xml:space="preserve">Spear Throwers, Defenso Chopper, Fire Imp, Xiao Long, Assassin  </t>
  </si>
  <si>
    <t>Monster Hunter World</t>
  </si>
  <si>
    <t>Shadowverse, The Witcher, Disgaea</t>
  </si>
  <si>
    <t>Age of Wonders</t>
  </si>
  <si>
    <t>Roblox</t>
  </si>
  <si>
    <t>Cleaver, plasma marines, stun lancers, boomer, and lightning bolt</t>
  </si>
  <si>
    <t>ARK: Survival Evolved</t>
  </si>
  <si>
    <t>Agents of Mayhem</t>
  </si>
  <si>
    <t>The card bundles</t>
  </si>
  <si>
    <t>Xiao Long, Plasma Marines, Troubadour, Cursebearer, Call to Arms</t>
  </si>
  <si>
    <t>Battlerite</t>
  </si>
  <si>
    <t>Magic, Yugioh, League of Legends, Call of Duty</t>
  </si>
  <si>
    <t>Aion</t>
  </si>
  <si>
    <t>I bought the premium version, it seemed like a good deal.</t>
  </si>
  <si>
    <t>Skyrim</t>
  </si>
  <si>
    <t>Xiao Long, Morgrul, Wheel of Doom, Cursebearer, Soulstealer</t>
  </si>
  <si>
    <t>Strategy games</t>
  </si>
  <si>
    <t>Albion Online</t>
  </si>
  <si>
    <t>Legion TD2, Civilisation V, The Elder Scrolls V: Skyrim</t>
  </si>
  <si>
    <t>Graphics, Collecting Cards/Masters, Crafting system</t>
  </si>
  <si>
    <t>Card games</t>
  </si>
  <si>
    <t>Supporting your team with konto upgrade</t>
  </si>
  <si>
    <t>League of legends, Rocke league , Counter strike go, Astroneer, World of Warcraft, Heroes of the storm and many many more</t>
  </si>
  <si>
    <t>Pokemon TCG</t>
  </si>
  <si>
    <t>to buy battlepass, and master skins</t>
  </si>
  <si>
    <t>whirly scrat, annihilator, prowler, fire imp</t>
  </si>
  <si>
    <t>Alchemist Code</t>
  </si>
  <si>
    <t>mtg:arena, wow, hearthstone,eternal</t>
  </si>
  <si>
    <t>Brawlhalla</t>
  </si>
  <si>
    <t>American Truck Simulator</t>
  </si>
  <si>
    <t>Crystal Archers, Armoured Escort, Rabid Prowler, Morgrul, Whirly-Scrat</t>
  </si>
  <si>
    <t>Civilization series</t>
  </si>
  <si>
    <t>Animal Crossing</t>
  </si>
  <si>
    <t>League of Legends, Destiny 2, ARK: Survival Evolved, Oldschool Runescape</t>
  </si>
  <si>
    <t>demon worrior, bridge shrine, bounty hunter and thats all I can think of</t>
  </si>
  <si>
    <t>Final Fantasy</t>
  </si>
  <si>
    <t>HEROS OF THE STORM</t>
  </si>
  <si>
    <t>Anno</t>
  </si>
  <si>
    <t>APB Reloaded</t>
  </si>
  <si>
    <t>Overwatch, Hearthstone, multiplayer games on steam</t>
  </si>
  <si>
    <t>MapleStory 2</t>
  </si>
  <si>
    <t>AQWorlds</t>
  </si>
  <si>
    <t>Starcraft II, Ylands</t>
  </si>
  <si>
    <t>The Witcher 3</t>
  </si>
  <si>
    <t>Archeage</t>
  </si>
  <si>
    <t>Warcraft 3</t>
  </si>
  <si>
    <t>Arena of Valor</t>
  </si>
  <si>
    <t>I wanted something, though I honestly don't recall what.</t>
  </si>
  <si>
    <t xml:space="preserve">Magic, Magic Arena, Magic Online, Pokemon Go, </t>
  </si>
  <si>
    <t>Battlefield</t>
  </si>
  <si>
    <t>league of legends, cs:go</t>
  </si>
  <si>
    <t>Borderlands</t>
  </si>
  <si>
    <t xml:space="preserve">Crystal Archers, Crystal Golem, assassin, walking blind date, shock lancers, </t>
  </si>
  <si>
    <t>Torchlight 2, Hyper Universe</t>
  </si>
  <si>
    <t>RTS</t>
  </si>
  <si>
    <t>Blind Date, Walking Blind Date, Prowler, Mana Puff Madness, Bounty Sniper</t>
  </si>
  <si>
    <t>Terraria, Counter Strike: Global Offensive</t>
  </si>
  <si>
    <t>Rust</t>
  </si>
  <si>
    <t>oh a load been gamer since 1980</t>
  </si>
  <si>
    <t xml:space="preserve">stun lancers, plasma marines, cleaver, beam of DOOM, divine warrior  </t>
  </si>
  <si>
    <t xml:space="preserve">Path of Exile, Fallout 76, </t>
  </si>
  <si>
    <t>Unlocking Masters, Buying Might Token</t>
  </si>
  <si>
    <t>Red Golem, Succubus, Flying Monk, Shield Golem, Healing Plant</t>
  </si>
  <si>
    <t>Paladins</t>
  </si>
  <si>
    <t>Monster Hunter World, Vindictus, Factorio, FTL: Faster than Light, Reassembly, Stronghold Crusader, Supreme Commander</t>
  </si>
  <si>
    <t>Dead by Daylight</t>
  </si>
  <si>
    <t>Crossbow Guild, Crossbow Dudes, Cursebearer, Stunlancers + Bridge Buddies</t>
  </si>
  <si>
    <t>Extensive Steam catalogue. Lately, Strategy and Roguelikes. Sunless Seas, Swent, Moon Hunters, Rise to Ruins.</t>
  </si>
  <si>
    <t>Gwent</t>
  </si>
  <si>
    <t>Demon Warrior, Demon Warrior, Demon Warrior, Demon Warrior, and lastly Demon Warrior</t>
  </si>
  <si>
    <t>League of Legends, Robocraft</t>
  </si>
  <si>
    <t>Mobile games</t>
  </si>
  <si>
    <t>Blastmaner, Collosus, Demon Warrior, Hypnosis, Call to Arms</t>
  </si>
  <si>
    <t>Shooters like Overwatch and Battle Royals like Ring of Elysium and Darwin Projects, a lot of Fighting Games in general, time to time Hearthstone but never competitive, a lot of mobile games like Fire Emblem Geroes</t>
  </si>
  <si>
    <t>Stardew Valley</t>
  </si>
  <si>
    <t>Part of DLC package</t>
  </si>
  <si>
    <t xml:space="preserve">Incubus, Succubus, Undying Skeleton, Stun Lancers, Annihilator </t>
  </si>
  <si>
    <t>Team Fortress 2</t>
  </si>
  <si>
    <t xml:space="preserve">Walking blind date, Prowler, Wizard Puff , Harbinger, Battle Shi - Hou </t>
  </si>
  <si>
    <t>Smite, Paladins, Maple Story2</t>
  </si>
  <si>
    <t>Assassin's Creed</t>
  </si>
  <si>
    <t>Gameplay, Graphics, Collecting Cards/Masters, Competitions/Tournaments, Crafting system, Keep doing what your doing lads!</t>
  </si>
  <si>
    <t xml:space="preserve">Oh jeez... 5. Scrat 4. Chain Lightning 3. Shock Rock 2. Ghost Tower 1. Colossus </t>
  </si>
  <si>
    <t>TF2, Terraria, Overwatch, Ark Survival Evolved, Pokemon, etc.</t>
  </si>
  <si>
    <t>Living Statue, Sniper Squad, Whirly Scrat</t>
  </si>
  <si>
    <t>Divinity: Original Sin 2</t>
  </si>
  <si>
    <t>for the account uprgade and battle pass</t>
  </si>
  <si>
    <t>drone buzzers, plasma marines, fire imp, sniper scrat, morgrul the swarmer king</t>
  </si>
  <si>
    <t xml:space="preserve">Rimworld, League of Legends, SCP: secret laboratory, Space station 13 </t>
  </si>
  <si>
    <t>Fallout 76</t>
  </si>
  <si>
    <t>Archer's guild, living statue, dragon whelp, divine warrior, blue golem</t>
  </si>
  <si>
    <t xml:space="preserve">pubg, d3, not diablo immortal, WoW, Hots, clicker heroes, ARK, </t>
  </si>
  <si>
    <t>Spirit vessel, crossbow guild, blind date</t>
  </si>
  <si>
    <t>Killing Floor 2</t>
  </si>
  <si>
    <t>hearthstone, minecraft</t>
  </si>
  <si>
    <t>No :\</t>
  </si>
  <si>
    <t>Lately just For Honor</t>
  </si>
  <si>
    <t>Garry's Mod</t>
  </si>
  <si>
    <t>Destiny 2, Diablo 3, Heroes of the storm, Rainbow six sige, Borderlands2.</t>
  </si>
  <si>
    <t>I wanted more cards and upgrades to the purpose of becoming better at the game.</t>
  </si>
  <si>
    <t>Milloween's golem, Lightening that Zaps one random minion/building, Xiao, Blind date and The flying gold guy that throws giant gold spears. Sorry I'm not good with names.</t>
  </si>
  <si>
    <t>GTA V</t>
  </si>
  <si>
    <t>None Like this at all. I usually play colony games or story games.</t>
  </si>
  <si>
    <t>1. Colossus 2.swarmer spawner building 3. Re boomer 4.incubus 5.swarmer king</t>
  </si>
  <si>
    <t>League of legends. ARK</t>
  </si>
  <si>
    <t>MMO</t>
  </si>
  <si>
    <t xml:space="preserve">The Legend of Zelda, Animal Crossing, Pokemon, Fortnite, League of Legends, Overwatch, Call of Duty: Black Ops Series,  </t>
  </si>
  <si>
    <t>The Elder Scrolls: Legends</t>
  </si>
  <si>
    <t>to buy the season pass</t>
  </si>
  <si>
    <t xml:space="preserve">The Harbinger, Scrat Horde, Blastmancer, Stun lancers, Future Present </t>
  </si>
  <si>
    <t>Factorio</t>
  </si>
  <si>
    <t>Just having something to casually play during queue times is nice and the game feels really balanced. Like no unit feels particularly more strong than another, which is a great experience.</t>
  </si>
  <si>
    <t>Getting the battle pass.</t>
  </si>
  <si>
    <t>I really can't because I'm not playing with the English client. &gt;.&lt;</t>
  </si>
  <si>
    <t>More cards</t>
  </si>
  <si>
    <t>Xiao Long, Swarmer King, Troubador, Gor'Rak Brutes, Ghost</t>
  </si>
  <si>
    <t>Eternal Card Game</t>
  </si>
  <si>
    <t>Nothing else right now. This is the only game that's hooked me in YEARS! I'm so happy to be connected to the gaming scene again, and genuinely enjoy one this much. PS, gender bent versions of masters would be hilarious and awesome. Playing as a dude is a drag. (...that pun was an accident but I'll go with it. lol)</t>
  </si>
  <si>
    <t>I have not colected them all so no. I can say the Rammer is one.</t>
  </si>
  <si>
    <t>Guild Wars 2, Diablo3 and 2, Warcraft 3 All of Blizzards games. Few others.</t>
  </si>
  <si>
    <t>Fighting games</t>
  </si>
  <si>
    <t>Most all types of games.</t>
  </si>
  <si>
    <t>Left 4 Dead 2</t>
  </si>
  <si>
    <t>To support BetaDwarf.</t>
  </si>
  <si>
    <t>Xiao Long, Musketeer, Scott the Sensitive, Blastmancer, and Crystal Archers.</t>
  </si>
  <si>
    <t>Arma 3</t>
  </si>
  <si>
    <t>Hearthstone, Overwatch, and Smash Bros</t>
  </si>
  <si>
    <t>MMORPG</t>
  </si>
  <si>
    <t>Hell no. Get  this away from the game. Nobody likes players who make themselves better just because of Money. You are not EA!</t>
  </si>
  <si>
    <t>Feuerteufel, Scratpazer, Verteidigungshäcksler, Fluchträger, Drachenwelpe. (Germany)</t>
  </si>
  <si>
    <t>Madden, WWE</t>
  </si>
  <si>
    <t>MOBA</t>
  </si>
  <si>
    <t>Battle Pass, Premium Membership</t>
  </si>
  <si>
    <t>Whirly Scrat, Warrior, Lightning Bolt, Soul Stealer, Plasma Marines</t>
  </si>
  <si>
    <t>A large variety, according to mood, from various genres such as RTS, RPG, TD.</t>
  </si>
  <si>
    <t>Gameplay, Collecting Cards/Masters, Coop with friend</t>
  </si>
  <si>
    <t>RimWorld</t>
  </si>
  <si>
    <t>Premium Account</t>
  </si>
  <si>
    <t xml:space="preserve">Beam of doom, future past, heal puff (all puffs), </t>
  </si>
  <si>
    <t>Action roleplay like God of War, Hearthstone, League of Legends, Puzzle Games</t>
  </si>
  <si>
    <t>Crystal archers</t>
  </si>
  <si>
    <t>Shooter games</t>
  </si>
  <si>
    <t>Fortnite, Fallout series, Bo4, (mainstream games)</t>
  </si>
  <si>
    <t>ARPG</t>
  </si>
  <si>
    <t>jumpstart</t>
  </si>
  <si>
    <t>league</t>
  </si>
  <si>
    <t>Binding of Isaac</t>
  </si>
  <si>
    <t>N/A</t>
  </si>
  <si>
    <t>Scrat pack, Gor'Rakk Sacrifice, Hypnotize, Crystal Archer, Banner Man</t>
  </si>
  <si>
    <t>Heroes of the Storm, Roguelikes (Slay the Spire, Nuclear Throne, etc.), Minecraft, Super Smash Bros. Melee</t>
  </si>
  <si>
    <t>colossus, mr bag pipe, the 5 mana fireball</t>
  </si>
  <si>
    <t>Darkest Dungeon</t>
  </si>
  <si>
    <t xml:space="preserve">elite swarmer, scrat tank, cleaver, plasma marines, fireball </t>
  </si>
  <si>
    <t>Farm Together</t>
  </si>
  <si>
    <t>colossus, dragon whelp, crystal archers, incubus, daggerfall</t>
  </si>
  <si>
    <t>Don't Starve Together</t>
  </si>
  <si>
    <t>Artifact</t>
  </si>
  <si>
    <t>shock rock, future cards, monkeys! give us more monkeys!</t>
  </si>
  <si>
    <t>brawlhalla , planetside 2 , used to play ark survival evolved</t>
  </si>
  <si>
    <t>Oldschool Runescape</t>
  </si>
  <si>
    <t>fire imp. defenco chopper. colossus. walking blind date,healing fire ball</t>
  </si>
  <si>
    <t xml:space="preserve">rainbow six siege. fortnite. csgo. left for dead 2 . dont sterve. and alot more </t>
  </si>
  <si>
    <t>Planetside 2</t>
  </si>
  <si>
    <t xml:space="preserve">To unlock masters </t>
  </si>
  <si>
    <t>xiao long Blastmancer divine warrior dragon whelp Cursebearer</t>
  </si>
  <si>
    <t>hearthstone Black ops 4 WOW Heros of the storm LoL dota 2 Csgo Battlefield 1 3 4 and 5</t>
  </si>
  <si>
    <t>Europa Universalis 4</t>
  </si>
  <si>
    <t>Empowered soul stealer, swarmer king, xiao long, commander azali, fire imp</t>
  </si>
  <si>
    <t>Not many now</t>
  </si>
  <si>
    <t>LoL, Planetside2, Hearthstone, Skylords Online</t>
  </si>
  <si>
    <t>Osu!</t>
  </si>
  <si>
    <t>Asphalt 9</t>
  </si>
  <si>
    <t>on sale and cheap</t>
  </si>
  <si>
    <t>Lord-Sentinel Thelec, Wheel of Doom, Xiao Long, Gor'Rakk Brutes, Shars'Rak Twins</t>
  </si>
  <si>
    <t>Pokemon GO</t>
  </si>
  <si>
    <t>cod4, subnautica atm, overwatch, heroes of the storm, stormbound, clash royal</t>
  </si>
  <si>
    <t>Cleaver, Chain Lighting, Styxi, Sniper Squad, Prowler</t>
  </si>
  <si>
    <t>Puzzle games</t>
  </si>
  <si>
    <t>premium account, heroes</t>
  </si>
  <si>
    <t>wow</t>
  </si>
  <si>
    <t>season tickets</t>
  </si>
  <si>
    <t>Star Wars</t>
  </si>
  <si>
    <t xml:space="preserve">ARK, SCP, Dishounered, Sims 4, </t>
  </si>
  <si>
    <t>XCOM 2</t>
  </si>
  <si>
    <t>Fire imp, inhilliaror, succubus, whirly scrat, healing fireball</t>
  </si>
  <si>
    <t xml:space="preserve">World of Warcraft </t>
  </si>
  <si>
    <t>Yu-Gi-Oh! DUEL LINKS</t>
  </si>
  <si>
    <t>buying a skin for a master</t>
  </si>
  <si>
    <t xml:space="preserve">scrat horde dagger fall chain lighting crossbow guild prowler </t>
  </si>
  <si>
    <t xml:space="preserve">Albion online  </t>
  </si>
  <si>
    <t>Duo, Premade Duo, Mayhem Solo</t>
  </si>
  <si>
    <t>Account Upgrade / Battlepass</t>
  </si>
  <si>
    <t>Fire Imp, Walking Blind Date, Wheel of Doom, Scrat Launcher, Defenso Chopper</t>
  </si>
  <si>
    <t>Payday 2, Destiny 2</t>
  </si>
  <si>
    <t>Gor'Rakk Sacrifice, Stun Lancers, Prowler, Assassin, Defenso Chopper (any order)</t>
  </si>
  <si>
    <t>American Truck Simulator, Euro Truck Simulator, Beamng.drive, DIRT 4, and basically the entire Pokemon main game series.</t>
  </si>
  <si>
    <t>Battle Pass and Tokens</t>
  </si>
  <si>
    <t>Wizard Puff, Harbinger, empowered soul stealer, crystal construct, dragon whelp</t>
  </si>
  <si>
    <t>BOI, Stardew Valley, other mindless games</t>
  </si>
  <si>
    <t>power tokens, cards and battle pass</t>
  </si>
  <si>
    <t>Succubus, Flightless Dragons, Divine Warrior, Dragon Ball and Legionnaires</t>
  </si>
  <si>
    <t>Atlas Reactor</t>
  </si>
  <si>
    <t>A lot? Overwatch, HotS, Hitman currently.</t>
  </si>
  <si>
    <t>MMOs,HotS,For Honor,...</t>
  </si>
  <si>
    <t>Duelyst</t>
  </si>
  <si>
    <t>World of Tanks; World of Warships</t>
  </si>
  <si>
    <t>Overwatch, Slay the Spire, Darkest Dungeon, Warhammer: Vermintide 2, Warcraft</t>
  </si>
  <si>
    <t>FIFA</t>
  </si>
  <si>
    <t>Starter Bundle</t>
  </si>
  <si>
    <t>Nope, I can't remember any by specific names. I just like all the crystal cards.</t>
  </si>
  <si>
    <t>CS:GO, Hearthstone and WoW</t>
  </si>
  <si>
    <t xml:space="preserve">crystal archers, fireball, blind date, prowler, fire imp </t>
  </si>
  <si>
    <t>Forced, Diablo, Hearthstone, Rust</t>
  </si>
  <si>
    <t>Indie games</t>
  </si>
  <si>
    <t xml:space="preserve">The Battle pass </t>
  </si>
  <si>
    <t>Gambler's Ball, Bridge Shrine, Styxi, Incubus, Beam of DOOM</t>
  </si>
  <si>
    <t>Divinity: Original Sin 2, Dead by Daylight, DotA 2</t>
  </si>
  <si>
    <t>Legion TD 2</t>
  </si>
  <si>
    <t>Styxi, Dagerfall, Bridgebuddies, Haarbinger,  Stunlancers</t>
  </si>
  <si>
    <t>Dead by Daylight, Dota 2</t>
  </si>
  <si>
    <t>Payday 2</t>
  </si>
  <si>
    <t>Lol- some fps- pokemon</t>
  </si>
  <si>
    <t>incubus, cleaver, golem, sniper scrat, divine warrior</t>
  </si>
  <si>
    <t>Quake</t>
  </si>
  <si>
    <t>None</t>
  </si>
  <si>
    <t>Red Dead Redemption 2</t>
  </si>
  <si>
    <t>Overwatch, GTA 5, MapleStory 2</t>
  </si>
  <si>
    <t>Astroneer</t>
  </si>
  <si>
    <t>Roguelike games</t>
  </si>
  <si>
    <t>Super Smash Bros</t>
  </si>
  <si>
    <t>Maple Story 2</t>
  </si>
  <si>
    <t>I just bought the Battle Pass and the Milloween Dark Fury Skin</t>
  </si>
  <si>
    <t>Black Hole, Hypnotize, Scott, Combustion, Re-Boomer</t>
  </si>
  <si>
    <t xml:space="preserve">Rocket League, Darsiders </t>
  </si>
  <si>
    <t>Morgrul the swarmer king,sun burn,rammer,soul stealer,annihilator.</t>
  </si>
  <si>
    <t>I play so much games but now,i play Me n Of War 2,League Of Legends</t>
  </si>
  <si>
    <t>LoL Maple Story 2 Tales of Berseria MGSV GTA V CSGO</t>
  </si>
  <si>
    <t>Console games</t>
  </si>
  <si>
    <t>lots</t>
  </si>
  <si>
    <t>Enter the Gungeon</t>
  </si>
  <si>
    <t>osu! It's a japanese ''Click on the beat'' game.</t>
  </si>
  <si>
    <t>Colossus, Stun Blast, Bridge Buddies, Healing Fireball, Armored Escort</t>
  </si>
  <si>
    <t>Hearthstone, For Honor, WWE 2k19, Dragon Quest XI, Ultra Street Fighter IV</t>
  </si>
  <si>
    <t>Forza Horizon</t>
  </si>
  <si>
    <t>Gameplay, Strategy</t>
  </si>
  <si>
    <t>Spear Throwes, Boomer, Sniper Squad, Wall, Creaver (very nice game design)</t>
  </si>
  <si>
    <t>Action Shooting, Rogue like, Digital card game, Strategy, RTS and MOBA,</t>
  </si>
  <si>
    <t>BUY STUFF</t>
  </si>
  <si>
    <t>no.  the 2-5 cost card range are my favourites though</t>
  </si>
  <si>
    <t>Hitman</t>
  </si>
  <si>
    <t>Avengers</t>
  </si>
  <si>
    <t>Season Pass to Support the Game.</t>
  </si>
  <si>
    <t>Plasma Marines, Plasma Marines, Plasma Marines, Plasma Marines, Annihilator</t>
  </si>
  <si>
    <t>Mario games</t>
  </si>
  <si>
    <t>Escape from Tarkov, Arma 3 and generally MilSim Games.</t>
  </si>
  <si>
    <t>Azur Lane</t>
  </si>
  <si>
    <t>Undying Skeleton, Fire Imp, Incubus, Scrat Launcher, Daggerfall</t>
  </si>
  <si>
    <t>Mount &amp; Blade</t>
  </si>
  <si>
    <t>don't have any</t>
  </si>
  <si>
    <t>Bad North</t>
  </si>
  <si>
    <t>Paladins, Pokémon, Hearthstone</t>
  </si>
  <si>
    <t>Sims</t>
  </si>
  <si>
    <t>Gameplay, in case i can't complain later in this survey. i only barely enjoy playing despite this toxic gamerbro vibe you got going on with the narrator and your memes in general.</t>
  </si>
  <si>
    <t xml:space="preserve">actual appealing/seriously designed critters. any of the imps, heal puff, any swarmers, prowlers, i guess the monkeys are cool too </t>
  </si>
  <si>
    <t>many other games. from console shooters to mobile idlers to roguelikes to 4k strats, you name it.</t>
  </si>
  <si>
    <t>Power Tokens and Bundles</t>
  </si>
  <si>
    <t>Muskateer, Scott, Crystal Glaive thrower, Crystal golem, dragon fireball</t>
  </si>
  <si>
    <t>Soulcalibur 6</t>
  </si>
  <si>
    <t>Maplestory 2, Warframe, Destiny 2, WoW, Hearthstone, LoL, HotS, Diablo 3, etc</t>
  </si>
  <si>
    <t>Badland Brawl</t>
  </si>
  <si>
    <t>Don't know english names... Pyro dude, scottish dude, incubus, xiao long, stealing ghost</t>
  </si>
  <si>
    <t>Overwatch, Hearthstone, Atlas Reactor.</t>
  </si>
  <si>
    <t>The Elders Scrolls Online</t>
  </si>
  <si>
    <t>Baldur's Gate</t>
  </si>
  <si>
    <t>Crossbow guild, living statue, dragon whelp, divine warrior, stun lancers</t>
  </si>
  <si>
    <t>Gta, spiderman, super luckys tales, fortnite, mario odyssey, captin toads adventure</t>
  </si>
  <si>
    <t>Town of Salem</t>
  </si>
  <si>
    <t>The big guy with spear, succubus, them rats, 2 soldiers, and lizard</t>
  </si>
  <si>
    <t>League of legends, fortnite, some blizzard stuff.</t>
  </si>
  <si>
    <t>Gameplay, Graphics, Playing with friends</t>
  </si>
  <si>
    <t>Premade Duo, Expeditions, Mayhem Solo</t>
  </si>
  <si>
    <t>Rabid Prowler, Harbinger, Propeller Horde, Rammer</t>
  </si>
  <si>
    <t>None at the time.</t>
  </si>
  <si>
    <t>Battle royale games</t>
  </si>
  <si>
    <t>baloons td battles</t>
  </si>
  <si>
    <t>Blind Date, Divine Warrior, Future Present, Living Statue, Whirly Scrat</t>
  </si>
  <si>
    <t>League of Legends, Hearthstone, Overwatch, Darkest Dungeon, Heroes of the Storm and others</t>
  </si>
  <si>
    <t>Crusader Kings 2</t>
  </si>
  <si>
    <t>Gameplay, Graphics, smoothness</t>
  </si>
  <si>
    <t>Banished</t>
  </si>
  <si>
    <t>New, I can't remember.</t>
  </si>
  <si>
    <t>A lot, can't specify.</t>
  </si>
  <si>
    <t>xiao long, wheel of doom, harbringer, fireball, blind date</t>
  </si>
  <si>
    <t>Bard's Tale IV</t>
  </si>
  <si>
    <t xml:space="preserve">Ark Survival, Assassin Creed, Smite, The Forest, Hearthstone. </t>
  </si>
  <si>
    <t>Faeria</t>
  </si>
  <si>
    <t>Battle Realms</t>
  </si>
  <si>
    <t>league of legend, overwatch, heores of the storm, puyo puyo, tekken 7, soul calibur 6.</t>
  </si>
  <si>
    <t>Legend of Zelda</t>
  </si>
  <si>
    <t>r6</t>
  </si>
  <si>
    <t>Gameplay, Graphics, Collecting Cards/Masters, Competitions/Tournaments, Crafting system, The game is great except some minor issues in balance and UI, thats all keep up the good work</t>
  </si>
  <si>
    <t>Battle pass, but honestly to support u guys a little bit for making this happen:i also purchased the game on steam for the same reason</t>
  </si>
  <si>
    <t xml:space="preserve">plasma marines, scrat horde, dragon fireball, defenso chopper, fire imp </t>
  </si>
  <si>
    <t>Multiplayer games</t>
  </si>
  <si>
    <t>Dota 2, Overwatch, Wow, Heros of might and magic 3, warcraft 3, Call of Duty 2 (i swaped on MM from Hearthstone because of kripp promo video, honestly i didnt like how much money i am forced to spend on casual game)</t>
  </si>
  <si>
    <t>Assasin, Gax The World Bomber, Spirit Infusion, Dragon Nest, Re-Boomer</t>
  </si>
  <si>
    <t>SMITE, Battlerite, Runescape, Pokemon, Dragons Dogma: Dark Arisan, Final Fantasy</t>
  </si>
  <si>
    <t>Oxygen Not Included</t>
  </si>
  <si>
    <t xml:space="preserve">ATG drone x8; Colossus; devine warrior; Annihilator;Blastmancer </t>
  </si>
  <si>
    <t>Albion online, Destiny 2, Arc Survival evolved</t>
  </si>
  <si>
    <t>Nope.</t>
  </si>
  <si>
    <t>League of Legends, Football Manager 2019, Divinity Original Sin 2, Crusader Kings 2.</t>
  </si>
  <si>
    <t>Shadowverse</t>
  </si>
  <si>
    <t>Single-Player games</t>
  </si>
  <si>
    <t>League of legends, Monster hunter</t>
  </si>
  <si>
    <t>Sid Meier's Civilization, Beyond Earth</t>
  </si>
  <si>
    <t>Tabletop Simulator</t>
  </si>
  <si>
    <t>The premium upgrade, 2 weeks ago.</t>
  </si>
  <si>
    <t>Musketeer, Styxi, Colossus, Wheel of Doom and Scott.</t>
  </si>
  <si>
    <t>Battleblock Theater</t>
  </si>
  <si>
    <t>Dauntless, Azur Lane, Granblue Fantasy, Shadowverse, Brawlhalla, For Honor, Paladins, Overwatch, Vindictus, Guild Wars 2, Warframe, Dark Souls 1, 2 and 3, Duelyst, Dungeon Defenders 2, Art of War: Red Tides, Tera, Heroes and Generals, Planetside 2, Dead Frontier 2 and many others.</t>
  </si>
  <si>
    <t>hard to pick but i enjoy the mana gaurdian thing from the new season sneaky thing about getting one mana back from a 5 mana card i would like to get the incubus aswell</t>
  </si>
  <si>
    <t>Tekken</t>
  </si>
  <si>
    <t>we would be here for awhilejust assume im a loser and go from there</t>
  </si>
  <si>
    <t>Battleborn</t>
  </si>
  <si>
    <t>Forced / forced showdown ;)</t>
  </si>
  <si>
    <t>For Season Pass</t>
  </si>
  <si>
    <t>It is hard to say... but I like both season legendaries and for the remaining 3 cards I would pick Wheel of Doom, Colossus and last but not least some classic Fireball.</t>
  </si>
  <si>
    <t>Battlecon-online</t>
  </si>
  <si>
    <t>I don't think this text field will allow me to list all of them. But here are some: World of Warcraft, Heroes of the Storm, Overwatch, Diablo series, Starcraft series, Warcraft series, Dark Souls series, Hearthstone, Destiny 2 and also I am the FQA Technician working on League of Legends so you could say I play this one too.</t>
  </si>
  <si>
    <t>To buy seasonal levels</t>
  </si>
  <si>
    <t>Elder Scroll legends</t>
  </si>
  <si>
    <t>premium upgrade</t>
  </si>
  <si>
    <t>Black Desert</t>
  </si>
  <si>
    <t>Gameplay, Everything is ranked</t>
  </si>
  <si>
    <t>After I asked if it was 5 copies of a legendary or just 5 glory (200 glory vs 5 made it worth)</t>
  </si>
  <si>
    <t>Bannerman, Xin, Crossbow Hut, S.T.INT, Armored Escort (spell)</t>
  </si>
  <si>
    <t>Everything. Path of Exile, Project Zomboid, and Stonehearth most recently</t>
  </si>
  <si>
    <t>Browser games</t>
  </si>
  <si>
    <t>The passive buildings, need more like that!</t>
  </si>
  <si>
    <t>League of Legends, World of Warcraft (vanilla), Kingdom Come: Deliverance</t>
  </si>
  <si>
    <t>Clash of Clans</t>
  </si>
  <si>
    <t>1.Divine Warrior 2.Arcane Golem 3.Cleaver 4.Crossbow Guild 5.Stun Lancer</t>
  </si>
  <si>
    <t>b pass</t>
  </si>
  <si>
    <t>Overwatch, Kerbal, Factorio, B ops 4, PUBG</t>
  </si>
  <si>
    <t>D&amp;D</t>
  </si>
  <si>
    <t>1. walking blind date 2. cheese date 3. blind date 4. assasin 5. propeller horde</t>
  </si>
  <si>
    <t>she is cute and badass (second is king puff for the second perk)</t>
  </si>
  <si>
    <t>roblox and lotro(lord of the rings online mmorpg)</t>
  </si>
  <si>
    <t>Doom</t>
  </si>
  <si>
    <t>Solo, Duo, Mayhem Solo, Mayhem Duo</t>
  </si>
  <si>
    <t>MTG Online and Rainbow Six Siege.</t>
  </si>
  <si>
    <t>CSGO League and alot of strategy</t>
  </si>
  <si>
    <t>Dungeon Defenders 2</t>
  </si>
  <si>
    <t>Xiao Long, Morgrul, Plasma Marines, Dragon Ball, Cursebearer</t>
  </si>
  <si>
    <t>DoTA 2, Hearthstone, Overwatch, Dark Souls, Slay the Spire</t>
  </si>
  <si>
    <t>Commander Azali, Stun Lancers, Blind Date, Undying Skeleton,Annihilator</t>
  </si>
  <si>
    <t>BattleField, Assassins Creed</t>
  </si>
  <si>
    <t>Escape from Tarkov</t>
  </si>
  <si>
    <t>zukünftige gegenwart, laufende verabredung mit dem Unbekannten, Verabredung mit dem Umbekannten, Scott der sensible Barbar, Scraptpanzer</t>
  </si>
  <si>
    <t>Hots, Sims4, ARK, Sid Meier's Civilisation VI, Dota2, Rainbow Six Siege, My Time At Portia, Oxygen not included, Stardew Valley, Rimworld</t>
  </si>
  <si>
    <t>Shards</t>
  </si>
  <si>
    <t>Ghost Recon Wildlands</t>
  </si>
  <si>
    <t>Annhilateur</t>
  </si>
  <si>
    <t>ogame - heroes of the storm</t>
  </si>
  <si>
    <t>drone force one , colossus , ghost , xiao long</t>
  </si>
  <si>
    <t>combat arms , borderlands</t>
  </si>
  <si>
    <t>ROCKET LEAGUE, OVERWATCH, LOL</t>
  </si>
  <si>
    <t>Grim Dawn</t>
  </si>
  <si>
    <t xml:space="preserve">not worth it at the moment. </t>
  </si>
  <si>
    <t>No.</t>
  </si>
  <si>
    <t>City Skylines, hearthstone, overwatch, warframe</t>
  </si>
  <si>
    <t>Premium + season pass.</t>
  </si>
  <si>
    <t xml:space="preserve">Morgrul - Scott - Fireball - divine warrior - arcane missiles. </t>
  </si>
  <si>
    <t>Hunt Showdown</t>
  </si>
  <si>
    <t>WOW - DOTA 2 - SUMMONERS WAR (MOBILE) - OVERWATCH - LOL-</t>
  </si>
  <si>
    <t>The srong and fast one, Cleaver, magma cannon, minions and bomb guy</t>
  </si>
  <si>
    <t xml:space="preserve">My friends usually suggest games to me, maybe Brwlhalla, Rocket League, Paladins and other games of those sort </t>
  </si>
  <si>
    <t>Smite, OSU, Euro truck simulator 2</t>
  </si>
  <si>
    <t>Haven't</t>
  </si>
  <si>
    <t>Project Zomboid</t>
  </si>
  <si>
    <t>LoL, WoWs, swtor, steam games</t>
  </si>
  <si>
    <t>Civilisation, fallout, warplanet conquest and many more ;)</t>
  </si>
  <si>
    <t>PS4 games</t>
  </si>
  <si>
    <t>Ravenfield</t>
  </si>
  <si>
    <t>Robocraft</t>
  </si>
  <si>
    <t>Overwatch, Hearthstone, Pokemon</t>
  </si>
  <si>
    <t xml:space="preserve">Blastmancer, screaming scrat, scrat horde, propeller horde, and colossus </t>
  </si>
  <si>
    <t xml:space="preserve">League of legends, overwatch </t>
  </si>
  <si>
    <t>Stellaris</t>
  </si>
  <si>
    <t>Divine Warrior, Crystal Atchers, Dragon Ball, Morgrul, Stardart Bearer</t>
  </si>
  <si>
    <t>Battleforge</t>
  </si>
  <si>
    <t>League of Legends, Clash Royale, Overwatch, Monster Hunter World, PUBG</t>
  </si>
  <si>
    <t>No money xd</t>
  </si>
  <si>
    <t>Need more english for that</t>
  </si>
  <si>
    <t>Smite and Wow</t>
  </si>
  <si>
    <t>Switch games</t>
  </si>
  <si>
    <t>Premium Pass (when game first launched)</t>
  </si>
  <si>
    <t>Battlehand</t>
  </si>
  <si>
    <t>Xiao Long (I liked the old version where it would damage enemy master if a spell is played, and I also like Dragon cards in general), Harbinger, Raging Reinforcements, Guardian, Future Past</t>
  </si>
  <si>
    <t>Minecraft, No Man's Sky, Clash Royale (mobile), Kingdom Rush (mobile), and many others (I own 500+ games)</t>
  </si>
  <si>
    <t>TD games</t>
  </si>
  <si>
    <t>Armoured Escort, Assassin, Crossbow Guild, Whirly Scrat, Annihalator</t>
  </si>
  <si>
    <t>League Of Legends, Civ 5, Disgaea 5</t>
  </si>
  <si>
    <t xml:space="preserve"> to meme my friends</t>
  </si>
  <si>
    <t xml:space="preserve">red golem </t>
  </si>
  <si>
    <t>The Elder Scrolls V: Skyrim</t>
  </si>
  <si>
    <t xml:space="preserve"> unturned</t>
  </si>
  <si>
    <t>Torchlight 2</t>
  </si>
  <si>
    <t>Daggerfall, Stun Lancers, Cleaver, (i am not very far into the game)</t>
  </si>
  <si>
    <t>Bundles</t>
  </si>
  <si>
    <t>xiao long</t>
  </si>
  <si>
    <t>Undertale</t>
  </si>
  <si>
    <t>Starcraft 2, league of legends, heroes of the storm</t>
  </si>
  <si>
    <t>мама</t>
  </si>
  <si>
    <t>мамам</t>
  </si>
  <si>
    <t>World of Tanks</t>
  </si>
  <si>
    <t>Whirly scrat, plasma marines, cheese date, troubadour, and chain lightning</t>
  </si>
  <si>
    <t>League of Legends, Diablo III</t>
  </si>
  <si>
    <t>Solo, Premade Duo, Expeditions, Mayhem Solo</t>
  </si>
  <si>
    <t>Morgrul the swarmer king, Xiao long, harbinger, shars'rakk twins, dragon ball</t>
  </si>
  <si>
    <t>clone drone in the danger zone, hitman, broforce, ghost recon wild lands, hearts of iron 4</t>
  </si>
  <si>
    <t>Rocket League, Fortnite, Hearthstone, Black Ops 4</t>
  </si>
  <si>
    <t>Blizzard games</t>
  </si>
  <si>
    <t>Master Skins, battle pass, Emotes, Token</t>
  </si>
  <si>
    <t>Hypnotisieren, Magmasturm, Explosionsbeschwörer, Verabredung mit dem Unbekannten, Brückenkumpel</t>
  </si>
  <si>
    <t>Creativerse, Brawllhala, Paladins, Battlerite</t>
  </si>
  <si>
    <t>Bloodborne</t>
  </si>
  <si>
    <t>card games, puzzle games.</t>
  </si>
  <si>
    <t>Co-op games</t>
  </si>
  <si>
    <t>gta v</t>
  </si>
  <si>
    <t>Command &amp; Conquer 3</t>
  </si>
  <si>
    <t>Minecraft and Roblox and Fortnite</t>
  </si>
  <si>
    <t>Creative Destruction</t>
  </si>
  <si>
    <t>Factorio, Rocket League, Overwatch</t>
  </si>
  <si>
    <t>Crossout</t>
  </si>
  <si>
    <t>Rammer assasin divine warrior prowler harbinger</t>
  </si>
  <si>
    <t>borderlands 2, fallout 4</t>
  </si>
  <si>
    <t>Disgaea 5</t>
  </si>
  <si>
    <t>Fire Imp, Defenso chopper, Shield Totem, Xiao Long, Divine Warrior</t>
  </si>
  <si>
    <t>League of legends, Assassin's Creed Odyssey, Warframe, Battle royale games and other first person shooters.</t>
  </si>
  <si>
    <t>Dragon Age</t>
  </si>
  <si>
    <t>rammer, Gor'rakk sacrifice, whirly scrat,annhilator, and morgrul the swarmer king</t>
  </si>
  <si>
    <t>warframe, gmod, terra tech and terraria</t>
  </si>
  <si>
    <t xml:space="preserve">i like the silly cards that most strategy games wouldnt use </t>
  </si>
  <si>
    <t>combustion, netherstep, cheese, propeller rats, and imps</t>
  </si>
  <si>
    <t>clash royale mobile game</t>
  </si>
  <si>
    <t>Dragon Ball FighterZ</t>
  </si>
  <si>
    <t>Counterstrike, league of ledgends, rainbow six, battlerite, rdr2</t>
  </si>
  <si>
    <t>Arqueiros de Cristal, Guerreira Divina, Portador da Maldição, Fuzileiros de Plasma e Monstrinho de Mana (porque é fofo)</t>
  </si>
  <si>
    <t>Euro Truck Simulator</t>
  </si>
  <si>
    <t>Heroes of the Storm, Hearthstone, Counter Strike Global Ofensive, Skyrim, World of Warcraft e Overwatch</t>
  </si>
  <si>
    <t>To get a legendary card</t>
  </si>
  <si>
    <t>Plasma Marines, Xiao Long, Defenso Chopper,  Spear Throwers, Dragon Ball</t>
  </si>
  <si>
    <t>EVE Online</t>
  </si>
  <si>
    <t>helldivers, rimworld, deep rock galactic</t>
  </si>
  <si>
    <t>F2P games</t>
  </si>
  <si>
    <t>Forced</t>
  </si>
  <si>
    <t>Hearts of Iron 4</t>
  </si>
  <si>
    <t>Mana Puff, Mana Puff Madness, Guardian, Cheese Date, Heal Puffs</t>
  </si>
  <si>
    <t>Team Fortress 2, Dota 2, Shadow Warrior 2 (My PC sucks so it can hardly handle it), Cortex Command (Sometimes), West of Loathing (Sometimes), Wizard of Legend (Sometimes)</t>
  </si>
  <si>
    <t>having a decent set of cards to start playing</t>
  </si>
  <si>
    <t>game in french so... prêtresse et squelette immortel</t>
  </si>
  <si>
    <t>Heroes of Newerth</t>
  </si>
  <si>
    <t>rammer incube succube scott gardien</t>
  </si>
  <si>
    <t>Hollow Knight</t>
  </si>
  <si>
    <t>Battletech</t>
  </si>
  <si>
    <t>Horror games</t>
  </si>
  <si>
    <t>G-mod, Hearthstone, Yugioh Duel Links, Faeria, Arma 3, World of tanks blitz, heroes of the storm, overwatch, starcraft 2, Magic arena, League of legends.</t>
  </si>
  <si>
    <t>Lord of the Rings Online</t>
  </si>
  <si>
    <t>Beamng.drive</t>
  </si>
  <si>
    <t xml:space="preserve">league of legends   most of blizzard's games   </t>
  </si>
  <si>
    <t>Mass Effect</t>
  </si>
  <si>
    <t>Beat saber</t>
  </si>
  <si>
    <t>Prison Architect</t>
  </si>
  <si>
    <t>Besiege</t>
  </si>
  <si>
    <t xml:space="preserve">7 days to die, the forest, card hunter, the witcher franchise, </t>
  </si>
  <si>
    <t>Rammer, Whirly Scrat, Plasma Marines, Styxi, Spear Throwers</t>
  </si>
  <si>
    <t>Beyond Earth</t>
  </si>
  <si>
    <t>Fortnite BR, CS:GO, Fallout 3, Fallout NV, Fallout 4, GTA V, Rocket League, Prison Architect, FIFA 18,19, Raft, Starcraft 2</t>
  </si>
  <si>
    <t>Reassembly</t>
  </si>
  <si>
    <t>too get the battlepass</t>
  </si>
  <si>
    <t>spiritmancer armored escort commander azali lightning bolt fire imp</t>
  </si>
  <si>
    <t>dota 2 rust kingdom new lands monster hunter dungeons 2</t>
  </si>
  <si>
    <t>Ring of Elysium</t>
  </si>
  <si>
    <t>A daily deal pack</t>
  </si>
  <si>
    <t>Morgul, elven archer, goblin pyromancer, doom wheel and blue golem</t>
  </si>
  <si>
    <t>Rise to Ruins</t>
  </si>
  <si>
    <t>FPS, RPGs, Grand strategy. That sort of things</t>
  </si>
  <si>
    <t>to buy masters</t>
  </si>
  <si>
    <t>1: harbinger 2: defenso chopper 3: divine warrior 4: rammer 5: scrat launcher</t>
  </si>
  <si>
    <t>sport games as madden and fifa, shooter games as call of duty and pubg, hack and slash as diablo</t>
  </si>
  <si>
    <t>SCP secret laboratory</t>
  </si>
  <si>
    <t>Grenadier Drachenwelpe Incubus Betäubungssulan S.T.INT</t>
  </si>
  <si>
    <t>Dota2 StarConflict Maple Terra "Thea: The Awakening" ...</t>
  </si>
  <si>
    <t>Slime Rancher</t>
  </si>
  <si>
    <t>Defenso chopper, Scott, Harbringer, Incubus, Plasma Marines</t>
  </si>
  <si>
    <t>Diablo, Hearthstone, Heroes of the Storm, Darkest Dungeon</t>
  </si>
  <si>
    <t>To get the battle pass</t>
  </si>
  <si>
    <t>Spiritmancer, Soul Stealer, Wall, Colosus, Healing Shrine</t>
  </si>
  <si>
    <t>Paladins, Echo Of Soul, Maplestory 2, A Hat In Time, And a bunch of lewd games</t>
  </si>
  <si>
    <t>Space Engineers</t>
  </si>
  <si>
    <t>Spellweaver</t>
  </si>
  <si>
    <t>civilization 6, factorio, europa universalis 4, 7 days to die</t>
  </si>
  <si>
    <t>Morgul, Drone Buzzers, Daggerfall, Mana Puff Madness, Plasma Marines</t>
  </si>
  <si>
    <t>Starbound</t>
  </si>
  <si>
    <t>Dark souls, Skyrim, Total War, Fallout, Enter the Gungeon, etc.</t>
  </si>
  <si>
    <t>Steam Games</t>
  </si>
  <si>
    <t>Roblox, Minecraft</t>
  </si>
  <si>
    <t>offers in shop, and extra cards</t>
  </si>
  <si>
    <t xml:space="preserve">Soul stealer, fire imp, walking blind date, blind date and blastmancer </t>
  </si>
  <si>
    <t>Supreme Commander</t>
  </si>
  <si>
    <t>reward track / account upgrade</t>
  </si>
  <si>
    <t>Mana Puff, Hypnotize, Future Present, Scrat Pack, Divine Warrior</t>
  </si>
  <si>
    <t>League of Legends, Dragalia Lost, Pokemon Go</t>
  </si>
  <si>
    <t>Tales of Berseria</t>
  </si>
  <si>
    <t>For a particular legendary &amp; to support the dev's</t>
  </si>
  <si>
    <t>The Walking Dead</t>
  </si>
  <si>
    <t>Wow, rust, cs, starcraft, AOE, Empire earth. All sorts of games.</t>
  </si>
  <si>
    <t>They Are Billions</t>
  </si>
  <si>
    <t>Prowler, Assassin, Swarmer King, Gor'Rakk Sacrifice, Walking Blind Date</t>
  </si>
  <si>
    <t>Black Squad</t>
  </si>
  <si>
    <t>PoE, Hots, Souls like, War3, SCII</t>
  </si>
  <si>
    <t>Telec, arcane Archers, the gleve guy, Milloweens Turtle and the laser beam</t>
  </si>
  <si>
    <t>Titanfall 2</t>
  </si>
  <si>
    <t>For Honor, Hots, Civilization, Sea of thieves, everything that´s fun</t>
  </si>
  <si>
    <t>Stun Lancers, Shock Rock, and more</t>
  </si>
  <si>
    <t>H1Z1, SAS: Zombie Assault 4, Fortnite, ETC</t>
  </si>
  <si>
    <t>Vindictus</t>
  </si>
  <si>
    <t>Gameplay, Free to play solo/duo pvp experience</t>
  </si>
  <si>
    <t>Blade &amp; Soul</t>
  </si>
  <si>
    <t>HotS, Maplestory 2</t>
  </si>
  <si>
    <t>Just started. Can't pick yet</t>
  </si>
  <si>
    <t>Wizard of Legend</t>
  </si>
  <si>
    <t>Monster Hunter World, Dead Cells, Final Fantasy XIV, Pokemon Go</t>
  </si>
  <si>
    <t>Red Golem, Harbinger, re-boomer, future past, and succubus</t>
  </si>
  <si>
    <t>MMO (ESO) RTS (SC2) ...</t>
  </si>
  <si>
    <t>Undying Skeleton, Flightless Dragons, Defenso Choper, Rammer, Crossbow Guild</t>
  </si>
  <si>
    <t>MMO RPG</t>
  </si>
  <si>
    <t>Just got the premium upgrade pack because it seemed like a good deal and I was (and still am) really enjoying the game</t>
  </si>
  <si>
    <t>starting from number 5: Crossbow Guild, Future Past or Present, Cheese Date, Cannon Roller, Bridge Shrine.</t>
  </si>
  <si>
    <t>Overwatch and Clash Royale right now. I switch up the games I play every month or so though</t>
  </si>
  <si>
    <t>Divine Warrior, Plasma Marines, Succubus, Scott the Sensitive Barbarian, Troubadour</t>
  </si>
  <si>
    <t>Destiny 2, World of Warcraft, Heroes of the Storm, Rocket League, I play through Dark Souls 3 all the time</t>
  </si>
  <si>
    <t>Blood Bowl 2</t>
  </si>
  <si>
    <t>Not yet, I'm new</t>
  </si>
  <si>
    <t>Solgard</t>
  </si>
  <si>
    <t>Battle Pass, Premium, Shop Discounts</t>
  </si>
  <si>
    <t>Blastmancer, Incubus, Spiritmancer, Xiao Long , Crystal Arcanist</t>
  </si>
  <si>
    <t>Gameplay, The Streamer Integration</t>
  </si>
  <si>
    <t>For Battle Pass</t>
  </si>
  <si>
    <t>Gor'Rakk Sacrafice, Healing Fireball, Fireball, Rampage, Cleaver</t>
  </si>
  <si>
    <t>Call of Duty, Destiny 2, Diablo 3</t>
  </si>
  <si>
    <t>To support your game.</t>
  </si>
  <si>
    <t>Walking Blind Date, Blind Date, Defenso Chopper, Divine Warrior, Walking Statue</t>
  </si>
  <si>
    <t>Unlocking Battlepass and a Master</t>
  </si>
  <si>
    <t>Succubus, Red Golem, Hypnosis, Blastmancer, Harbringer</t>
  </si>
  <si>
    <t>Final Fantasy XIV, Borderlands 2, Divinity Original Sin 1 + 2 and many others from different genres</t>
  </si>
  <si>
    <t>Just to support your cause.</t>
  </si>
  <si>
    <t>Mordar, XiaoLong, Crawler, Priest and Scott</t>
  </si>
  <si>
    <t>Mobas and JRPG's</t>
  </si>
  <si>
    <t>you put in cards like heal and a heal person , the variations ,give it more custom for the players like custom masters</t>
  </si>
  <si>
    <t xml:space="preserve">shards for compleating all cards ... </t>
  </si>
  <si>
    <t xml:space="preserve">guardian heal priest (the old pre nerv) bannerman soul infusion and rage </t>
  </si>
  <si>
    <t>building games</t>
  </si>
  <si>
    <t>Broforce</t>
  </si>
  <si>
    <t>I'm playing in german, so apologize, if I get the names wrong :P It's the explosion summoner, the guy hurling lightning thingies and getting stacks for attack speed, the crossbow guild (I love spawning dudes, gimme more!),  the demon warrior lady that gets stronger when played 5 times and...I dunno, the little fluffy wizard! They're so cute!</t>
  </si>
  <si>
    <t>Chaos Reborn</t>
  </si>
  <si>
    <t>Heroes of the Storm, Overwatch, Smash Bros, Kingdom Hearts, Visual Novels like zero escape or Danganronpa</t>
  </si>
  <si>
    <t>collosus, crossbow guild, demon warrior,stun lancers,  crystal construct</t>
  </si>
  <si>
    <t>Children of a Dead Earth</t>
  </si>
  <si>
    <t>wicther 1-3, black desert, mass effect, too many more to name</t>
  </si>
  <si>
    <t>City Skylines</t>
  </si>
  <si>
    <t>Citybuilding games</t>
  </si>
  <si>
    <t>to get the secondary rewards of the battlepass</t>
  </si>
  <si>
    <t xml:space="preserve">xiao long, </t>
  </si>
  <si>
    <t>Crawl</t>
  </si>
  <si>
    <t>Mostly RPGs and RTS</t>
  </si>
  <si>
    <t>harbinger</t>
  </si>
  <si>
    <t>CS:Source</t>
  </si>
  <si>
    <t>PS4: Monster Hunter World, Horizon Zero Dawn, Dark Souls III</t>
  </si>
  <si>
    <t>to purchase tokens</t>
  </si>
  <si>
    <t>Blind Date, Divine Warrior, Whirly Scrat, Plasma Marines, Fire Imp</t>
  </si>
  <si>
    <t>Dauntless</t>
  </si>
  <si>
    <t>Rocket League, Overwatch, Arma 3, Battletech</t>
  </si>
  <si>
    <t>Stun Lancers, Dragon Ball, SharsRakk Twins, Annilator, Blue Golem</t>
  </si>
  <si>
    <t>DayZ</t>
  </si>
  <si>
    <t>SpellStone</t>
  </si>
  <si>
    <t>deep rock galactic</t>
  </si>
  <si>
    <t>Gameplay, Competitions/Tournaments, The great harmony of the complicated in-game mechanics</t>
  </si>
  <si>
    <t>banner man, divine warrior, priestess, lord-sentinell Thelec, Shars'rakk twins and prowler</t>
  </si>
  <si>
    <t>I play a lot of Rocket League, and i also play starcraft 2. I like real-time strategy :)</t>
  </si>
  <si>
    <t>Dofus</t>
  </si>
  <si>
    <t>Getting the Battle pass</t>
  </si>
  <si>
    <t>FF14</t>
  </si>
  <si>
    <t>Dragalia Lost</t>
  </si>
  <si>
    <t>Gameplay, Coming up with stupid decks that actualy win</t>
  </si>
  <si>
    <t>Fencer, Scrat Tank, Tranquil Shi-Hou, Prowler, Whirly Scrat</t>
  </si>
  <si>
    <t>Divinity Origional Sin 2, Stardew Valley</t>
  </si>
  <si>
    <t>Dragon Quest XI</t>
  </si>
  <si>
    <t>Civ6, Closers, Diablo Immortal</t>
  </si>
  <si>
    <t>Dungeons</t>
  </si>
  <si>
    <t>rocket league wow csgo</t>
  </si>
  <si>
    <t xml:space="preserve">Blastmancer, Scrat Launcher, Blast Entry, Re-Boomer, Gax </t>
  </si>
  <si>
    <t xml:space="preserve">League of Legends, Clash Royale, Hearthstone </t>
  </si>
  <si>
    <t>Dwarf Fortress</t>
  </si>
  <si>
    <t>Support the devs and get in game stuff!</t>
  </si>
  <si>
    <t>colossus, and idk all of them!!</t>
  </si>
  <si>
    <t>league of legends, call of duty, everything</t>
  </si>
  <si>
    <t>Elsword</t>
  </si>
  <si>
    <t>shop offers</t>
  </si>
  <si>
    <t>Xiao Long, Musketeer, Priestess, Divine Warrior, Blind Date</t>
  </si>
  <si>
    <t>Heroes of the storm, Graveyard Keeper, X-Com 2</t>
  </si>
  <si>
    <t>Endless Legend</t>
  </si>
  <si>
    <t>Football Manager</t>
  </si>
  <si>
    <t>Unsterbliches Skelett, Plasmasoldaten, Vernichter, Himmelskriegerin,  Einerkapfdrohne</t>
  </si>
  <si>
    <t xml:space="preserve">Overwatch, The Settlers, Gothic 1,2,3 Risen 1,2,3 Elex, Starcraft, Brawlhalla,Spellforce series, Other Roleplaying games, Yu-Gi-Oh, Pokemon, Worms W.M.D, Gwent, Trine, Stardew Valley, Battle Realms </t>
  </si>
  <si>
    <t>season</t>
  </si>
  <si>
    <t>scrat tank, blue golem, rammer, lord sentinel thelec, daggerfall</t>
  </si>
  <si>
    <t>Forced Showdown</t>
  </si>
  <si>
    <t xml:space="preserve">Dragon Ball /  Priestess / Xiao Long / Daggerfall /Healing Fireball </t>
  </si>
  <si>
    <t>heartstone/hots/ few mobil games</t>
  </si>
  <si>
    <t>From The Depths</t>
  </si>
  <si>
    <t>Walking Blind Date, Blind Date, Future Past, Future Present, Divine Warrior</t>
  </si>
  <si>
    <t xml:space="preserve">Rainbow Six Siege, Rimworld, The Witcher, </t>
  </si>
  <si>
    <t xml:space="preserve">succubus, succubus, succubus, succubus, succubus, </t>
  </si>
  <si>
    <t>everything, warframe, LoL, Smite, For honor and other online stuff, also other 400+ games on my steam</t>
  </si>
  <si>
    <t>FTL</t>
  </si>
  <si>
    <t>I cant remember</t>
  </si>
  <si>
    <t>Fire Imp, uhhh...... Stun lancers for sure...</t>
  </si>
  <si>
    <t>FPS, like Battlefield , Overwatch. RPG's Red Dead 2, Elder Scrolls</t>
  </si>
  <si>
    <t>God of War</t>
  </si>
  <si>
    <t>Dragon Whelp, Plasma Marines, Stun lancers, fireball, annihilator</t>
  </si>
  <si>
    <t>Red Dead Redemption 2, Clash Royale</t>
  </si>
  <si>
    <t>Gothic</t>
  </si>
  <si>
    <t>Because i wanted to finish some decks faster and help de the devs</t>
  </si>
  <si>
    <t>Spear Throwers, Defenso Chopper, Infiltration, Cleaver, Dragon Ball</t>
  </si>
  <si>
    <t>Graveyard Keeper</t>
  </si>
  <si>
    <t>League of Legends, Hearts of Iron, Magic: The Gathering</t>
  </si>
  <si>
    <t xml:space="preserve">blind date, walking blind date, reboomer, bazooka scrat, scrat pack </t>
  </si>
  <si>
    <t>H1Z1</t>
  </si>
  <si>
    <t>xcom 2, sinst of a solar empire, players unknown battlegrounds, imortal redneck, lots of others</t>
  </si>
  <si>
    <t xml:space="preserve">combustion, netherstep, sucubo, </t>
  </si>
  <si>
    <t>Half Life</t>
  </si>
  <si>
    <t>csgo, fishing planet, avengers</t>
  </si>
  <si>
    <t>Walking Blind Date, Empower Soul Stealer, and I cant remember anymore</t>
  </si>
  <si>
    <t>Hammerwatch</t>
  </si>
  <si>
    <t>PUBG, Hearthstone, Rocket League</t>
  </si>
  <si>
    <t>Heroes of Might and Magic 3</t>
  </si>
  <si>
    <t>Horizon Zero Dawn</t>
  </si>
  <si>
    <t>Cleaver, Divine Warrior, Demon Warrior, Blue Golem, Annihilator</t>
  </si>
  <si>
    <t>Injustice 2</t>
  </si>
  <si>
    <t>Breath of the Wild</t>
  </si>
  <si>
    <t>xcom 2</t>
  </si>
  <si>
    <t>Kingdom Hearts</t>
  </si>
  <si>
    <t>Harbinger is my favorite</t>
  </si>
  <si>
    <t>Magic Arena</t>
  </si>
  <si>
    <t>Kingdom Rush</t>
  </si>
  <si>
    <t>MTG Arena, Warframe, Hearthstone, Several others.</t>
  </si>
  <si>
    <t>Crossbow Guild, Mana Puff, Daggerfall, Defenso, Beam of Doom</t>
  </si>
  <si>
    <t>Battle pass.</t>
  </si>
  <si>
    <t>Succubus, Rampag, Whirly Scrat, Spiritmancer, Cleaver</t>
  </si>
  <si>
    <t>Last Day on Earth</t>
  </si>
  <si>
    <t>mount&amp;blade, borderlands2, payday2, rust</t>
  </si>
  <si>
    <t>blue golem, plasma marines, harbinger, arcane golem, styxi</t>
  </si>
  <si>
    <t>mtg arena, gwent, elder scrolls legends, hearthstone, eternal, krosmaga</t>
  </si>
  <si>
    <t>Lethal League</t>
  </si>
  <si>
    <t>scrat launcher, Red Golem, Gor'Rakk Sacrifice, blood imps and Demon Warrior (I wish the card was playable but without cleave it just dies.)</t>
  </si>
  <si>
    <t>Overwatch, warframe, I use to play hearthstone but rotating cards made it even more pay to win</t>
  </si>
  <si>
    <t>Madden NFL</t>
  </si>
  <si>
    <t>Cosmetics, and to support a company that doesn't care to listen to its community.</t>
  </si>
  <si>
    <t>Screaming Scrat, Black Hole, Combustion, Call to Arms, Gax the World Bomb</t>
  </si>
  <si>
    <t>Starcraft 2, Path of Exile, World of Warcraft, Overwatch, Slay the Spire, MTG Arena, Rocket League</t>
  </si>
  <si>
    <t>Management games</t>
  </si>
  <si>
    <t>Call of Cthulhu</t>
  </si>
  <si>
    <t>The floating guy that gets faster after each kill, the gax big bomb guy, the tanky guy who when closed cant get hurt by range, the big guy who takes the damage until he dies, the hiding sniper guy</t>
  </si>
  <si>
    <t>Minesweeper</t>
  </si>
  <si>
    <t>blastmancer bounty_sniper armored_escort infiltration prowler</t>
  </si>
  <si>
    <t>Warframe,  some fps games and some rpg games</t>
  </si>
  <si>
    <t>few awesome skins</t>
  </si>
  <si>
    <t>Xiao Long, Succubus, Scrat Horde, Divine Warrior, Armored Escort</t>
  </si>
  <si>
    <t>Mobile Legends</t>
  </si>
  <si>
    <t>Hunt Show Down, DayZ, Ark</t>
  </si>
  <si>
    <t>cleaver, dragonball, flightless dragons, combustion, harbinger</t>
  </si>
  <si>
    <t>LoL, CSGO, Fallout, HotS</t>
  </si>
  <si>
    <t>My Time At Portia</t>
  </si>
  <si>
    <t>Neverwinter</t>
  </si>
  <si>
    <t xml:space="preserve">elsword </t>
  </si>
  <si>
    <t>Outlast</t>
  </si>
  <si>
    <t>combustion, annihilator, propeller horde, divine warrior, crystal archers</t>
  </si>
  <si>
    <t>Battlerite Royale</t>
  </si>
  <si>
    <t>Bought 20$ pack, spend it on the legendary thing.</t>
  </si>
  <si>
    <t>Overcooked</t>
  </si>
  <si>
    <t>Heroes of the Storm competitively, Black Ops</t>
  </si>
  <si>
    <t>Overkill's The Walking Dead</t>
  </si>
  <si>
    <t>Persona 5</t>
  </si>
  <si>
    <t>Arcane Golem, Chain Lightning, Crystal Construct, Harbringer, Gax The World Bomb</t>
  </si>
  <si>
    <t>Heroes of the Storm, Warcraft 3 The Frozen Throne</t>
  </si>
  <si>
    <t>Passport</t>
  </si>
  <si>
    <t>Planet Coaster</t>
  </si>
  <si>
    <t>Morgrul the swarmer king/ Xiao Long/Wizard Puff/Scrat tank/Arcane Bolt</t>
  </si>
  <si>
    <t>League of Legends/Star Citizen/Diablo III</t>
  </si>
  <si>
    <t>Gax the world bomb, Styxi, Mana puf madness, Rammer, hypnotize</t>
  </si>
  <si>
    <t>Point and Click games</t>
  </si>
  <si>
    <t>smite</t>
  </si>
  <si>
    <t>Premium/Battlepass</t>
  </si>
  <si>
    <t>Koloss,Golem,Attenäter,Vernichter,Drone</t>
  </si>
  <si>
    <t>Portal 2</t>
  </si>
  <si>
    <t>xiao long,defenso chopper,scrat tank,crossbow guild,living statue</t>
  </si>
  <si>
    <t>Overwatch,Hearthstone,Wow,Binding of isaac afterbirth+,S4,Dota2</t>
  </si>
  <si>
    <t>Racing games</t>
  </si>
  <si>
    <t xml:space="preserve">cleaver, dragon whelp . </t>
  </si>
  <si>
    <t>Raft</t>
  </si>
  <si>
    <t>Crossbow dudes, Lady with 8 second shield, Soul Stealer, Crossbow guild and the living statue</t>
  </si>
  <si>
    <t>Team fortress 2, Left for dead 2, clash of clans</t>
  </si>
  <si>
    <t>Ragnarok</t>
  </si>
  <si>
    <t>fire imp, chain lightning, assassin, infiltration, soulstealer</t>
  </si>
  <si>
    <t>ego shooter, action based games, also hearthstone so i like the aspect with creating decks</t>
  </si>
  <si>
    <t>Assasin, Rammer, STINT, Blind Date, Cheese</t>
  </si>
  <si>
    <t>Real-time games</t>
  </si>
  <si>
    <t>Dragon Ball FighterZ, Monster Hunter Generations</t>
  </si>
  <si>
    <t>Gameplay, Collecting Cards/Masters, collecting rewards</t>
  </si>
  <si>
    <t>crossbow guild, sniper squad, blind date, hypnotize, annihilator</t>
  </si>
  <si>
    <t>Realm Grinder</t>
  </si>
  <si>
    <t>for season passes and weekly featured offers</t>
  </si>
  <si>
    <t>Incubus, Succubus, Whirly Scrat, Demon warrior, Ghost</t>
  </si>
  <si>
    <t>Eve Online, Kerbal Space Program, Dota 2, Torchlight</t>
  </si>
  <si>
    <t>Realm of the Mad God</t>
  </si>
  <si>
    <t>Support BetaDwarf</t>
  </si>
  <si>
    <t>Scrat Pack, Shock Rock, Screaming Scrat, cursebearer and cleaver</t>
  </si>
  <si>
    <t>counter strike global offensive</t>
  </si>
  <si>
    <t>Para comprar a un campeon</t>
  </si>
  <si>
    <t>Resident Evil</t>
  </si>
  <si>
    <t xml:space="preserve">Arqueras </t>
  </si>
  <si>
    <t>Rise of Nations</t>
  </si>
  <si>
    <t>for important stuff</t>
  </si>
  <si>
    <t xml:space="preserve">magma storm fireball cleaver stun lancer and demon warrior </t>
  </si>
  <si>
    <t>SCUM</t>
  </si>
  <si>
    <t xml:space="preserve"> </t>
  </si>
  <si>
    <t>Scrat Launcher, Daggerfall, Whirly Scrat, Gax the World Bomb, Heal Puff</t>
  </si>
  <si>
    <t>https://steamcommunity.com/profiles/76561198325967721/games/?tab=all</t>
  </si>
  <si>
    <t>Sea of Thieves</t>
  </si>
  <si>
    <t>Shadow of War</t>
  </si>
  <si>
    <t>Simulator games</t>
  </si>
  <si>
    <t>Sins of the Solar Empire</t>
  </si>
  <si>
    <t>Spiderman</t>
  </si>
  <si>
    <t>Spiral Knights</t>
  </si>
  <si>
    <t>Sports games</t>
  </si>
  <si>
    <t>Star Conflict</t>
  </si>
  <si>
    <t>for the season pass</t>
  </si>
  <si>
    <t>Storyline games</t>
  </si>
  <si>
    <t>Counterstrike Global offensive, Hearthstone, , some indie games</t>
  </si>
  <si>
    <t>Gameplay, Very short time till a match is found, short match time, fast paced action.</t>
  </si>
  <si>
    <t>To buy the premium upgrade for lifetime more exp and gold gain</t>
  </si>
  <si>
    <t>1. Mana Puff, 2. Dragon Ball, 3. Morgul the Swarmer King, 4. Rammer, 5. Styxi</t>
  </si>
  <si>
    <t>Stronghold Crusader</t>
  </si>
  <si>
    <t>Hearthstone, Heros of the Storm, Path of Exile.</t>
  </si>
  <si>
    <t>1. Colossus 2. Harbinger 3. Undying Skeleton 4. Rammer 5. Living Statue</t>
  </si>
  <si>
    <t>Quake Champions, Guilty Gear, KOF XIV, Heroes of the Storm</t>
  </si>
  <si>
    <t>Subnautica</t>
  </si>
  <si>
    <t xml:space="preserve">Harbinger, armored escort, rampage, dagger fall, crystal arcanist </t>
  </si>
  <si>
    <t>Destiny 2,Rust,Scum,Ark,Rainbow 6, CS:GO</t>
  </si>
  <si>
    <t>to recive battlepass</t>
  </si>
  <si>
    <t>Stixy,Colossus,Priestess,Divine Warrior,Succubus,</t>
  </si>
  <si>
    <t>TerraTech</t>
  </si>
  <si>
    <t>Mortal Kombat X , Paladins.</t>
  </si>
  <si>
    <t>The Forest</t>
  </si>
  <si>
    <t>Lightning tank guy, triple dragon ground dudes, annihilator, fencer, daggerfall</t>
  </si>
  <si>
    <t>Starsector, Breath of the Wild. I really like Dark Souls and Perdona.</t>
  </si>
  <si>
    <t>Gameplay, Collecting Cards/Masters, Competitions/Tournaments, Jokes and humour</t>
  </si>
  <si>
    <t>Theme Hospital</t>
  </si>
  <si>
    <t>Mana puff, Bridge Buddies, Heal Puff, Shock Lancers, , Gor'rakk Sacrifice</t>
  </si>
  <si>
    <t>Mini guns, Paladins, PUBG, various mobile idle and puzzle games</t>
  </si>
  <si>
    <t>account upgrades</t>
  </si>
  <si>
    <t>sniper scrat, mana puff, screaming scrat, living statue</t>
  </si>
  <si>
    <t>Third-Person Shooters</t>
  </si>
  <si>
    <t>dota 2, diablo 2 &amp;3,, Grim Dawn, Figthing games such as tekken on ps4</t>
  </si>
  <si>
    <t>Titan Quest</t>
  </si>
  <si>
    <t>Warframe, league of legends, destiny 2, etc.</t>
  </si>
  <si>
    <t>Tomb Raider</t>
  </si>
  <si>
    <t>Rocket League mostly</t>
  </si>
  <si>
    <t>Flameimp rammer succubus, twins dragonwhelp</t>
  </si>
  <si>
    <t>to much to say: Fifa hearthstone, rocket league etc</t>
  </si>
  <si>
    <t>Wakfu</t>
  </si>
  <si>
    <t>hypnotize, nether step, assassin, styxi and walking blind-date.</t>
  </si>
  <si>
    <t>fnaf games and minecraft!</t>
  </si>
  <si>
    <t>Buying Power Tokens</t>
  </si>
  <si>
    <t xml:space="preserve">Screaming Scrat, Spear Throwers, Xiao Long, Plasma Marines, Black Hole </t>
  </si>
  <si>
    <t>War Thunder</t>
  </si>
  <si>
    <t>Monster Hunter World, Warframe, Team Fortress, Hunt Showdown, Natural Selection II, etc.</t>
  </si>
  <si>
    <t>league of legends and sometimes cs.go butmstly minion masters and league of legends</t>
  </si>
  <si>
    <t>West of Loathing</t>
  </si>
  <si>
    <t>a. lot. of. games.</t>
  </si>
  <si>
    <t>Rammer, Dragon Ball, Dragon Whelp, Shars'Rakk Twins, Scrat Pack</t>
  </si>
  <si>
    <t>League of Legends, Hearthstone, Dark Souls Series</t>
  </si>
  <si>
    <t>World of Warships</t>
  </si>
  <si>
    <t>captin toads adventure</t>
  </si>
  <si>
    <t>Fire Imp, Armored Escort, Assassin, Harbringer, Divine Warrior</t>
  </si>
  <si>
    <t>plas</t>
  </si>
  <si>
    <t>Wurm Unlimited</t>
  </si>
  <si>
    <t>pls</t>
  </si>
  <si>
    <t>firedevil, ghost, ram , hound, heavy gunner</t>
  </si>
  <si>
    <t>Hearthstone, slay the spire</t>
  </si>
  <si>
    <t>WWE</t>
  </si>
  <si>
    <t>I bought the premium upgrade, which isn't technically rubies, but still wanted to mention.</t>
  </si>
  <si>
    <t>My best/most used cards: Marines, Scratpack, Xiao, DivWarry, Daggerfall. My "love to play for fun" despite may or may not being good cards: Styxi, Blastmancer, Harbinger, Guild, Ghost</t>
  </si>
  <si>
    <t>LOL too many to count</t>
  </si>
  <si>
    <t xml:space="preserve">FIlling out my card collection  </t>
  </si>
  <si>
    <t>Stun Lancers, Stun Lancers, Stun Lancers, Stun Lancers, Stun Lancers</t>
  </si>
  <si>
    <t>Dark Souls and Counter Strike cover most of my steam hours, formerly a phantasy star online 2 addict</t>
  </si>
  <si>
    <t>Magic the Gathering, X-com</t>
  </si>
  <si>
    <t>Styxi - Blue golem - incubus - priestess</t>
  </si>
  <si>
    <t>Battlerite - Brawhalla</t>
  </si>
  <si>
    <t>Competitions/Tournaments, it's not pay to win. I LOVE IT</t>
  </si>
  <si>
    <t>Spiritmancer, wizard puff, plasma marines, cursebearer</t>
  </si>
  <si>
    <t>Rust, Last day on earth</t>
  </si>
  <si>
    <t>last stand - wheel of doom - bounty sniper -  scrat horde - combustion</t>
  </si>
  <si>
    <t>Xiao Long (Even tho i don't have him YET), Divine Warrior, Scrat Tank, Incubus and all the tank characters.</t>
  </si>
  <si>
    <t>Rimworld, Save the world, and many others</t>
  </si>
  <si>
    <t>Harbringer, Daggerfall, last stand, Scrat tank, scrat horde</t>
  </si>
  <si>
    <t>Troubadour, Xiao-Long, Snake Druid, Cursebearer, Crystal Construct</t>
  </si>
  <si>
    <t>Fearia, Star Trek Adversaries, Hearthstone, WoW, GTA V, PUBG</t>
  </si>
  <si>
    <t>Colossus, Beam of Doom, Priestess, Heal Buff, Dragon Whelp</t>
  </si>
  <si>
    <t>Dota, Hearthstone, Magic</t>
  </si>
  <si>
    <t>Guerrier, Le defenseur, Reprouve, diablotin de feu, Rodeur</t>
  </si>
  <si>
    <t>Heroes of the storm, Rimworld, Oxygen not included, Age of empire 2, rise to ruin, warhammer vermintide 2, killing floor 2, deep rock galactic, League of legend etc...</t>
  </si>
  <si>
    <t xml:space="preserve">Scrat tank, blue golem, annihilator, plasma marines, </t>
  </si>
  <si>
    <t>Far North</t>
  </si>
  <si>
    <t>Season pass (100% worth it imo &lt;3 )</t>
  </si>
  <si>
    <t>Mirage drone, immortal skeleton, phoenix priest, guardian, healing jar</t>
  </si>
  <si>
    <t>Destiny 2, Dofus, Dark souls, Diablo 3, Ark survival evolved, Borderlands 2, Garry's mod, GTA 5, Monster Hunter world, PUBG, Civilization 5, space engineer, skyrim, fallout 4, ...</t>
  </si>
  <si>
    <t>Stun Lancers, Stun Lancers, Stun Lancers, Stun Lancers, Beam of Doom</t>
  </si>
  <si>
    <t>tf2</t>
  </si>
  <si>
    <t>Divinity Original Sin 2, League of Legends, Elder Scrolls Online, Invisible Inc, Alchemist Code, Last Day on Earth</t>
  </si>
  <si>
    <t>Defenso Chopper, Fire Imp, Swarmers, Chain Lightening, and Dragon Ball</t>
  </si>
  <si>
    <t>War for the over world, VRChat, and FTL</t>
  </si>
  <si>
    <t>The premium account boost</t>
  </si>
  <si>
    <t>Soul Stealer, Dragon Ball, Prowler, Morgrul, Spiritmancer</t>
  </si>
  <si>
    <t>League of Legends, Hearthstone, Soulworker Online, and a lot more</t>
  </si>
  <si>
    <t xml:space="preserve">Battle Shi-Hou Blue Golem Stun Lancers blood imps Dragon Whelp </t>
  </si>
  <si>
    <t>tower defense</t>
  </si>
  <si>
    <t>card hunter</t>
  </si>
  <si>
    <t>mana puff, plasma marine, wallllzz, sniperino, banner dude</t>
  </si>
  <si>
    <t>Castle Crashers</t>
  </si>
  <si>
    <t>Magic The Gathering</t>
  </si>
  <si>
    <t>Gameplay, Collecting Cards/Masters, Making unorthodox decks that win</t>
  </si>
  <si>
    <t xml:space="preserve">Colossus, Troubador, Hypnosis, Scrat Cannon, Styxi (needs a buff, 10 seconds is too long!)  </t>
  </si>
  <si>
    <t>Casual games</t>
  </si>
  <si>
    <t>I have 666 games in my steam account. A lot.</t>
  </si>
  <si>
    <t>Skins &amp; Battle Pass</t>
  </si>
  <si>
    <t xml:space="preserve">D3, Wow, Minecraft, </t>
  </si>
  <si>
    <t>i dont really play anything else</t>
  </si>
  <si>
    <t>Guardian, ReBloomer, Preist, Succubus Divine warrior</t>
  </si>
  <si>
    <t>Smite, LoL, Ff14 and more</t>
  </si>
  <si>
    <t>Dragon Ball, Spirit Mancer, Soul Stealer, ahnihilator(?), Guardian</t>
  </si>
  <si>
    <t>Overwatch, Overcooked, Multiplayer Games mostly with friends</t>
  </si>
  <si>
    <t>Heros of the storm</t>
  </si>
  <si>
    <t>mana puff, incubus, living statue, stun lancers, beam of DOOM!</t>
  </si>
  <si>
    <t>Dota 2, civ V, slay the spire, crawl</t>
  </si>
  <si>
    <t>That's a pretty big question</t>
  </si>
  <si>
    <t>Blasto-mancer, Swarmer king, Scrat Tank, Priestess, Healing Puff</t>
  </si>
  <si>
    <t>Total War Warhammer, Mount and blade Warband, Europa universalis 4</t>
  </si>
  <si>
    <t>Planetside 2, Minecraft, Robocraft, Terraria.</t>
  </si>
  <si>
    <t>1. Succubus 2. Incubus 3. Annihilator 4.Stun Lancers 5. Crystal Construct</t>
  </si>
  <si>
    <t>Hearthstone, Rainbow Six siege, Slay the Spire</t>
  </si>
  <si>
    <t>Escape From Tarkov</t>
  </si>
  <si>
    <t>Child of Light</t>
  </si>
  <si>
    <t>Guardian,Blue Golem, flying Scrat,death from above,wut</t>
  </si>
  <si>
    <t xml:space="preserve">Roblox Asphalt 9 Crazy games Fortnite </t>
  </si>
  <si>
    <t>CS:GO Competitive, Mobile Legends, Planteside 2</t>
  </si>
  <si>
    <t>Dark Souls, Overwatch, Heathstone</t>
  </si>
  <si>
    <t>invicible 5 sec kinght , rolling cannon , minotaur , that big flying laser, and resuresting skelly</t>
  </si>
  <si>
    <t>WoW,disgaea 5,slay the spire, hearstone, PoE</t>
  </si>
  <si>
    <t>Morgul the swarmer king,scrat launcher,blue golem,incubus,crystal archer</t>
  </si>
  <si>
    <t>Heroes of the storm,mobile games</t>
  </si>
  <si>
    <t>Not yet</t>
  </si>
  <si>
    <t>I a french player soo, name of the card in french sorry, : A l'aveuglette ; Mirage drone ; lanceurs étourdissants ; Trou noir ; Puff soigneur</t>
  </si>
  <si>
    <t>well, this question is really too unspecific, but right now I'm much more on video game that allow fast game like osu! or minion master than big solo game (I lack of time like everyone)</t>
  </si>
  <si>
    <t>to support the game. and get  some rubies.</t>
  </si>
  <si>
    <t>Thelic, colosus, preistess, beam of doom</t>
  </si>
  <si>
    <t>Clicker Heroes</t>
  </si>
  <si>
    <t>blood gobelin, Buddy of the Bridges, stixy, black hole, all puff and spell puff :p</t>
  </si>
  <si>
    <t>heroes of the storm, counter strike global offensif, heroes of hammerwatch, age of mythology. and other</t>
  </si>
  <si>
    <t>Closers</t>
  </si>
  <si>
    <t>Club Penguin Online</t>
  </si>
  <si>
    <t>Combat Arms</t>
  </si>
  <si>
    <t>Company of Heroes 2</t>
  </si>
  <si>
    <t>Cookie Wars</t>
  </si>
  <si>
    <t>Cortex Command</t>
  </si>
  <si>
    <t>Creativerse</t>
  </si>
  <si>
    <t>Crosscode</t>
  </si>
  <si>
    <t>Crypt of the Necrodancer</t>
  </si>
  <si>
    <t>CS 1.6</t>
  </si>
  <si>
    <t>Cube Cube</t>
  </si>
  <si>
    <t>Cuphead</t>
  </si>
  <si>
    <t>Curve Fever 2</t>
  </si>
  <si>
    <t>Dark and Light</t>
  </si>
  <si>
    <t>Darksiders</t>
  </si>
  <si>
    <t>Darkwood</t>
  </si>
  <si>
    <t>Darwin Projects</t>
  </si>
  <si>
    <t>Dawn of War</t>
  </si>
  <si>
    <t>Days of Infamy</t>
  </si>
  <si>
    <t>Dead Frontier 2</t>
  </si>
  <si>
    <t>Death's gambit</t>
  </si>
  <si>
    <t>Deceit</t>
  </si>
  <si>
    <t>Deltarune</t>
  </si>
  <si>
    <t>Destiny Child</t>
  </si>
  <si>
    <t>Deus Ex</t>
  </si>
  <si>
    <t>Diablo Immortal</t>
  </si>
  <si>
    <t>DIRT 4</t>
  </si>
  <si>
    <t>Disc jam</t>
  </si>
  <si>
    <t>Dishonored</t>
  </si>
  <si>
    <t>Dominion 4</t>
  </si>
  <si>
    <t>Door Kickers</t>
  </si>
  <si>
    <t>Dragon Ball Xenoverse</t>
  </si>
  <si>
    <t>Dragon's Dogma</t>
  </si>
  <si>
    <t>Dragonball Legends</t>
  </si>
  <si>
    <t>Dragonfable</t>
  </si>
  <si>
    <t>Dragons Dogma: Dark Arisan</t>
  </si>
  <si>
    <t>Drakensang Online</t>
  </si>
  <si>
    <t>Dreadnought</t>
  </si>
  <si>
    <t>Dreadout</t>
  </si>
  <si>
    <t>Earth Stones</t>
  </si>
  <si>
    <t>Echo Of Soul</t>
  </si>
  <si>
    <t>Eldarya</t>
  </si>
  <si>
    <t>Elex</t>
  </si>
  <si>
    <t>Elite Dangerous</t>
  </si>
  <si>
    <t>Empire earth</t>
  </si>
  <si>
    <t>Empyrion</t>
  </si>
  <si>
    <t>Emulator games</t>
  </si>
  <si>
    <t>Endless Space 2</t>
  </si>
  <si>
    <t>Evolution</t>
  </si>
  <si>
    <t>Exanima</t>
  </si>
  <si>
    <t>exapunks</t>
  </si>
  <si>
    <t>F1 2018</t>
  </si>
  <si>
    <t>Fallout Shelter</t>
  </si>
  <si>
    <t>Fate Hunters</t>
  </si>
  <si>
    <t>Fishing PLanet</t>
  </si>
  <si>
    <t>Fistful of Frags</t>
  </si>
  <si>
    <t>Five Nights at Freddy's</t>
  </si>
  <si>
    <t>fresh body</t>
  </si>
  <si>
    <t>Frostpunk</t>
  </si>
  <si>
    <t>Funny games</t>
  </si>
  <si>
    <t>gang beasts</t>
  </si>
  <si>
    <t>Gauntlet</t>
  </si>
  <si>
    <t>Gears of War</t>
  </si>
  <si>
    <t>Gemcraft - chasing shadows</t>
  </si>
  <si>
    <t>Gems of War</t>
  </si>
  <si>
    <t>Geometry Dash</t>
  </si>
  <si>
    <t>Golem Gates</t>
  </si>
  <si>
    <t>Golf It</t>
  </si>
  <si>
    <t>Gran Turismo 4</t>
  </si>
  <si>
    <t>Granblue Fantasy</t>
  </si>
  <si>
    <t>Grim Nights</t>
  </si>
  <si>
    <t>Guilty Gear</t>
  </si>
  <si>
    <t>Halo</t>
  </si>
  <si>
    <t>Heat Signature</t>
  </si>
  <si>
    <t>Helldivers</t>
  </si>
  <si>
    <t>Heroes and Generals</t>
  </si>
  <si>
    <t>Homebrew Vehicle Sandbox</t>
  </si>
  <si>
    <t>Hot Lava</t>
  </si>
  <si>
    <t>Human Fall Flat</t>
  </si>
  <si>
    <t>Hyper Heroes</t>
  </si>
  <si>
    <t>Hyper Universe</t>
  </si>
  <si>
    <t>Idle games</t>
  </si>
  <si>
    <t>imortal redneck</t>
  </si>
  <si>
    <t>Infinity Wars Reborn</t>
  </si>
  <si>
    <t>Insurgency</t>
  </si>
  <si>
    <t>Into The Breach</t>
  </si>
  <si>
    <t>Invisible Inc</t>
  </si>
  <si>
    <t>Isometric</t>
  </si>
  <si>
    <t>Jackbox</t>
  </si>
  <si>
    <t>JRPG's</t>
  </si>
  <si>
    <t>Jurassic World</t>
  </si>
  <si>
    <t>KARDS</t>
  </si>
  <si>
    <t>Kerbal</t>
  </si>
  <si>
    <t>Kerbal Space Program</t>
  </si>
  <si>
    <t>Kingdom Come: Deliverance</t>
  </si>
  <si>
    <t>kingdom new lands</t>
  </si>
  <si>
    <t>Kingdom of Loathing</t>
  </si>
  <si>
    <t>Kingmaker</t>
  </si>
  <si>
    <t>Kingsway</t>
  </si>
  <si>
    <t>Knight Online</t>
  </si>
  <si>
    <t>KOF XIV</t>
  </si>
  <si>
    <t>KRITIKA Online</t>
  </si>
  <si>
    <t>Last Of Us</t>
  </si>
  <si>
    <t>Legend of Solgard</t>
  </si>
  <si>
    <t>Life is Strange</t>
  </si>
  <si>
    <t>Limbo</t>
  </si>
  <si>
    <t>Lineage 2</t>
  </si>
  <si>
    <t>Lobotomy Corp.</t>
  </si>
  <si>
    <t>Logic games</t>
  </si>
  <si>
    <t>Lost Ark</t>
  </si>
  <si>
    <t>Love Nikki</t>
  </si>
  <si>
    <t>Lunatic Rave 2</t>
  </si>
  <si>
    <t>Marvel's Future Fight</t>
  </si>
  <si>
    <t>Men of War</t>
  </si>
  <si>
    <t>Metal Gear Solid</t>
  </si>
  <si>
    <t>Metro</t>
  </si>
  <si>
    <t>Metroidvania games</t>
  </si>
  <si>
    <t>middle earth: shadow of mordor</t>
  </si>
  <si>
    <t>Mini Guns</t>
  </si>
  <si>
    <t>MLB: The Show</t>
  </si>
  <si>
    <t>Monster Slayers</t>
  </si>
  <si>
    <t>Moon Hunters</t>
  </si>
  <si>
    <t>Mortal Kombat X</t>
  </si>
  <si>
    <t>Move or Die</t>
  </si>
  <si>
    <t>MU Online</t>
  </si>
  <si>
    <t>Natural Selection 2</t>
  </si>
  <si>
    <t>NCAA 14</t>
  </si>
  <si>
    <t>Neverending Nightmares</t>
  </si>
  <si>
    <t>Nier: Automata</t>
  </si>
  <si>
    <t>Nimbatus</t>
  </si>
  <si>
    <t>Nintendo games</t>
  </si>
  <si>
    <t>No Man's Sky</t>
  </si>
  <si>
    <t>Nostale</t>
  </si>
  <si>
    <t>Nuclear Throne</t>
  </si>
  <si>
    <t>One Hour One Life</t>
  </si>
  <si>
    <t>Open World games</t>
  </si>
  <si>
    <t>Orcs Must Die</t>
  </si>
  <si>
    <t>Ori and the blind forest</t>
  </si>
  <si>
    <t>ourWorld</t>
  </si>
  <si>
    <t>Oxenfree</t>
  </si>
  <si>
    <t>Pac Man</t>
  </si>
  <si>
    <t>PC games</t>
  </si>
  <si>
    <t>phantasy star online 2</t>
  </si>
  <si>
    <t>Pillars of Eternity</t>
  </si>
  <si>
    <t>Pit People</t>
  </si>
  <si>
    <t>Platformers</t>
  </si>
  <si>
    <t>Pong</t>
  </si>
  <si>
    <t>Prismata</t>
  </si>
  <si>
    <t>Pro Evolution Soccer</t>
  </si>
  <si>
    <t>PUBG Mobile</t>
  </si>
  <si>
    <t>puyo puyo</t>
  </si>
  <si>
    <t>rayman legends</t>
  </si>
  <si>
    <t>Real Racing 3</t>
  </si>
  <si>
    <t>Rec room</t>
  </si>
  <si>
    <t>Red Alert 2</t>
  </si>
  <si>
    <t>Red Solstice</t>
  </si>
  <si>
    <t>resonance of fate</t>
  </si>
  <si>
    <t>Riff Racer</t>
  </si>
  <si>
    <t>Risen</t>
  </si>
  <si>
    <t>Rising Storm 2</t>
  </si>
  <si>
    <t>Rivals of Aether</t>
  </si>
  <si>
    <t>Rollercoaster Tycoon</t>
  </si>
  <si>
    <t>Runeward</t>
  </si>
  <si>
    <t>RWBY:Amity Arena</t>
  </si>
  <si>
    <t>S.T.A.L.K.E.R.</t>
  </si>
  <si>
    <t>S4</t>
  </si>
  <si>
    <t>Salt and sanctuary</t>
  </si>
  <si>
    <t>Sanctum</t>
  </si>
  <si>
    <t>SAS: Zombie Assault 4</t>
  </si>
  <si>
    <t>Savage Worlds</t>
  </si>
  <si>
    <t>Save the world</t>
  </si>
  <si>
    <t>Sdorica</t>
  </si>
  <si>
    <t>Secret World</t>
  </si>
  <si>
    <t>Secrets of Grindea</t>
  </si>
  <si>
    <t>Sega Genesis</t>
  </si>
  <si>
    <t>Sentinels of the Multiverse</t>
  </si>
  <si>
    <t>Shadow of Mordor</t>
  </si>
  <si>
    <t>Shadow Warrior 2</t>
  </si>
  <si>
    <t>Silent Hill 2</t>
  </si>
  <si>
    <t>Sinner: Sacrifice for Redemption</t>
  </si>
  <si>
    <t>Skylords Online</t>
  </si>
  <si>
    <t>Sonic adventure battle 2</t>
  </si>
  <si>
    <t>Sorcerer King Rivals</t>
  </si>
  <si>
    <t>Soulworker Online</t>
  </si>
  <si>
    <t>Space station 13</t>
  </si>
  <si>
    <t>Spellforce</t>
  </si>
  <si>
    <t>Spelunky</t>
  </si>
  <si>
    <t>Spyro Remastered</t>
  </si>
  <si>
    <t>Star Citizen</t>
  </si>
  <si>
    <t>Star Trek Adversaries</t>
  </si>
  <si>
    <t>Starsector</t>
  </si>
  <si>
    <t>steambirds alliance</t>
  </si>
  <si>
    <t>Stick Fight</t>
  </si>
  <si>
    <t>Stonehearth</t>
  </si>
  <si>
    <t>stormbound</t>
  </si>
  <si>
    <t>stormguard</t>
  </si>
  <si>
    <t>Street Fighter</t>
  </si>
  <si>
    <t>Streets of Rogue</t>
  </si>
  <si>
    <t>Sudoku</t>
  </si>
  <si>
    <t>Suikoden</t>
  </si>
  <si>
    <t>super luckys tales</t>
  </si>
  <si>
    <t>Survival games</t>
  </si>
  <si>
    <t>survive io</t>
  </si>
  <si>
    <t>Talos Principle</t>
  </si>
  <si>
    <t>Tera</t>
  </si>
  <si>
    <t>Tetris</t>
  </si>
  <si>
    <t>The Alchemist Code</t>
  </si>
  <si>
    <t>The Division</t>
  </si>
  <si>
    <t>The Flame and the Flood</t>
  </si>
  <si>
    <t>The Long Dark</t>
  </si>
  <si>
    <t>The Powder Toy</t>
  </si>
  <si>
    <t>The Settlers</t>
  </si>
  <si>
    <t>The Surge</t>
  </si>
  <si>
    <t>The Ultimatest Battle</t>
  </si>
  <si>
    <t>Thea: The Awakening</t>
  </si>
  <si>
    <t>This War of Mine</t>
  </si>
  <si>
    <t>Thumper</t>
  </si>
  <si>
    <t>Tibia</t>
  </si>
  <si>
    <t>Toontown Rewritten</t>
  </si>
  <si>
    <t>Tooth and Tail</t>
  </si>
  <si>
    <t>Trackmania 2 Stadium</t>
  </si>
  <si>
    <t>Tricky Towers</t>
  </si>
  <si>
    <t>Trine</t>
  </si>
  <si>
    <t>Turn-based games</t>
  </si>
  <si>
    <t>Tyranny</t>
  </si>
  <si>
    <t>Ultimate Chicken Horse</t>
  </si>
  <si>
    <t>Ultra Street Fighter IV</t>
  </si>
  <si>
    <t>Unreal Tournament</t>
  </si>
  <si>
    <t>Unturned</t>
  </si>
  <si>
    <t>Vainglory</t>
  </si>
  <si>
    <t>Valkyrie Connect</t>
  </si>
  <si>
    <t>Visual Novel games</t>
  </si>
  <si>
    <t>VRChat</t>
  </si>
  <si>
    <t>War for the Overworld</t>
  </si>
  <si>
    <t>warbands bushido</t>
  </si>
  <si>
    <t>warplanet conquest</t>
  </si>
  <si>
    <t>Wildstar</t>
  </si>
  <si>
    <t>Wizard101</t>
  </si>
  <si>
    <t>Worms W.M.D</t>
  </si>
  <si>
    <t>Wreckfest</t>
  </si>
  <si>
    <t>X-Wing</t>
  </si>
  <si>
    <t>Xbox games</t>
  </si>
  <si>
    <t>Yakuza 0</t>
  </si>
  <si>
    <t>Ylands</t>
  </si>
  <si>
    <t>zero escape</t>
  </si>
  <si>
    <t>Étiquettes de colonnes</t>
  </si>
  <si>
    <t>Total général</t>
  </si>
  <si>
    <t>Étiquettes de lignes</t>
  </si>
  <si>
    <t>(vide)</t>
  </si>
  <si>
    <t>Nombre de What other games do you play? Please specify.</t>
  </si>
  <si>
    <t xml:space="preserve"> Slay the Spire</t>
  </si>
  <si>
    <t xml:space="preserve"> Chess</t>
  </si>
  <si>
    <t xml:space="preserve"> Ragnarok M</t>
  </si>
  <si>
    <t xml:space="preserve"> Tabletop Sim</t>
  </si>
  <si>
    <t xml:space="preserve"> Overwatch</t>
  </si>
  <si>
    <t xml:space="preserve"> Heros of the Strom</t>
  </si>
  <si>
    <t xml:space="preserve"> Undertale</t>
  </si>
  <si>
    <t xml:space="preserve"> etc.</t>
  </si>
  <si>
    <t xml:space="preserve"> Borderlands 2</t>
  </si>
  <si>
    <t xml:space="preserve"> Crossout(rarely)</t>
  </si>
  <si>
    <t>Diablo 2</t>
  </si>
  <si>
    <t xml:space="preserve"> Hearthstone</t>
  </si>
  <si>
    <t xml:space="preserve"> Stellaris</t>
  </si>
  <si>
    <t xml:space="preserve"> KRITIKA Online</t>
  </si>
  <si>
    <t>osu!</t>
  </si>
  <si>
    <t xml:space="preserve"> Rocket League</t>
  </si>
  <si>
    <t xml:space="preserve"> From The Depths</t>
  </si>
  <si>
    <t xml:space="preserve"> Starbound</t>
  </si>
  <si>
    <t xml:space="preserve"> Warframe</t>
  </si>
  <si>
    <t xml:space="preserve"> Children of a Dead Earth</t>
  </si>
  <si>
    <t xml:space="preserve"> Robocraft</t>
  </si>
  <si>
    <t>Strategy games (like HOI4)</t>
  </si>
  <si>
    <t xml:space="preserve"> Runescape and valkyrie Connect.</t>
  </si>
  <si>
    <t xml:space="preserve"> league of legends</t>
  </si>
  <si>
    <t xml:space="preserve"> gang beasts and slay the spire</t>
  </si>
  <si>
    <t xml:space="preserve"> Maplestory 2</t>
  </si>
  <si>
    <t xml:space="preserve"> Battlerite</t>
  </si>
  <si>
    <t>Space engineers</t>
  </si>
  <si>
    <t xml:space="preserve"> robocraft</t>
  </si>
  <si>
    <t xml:space="preserve"> Empyrion</t>
  </si>
  <si>
    <t xml:space="preserve"> Payday 2</t>
  </si>
  <si>
    <t xml:space="preserve"> warframe</t>
  </si>
  <si>
    <t xml:space="preserve"> etc</t>
  </si>
  <si>
    <t>everything but PVP shooter</t>
  </si>
  <si>
    <t xml:space="preserve"> all of them</t>
  </si>
  <si>
    <t xml:space="preserve"> from divinity:OS2 to exapunks</t>
  </si>
  <si>
    <t xml:space="preserve"> League of Legends</t>
  </si>
  <si>
    <t xml:space="preserve"> csgo</t>
  </si>
  <si>
    <t xml:space="preserve"> wow</t>
  </si>
  <si>
    <t xml:space="preserve"> mount and blade</t>
  </si>
  <si>
    <t xml:space="preserve"> and a lot of others (more than 200 game in steam)</t>
  </si>
  <si>
    <t xml:space="preserve"> Dark Souls 3</t>
  </si>
  <si>
    <t xml:space="preserve"> Heroes of the Storm</t>
  </si>
  <si>
    <t xml:space="preserve"> Starcraft 2</t>
  </si>
  <si>
    <t xml:space="preserve"> ROBLOX</t>
  </si>
  <si>
    <t xml:space="preserve"> mobile game</t>
  </si>
  <si>
    <t xml:space="preserve"> World of Warcraft</t>
  </si>
  <si>
    <t>Call of duty</t>
  </si>
  <si>
    <t xml:space="preserve"> fallout games</t>
  </si>
  <si>
    <t xml:space="preserve"> Skyrim</t>
  </si>
  <si>
    <t xml:space="preserve"> final fantasy</t>
  </si>
  <si>
    <t xml:space="preserve"> resident evil</t>
  </si>
  <si>
    <t xml:space="preserve"> pretty much anything except sport games.</t>
  </si>
  <si>
    <t xml:space="preserve"> Hot Lava</t>
  </si>
  <si>
    <t xml:space="preserve"> Binding of Isaac</t>
  </si>
  <si>
    <t xml:space="preserve"> Hitman</t>
  </si>
  <si>
    <t xml:space="preserve"> Nimbatus</t>
  </si>
  <si>
    <t xml:space="preserve"> Talos Principle</t>
  </si>
  <si>
    <t xml:space="preserve"> various indie.</t>
  </si>
  <si>
    <t>Osu</t>
  </si>
  <si>
    <t xml:space="preserve"> dragon quest</t>
  </si>
  <si>
    <t xml:space="preserve"> Atlas Reactor</t>
  </si>
  <si>
    <t xml:space="preserve"> Battlecon-online</t>
  </si>
  <si>
    <t xml:space="preserve"> Total war Warhammer</t>
  </si>
  <si>
    <t xml:space="preserve"> FPS</t>
  </si>
  <si>
    <t xml:space="preserve"> games with a good story and games i can enjoy with my friends</t>
  </si>
  <si>
    <t>Hots</t>
  </si>
  <si>
    <t xml:space="preserve"> Fallout 76</t>
  </si>
  <si>
    <t xml:space="preserve"> path of exile</t>
  </si>
  <si>
    <t xml:space="preserve"> MTG.</t>
  </si>
  <si>
    <t xml:space="preserve"> duelyst</t>
  </si>
  <si>
    <t xml:space="preserve"> atlas reactor</t>
  </si>
  <si>
    <t xml:space="preserve"> eternal</t>
  </si>
  <si>
    <t xml:space="preserve"> Soul Calibur VI</t>
  </si>
  <si>
    <t xml:space="preserve"> Hearthstone </t>
  </si>
  <si>
    <t>Leagur of legends</t>
  </si>
  <si>
    <t xml:space="preserve"> diablo 3</t>
  </si>
  <si>
    <t xml:space="preserve"> bloons td battles</t>
  </si>
  <si>
    <t xml:space="preserve"> everything </t>
  </si>
  <si>
    <t xml:space="preserve"> Arma 3</t>
  </si>
  <si>
    <t xml:space="preserve"> Many many RTS</t>
  </si>
  <si>
    <t xml:space="preserve"> Heroes Of The Storm</t>
  </si>
  <si>
    <t xml:space="preserve"> Heartstone</t>
  </si>
  <si>
    <t xml:space="preserve"> Fortnite</t>
  </si>
  <si>
    <t xml:space="preserve"> Destiny 2</t>
  </si>
  <si>
    <t xml:space="preserve"> Minesweeper</t>
  </si>
  <si>
    <t xml:space="preserve"> choas reborn</t>
  </si>
  <si>
    <t xml:space="preserve"> spellweaver</t>
  </si>
  <si>
    <t>forced showdown</t>
  </si>
  <si>
    <t>Clash Royal</t>
  </si>
  <si>
    <t xml:space="preserve"> CS GO</t>
  </si>
  <si>
    <t xml:space="preserve"> W3</t>
  </si>
  <si>
    <t xml:space="preserve"> and occasionally point and click story based games (TWDG</t>
  </si>
  <si>
    <t xml:space="preserve"> Stardew</t>
  </si>
  <si>
    <t xml:space="preserve"> To the Moon etc.)</t>
  </si>
  <si>
    <t xml:space="preserve"> Legion TD 2</t>
  </si>
  <si>
    <t>Gems of War; mainstream single player(CRPG</t>
  </si>
  <si>
    <t xml:space="preserve"> Action</t>
  </si>
  <si>
    <t xml:space="preserve"> Adv.); occassionally MMO</t>
  </si>
  <si>
    <t xml:space="preserve"> total war Warhammer</t>
  </si>
  <si>
    <t xml:space="preserve"> wurm unlimited</t>
  </si>
  <si>
    <t xml:space="preserve"> OW</t>
  </si>
  <si>
    <t xml:space="preserve"> Sonic adventure battle 2 </t>
  </si>
  <si>
    <t xml:space="preserve"> Battlerite and usually all the solo games bethesda make</t>
  </si>
  <si>
    <t xml:space="preserve"> League of legends</t>
  </si>
  <si>
    <t xml:space="preserve"> Dead by Daylight</t>
  </si>
  <si>
    <t>Fallout</t>
  </si>
  <si>
    <t xml:space="preserve"> Xcom</t>
  </si>
  <si>
    <t xml:space="preserve"> Rocket league</t>
  </si>
  <si>
    <t xml:space="preserve"> fallout 3 and other fallout games also owerwatch and hearthstone and rocket League and Lots of other games.</t>
  </si>
  <si>
    <t>rise of nations</t>
  </si>
  <si>
    <t>roblox and ourWorld(browsergame)</t>
  </si>
  <si>
    <t xml:space="preserve"> Rainbow six siege</t>
  </si>
  <si>
    <t xml:space="preserve"> Monster Hunter World</t>
  </si>
  <si>
    <t>Threre is not a spefic genre. Hearthstone</t>
  </si>
  <si>
    <t xml:space="preserve"> counter-strike global offensive (haven't played in a long time)</t>
  </si>
  <si>
    <t xml:space="preserve"> slay the spire</t>
  </si>
  <si>
    <t xml:space="preserve">  left for dead 2</t>
  </si>
  <si>
    <t xml:space="preserve"> misc indie games </t>
  </si>
  <si>
    <t>Bunch of card games (Faeria MTGA Duelyst</t>
  </si>
  <si>
    <t xml:space="preserve"> Spellweaver</t>
  </si>
  <si>
    <t xml:space="preserve"> Gwent</t>
  </si>
  <si>
    <t xml:space="preserve"> Scrolls soon Artifact) Also path of exile every new league for a few weeks</t>
  </si>
  <si>
    <t>poe</t>
  </si>
  <si>
    <t xml:space="preserve"> any free sex game i like titties</t>
  </si>
  <si>
    <t xml:space="preserve"> Clash Royale</t>
  </si>
  <si>
    <t xml:space="preserve"> Half Life</t>
  </si>
  <si>
    <t xml:space="preserve"> Ravenfield and Payday 2</t>
  </si>
  <si>
    <t xml:space="preserve"> Rainbow Six Siege</t>
  </si>
  <si>
    <t xml:space="preserve"> Terraria</t>
  </si>
  <si>
    <t>MOBAs</t>
  </si>
  <si>
    <t xml:space="preserve"> FPSs</t>
  </si>
  <si>
    <t xml:space="preserve"> Real Racing 3</t>
  </si>
  <si>
    <t>Lol</t>
  </si>
  <si>
    <t xml:space="preserve"> MTGA</t>
  </si>
  <si>
    <t xml:space="preserve"> Tons of Single Player </t>
  </si>
  <si>
    <t xml:space="preserve"> Dragon Age</t>
  </si>
  <si>
    <t xml:space="preserve"> Witcher</t>
  </si>
  <si>
    <t xml:space="preserve"> Minecraft</t>
  </si>
  <si>
    <t xml:space="preserve"> Monster Hunter World and more.</t>
  </si>
  <si>
    <t xml:space="preserve"> Counter-Strike and World of Warcraft are the games I return to time and time again. I dabble in many other games.</t>
  </si>
  <si>
    <t>Eternal card game</t>
  </si>
  <si>
    <t xml:space="preserve"> call of Cthulhu</t>
  </si>
  <si>
    <t xml:space="preserve"> smite</t>
  </si>
  <si>
    <t xml:space="preserve"> Overwatch and Rainbow Six siege</t>
  </si>
  <si>
    <t xml:space="preserve"> Outlast</t>
  </si>
  <si>
    <t xml:space="preserve"> Assassin's Creed Series</t>
  </si>
  <si>
    <t>Mainly First Person Shooters: Half-Life</t>
  </si>
  <si>
    <t xml:space="preserve"> Counter-Strike</t>
  </si>
  <si>
    <t xml:space="preserve"> Quake</t>
  </si>
  <si>
    <t xml:space="preserve"> Doom</t>
  </si>
  <si>
    <t xml:space="preserve"> Left 4 Dead 2</t>
  </si>
  <si>
    <t xml:space="preserve"> Killing Floor 2</t>
  </si>
  <si>
    <t xml:space="preserve"> and many others.</t>
  </si>
  <si>
    <t>Monster Hunter: World</t>
  </si>
  <si>
    <t xml:space="preserve"> Warfame</t>
  </si>
  <si>
    <t xml:space="preserve"> Yakuza 0</t>
  </si>
  <si>
    <t xml:space="preserve"> Crosscode</t>
  </si>
  <si>
    <t xml:space="preserve"> Tales of Berseria</t>
  </si>
  <si>
    <t xml:space="preserve"> West of Loathing</t>
  </si>
  <si>
    <t>MC</t>
  </si>
  <si>
    <t xml:space="preserve"> Deltarune</t>
  </si>
  <si>
    <t>Counter strike global offensive</t>
  </si>
  <si>
    <t xml:space="preserve"> hearts of iron 4</t>
  </si>
  <si>
    <t xml:space="preserve"> crusader kings 2</t>
  </si>
  <si>
    <t xml:space="preserve"> terraria.</t>
  </si>
  <si>
    <t>Ark</t>
  </si>
  <si>
    <t xml:space="preserve"> Rust</t>
  </si>
  <si>
    <t xml:space="preserve"> Rainbow 6 seige</t>
  </si>
  <si>
    <t xml:space="preserve"> Assasinsc </t>
  </si>
  <si>
    <t>dead cells</t>
  </si>
  <si>
    <t xml:space="preserve"> lethal league blaze</t>
  </si>
  <si>
    <t>Mobas</t>
  </si>
  <si>
    <t xml:space="preserve"> rpg</t>
  </si>
  <si>
    <t xml:space="preserve"> mmorpg </t>
  </si>
  <si>
    <t>Dota</t>
  </si>
  <si>
    <t xml:space="preserve"> Gmod(TTT)</t>
  </si>
  <si>
    <t xml:space="preserve"> Anything that looks good and is free ;)</t>
  </si>
  <si>
    <t xml:space="preserve"> Factorio</t>
  </si>
  <si>
    <t xml:space="preserve"> Brower games</t>
  </si>
  <si>
    <t>Too many to specify. Mostly fighting</t>
  </si>
  <si>
    <t xml:space="preserve"> strategy</t>
  </si>
  <si>
    <t xml:space="preserve"> or ("D&amp;D") games . </t>
  </si>
  <si>
    <t xml:space="preserve"> TerraTech</t>
  </si>
  <si>
    <t xml:space="preserve"> fortnite</t>
  </si>
  <si>
    <t xml:space="preserve"> Clash royale</t>
  </si>
  <si>
    <t xml:space="preserve"> clash royale</t>
  </si>
  <si>
    <t xml:space="preserve"> elder scrolls legends</t>
  </si>
  <si>
    <t xml:space="preserve"> Elder Scrolls Legends</t>
  </si>
  <si>
    <t>hon</t>
  </si>
  <si>
    <t xml:space="preserve"> hearthstone</t>
  </si>
  <si>
    <t xml:space="preserve"> Ark: Survival Evolved</t>
  </si>
  <si>
    <t xml:space="preserve"> Vermintide 2</t>
  </si>
  <si>
    <t xml:space="preserve"> too many really</t>
  </si>
  <si>
    <t xml:space="preserve"> Battlefield</t>
  </si>
  <si>
    <t xml:space="preserve"> CoD</t>
  </si>
  <si>
    <t xml:space="preserve"> Dungeon Defenders 2</t>
  </si>
  <si>
    <t xml:space="preserve"> Witcher 3</t>
  </si>
  <si>
    <t xml:space="preserve"> Titanfall 2</t>
  </si>
  <si>
    <t xml:space="preserve"> Total War</t>
  </si>
  <si>
    <t xml:space="preserve"> Rainbow Six: Siege</t>
  </si>
  <si>
    <t xml:space="preserve"> Dungeons &amp; Dragons.</t>
  </si>
  <si>
    <t>Fifa</t>
  </si>
  <si>
    <t xml:space="preserve"> Pro Evolution Soccer</t>
  </si>
  <si>
    <t xml:space="preserve"> Stardew Valley</t>
  </si>
  <si>
    <t xml:space="preserve"> Into The Breach</t>
  </si>
  <si>
    <t xml:space="preserve"> Borderlands</t>
  </si>
  <si>
    <t xml:space="preserve"> killing floor 2</t>
  </si>
  <si>
    <t xml:space="preserve"> rust</t>
  </si>
  <si>
    <t xml:space="preserve"> monster hunter world (current selection i play)</t>
  </si>
  <si>
    <t xml:space="preserve"> Brawlhalla</t>
  </si>
  <si>
    <t xml:space="preserve"> Oxygen not Included</t>
  </si>
  <si>
    <t xml:space="preserve"> Warcraft 3</t>
  </si>
  <si>
    <t xml:space="preserve"> Frostpunk</t>
  </si>
  <si>
    <t xml:space="preserve"> Life is Strange</t>
  </si>
  <si>
    <t xml:space="preserve"> The walking dead</t>
  </si>
  <si>
    <t xml:space="preserve"> Total War: Warhammer</t>
  </si>
  <si>
    <t xml:space="preserve"> Rise to Ruins</t>
  </si>
  <si>
    <t xml:space="preserve"> Path of Exile</t>
  </si>
  <si>
    <t xml:space="preserve"> dota</t>
  </si>
  <si>
    <t>All sorts of card games - heartstone</t>
  </si>
  <si>
    <t xml:space="preserve"> eternal; All sorts of board games - Atlas reactor</t>
  </si>
  <si>
    <t xml:space="preserve"> warbands bushido</t>
  </si>
  <si>
    <t xml:space="preserve">  Chaos reborn; all sorts of f2p games - Star conflict</t>
  </si>
  <si>
    <t xml:space="preserve"> Crossout</t>
  </si>
  <si>
    <t xml:space="preserve"> battlerite</t>
  </si>
  <si>
    <t xml:space="preserve"> brawlhalla (all in the descending order)</t>
  </si>
  <si>
    <t xml:space="preserve"> brawlhalla</t>
  </si>
  <si>
    <t xml:space="preserve"> CS:GO</t>
  </si>
  <si>
    <t xml:space="preserve"> MH: WORLD</t>
  </si>
  <si>
    <t xml:space="preserve"> Don't starve Together </t>
  </si>
  <si>
    <t>Lots - Tyranny</t>
  </si>
  <si>
    <t xml:space="preserve"> SCUM</t>
  </si>
  <si>
    <t xml:space="preserve"> 7 Days to Die</t>
  </si>
  <si>
    <t xml:space="preserve"> Dota 2</t>
  </si>
  <si>
    <t xml:space="preserve"> Final Fantasy Omnia Opera.</t>
  </si>
  <si>
    <t>Dota2</t>
  </si>
  <si>
    <t xml:space="preserve"> Yugioh Duel Link</t>
  </si>
  <si>
    <t>csgo</t>
  </si>
  <si>
    <t xml:space="preserve"> minecraft</t>
  </si>
  <si>
    <t xml:space="preserve"> kf2.</t>
  </si>
  <si>
    <t xml:space="preserve"> Raft</t>
  </si>
  <si>
    <t xml:space="preserve"> Don't Starve Together</t>
  </si>
  <si>
    <t xml:space="preserve"> PUBG</t>
  </si>
  <si>
    <t>Cod</t>
  </si>
  <si>
    <t xml:space="preserve"> mtg</t>
  </si>
  <si>
    <t xml:space="preserve"> rocket league</t>
  </si>
  <si>
    <t xml:space="preserve"> Vainglory and Summoners War</t>
  </si>
  <si>
    <t>warthunder</t>
  </si>
  <si>
    <t xml:space="preserve"> various browser games</t>
  </si>
  <si>
    <t xml:space="preserve"> some quests...actually many and diverse styles</t>
  </si>
  <si>
    <t xml:space="preserve"> LoL</t>
  </si>
  <si>
    <t xml:space="preserve"> Most Nintendo Switch titles</t>
  </si>
  <si>
    <t xml:space="preserve"> MMORPG's when they come out and look interesting- ooooh is that a penny!</t>
  </si>
  <si>
    <t>Yu-gi-oh</t>
  </si>
  <si>
    <t xml:space="preserve"> Fort night</t>
  </si>
  <si>
    <t xml:space="preserve"> Anno</t>
  </si>
  <si>
    <t>Cs go</t>
  </si>
  <si>
    <t xml:space="preserve"> overwatch</t>
  </si>
  <si>
    <t xml:space="preserve"> civ v</t>
  </si>
  <si>
    <t xml:space="preserve"> heroes of the storm</t>
  </si>
  <si>
    <t xml:space="preserve"> destiny 2</t>
  </si>
  <si>
    <t xml:space="preserve"> Geometry Dash</t>
  </si>
  <si>
    <t xml:space="preserve"> Quake Champions</t>
  </si>
  <si>
    <t>Zelda</t>
  </si>
  <si>
    <t xml:space="preserve"> Dark souls</t>
  </si>
  <si>
    <t xml:space="preserve"> The witcher</t>
  </si>
  <si>
    <t>EU4</t>
  </si>
  <si>
    <t xml:space="preserve"> Call of Duty</t>
  </si>
  <si>
    <t xml:space="preserve"> Rise of Nations etc.</t>
  </si>
  <si>
    <t>HOTS</t>
  </si>
  <si>
    <t xml:space="preserve"> Rainbow 6</t>
  </si>
  <si>
    <t>Lotro</t>
  </si>
  <si>
    <t xml:space="preserve"> stardew valley</t>
  </si>
  <si>
    <t xml:space="preserve"> world of warcraft</t>
  </si>
  <si>
    <t xml:space="preserve"> legend of zelda</t>
  </si>
  <si>
    <t>Diablo 3</t>
  </si>
  <si>
    <t xml:space="preserve">Sins of the Solar Empire </t>
  </si>
  <si>
    <t>Rainbow six seige</t>
  </si>
  <si>
    <t xml:space="preserve"> forza horizon</t>
  </si>
  <si>
    <t xml:space="preserve"> battlefield 5... im all over tue place across many genres. </t>
  </si>
  <si>
    <t>There are several games that I play</t>
  </si>
  <si>
    <t xml:space="preserve"> so I’ll list my favorites: Dark Souls (the entire series)</t>
  </si>
  <si>
    <t xml:space="preserve"> Subnautica</t>
  </si>
  <si>
    <t xml:space="preserve"> Skyrim (modded)</t>
  </si>
  <si>
    <t xml:space="preserve"> Mount and Blade: Warband</t>
  </si>
  <si>
    <t xml:space="preserve"> Mount and Blade: Viking Conquest</t>
  </si>
  <si>
    <t xml:space="preserve"> and Sinner: Sacrifice for Redemption. </t>
  </si>
  <si>
    <t xml:space="preserve"> TF2</t>
  </si>
  <si>
    <t>rainbow six</t>
  </si>
  <si>
    <t xml:space="preserve"> ring of elysium</t>
  </si>
  <si>
    <t xml:space="preserve"> jackbox</t>
  </si>
  <si>
    <t xml:space="preserve"> deceit</t>
  </si>
  <si>
    <t xml:space="preserve"> Battleblock Theater</t>
  </si>
  <si>
    <t xml:space="preserve"> Castle Crashers</t>
  </si>
  <si>
    <t xml:space="preserve"> Football Manager</t>
  </si>
  <si>
    <t xml:space="preserve"> Hyper Heroes</t>
  </si>
  <si>
    <t xml:space="preserve"> Sim</t>
  </si>
  <si>
    <t xml:space="preserve"> Open World games</t>
  </si>
  <si>
    <t>Pokemon</t>
  </si>
  <si>
    <t xml:space="preserve"> Maple Story 2</t>
  </si>
  <si>
    <t xml:space="preserve"> Yu-Gi-Oh duel links</t>
  </si>
  <si>
    <t xml:space="preserve"> and tons others</t>
  </si>
  <si>
    <t xml:space="preserve"> fist full of frags</t>
  </si>
  <si>
    <t xml:space="preserve"> counter strike source</t>
  </si>
  <si>
    <t xml:space="preserve"> i also play games like Heartstone </t>
  </si>
  <si>
    <t>haertstne</t>
  </si>
  <si>
    <t xml:space="preserve"> magic the gathering</t>
  </si>
  <si>
    <t xml:space="preserve"> clash royal</t>
  </si>
  <si>
    <t xml:space="preserve"> black dessert</t>
  </si>
  <si>
    <t xml:space="preserve"> (Always open to try new games)</t>
  </si>
  <si>
    <t xml:space="preserve"> Magic</t>
  </si>
  <si>
    <t>Primarily card based and/or turn based games. Slay the Spire</t>
  </si>
  <si>
    <t xml:space="preserve"> Darkest Dungeon</t>
  </si>
  <si>
    <t xml:space="preserve"> West/Kingdom of Loathing</t>
  </si>
  <si>
    <t xml:space="preserve"> Hearthstone. Also Don't Starve and TF2.</t>
  </si>
  <si>
    <t xml:space="preserve"> Pokemon... </t>
  </si>
  <si>
    <t>D3</t>
  </si>
  <si>
    <t xml:space="preserve"> MTG Arena</t>
  </si>
  <si>
    <t>PC: League of Legends</t>
  </si>
  <si>
    <t xml:space="preserve"> Rainbow 6 Siege</t>
  </si>
  <si>
    <t xml:space="preserve"> Black Squad; NinSwitch: Dark Souls</t>
  </si>
  <si>
    <t xml:space="preserve"> The Flame and the Flood</t>
  </si>
  <si>
    <t>Many others</t>
  </si>
  <si>
    <t xml:space="preserve"> Ravenfield</t>
  </si>
  <si>
    <t xml:space="preserve"> Slime Rancher</t>
  </si>
  <si>
    <t>alot... I have over 150 games on my steam account and I play alot. Mainly rts</t>
  </si>
  <si>
    <t xml:space="preserve"> fps</t>
  </si>
  <si>
    <t xml:space="preserve"> and adventure games.</t>
  </si>
  <si>
    <t xml:space="preserve"> fifa</t>
  </si>
  <si>
    <t xml:space="preserve"> MTG: Arena</t>
  </si>
  <si>
    <t xml:space="preserve"> My Town At Portia</t>
  </si>
  <si>
    <t xml:space="preserve"> Heroes of the storm</t>
  </si>
  <si>
    <t>Dark souls! Mostly MOBA and RPG</t>
  </si>
  <si>
    <t xml:space="preserve"> Graveyard Keeper</t>
  </si>
  <si>
    <t xml:space="preserve">  Tabletop Simulator</t>
  </si>
  <si>
    <t xml:space="preserve"> Gary’s Mod</t>
  </si>
  <si>
    <t>Silent hill 2</t>
  </si>
  <si>
    <t xml:space="preserve"> hollow knight</t>
  </si>
  <si>
    <t xml:space="preserve"> yu-gi-oh</t>
  </si>
  <si>
    <t>rocket league</t>
  </si>
  <si>
    <t xml:space="preserve">Platformers </t>
  </si>
  <si>
    <t xml:space="preserve"> MMO's </t>
  </si>
  <si>
    <t xml:space="preserve"> CO-OP </t>
  </si>
  <si>
    <t xml:space="preserve"> FPS Anything really except simulators</t>
  </si>
  <si>
    <t xml:space="preserve"> Pokemon</t>
  </si>
  <si>
    <t xml:space="preserve"> Gmod</t>
  </si>
  <si>
    <t xml:space="preserve"> Tabletop Sim.</t>
  </si>
  <si>
    <t xml:space="preserve"> Tetris</t>
  </si>
  <si>
    <t xml:space="preserve"> God of War 4</t>
  </si>
  <si>
    <t xml:space="preserve"> card games</t>
  </si>
  <si>
    <t xml:space="preserve"> Streets of Rogue</t>
  </si>
  <si>
    <t xml:space="preserve"> Mario Kart Wii</t>
  </si>
  <si>
    <t xml:space="preserve"> Crawl</t>
  </si>
  <si>
    <t>Multiplayer and Single Player on console: Assassin’s Creed IV</t>
  </si>
  <si>
    <t xml:space="preserve"> Last Of Us</t>
  </si>
  <si>
    <t xml:space="preserve"> FIFA</t>
  </si>
  <si>
    <t xml:space="preserve"> etc...</t>
  </si>
  <si>
    <t>The Elder Scrolls Legends</t>
  </si>
  <si>
    <t xml:space="preserve"> Magic the Gathering</t>
  </si>
  <si>
    <t xml:space="preserve"> Age of Empires 2 &amp; 3</t>
  </si>
  <si>
    <t xml:space="preserve"> Endless Legend</t>
  </si>
  <si>
    <t xml:space="preserve"> Endless Space 2</t>
  </si>
  <si>
    <t xml:space="preserve"> Sorcerer King Rivals</t>
  </si>
  <si>
    <t xml:space="preserve"> Smite</t>
  </si>
  <si>
    <t xml:space="preserve"> Hearthstone and Assasins creed odyssey. </t>
  </si>
  <si>
    <t xml:space="preserve"> Banished</t>
  </si>
  <si>
    <t xml:space="preserve"> Flash games</t>
  </si>
  <si>
    <t xml:space="preserve"> Lol</t>
  </si>
  <si>
    <t xml:space="preserve"> I am a casual online gamer</t>
  </si>
  <si>
    <t xml:space="preserve"> not really into long comitment so I dropped lol for the lengthy rounds. I enjoy that the most in MM</t>
  </si>
  <si>
    <t xml:space="preserve"> short and sweet victory or loss :D</t>
  </si>
  <si>
    <t>Quake champions</t>
  </si>
  <si>
    <t xml:space="preserve"> dark souls</t>
  </si>
  <si>
    <t>Smite; some rpgs</t>
  </si>
  <si>
    <t xml:space="preserve"> especially final fantasies</t>
  </si>
  <si>
    <t xml:space="preserve"> rarely shooters like resident evil. tower defense games like dungeon defenders or orcs must die.</t>
  </si>
  <si>
    <t xml:space="preserve"> Enter the Gungeon</t>
  </si>
  <si>
    <t xml:space="preserve"> Super Smash Brothers</t>
  </si>
  <si>
    <t xml:space="preserve"> Oxygen Not Included</t>
  </si>
  <si>
    <t xml:space="preserve"> Portal 2</t>
  </si>
  <si>
    <t xml:space="preserve"> and Evolution.</t>
  </si>
  <si>
    <t>Rainbow 6</t>
  </si>
  <si>
    <t>Total War warhammer</t>
  </si>
  <si>
    <t>TF2 (think you know that game)</t>
  </si>
  <si>
    <t xml:space="preserve">  Síd Meyers Civilization 6 and Kards</t>
  </si>
  <si>
    <t xml:space="preserve"> a deck building game themed around WII.</t>
  </si>
  <si>
    <t xml:space="preserve"> Rocket Legue</t>
  </si>
  <si>
    <t xml:space="preserve"> Prison Architect</t>
  </si>
  <si>
    <t>Recently: StarCraft 2</t>
  </si>
  <si>
    <t xml:space="preserve"> Sentinels of the Multiverse</t>
  </si>
  <si>
    <t xml:space="preserve"> Savage Worlds</t>
  </si>
  <si>
    <t xml:space="preserve"> homemade games through Tabletop Simulator.</t>
  </si>
  <si>
    <t>Strategy games like Starcraft II</t>
  </si>
  <si>
    <t xml:space="preserve"> Sid Meiers CIV 6</t>
  </si>
  <si>
    <t xml:space="preserve"> Pokemon Ultra Moon</t>
  </si>
  <si>
    <t xml:space="preserve"> Realm Grinder</t>
  </si>
  <si>
    <t xml:space="preserve"> and Grim Dawn.</t>
  </si>
  <si>
    <t xml:space="preserve"> Cod</t>
  </si>
  <si>
    <t xml:space="preserve"> APB Reloaded</t>
  </si>
  <si>
    <t xml:space="preserve">destiny 2 </t>
  </si>
  <si>
    <t xml:space="preserve"> rainbow six siege</t>
  </si>
  <si>
    <t>etc</t>
  </si>
  <si>
    <t>breath of the wild</t>
  </si>
  <si>
    <t xml:space="preserve"> bloodborne</t>
  </si>
  <si>
    <t xml:space="preserve"> titanfall 2</t>
  </si>
  <si>
    <t xml:space="preserve"> monster hunter</t>
  </si>
  <si>
    <t xml:space="preserve"> rocket league.</t>
  </si>
  <si>
    <t xml:space="preserve"> Street Fighter</t>
  </si>
  <si>
    <t xml:space="preserve"> Death's gambit</t>
  </si>
  <si>
    <t xml:space="preserve"> Salt and sanctuary</t>
  </si>
  <si>
    <t xml:space="preserve"> and some other challenging 2D</t>
  </si>
  <si>
    <t xml:space="preserve"> Asphalt</t>
  </si>
  <si>
    <t xml:space="preserve"> Battlefront II</t>
  </si>
  <si>
    <t>Borderlands 2</t>
  </si>
  <si>
    <t xml:space="preserve"> The Elder Scrolls: Legends</t>
  </si>
  <si>
    <t xml:space="preserve"> Eternal Card Game</t>
  </si>
  <si>
    <t xml:space="preserve"> Diablo 3</t>
  </si>
  <si>
    <t xml:space="preserve"> Sanctum 1 and 2</t>
  </si>
  <si>
    <t xml:space="preserve"> The Elders Scrolls Online</t>
  </si>
  <si>
    <t xml:space="preserve"> The Division</t>
  </si>
  <si>
    <t xml:space="preserve"> Ghost Recon Wildlands</t>
  </si>
  <si>
    <t>Recently</t>
  </si>
  <si>
    <t xml:space="preserve"> Overkill's The Walking Dead</t>
  </si>
  <si>
    <t xml:space="preserve"> but mostly FPS</t>
  </si>
  <si>
    <t xml:space="preserve"> fighting games</t>
  </si>
  <si>
    <t xml:space="preserve"> Mobas</t>
  </si>
  <si>
    <t xml:space="preserve"> Card Games</t>
  </si>
  <si>
    <t xml:space="preserve"> and more.</t>
  </si>
  <si>
    <t>Card games such as Hearthstone</t>
  </si>
  <si>
    <t xml:space="preserve"> simulation games such as Factorio</t>
  </si>
  <si>
    <t xml:space="preserve"> some FPS games such as Overwatch and Killing Floor 2</t>
  </si>
  <si>
    <t xml:space="preserve"> wizard of legend</t>
  </si>
  <si>
    <t>Maplestory</t>
  </si>
  <si>
    <t xml:space="preserve"> Town Of Salem</t>
  </si>
  <si>
    <t>Realm of the mad god</t>
  </si>
  <si>
    <t xml:space="preserve"> curve fever 2</t>
  </si>
  <si>
    <t xml:space="preserve"> CSGO</t>
  </si>
  <si>
    <t xml:space="preserve"> CSS surf</t>
  </si>
  <si>
    <t xml:space="preserve"> lost and lots of surf</t>
  </si>
  <si>
    <t xml:space="preserve"> steambirds alliance</t>
  </si>
  <si>
    <t xml:space="preserve"> other games</t>
  </si>
  <si>
    <t>Third Person Shooters</t>
  </si>
  <si>
    <t xml:space="preserve"> RTS's</t>
  </si>
  <si>
    <t>I play MMOs</t>
  </si>
  <si>
    <t xml:space="preserve"> have been for 2 decades</t>
  </si>
  <si>
    <t>Alles mögliche</t>
  </si>
  <si>
    <t xml:space="preserve"> ich schreibe hier jetzt keine 500+ Games hin</t>
  </si>
  <si>
    <t xml:space="preserve"> Total War series</t>
  </si>
  <si>
    <t xml:space="preserve"> Slay the spire</t>
  </si>
  <si>
    <t xml:space="preserve"> Hearhstone</t>
  </si>
  <si>
    <t>Rainbow six siege</t>
  </si>
  <si>
    <t xml:space="preserve"> Red dead redemption 2</t>
  </si>
  <si>
    <t xml:space="preserve"> Roblox</t>
  </si>
  <si>
    <t xml:space="preserve"> Injustice 2</t>
  </si>
  <si>
    <t xml:space="preserve"> Star Wars Battlefront 1 &amp; 2</t>
  </si>
  <si>
    <t xml:space="preserve"> Fortnite.</t>
  </si>
  <si>
    <t>PokeOne</t>
  </si>
  <si>
    <t>RPGs (like AC:Odyssey</t>
  </si>
  <si>
    <t xml:space="preserve"> WoW)</t>
  </si>
  <si>
    <t xml:space="preserve"> Online-TCGs (Hearthstone</t>
  </si>
  <si>
    <t xml:space="preserve"> MTG:A)</t>
  </si>
  <si>
    <t>DOOM</t>
  </si>
  <si>
    <t xml:space="preserve"> Rivals of Aether</t>
  </si>
  <si>
    <t xml:space="preserve"> SSBM</t>
  </si>
  <si>
    <t xml:space="preserve"> DOOM</t>
  </si>
  <si>
    <t xml:space="preserve"> Nier: Automata</t>
  </si>
  <si>
    <t xml:space="preserve"> Divinity: Original Sin 2</t>
  </si>
  <si>
    <t xml:space="preserve"> osrs</t>
  </si>
  <si>
    <t xml:space="preserve"> dota2</t>
  </si>
  <si>
    <t>I play pretty much every game</t>
  </si>
  <si>
    <t xml:space="preserve"> not  focusing on a single genre.</t>
  </si>
  <si>
    <t xml:space="preserve"> Go</t>
  </si>
  <si>
    <t xml:space="preserve"> MagicTG</t>
  </si>
  <si>
    <t xml:space="preserve"> Lethal League</t>
  </si>
  <si>
    <t xml:space="preserve"> Too many point-n-click Adventure games to count.</t>
  </si>
  <si>
    <t xml:space="preserve"> Grim Dawn</t>
  </si>
  <si>
    <t>fallouts</t>
  </si>
  <si>
    <t>rainbow six sige</t>
  </si>
  <si>
    <t>tomb raider</t>
  </si>
  <si>
    <t>fps (overwatch</t>
  </si>
  <si>
    <t xml:space="preserve"> rainbow six) and grindy rpgs (fortnite stw)</t>
  </si>
  <si>
    <t xml:space="preserve"> HotS</t>
  </si>
  <si>
    <t>Currently</t>
  </si>
  <si>
    <t xml:space="preserve"> other that MM</t>
  </si>
  <si>
    <t xml:space="preserve"> I sometimes play Hearthstone and Warframe - they're good for relaxing after work. I play them mostly because they don't take up that much time and you can stop almost anytime - these games are a bit boring and repetitive so when you get bored</t>
  </si>
  <si>
    <t xml:space="preserve"> you just do something different. +there's that feeling of progress just from getting daily rewards.</t>
  </si>
  <si>
    <t>Mostly CO-OP FPS</t>
  </si>
  <si>
    <t xml:space="preserve"> RPG</t>
  </si>
  <si>
    <t xml:space="preserve"> ARPG</t>
  </si>
  <si>
    <t xml:space="preserve"> Nostale</t>
  </si>
  <si>
    <t xml:space="preserve"> Elsword</t>
  </si>
  <si>
    <t>...</t>
  </si>
  <si>
    <t xml:space="preserve"> Agents of Mayhem</t>
  </si>
  <si>
    <t xml:space="preserve"> GTAV</t>
  </si>
  <si>
    <t xml:space="preserve"> Wreckfest.</t>
  </si>
  <si>
    <t xml:space="preserve"> Vermintide 2.</t>
  </si>
  <si>
    <t xml:space="preserve"> I don't really play too many different games. I like to stick to a select few.</t>
  </si>
  <si>
    <t xml:space="preserve"> Tricky Towers.</t>
  </si>
  <si>
    <t>tes legends</t>
  </si>
  <si>
    <t xml:space="preserve"> Oldschool Runescape</t>
  </si>
  <si>
    <t xml:space="preserve"> osu!</t>
  </si>
  <si>
    <t>too many to list - hearthstone</t>
  </si>
  <si>
    <t>world of warcraft</t>
  </si>
  <si>
    <t xml:space="preserve"> monster hunter world</t>
  </si>
  <si>
    <t xml:space="preserve"> etc. etc. </t>
  </si>
  <si>
    <t>cs go</t>
  </si>
  <si>
    <t xml:space="preserve"> Realm Royale</t>
  </si>
  <si>
    <t>Hunt: showdown</t>
  </si>
  <si>
    <t xml:space="preserve"> Dead by daylight</t>
  </si>
  <si>
    <t>FPS games like Battlefield 1 and BO4</t>
  </si>
  <si>
    <t xml:space="preserve"> RTS games like Age of Wonders</t>
  </si>
  <si>
    <t xml:space="preserve"> Europa Universalis 4</t>
  </si>
  <si>
    <t xml:space="preserve"> Destiny</t>
  </si>
  <si>
    <t xml:space="preserve"> Dark Souls</t>
  </si>
  <si>
    <t xml:space="preserve"> Hammerwatch</t>
  </si>
  <si>
    <t xml:space="preserve"> Spelunky</t>
  </si>
  <si>
    <t>Many different kinds</t>
  </si>
  <si>
    <t xml:space="preserve"> eg. MLB The Show</t>
  </si>
  <si>
    <t xml:space="preserve"> Spiderman</t>
  </si>
  <si>
    <t xml:space="preserve"> Sea of Thieves</t>
  </si>
  <si>
    <t xml:space="preserve"> lots of puzzle games</t>
  </si>
  <si>
    <t xml:space="preserve"> WoW</t>
  </si>
  <si>
    <t xml:space="preserve"> Red dead Redemption 2</t>
  </si>
  <si>
    <t xml:space="preserve"> literally everything else. </t>
  </si>
  <si>
    <t xml:space="preserve"> pokemon TCG</t>
  </si>
  <si>
    <t xml:space="preserve"> magic the gathering arena</t>
  </si>
  <si>
    <t xml:space="preserve"> Super Smash Bros. serie</t>
  </si>
  <si>
    <t xml:space="preserve"> "Rogue Lite" games in general</t>
  </si>
  <si>
    <t xml:space="preserve"> Gothic+Risen+Elex(All Piranha Bytes games)</t>
  </si>
  <si>
    <t xml:space="preserve"> S.T.A.L.K.E.R. series</t>
  </si>
  <si>
    <t xml:space="preserve"> Metro series</t>
  </si>
  <si>
    <t xml:space="preserve"> Diablo</t>
  </si>
  <si>
    <t xml:space="preserve"> Realm of the Mad God</t>
  </si>
  <si>
    <t xml:space="preserve"> cod 4</t>
  </si>
  <si>
    <t xml:space="preserve"> lif MMO...</t>
  </si>
  <si>
    <t xml:space="preserve"> Guild Wars 2</t>
  </si>
  <si>
    <t>Rpgs</t>
  </si>
  <si>
    <t xml:space="preserve"> Fallout 76 more recently. A bit of everything to be honest. I like variety. </t>
  </si>
  <si>
    <t xml:space="preserve"> Crusader Kings 2</t>
  </si>
  <si>
    <t xml:space="preserve"> l4d2</t>
  </si>
  <si>
    <t xml:space="preserve"> tf2</t>
  </si>
  <si>
    <t xml:space="preserve"> garry's mod</t>
  </si>
  <si>
    <t>league or legends &amp; slay the spire</t>
  </si>
  <si>
    <t xml:space="preserve"> mostly</t>
  </si>
  <si>
    <t xml:space="preserve"> hero shooter</t>
  </si>
  <si>
    <t xml:space="preserve"> mobile</t>
  </si>
  <si>
    <t xml:space="preserve"> card game</t>
  </si>
  <si>
    <t>diablo 2</t>
  </si>
  <si>
    <t xml:space="preserve"> Mu online</t>
  </si>
  <si>
    <t xml:space="preserve"> ragnarok online.</t>
  </si>
  <si>
    <t xml:space="preserve"> other</t>
  </si>
  <si>
    <t xml:space="preserve"> and others</t>
  </si>
  <si>
    <t xml:space="preserve"> World of Warships</t>
  </si>
  <si>
    <t xml:space="preserve"> Tom Clany's Rainbow Six Siege</t>
  </si>
  <si>
    <t>diablo 3</t>
  </si>
  <si>
    <t xml:space="preserve"> counter strike:go</t>
  </si>
  <si>
    <t>battlefield</t>
  </si>
  <si>
    <t xml:space="preserve"> survive io</t>
  </si>
  <si>
    <t xml:space="preserve"> and limbo</t>
  </si>
  <si>
    <t xml:space="preserve"> ori and the blind forest</t>
  </si>
  <si>
    <t xml:space="preserve"> rayman legends</t>
  </si>
  <si>
    <t xml:space="preserve"> middle-earth:shadow of mordor</t>
  </si>
  <si>
    <t xml:space="preserve">lineage 2 </t>
  </si>
  <si>
    <t xml:space="preserve"> mobile legends</t>
  </si>
  <si>
    <t>ARK</t>
  </si>
  <si>
    <t xml:space="preserve"> Diablo </t>
  </si>
  <si>
    <t>Wow</t>
  </si>
  <si>
    <t>stardew</t>
  </si>
  <si>
    <t xml:space="preserve"> paladins</t>
  </si>
  <si>
    <t xml:space="preserve"> slime rancher</t>
  </si>
  <si>
    <t xml:space="preserve"> ARK</t>
  </si>
  <si>
    <t>Realm royale</t>
  </si>
  <si>
    <t xml:space="preserve"> gwent</t>
  </si>
  <si>
    <t xml:space="preserve"> creative destruction</t>
  </si>
  <si>
    <t xml:space="preserve"> runeward</t>
  </si>
  <si>
    <t>Forza</t>
  </si>
  <si>
    <t xml:space="preserve"> Cities Skylines</t>
  </si>
  <si>
    <t xml:space="preserve"> Planet Coaster</t>
  </si>
  <si>
    <t xml:space="preserve"> Riff Racer</t>
  </si>
  <si>
    <t>League pf Legends</t>
  </si>
  <si>
    <t xml:space="preserve"> Fallout 4</t>
  </si>
  <si>
    <t xml:space="preserve">  Rising Storm 2</t>
  </si>
  <si>
    <t xml:space="preserve"> Warhammer Vermintide 1&amp;2</t>
  </si>
  <si>
    <t xml:space="preserve"> Warhammer 40</t>
  </si>
  <si>
    <t>000 Dawn of War</t>
  </si>
  <si>
    <t xml:space="preserve"> Escape from Tarkov</t>
  </si>
  <si>
    <t xml:space="preserve"> Dayz</t>
  </si>
  <si>
    <t xml:space="preserve">SMITE </t>
  </si>
  <si>
    <t xml:space="preserve"> Monster Hunter : WORLD</t>
  </si>
  <si>
    <t xml:space="preserve"> HS</t>
  </si>
  <si>
    <t xml:space="preserve"> DN</t>
  </si>
  <si>
    <t xml:space="preserve"> Eternal</t>
  </si>
  <si>
    <t xml:space="preserve"> Poe</t>
  </si>
  <si>
    <t xml:space="preserve"> Garry's Mod</t>
  </si>
  <si>
    <t>Destiny</t>
  </si>
  <si>
    <t xml:space="preserve"> AC</t>
  </si>
  <si>
    <t xml:space="preserve"> TWD</t>
  </si>
  <si>
    <t>Brawlhall</t>
  </si>
  <si>
    <t xml:space="preserve"> Torchlight 2</t>
  </si>
  <si>
    <t xml:space="preserve"> Destiny Child and a big etc.</t>
  </si>
  <si>
    <t xml:space="preserve"> SCP secret laboratory</t>
  </si>
  <si>
    <t xml:space="preserve"> payday 2</t>
  </si>
  <si>
    <t xml:space="preserve"> battleborn</t>
  </si>
  <si>
    <t xml:space="preserve"> rocket league and a tons of others</t>
  </si>
  <si>
    <t xml:space="preserve"> Divine Divinity Original Sin</t>
  </si>
  <si>
    <t xml:space="preserve"> Pillars of Eternity</t>
  </si>
  <si>
    <t xml:space="preserve"> Bauldrs Gate</t>
  </si>
  <si>
    <t xml:space="preserve"> Reassembly</t>
  </si>
  <si>
    <t xml:space="preserve"> Titan Quest Immortal Throne</t>
  </si>
  <si>
    <t xml:space="preserve"> (Mostly</t>
  </si>
  <si>
    <t xml:space="preserve"> ARPGs</t>
  </si>
  <si>
    <t xml:space="preserve"> RPGs</t>
  </si>
  <si>
    <t xml:space="preserve"> clash of clan</t>
  </si>
  <si>
    <t xml:space="preserve"> rainbow six siege and counter strike global offensive</t>
  </si>
  <si>
    <t xml:space="preserve"> COD BO4</t>
  </si>
  <si>
    <t>I'm playing since 7 or so. Now I'm 30. I played literally everything that I could put my hands on till 20. But for 17-23 I played fighting games really competitively and almost exclusively. Nowadays I'm on Blizzard needle. Overwatch a little (GM)</t>
  </si>
  <si>
    <t xml:space="preserve"> some HS. Mahjong IRL. A lot of Destiny 2.</t>
  </si>
  <si>
    <t xml:space="preserve"> DOTA</t>
  </si>
  <si>
    <t xml:space="preserve"> rainbo 6 siege</t>
  </si>
  <si>
    <t xml:space="preserve"> assassin's creed</t>
  </si>
  <si>
    <t xml:space="preserve"> the witcher</t>
  </si>
  <si>
    <t xml:space="preserve"> shadow of war.</t>
  </si>
  <si>
    <t xml:space="preserve"> red dead redemption 2</t>
  </si>
  <si>
    <t xml:space="preserve"> dark souls 1-3 + bloodbourne</t>
  </si>
  <si>
    <t xml:space="preserve"> mario party switch</t>
  </si>
  <si>
    <t xml:space="preserve"> mario odyssey</t>
  </si>
  <si>
    <t xml:space="preserve"> Shadowverse</t>
  </si>
  <si>
    <t>Warhammer 2</t>
  </si>
  <si>
    <t xml:space="preserve"> Rainbow six</t>
  </si>
  <si>
    <t>rainbow six siege</t>
  </si>
  <si>
    <t xml:space="preserve"> forza horizon 4</t>
  </si>
  <si>
    <t>Shooter</t>
  </si>
  <si>
    <t xml:space="preserve"> MMO</t>
  </si>
  <si>
    <t xml:space="preserve"> BR</t>
  </si>
  <si>
    <t>Csgo</t>
  </si>
  <si>
    <t xml:space="preserve"> Back Ops 4</t>
  </si>
  <si>
    <t xml:space="preserve"> COD</t>
  </si>
  <si>
    <t xml:space="preserve"> MTG arena</t>
  </si>
  <si>
    <t xml:space="preserve"> Project zomboid</t>
  </si>
  <si>
    <t>Metroidvanias (like Hollow Knight)</t>
  </si>
  <si>
    <t xml:space="preserve"> League of legends (sometimes)</t>
  </si>
  <si>
    <t xml:space="preserve"> logic/card/puzzle games (especially with rpg elements</t>
  </si>
  <si>
    <t xml:space="preserve"> like Gems of War)</t>
  </si>
  <si>
    <t xml:space="preserve"> Tales of Maj'Eyal</t>
  </si>
  <si>
    <t xml:space="preserve"> RimWorld</t>
  </si>
  <si>
    <t xml:space="preserve"> Dwarf Fortress...</t>
  </si>
  <si>
    <t>Dead by daylight</t>
  </si>
  <si>
    <t xml:space="preserve"> league of legends </t>
  </si>
  <si>
    <t xml:space="preserve"> Fallout</t>
  </si>
  <si>
    <t xml:space="preserve"> BF</t>
  </si>
  <si>
    <t>Pretty much everything except simulation games</t>
  </si>
  <si>
    <t xml:space="preserve"> online games I play at the moment are: Dead by daylight</t>
  </si>
  <si>
    <t xml:space="preserve"> and Warframe.</t>
  </si>
  <si>
    <t xml:space="preserve"> Bad North</t>
  </si>
  <si>
    <t>LeagueOfLegends</t>
  </si>
  <si>
    <t xml:space="preserve"> Destiny2</t>
  </si>
  <si>
    <t xml:space="preserve"> MagicTheGatheringArena</t>
  </si>
  <si>
    <t xml:space="preserve"> Diablo II</t>
  </si>
  <si>
    <t xml:space="preserve"> Pub-G</t>
  </si>
  <si>
    <t xml:space="preserve"> KnightOnline</t>
  </si>
  <si>
    <t xml:space="preserve"> cod</t>
  </si>
  <si>
    <t>Regularly</t>
  </si>
  <si>
    <t xml:space="preserve"> I play more than 20 games of different kind. However</t>
  </si>
  <si>
    <t xml:space="preserve"> there are no other "card" games.</t>
  </si>
  <si>
    <t>Rainbow Six: Siege</t>
  </si>
  <si>
    <t xml:space="preserve">  Overwatch</t>
  </si>
  <si>
    <t xml:space="preserve"> XCOM</t>
  </si>
  <si>
    <t xml:space="preserve"> Rimworld to name a few</t>
  </si>
  <si>
    <t xml:space="preserve"> cod black ops 4. CS:GO</t>
  </si>
  <si>
    <t>Call of Duty</t>
  </si>
  <si>
    <t xml:space="preserve"> Starcraft</t>
  </si>
  <si>
    <t xml:space="preserve"> OW.</t>
  </si>
  <si>
    <t>that's hard. manly alot of emulators</t>
  </si>
  <si>
    <t xml:space="preserve"> and i've been playing destiny 2 alot since it became free for a limited time.</t>
  </si>
  <si>
    <t xml:space="preserve"> rainbow six seige</t>
  </si>
  <si>
    <t xml:space="preserve"> 7 Days to die</t>
  </si>
  <si>
    <t xml:space="preserve"> monster Hunter</t>
  </si>
  <si>
    <t xml:space="preserve"> almost anything else</t>
  </si>
  <si>
    <t xml:space="preserve"> LOL</t>
  </si>
  <si>
    <t xml:space="preserve"> Atlas reactor</t>
  </si>
  <si>
    <t xml:space="preserve"> FFXIV</t>
  </si>
  <si>
    <t xml:space="preserve"> The Alchemist Code</t>
  </si>
  <si>
    <t xml:space="preserve"> MTG</t>
  </si>
  <si>
    <t>Neverwinter Nights Enhanced Edition</t>
  </si>
  <si>
    <t xml:space="preserve"> Moun And Blade</t>
  </si>
  <si>
    <t xml:space="preserve"> Darkwood</t>
  </si>
  <si>
    <t xml:space="preserve"> Insurgency</t>
  </si>
  <si>
    <t xml:space="preserve"> Days of Infamy</t>
  </si>
  <si>
    <t xml:space="preserve"> Don't Starve</t>
  </si>
  <si>
    <t>Heartstone</t>
  </si>
  <si>
    <t xml:space="preserve"> faeria etc</t>
  </si>
  <si>
    <t xml:space="preserve"> Hots</t>
  </si>
  <si>
    <t xml:space="preserve"> MapleStory 2</t>
  </si>
  <si>
    <t xml:space="preserve"> Elder Scrolls</t>
  </si>
  <si>
    <t>horror games</t>
  </si>
  <si>
    <t xml:space="preserve"> fast FPS</t>
  </si>
  <si>
    <t xml:space="preserve"> mobile moba</t>
  </si>
  <si>
    <t xml:space="preserve"> dorky/funny games</t>
  </si>
  <si>
    <t xml:space="preserve"> darkest dungeon</t>
  </si>
  <si>
    <t xml:space="preserve"> borderlands. Those are the ones Ive been playing lately anyways</t>
  </si>
  <si>
    <t>Garrys mod</t>
  </si>
  <si>
    <t xml:space="preserve"> dont starve together</t>
  </si>
  <si>
    <t xml:space="preserve"> and Brawlhalla</t>
  </si>
  <si>
    <t>1400 Games on my account</t>
  </si>
  <si>
    <t xml:space="preserve"> so alot more than I care to list</t>
  </si>
  <si>
    <t xml:space="preserve"> Gran Turismo 4</t>
  </si>
  <si>
    <t xml:space="preserve"> Homebrew Vehicle Sandbox</t>
  </si>
  <si>
    <t xml:space="preserve"> Pokemon Stuff</t>
  </si>
  <si>
    <t xml:space="preserve"> CSGO.</t>
  </si>
  <si>
    <t>Nowadays</t>
  </si>
  <si>
    <t xml:space="preserve"> mainly For Honor</t>
  </si>
  <si>
    <t xml:space="preserve"> Kingsway</t>
  </si>
  <si>
    <t xml:space="preserve"> and Stick Fight</t>
  </si>
  <si>
    <t>R6 Siege</t>
  </si>
  <si>
    <t xml:space="preserve"> FF14</t>
  </si>
  <si>
    <t xml:space="preserve"> Ghost recon wildlands. Basically what my friends want to play</t>
  </si>
  <si>
    <t xml:space="preserve"> Fallout New Vegas</t>
  </si>
  <si>
    <t xml:space="preserve"> Rainbow Six Seige</t>
  </si>
  <si>
    <t xml:space="preserve"> Warhammer vermintide 2</t>
  </si>
  <si>
    <t>clash royal</t>
  </si>
  <si>
    <t xml:space="preserve"> earth stones</t>
  </si>
  <si>
    <t xml:space="preserve"> 7 days to die</t>
  </si>
  <si>
    <t>CSGO</t>
  </si>
  <si>
    <t xml:space="preserve"> R6</t>
  </si>
  <si>
    <t xml:space="preserve"> The Binding of Isaac</t>
  </si>
  <si>
    <t xml:space="preserve"> Dota</t>
  </si>
  <si>
    <t xml:space="preserve"> Overcoocked</t>
  </si>
  <si>
    <t xml:space="preserve"> and Minecraft</t>
  </si>
  <si>
    <t xml:space="preserve"> the long dark</t>
  </si>
  <si>
    <t xml:space="preserve"> World of Warcraft mainly</t>
  </si>
  <si>
    <t xml:space="preserve"> and some fps</t>
  </si>
  <si>
    <t>FFXIV</t>
  </si>
  <si>
    <t xml:space="preserve"> Town of Salem</t>
  </si>
  <si>
    <t xml:space="preserve"> Skyrim: Legends</t>
  </si>
  <si>
    <t xml:space="preserve"> Pokemon TCG Online</t>
  </si>
  <si>
    <t xml:space="preserve"> Path of Exile.</t>
  </si>
  <si>
    <t>ROBLOX (lmao)</t>
  </si>
  <si>
    <t xml:space="preserve"> a good chunk of the Monster Hunter franchise</t>
  </si>
  <si>
    <t xml:space="preserve"> a lot of RPG Maker games</t>
  </si>
  <si>
    <t xml:space="preserve"> I frequent the Halo series and I play COD Black Ops (1).</t>
  </si>
  <si>
    <t xml:space="preserve"> Surviv.io</t>
  </si>
  <si>
    <t xml:space="preserve"> Roblox. </t>
  </si>
  <si>
    <t xml:space="preserve"> destiny</t>
  </si>
  <si>
    <t xml:space="preserve"> Mtg</t>
  </si>
  <si>
    <t xml:space="preserve"> borderlands</t>
  </si>
  <si>
    <t xml:space="preserve"> civ 5</t>
  </si>
  <si>
    <t xml:space="preserve"> Creative Destruction</t>
  </si>
  <si>
    <t>TW Warhammer 2</t>
  </si>
  <si>
    <t xml:space="preserve"> Clash Royal (strong "similiarities" (;  )</t>
  </si>
  <si>
    <t xml:space="preserve"> Sykrim</t>
  </si>
  <si>
    <t xml:space="preserve"> BDO</t>
  </si>
  <si>
    <t xml:space="preserve"> quake champions</t>
  </si>
  <si>
    <t xml:space="preserve"> this is my first card game </t>
  </si>
  <si>
    <t>Skyrim Legends</t>
  </si>
  <si>
    <t xml:space="preserve"> Jurassic World and many mor</t>
  </si>
  <si>
    <t>Ark Survival Evolved</t>
  </si>
  <si>
    <t xml:space="preserve"> Clash Royale and some of the classics like Unreal Tournament</t>
  </si>
  <si>
    <t xml:space="preserve"> Mario 64......</t>
  </si>
  <si>
    <t xml:space="preserve"> ff14</t>
  </si>
  <si>
    <t xml:space="preserve"> couple mobile games like dragonball legends or star wars heroes of galaxy</t>
  </si>
  <si>
    <t xml:space="preserve"> botw</t>
  </si>
  <si>
    <t xml:space="preserve"> Planetside 2</t>
  </si>
  <si>
    <t xml:space="preserve"> Oh</t>
  </si>
  <si>
    <t xml:space="preserve"> I'm noticing a pattern here.</t>
  </si>
  <si>
    <t xml:space="preserve"> Dark and Light</t>
  </si>
  <si>
    <t xml:space="preserve"> GW2</t>
  </si>
  <si>
    <t>for honor</t>
  </si>
  <si>
    <t>move or die(Good game btw)</t>
  </si>
  <si>
    <t xml:space="preserve"> bad north</t>
  </si>
  <si>
    <t xml:space="preserve"> supreme commander</t>
  </si>
  <si>
    <t xml:space="preserve"> command and conquer</t>
  </si>
  <si>
    <t xml:space="preserve"> COD 4</t>
  </si>
  <si>
    <t>Gears of War 1-4</t>
  </si>
  <si>
    <t xml:space="preserve"> Forza</t>
  </si>
  <si>
    <t xml:space="preserve"> Forza Horizon</t>
  </si>
  <si>
    <t xml:space="preserve"> Torchlight 2 &amp; more</t>
  </si>
  <si>
    <t>Blizzard Games</t>
  </si>
  <si>
    <t xml:space="preserve"> PoE</t>
  </si>
  <si>
    <t xml:space="preserve"> Steam Games</t>
  </si>
  <si>
    <t xml:space="preserve"> Tooth and Tail</t>
  </si>
  <si>
    <t xml:space="preserve"> GTAV Online</t>
  </si>
  <si>
    <t xml:space="preserve"> and a lot of others</t>
  </si>
  <si>
    <t xml:space="preserve"> StarCraft 2</t>
  </si>
  <si>
    <t xml:space="preserve"> Dauntless</t>
  </si>
  <si>
    <t xml:space="preserve"> Magic: the Gathering</t>
  </si>
  <si>
    <t xml:space="preserve"> Persona 5</t>
  </si>
  <si>
    <t xml:space="preserve"> Dungeons and Dragons</t>
  </si>
  <si>
    <t>divnity original sin 2</t>
  </si>
  <si>
    <t xml:space="preserve"> endless legend</t>
  </si>
  <si>
    <t xml:space="preserve"> elite dangerous</t>
  </si>
  <si>
    <t xml:space="preserve"> DotA 2</t>
  </si>
  <si>
    <t xml:space="preserve"> Hollow Knight</t>
  </si>
  <si>
    <t xml:space="preserve">Estrategy Survival </t>
  </si>
  <si>
    <t xml:space="preserve"> Warhammer (mostly all) Starwars all (except BF) Destiny 2</t>
  </si>
  <si>
    <t xml:space="preserve">  Horizon Zero Dawn</t>
  </si>
  <si>
    <t xml:space="preserve"> Darksouls 1</t>
  </si>
  <si>
    <t xml:space="preserve"> Tibia</t>
  </si>
  <si>
    <t xml:space="preserve"> Soulcalibur 6</t>
  </si>
  <si>
    <t xml:space="preserve"> and League of Legends</t>
  </si>
  <si>
    <t xml:space="preserve"> SimCity</t>
  </si>
  <si>
    <t xml:space="preserve"> Wakfu</t>
  </si>
  <si>
    <t xml:space="preserve"> Fifa19</t>
  </si>
  <si>
    <t xml:space="preserve"> roblox</t>
  </si>
  <si>
    <t xml:space="preserve"> Call of Duty Black ops 4</t>
  </si>
  <si>
    <t xml:space="preserve"> Company of Heroes 2</t>
  </si>
  <si>
    <t xml:space="preserve"> For Honor</t>
  </si>
  <si>
    <t xml:space="preserve">clash of clans </t>
  </si>
  <si>
    <t xml:space="preserve"> eve online </t>
  </si>
  <si>
    <t xml:space="preserve"> heroes of the storm </t>
  </si>
  <si>
    <t xml:space="preserve"> hearthstone </t>
  </si>
  <si>
    <t>Occasionally League of Legends</t>
  </si>
  <si>
    <t xml:space="preserve"> Warcraft III</t>
  </si>
  <si>
    <t xml:space="preserve"> Dark Souls II</t>
  </si>
  <si>
    <t xml:space="preserve"> Battlerite etc.</t>
  </si>
  <si>
    <t>Heroes of the storm</t>
  </si>
  <si>
    <t>League of Legend</t>
  </si>
  <si>
    <t xml:space="preserve"> Divinity 2 : Original Syn</t>
  </si>
  <si>
    <t xml:space="preserve"> The Witcher 3</t>
  </si>
  <si>
    <t xml:space="preserve"> Battlerite Arena</t>
  </si>
  <si>
    <t xml:space="preserve"> Adventure Quest 3D</t>
  </si>
  <si>
    <t xml:space="preserve"> Club Penguin Online</t>
  </si>
  <si>
    <t xml:space="preserve"> AQWorlds</t>
  </si>
  <si>
    <t xml:space="preserve"> Dragonfable</t>
  </si>
  <si>
    <t xml:space="preserve"> Wizard101</t>
  </si>
  <si>
    <t xml:space="preserve"> and Toontown Rewritten</t>
  </si>
  <si>
    <t>Many games</t>
  </si>
  <si>
    <t xml:space="preserve"> action</t>
  </si>
  <si>
    <t xml:space="preserve"> mmorpg</t>
  </si>
  <si>
    <t xml:space="preserve"> adventure</t>
  </si>
  <si>
    <t xml:space="preserve"> racing</t>
  </si>
  <si>
    <t xml:space="preserve"> sports</t>
  </si>
  <si>
    <t>I've played countless... but currently MM</t>
  </si>
  <si>
    <t xml:space="preserve"> spyro remastered</t>
  </si>
  <si>
    <t xml:space="preserve"> pokemon go / lets go</t>
  </si>
  <si>
    <t xml:space="preserve"> gmod</t>
  </si>
  <si>
    <t>Everything. Dark Souls (Any)</t>
  </si>
  <si>
    <t xml:space="preserve"> Magic the Gathering: Arena</t>
  </si>
  <si>
    <t xml:space="preserve"> Overwatch (only with friends)</t>
  </si>
  <si>
    <t xml:space="preserve"> Door Kickers.</t>
  </si>
  <si>
    <t xml:space="preserve">Town of Salem </t>
  </si>
  <si>
    <t>Dead By Daylight</t>
  </si>
  <si>
    <t xml:space="preserve"> Battlerite Royale</t>
  </si>
  <si>
    <t xml:space="preserve"> skyrim</t>
  </si>
  <si>
    <t xml:space="preserve"> RanbowSix Siege</t>
  </si>
  <si>
    <t xml:space="preserve"> various rogue-lites</t>
  </si>
  <si>
    <t xml:space="preserve"> lots of strategy/management games</t>
  </si>
  <si>
    <t xml:space="preserve"> Killing Floor</t>
  </si>
  <si>
    <t xml:space="preserve"> Cuphead</t>
  </si>
  <si>
    <t>A lot!  Mostly RPGs</t>
  </si>
  <si>
    <t xml:space="preserve"> puzzle games</t>
  </si>
  <si>
    <t xml:space="preserve"> and card games</t>
  </si>
  <si>
    <t xml:space="preserve"> but recently Shadow of War</t>
  </si>
  <si>
    <t xml:space="preserve"> too.</t>
  </si>
  <si>
    <t>RTS games like Dwarf Fortress</t>
  </si>
  <si>
    <t xml:space="preserve"> Men of War</t>
  </si>
  <si>
    <t xml:space="preserve"> etc. Some tower defense games here and there</t>
  </si>
  <si>
    <t xml:space="preserve"> MMO games. </t>
  </si>
  <si>
    <t>starcraft 2</t>
  </si>
  <si>
    <t xml:space="preserve"> age of empires 2</t>
  </si>
  <si>
    <t xml:space="preserve">  tekken 7</t>
  </si>
  <si>
    <t xml:space="preserve"> action rpgs...battle chef brigade...</t>
  </si>
  <si>
    <t xml:space="preserve"> WoT</t>
  </si>
  <si>
    <t xml:space="preserve"> Various console games.</t>
  </si>
  <si>
    <t xml:space="preserve"> pubg</t>
  </si>
  <si>
    <t xml:space="preserve"> warcraft 3</t>
  </si>
  <si>
    <t xml:space="preserve"> starcraft 2</t>
  </si>
  <si>
    <t xml:space="preserve"> 7 days to Die</t>
  </si>
  <si>
    <t xml:space="preserve"> call of duty</t>
  </si>
  <si>
    <t xml:space="preserve"> Planet Side 2</t>
  </si>
  <si>
    <t>Hitman 2</t>
  </si>
  <si>
    <t xml:space="preserve"> Super Mario Odyssey</t>
  </si>
  <si>
    <t xml:space="preserve"> Rainbow6 Seige</t>
  </si>
  <si>
    <t>Starcraft II</t>
  </si>
  <si>
    <t xml:space="preserve"> Counter-Strike 1.6</t>
  </si>
  <si>
    <t xml:space="preserve"> Heroes of Might and Magic III</t>
  </si>
  <si>
    <t xml:space="preserve"> Terraria. That's my most played ones</t>
  </si>
  <si>
    <t xml:space="preserve"> not all.</t>
  </si>
  <si>
    <t xml:space="preserve"> Hunt Showdown</t>
  </si>
  <si>
    <t xml:space="preserve">black squad </t>
  </si>
  <si>
    <t xml:space="preserve"> black desert</t>
  </si>
  <si>
    <t xml:space="preserve"> terraria</t>
  </si>
  <si>
    <t xml:space="preserve"> ark</t>
  </si>
  <si>
    <t>RUST</t>
  </si>
  <si>
    <t>rpg</t>
  </si>
  <si>
    <t>POE</t>
  </si>
  <si>
    <t xml:space="preserve"> 7d2d</t>
  </si>
  <si>
    <t xml:space="preserve"> Heros of the Storm</t>
  </si>
  <si>
    <t>Starcraft</t>
  </si>
  <si>
    <t>Monster Hunter world</t>
  </si>
  <si>
    <t xml:space="preserve"> Souls Series</t>
  </si>
  <si>
    <t>path of exile</t>
  </si>
  <si>
    <t xml:space="preserve"> chess.</t>
  </si>
  <si>
    <t xml:space="preserve"> Pokemon TCGO</t>
  </si>
  <si>
    <t xml:space="preserve"> a lot of steam games</t>
  </si>
  <si>
    <t>They are billions</t>
  </si>
  <si>
    <t xml:space="preserve"> Battleforge</t>
  </si>
  <si>
    <t xml:space="preserve"> Archeage</t>
  </si>
  <si>
    <t xml:space="preserve"> strategy games</t>
  </si>
  <si>
    <t xml:space="preserve"> Elder Scrolls Online and Fallout 76</t>
  </si>
  <si>
    <t xml:space="preserve"> Duelyst</t>
  </si>
  <si>
    <t xml:space="preserve"> Dreadnought</t>
  </si>
  <si>
    <t xml:space="preserve"> Grim Nights</t>
  </si>
  <si>
    <t xml:space="preserve"> Runescape</t>
  </si>
  <si>
    <t xml:space="preserve"> and Rocket League</t>
  </si>
  <si>
    <t>Assassins Creed</t>
  </si>
  <si>
    <t>Black ops 4</t>
  </si>
  <si>
    <t xml:space="preserve"> Pong</t>
  </si>
  <si>
    <t xml:space="preserve"> Pac Man</t>
  </si>
  <si>
    <t xml:space="preserve"> and Minesweeper</t>
  </si>
  <si>
    <t>AoE2</t>
  </si>
  <si>
    <t xml:space="preserve"> Dragon ball Fighterz</t>
  </si>
  <si>
    <t xml:space="preserve"> Soul Caliber 6</t>
  </si>
  <si>
    <t xml:space="preserve"> Supreme Commander</t>
  </si>
  <si>
    <t xml:space="preserve"> and Beat saber take up most of my gaming time atm.</t>
  </si>
  <si>
    <t xml:space="preserve"> maplestory 2</t>
  </si>
  <si>
    <t xml:space="preserve"> but pretty much every genre except horror and puzzle. Love strategy the most</t>
  </si>
  <si>
    <t xml:space="preserve"> Civ 5</t>
  </si>
  <si>
    <t>gta</t>
  </si>
  <si>
    <t>fall out</t>
  </si>
  <si>
    <t xml:space="preserve"> poke pro </t>
  </si>
  <si>
    <t>Single/Multi Player Steam Games: Thumper</t>
  </si>
  <si>
    <t xml:space="preserve"> Deus Ex</t>
  </si>
  <si>
    <t xml:space="preserve"> Gauntlet.  Previously played: League of Legends</t>
  </si>
  <si>
    <t xml:space="preserve"> Counter-Strike.</t>
  </si>
  <si>
    <t xml:space="preserve"> SC2</t>
  </si>
  <si>
    <t xml:space="preserve"> Grand Theft Auto V</t>
  </si>
  <si>
    <t xml:space="preserve"> The Binding of Isaac: Rebirth</t>
  </si>
  <si>
    <t xml:space="preserve"> many indie games</t>
  </si>
  <si>
    <t xml:space="preserve"> clash Royale</t>
  </si>
  <si>
    <t xml:space="preserve"> chess</t>
  </si>
  <si>
    <t xml:space="preserve"> lord of the rings online</t>
  </si>
  <si>
    <t xml:space="preserve"> final fantasy 14 and a mix genre of steam games.</t>
  </si>
  <si>
    <t>Strategy games like Europa Universalis</t>
  </si>
  <si>
    <t xml:space="preserve"> Civilizations and Total War; Fightning games; Card games (Magic</t>
  </si>
  <si>
    <t xml:space="preserve"> Shadowverse and waiting for Artifact)</t>
  </si>
  <si>
    <t xml:space="preserve"> among others (RPGs</t>
  </si>
  <si>
    <t xml:space="preserve"> management games</t>
  </si>
  <si>
    <t xml:space="preserve"> etc).</t>
  </si>
  <si>
    <t>Magic the Gathering</t>
  </si>
  <si>
    <t xml:space="preserve"> Misc.</t>
  </si>
  <si>
    <t>League of Leguends</t>
  </si>
  <si>
    <t xml:space="preserve"> Puzzle Empires</t>
  </si>
  <si>
    <t xml:space="preserve"> Age of Wonders 3</t>
  </si>
  <si>
    <t xml:space="preserve"> Single Player games mostly</t>
  </si>
  <si>
    <t>Titanfall: Assault</t>
  </si>
  <si>
    <t xml:space="preserve"> Red Solstice</t>
  </si>
  <si>
    <t xml:space="preserve"> and over 1300 others.</t>
  </si>
  <si>
    <t xml:space="preserve"> League</t>
  </si>
  <si>
    <t xml:space="preserve"> and some Indies</t>
  </si>
  <si>
    <t xml:space="preserve"> Ultimate Chicken Horse</t>
  </si>
  <si>
    <t>Shooters</t>
  </si>
  <si>
    <t xml:space="preserve"> MMORPGs</t>
  </si>
  <si>
    <t xml:space="preserve"> MOBAs</t>
  </si>
  <si>
    <t xml:space="preserve"> almost everything actually</t>
  </si>
  <si>
    <t>Gemcraft-chasing shadows.</t>
  </si>
  <si>
    <t xml:space="preserve"> enter the gungeon</t>
  </si>
  <si>
    <t xml:space="preserve"> crusader kings</t>
  </si>
  <si>
    <t xml:space="preserve"> World of tanks</t>
  </si>
  <si>
    <t>For Honor to Ubisoft. Blizzard Games : HoTS</t>
  </si>
  <si>
    <t xml:space="preserve"> Hearstone</t>
  </si>
  <si>
    <t xml:space="preserve"> Diablo III. </t>
  </si>
  <si>
    <t>All across the board</t>
  </si>
  <si>
    <t xml:space="preserve"> really. Besiege</t>
  </si>
  <si>
    <t xml:space="preserve"> Team Fortress 2</t>
  </si>
  <si>
    <t xml:space="preserve"> Broforce</t>
  </si>
  <si>
    <t xml:space="preserve"> Vindictus... whichever</t>
  </si>
  <si>
    <t xml:space="preserve"> really. There isn't much of a red thread connecting what I like playing. Some stuff just clicks.</t>
  </si>
  <si>
    <t xml:space="preserve"> no card games</t>
  </si>
  <si>
    <t xml:space="preserve"> shooter(BF4</t>
  </si>
  <si>
    <t>5)</t>
  </si>
  <si>
    <t xml:space="preserve"> Console (Suikoden 1+2 atm)</t>
  </si>
  <si>
    <t>Cardgames</t>
  </si>
  <si>
    <t xml:space="preserve"> MOBA</t>
  </si>
  <si>
    <t xml:space="preserve"> Super Smash Bros</t>
  </si>
  <si>
    <t xml:space="preserve"> Fallout 3</t>
  </si>
  <si>
    <t xml:space="preserve"> Cod Blackout</t>
  </si>
  <si>
    <t>Warframe and occasionally some strategy</t>
  </si>
  <si>
    <t xml:space="preserve"> fighting</t>
  </si>
  <si>
    <t xml:space="preserve"> ... something else maybe</t>
  </si>
  <si>
    <t xml:space="preserve"> Rimworld</t>
  </si>
  <si>
    <t xml:space="preserve"> Monster Hunter</t>
  </si>
  <si>
    <t>Star Wars the Old Republic</t>
  </si>
  <si>
    <t xml:space="preserve"> Clash of Clans </t>
  </si>
  <si>
    <t>Cs:go</t>
  </si>
  <si>
    <t xml:space="preserve"> Clash royal</t>
  </si>
  <si>
    <t xml:space="preserve"> Osu!</t>
  </si>
  <si>
    <t>Baldur's gate</t>
  </si>
  <si>
    <t xml:space="preserve"> Rollercoaster Tycoon</t>
  </si>
  <si>
    <t xml:space="preserve"> Project Zomboid</t>
  </si>
  <si>
    <t xml:space="preserve"> Exanima</t>
  </si>
  <si>
    <t xml:space="preserve"> Prison Architech</t>
  </si>
  <si>
    <t xml:space="preserve"> Baldur's Gate</t>
  </si>
  <si>
    <t xml:space="preserve"> Love Nikki</t>
  </si>
  <si>
    <t xml:space="preserve"> Marvel's Future Fight</t>
  </si>
  <si>
    <t xml:space="preserve"> Eldarya</t>
  </si>
  <si>
    <t xml:space="preserve"> Magic the gathering</t>
  </si>
  <si>
    <t xml:space="preserve"> For honor </t>
  </si>
  <si>
    <t>Elder Scrolls Online</t>
  </si>
  <si>
    <t xml:space="preserve"> Maplestory 2 </t>
  </si>
  <si>
    <t xml:space="preserve"> Dungeons 3</t>
  </si>
  <si>
    <t xml:space="preserve"> thousands of games</t>
  </si>
  <si>
    <t>command &amp; conquer 3:kanes wrath</t>
  </si>
  <si>
    <t xml:space="preserve"> command &amp; conquer 3: tiberium wars</t>
  </si>
  <si>
    <t xml:space="preserve"> they are billions</t>
  </si>
  <si>
    <t xml:space="preserve"> stronghold 2 steam edition</t>
  </si>
  <si>
    <t xml:space="preserve"> total war: war-hammer 2</t>
  </si>
  <si>
    <t xml:space="preserve"> MMOS</t>
  </si>
  <si>
    <t xml:space="preserve"> Shooter</t>
  </si>
  <si>
    <t xml:space="preserve"> Strategy</t>
  </si>
  <si>
    <t xml:space="preserve"> Golem Gates</t>
  </si>
  <si>
    <t xml:space="preserve"> Racing Games</t>
  </si>
  <si>
    <t>CoD</t>
  </si>
  <si>
    <t xml:space="preserve"> Rainbow Six</t>
  </si>
  <si>
    <t xml:space="preserve">  WoW.</t>
  </si>
  <si>
    <t xml:space="preserve">league of legends </t>
  </si>
  <si>
    <t xml:space="preserve"> cs go </t>
  </si>
  <si>
    <t xml:space="preserve"> the biding of isaac </t>
  </si>
  <si>
    <t xml:space="preserve"> lots of independant games </t>
  </si>
  <si>
    <t>Counter-Strike</t>
  </si>
  <si>
    <t xml:space="preserve"> Starcraft just to name a few</t>
  </si>
  <si>
    <t xml:space="preserve"> Divinity Origional Sin 2.</t>
  </si>
  <si>
    <t xml:space="preserve"> RTS</t>
  </si>
  <si>
    <t xml:space="preserve"> citybuilder and simulation games</t>
  </si>
  <si>
    <t xml:space="preserve"> for honor</t>
  </si>
  <si>
    <t xml:space="preserve"> bloodbowl</t>
  </si>
  <si>
    <t xml:space="preserve"> total war arena</t>
  </si>
  <si>
    <t>escape from tarkov</t>
  </si>
  <si>
    <t xml:space="preserve"> single player RPGs from time to time</t>
  </si>
  <si>
    <t xml:space="preserve"> Albion Online</t>
  </si>
  <si>
    <t>DOTA</t>
  </si>
  <si>
    <t xml:space="preserve"> GWENT</t>
  </si>
  <si>
    <t xml:space="preserve"> They are Billions</t>
  </si>
  <si>
    <t xml:space="preserve"> Black Ops IV</t>
  </si>
  <si>
    <t>Mostly open world games (Fallout 4</t>
  </si>
  <si>
    <t xml:space="preserve"> Mass Effect: Andromeda</t>
  </si>
  <si>
    <t xml:space="preserve"> etc) but I also play a good few card games (Elder Scrolls Legends mostly) and a few other games (Fallout Shelter</t>
  </si>
  <si>
    <t xml:space="preserve"> RWBY:Amity Arena</t>
  </si>
  <si>
    <t xml:space="preserve"> Elder Scrolls Blades (Once it comes out)</t>
  </si>
  <si>
    <t xml:space="preserve"> Counter Strike</t>
  </si>
  <si>
    <t>CCGs (Hearthstone</t>
  </si>
  <si>
    <t xml:space="preserve"> Shadowverse)</t>
  </si>
  <si>
    <t xml:space="preserve"> RPGs (currently Kingmaker)</t>
  </si>
  <si>
    <t xml:space="preserve"> MMOs (WoW</t>
  </si>
  <si>
    <t xml:space="preserve"> Wildstar</t>
  </si>
  <si>
    <t xml:space="preserve"> Secret World)</t>
  </si>
  <si>
    <t>aion</t>
  </si>
  <si>
    <t>A ton of other games. League of legends</t>
  </si>
  <si>
    <t xml:space="preserve"> it does on and on.</t>
  </si>
  <si>
    <t xml:space="preserve"> Don't starve together</t>
  </si>
  <si>
    <t xml:space="preserve"> legion td 2</t>
  </si>
  <si>
    <t xml:space="preserve"> resonance of fate</t>
  </si>
  <si>
    <t xml:space="preserve"> hearthstone and many other game multiplayer with my friends</t>
  </si>
  <si>
    <t>World of WarCraft</t>
  </si>
  <si>
    <t xml:space="preserve"> Dead Cells</t>
  </si>
  <si>
    <t>Starcraft2</t>
  </si>
  <si>
    <t xml:space="preserve"> Lobotomy Corp.</t>
  </si>
  <si>
    <t xml:space="preserve"> R6 Siege</t>
  </si>
  <si>
    <t xml:space="preserve"> TotalWar: Arena</t>
  </si>
  <si>
    <t xml:space="preserve"> EuroTruck Simulator 2</t>
  </si>
  <si>
    <t xml:space="preserve"> Assassin's Creed Unity</t>
  </si>
  <si>
    <t xml:space="preserve"> Overwatch and RocketLeague</t>
  </si>
  <si>
    <t xml:space="preserve"> total war serial...</t>
  </si>
  <si>
    <t xml:space="preserve"> Overwatch and Kingdom Hearts just to name a few</t>
  </si>
  <si>
    <t xml:space="preserve"> Royale Games</t>
  </si>
  <si>
    <t>Diablo</t>
  </si>
  <si>
    <t xml:space="preserve"> HearthStone</t>
  </si>
  <si>
    <t xml:space="preserve"> Theme Hospital</t>
  </si>
  <si>
    <t xml:space="preserve"> COD:BO4</t>
  </si>
  <si>
    <t>Mostly league now</t>
  </si>
  <si>
    <t xml:space="preserve"> played just about every genre though</t>
  </si>
  <si>
    <t xml:space="preserve"> still play Clash Royale for bout 5 years</t>
  </si>
  <si>
    <t xml:space="preserve"> what brought me to your game</t>
  </si>
  <si>
    <t xml:space="preserve"> The Witcher</t>
  </si>
  <si>
    <t xml:space="preserve"> Disgaea</t>
  </si>
  <si>
    <t>Magic</t>
  </si>
  <si>
    <t xml:space="preserve"> Yugioh</t>
  </si>
  <si>
    <t>Legion TD2</t>
  </si>
  <si>
    <t xml:space="preserve"> Civilisation V</t>
  </si>
  <si>
    <t xml:space="preserve"> The Elder Scrolls V: Skyrim</t>
  </si>
  <si>
    <t xml:space="preserve"> Rocke league </t>
  </si>
  <si>
    <t xml:space="preserve"> Counter strike go</t>
  </si>
  <si>
    <t xml:space="preserve"> Astroneer</t>
  </si>
  <si>
    <t xml:space="preserve"> Heroes of the storm and many many more</t>
  </si>
  <si>
    <t>mtg:arena</t>
  </si>
  <si>
    <t>eternal</t>
  </si>
  <si>
    <t xml:space="preserve"> ARK: Survival Evolved</t>
  </si>
  <si>
    <t xml:space="preserve"> multiplayer games on steam</t>
  </si>
  <si>
    <t xml:space="preserve"> Ylands</t>
  </si>
  <si>
    <t xml:space="preserve"> Magic Arena</t>
  </si>
  <si>
    <t xml:space="preserve"> Magic Online</t>
  </si>
  <si>
    <t xml:space="preserve"> Pokemon Go</t>
  </si>
  <si>
    <t xml:space="preserve"> cs:go</t>
  </si>
  <si>
    <t xml:space="preserve"> Hyper Universe</t>
  </si>
  <si>
    <t xml:space="preserve"> Counter Strike: Global Offensive</t>
  </si>
  <si>
    <t xml:space="preserve"> Vindictus</t>
  </si>
  <si>
    <t xml:space="preserve"> FTL: Faster than Light</t>
  </si>
  <si>
    <t xml:space="preserve"> Stronghold Crusader</t>
  </si>
  <si>
    <t>Extensive Steam catalogue. Lately</t>
  </si>
  <si>
    <t xml:space="preserve"> Strategy and Roguelikes. Sunless Seas</t>
  </si>
  <si>
    <t xml:space="preserve"> Swent</t>
  </si>
  <si>
    <t xml:space="preserve"> Moon Hunters</t>
  </si>
  <si>
    <t xml:space="preserve"> Rise to Ruins.</t>
  </si>
  <si>
    <t>Shooters like Overwatch and Battle Royals like Ring of Elysium and Darwin Projects</t>
  </si>
  <si>
    <t xml:space="preserve"> a lot of Fighting Games in general</t>
  </si>
  <si>
    <t xml:space="preserve"> time to time Hearthstone but never competitive</t>
  </si>
  <si>
    <t xml:space="preserve"> a lot of mobile games like Fire Emblem Geroes</t>
  </si>
  <si>
    <t xml:space="preserve"> Paladins</t>
  </si>
  <si>
    <t xml:space="preserve"> Maple Story2</t>
  </si>
  <si>
    <t>TF2</t>
  </si>
  <si>
    <t xml:space="preserve"> Ark Survival Evolved</t>
  </si>
  <si>
    <t>Rimworld</t>
  </si>
  <si>
    <t xml:space="preserve"> SCP: secret laboratory</t>
  </si>
  <si>
    <t xml:space="preserve"> Space station 13 </t>
  </si>
  <si>
    <t>pubg</t>
  </si>
  <si>
    <t xml:space="preserve"> d3</t>
  </si>
  <si>
    <t xml:space="preserve"> not diablo immortal</t>
  </si>
  <si>
    <t xml:space="preserve"> clicker heroes</t>
  </si>
  <si>
    <t xml:space="preserve"> Rainbow six sige</t>
  </si>
  <si>
    <t xml:space="preserve"> Borderlands2.</t>
  </si>
  <si>
    <t>The Legend of Zelda</t>
  </si>
  <si>
    <t xml:space="preserve"> Animal Crossing</t>
  </si>
  <si>
    <t xml:space="preserve"> Call of Duty: Black Ops Series</t>
  </si>
  <si>
    <t xml:space="preserve">  </t>
  </si>
  <si>
    <t>Nothing else right now. This is the only game that's hooked me in YEARS! I'm so happy to be connected to the gaming scene again</t>
  </si>
  <si>
    <t xml:space="preserve"> and genuinely enjoy one this much. PS</t>
  </si>
  <si>
    <t xml:space="preserve"> gender bent versions of masters would be hilarious and awesome. Playing as a dude is a drag. (...that pun was an accident but I'll go with it. lol)</t>
  </si>
  <si>
    <t xml:space="preserve"> Diablo3 and 2</t>
  </si>
  <si>
    <t xml:space="preserve"> Warcraft 3 All of Blizzards games. Few others.</t>
  </si>
  <si>
    <t xml:space="preserve"> and Smash Bros</t>
  </si>
  <si>
    <t>Madden</t>
  </si>
  <si>
    <t xml:space="preserve"> WWE</t>
  </si>
  <si>
    <t>A large variety</t>
  </si>
  <si>
    <t xml:space="preserve"> according to mood</t>
  </si>
  <si>
    <t xml:space="preserve"> from various genres such as RTS</t>
  </si>
  <si>
    <t xml:space="preserve"> TD.</t>
  </si>
  <si>
    <t>Action roleplay like God of War</t>
  </si>
  <si>
    <t xml:space="preserve"> Puzzle Games</t>
  </si>
  <si>
    <t xml:space="preserve"> Fallout series</t>
  </si>
  <si>
    <t xml:space="preserve"> Bo4</t>
  </si>
  <si>
    <t xml:space="preserve"> (mainstream games)</t>
  </si>
  <si>
    <t xml:space="preserve"> Roguelikes (Slay the Spire</t>
  </si>
  <si>
    <t xml:space="preserve"> Nuclear Throne</t>
  </si>
  <si>
    <t xml:space="preserve"> etc.)</t>
  </si>
  <si>
    <t xml:space="preserve"> Super Smash Bros. Melee</t>
  </si>
  <si>
    <t xml:space="preserve">brawlhalla </t>
  </si>
  <si>
    <t xml:space="preserve"> planetside 2 </t>
  </si>
  <si>
    <t xml:space="preserve"> used to play ark survival evolved</t>
  </si>
  <si>
    <t xml:space="preserve"> Planetside2</t>
  </si>
  <si>
    <t xml:space="preserve"> Skylords Online</t>
  </si>
  <si>
    <t>cod4</t>
  </si>
  <si>
    <t xml:space="preserve"> subnautica atm</t>
  </si>
  <si>
    <t xml:space="preserve"> stormbound</t>
  </si>
  <si>
    <t xml:space="preserve"> SCP</t>
  </si>
  <si>
    <t xml:space="preserve"> Dishounered</t>
  </si>
  <si>
    <t xml:space="preserve"> Sims 4</t>
  </si>
  <si>
    <t xml:space="preserve"> Euro Truck Simulator</t>
  </si>
  <si>
    <t xml:space="preserve"> Beamng.drive</t>
  </si>
  <si>
    <t xml:space="preserve"> DIRT 4</t>
  </si>
  <si>
    <t xml:space="preserve"> and basically the entire Pokemon main game series.</t>
  </si>
  <si>
    <t>BOI</t>
  </si>
  <si>
    <t xml:space="preserve"> other mindless games</t>
  </si>
  <si>
    <t>A lot? Overwatch</t>
  </si>
  <si>
    <t xml:space="preserve"> Hitman currently.</t>
  </si>
  <si>
    <t>MMOs</t>
  </si>
  <si>
    <t>HotS</t>
  </si>
  <si>
    <t xml:space="preserve"> Warhammer: Vermintide 2</t>
  </si>
  <si>
    <t xml:space="preserve"> Warcraft</t>
  </si>
  <si>
    <t xml:space="preserve"> Hearthstone and WoW</t>
  </si>
  <si>
    <t xml:space="preserve"> GTA 5</t>
  </si>
  <si>
    <t xml:space="preserve"> Darsiders </t>
  </si>
  <si>
    <t>I play so much games but now</t>
  </si>
  <si>
    <t>i play Me n Of War 2</t>
  </si>
  <si>
    <t>League Of Legends</t>
  </si>
  <si>
    <t xml:space="preserve"> WWE 2k19</t>
  </si>
  <si>
    <t xml:space="preserve"> Dragon Quest XI</t>
  </si>
  <si>
    <t xml:space="preserve"> Ultra Street Fighter IV</t>
  </si>
  <si>
    <t>Action Shooting</t>
  </si>
  <si>
    <t xml:space="preserve"> Rogue like</t>
  </si>
  <si>
    <t xml:space="preserve"> Digital card game</t>
  </si>
  <si>
    <t xml:space="preserve"> RTS and MOBA</t>
  </si>
  <si>
    <t xml:space="preserve"> Arma 3 and generally MilSim Games.</t>
  </si>
  <si>
    <t xml:space="preserve"> Pokémon</t>
  </si>
  <si>
    <t>many other games. from console shooters to mobile idlers to roguelikes to 4k strats</t>
  </si>
  <si>
    <t xml:space="preserve"> you name it.</t>
  </si>
  <si>
    <t>Maplestory 2</t>
  </si>
  <si>
    <t xml:space="preserve"> Atlas Reactor.</t>
  </si>
  <si>
    <t>Gta</t>
  </si>
  <si>
    <t xml:space="preserve"> spiderman</t>
  </si>
  <si>
    <t xml:space="preserve"> super luckys tales</t>
  </si>
  <si>
    <t xml:space="preserve"> captin toads adventure</t>
  </si>
  <si>
    <t xml:space="preserve"> some blizzard stuff.</t>
  </si>
  <si>
    <t xml:space="preserve"> Heroes of the Storm and others</t>
  </si>
  <si>
    <t>A lot</t>
  </si>
  <si>
    <t xml:space="preserve"> can't specify.</t>
  </si>
  <si>
    <t>Ark Survival</t>
  </si>
  <si>
    <t xml:space="preserve"> Assassin Creed</t>
  </si>
  <si>
    <t xml:space="preserve"> The Forest</t>
  </si>
  <si>
    <t xml:space="preserve"> Hearthstone. </t>
  </si>
  <si>
    <t>league of legend</t>
  </si>
  <si>
    <t xml:space="preserve"> heores of the storm</t>
  </si>
  <si>
    <t xml:space="preserve"> puyo puyo</t>
  </si>
  <si>
    <t xml:space="preserve"> tekken 7</t>
  </si>
  <si>
    <t xml:space="preserve"> soul calibur 6.</t>
  </si>
  <si>
    <t xml:space="preserve"> Wow</t>
  </si>
  <si>
    <t xml:space="preserve"> Heros of might and magic 3</t>
  </si>
  <si>
    <t xml:space="preserve"> Call of Duty 2 (i swaped on MM from Hearthstone because of kripp promo video</t>
  </si>
  <si>
    <t xml:space="preserve"> honestly i didnt like how much money i am forced to spend on casual game)</t>
  </si>
  <si>
    <t>SMITE</t>
  </si>
  <si>
    <t xml:space="preserve"> Dragons Dogma: Dark Arisan</t>
  </si>
  <si>
    <t xml:space="preserve"> Final Fantasy</t>
  </si>
  <si>
    <t>Albion online</t>
  </si>
  <si>
    <t xml:space="preserve"> Arc Survival evolved</t>
  </si>
  <si>
    <t xml:space="preserve"> Football Manager 2019</t>
  </si>
  <si>
    <t xml:space="preserve"> Divinity Original Sin 2</t>
  </si>
  <si>
    <t xml:space="preserve"> Crusader Kings 2.</t>
  </si>
  <si>
    <t xml:space="preserve"> Monster hunter</t>
  </si>
  <si>
    <t>Sid Meier's Civilization</t>
  </si>
  <si>
    <t xml:space="preserve"> Beyond Earth</t>
  </si>
  <si>
    <t xml:space="preserve"> Azur Lane</t>
  </si>
  <si>
    <t xml:space="preserve"> Granblue Fantasy</t>
  </si>
  <si>
    <t>I don't think this text field will allow me to list all of them. But here are some: World of Warcraft</t>
  </si>
  <si>
    <t xml:space="preserve"> Diablo series</t>
  </si>
  <si>
    <t xml:space="preserve"> Starcraft series</t>
  </si>
  <si>
    <t xml:space="preserve"> Warcraft series</t>
  </si>
  <si>
    <t xml:space="preserve"> Dark Souls series</t>
  </si>
  <si>
    <t>Everything. Path of Exile</t>
  </si>
  <si>
    <t xml:space="preserve"> and Stonehearth most recently</t>
  </si>
  <si>
    <t xml:space="preserve"> World of Warcraft (vanilla)</t>
  </si>
  <si>
    <t xml:space="preserve"> Kingdom Come: Deliverance</t>
  </si>
  <si>
    <t xml:space="preserve"> Kerbal</t>
  </si>
  <si>
    <t xml:space="preserve"> B ops 4</t>
  </si>
  <si>
    <t>DoTA 2</t>
  </si>
  <si>
    <t>BattleField</t>
  </si>
  <si>
    <t xml:space="preserve"> Assassins Creed</t>
  </si>
  <si>
    <t xml:space="preserve"> Sims4</t>
  </si>
  <si>
    <t xml:space="preserve"> Sid Meier's Civilisation VI</t>
  </si>
  <si>
    <t xml:space="preserve"> Dota2</t>
  </si>
  <si>
    <t xml:space="preserve"> My Time At Portia</t>
  </si>
  <si>
    <t xml:space="preserve"> Oxygen not included</t>
  </si>
  <si>
    <t xml:space="preserve">combat arms </t>
  </si>
  <si>
    <t>ROCKET LEAGUE</t>
  </si>
  <si>
    <t xml:space="preserve"> OVERWATCH</t>
  </si>
  <si>
    <t>My friends usually suggest games to me</t>
  </si>
  <si>
    <t xml:space="preserve"> maybe Brwlhalla</t>
  </si>
  <si>
    <t xml:space="preserve"> Paladins and other games of those sort </t>
  </si>
  <si>
    <t xml:space="preserve"> OSU</t>
  </si>
  <si>
    <t xml:space="preserve"> Euro truck simulator 2</t>
  </si>
  <si>
    <t xml:space="preserve"> WoWs</t>
  </si>
  <si>
    <t xml:space="preserve"> swtor</t>
  </si>
  <si>
    <t xml:space="preserve"> steam games</t>
  </si>
  <si>
    <t>Civilisation</t>
  </si>
  <si>
    <t xml:space="preserve"> fallout</t>
  </si>
  <si>
    <t xml:space="preserve"> warplanet conquest and many more ;)</t>
  </si>
  <si>
    <t xml:space="preserve"> overwatch </t>
  </si>
  <si>
    <t xml:space="preserve"> No Man's Sky</t>
  </si>
  <si>
    <t xml:space="preserve"> Clash Royale (mobile)</t>
  </si>
  <si>
    <t xml:space="preserve"> Kingdom Rush (mobile)</t>
  </si>
  <si>
    <t xml:space="preserve"> and many others (I own 500+ games)</t>
  </si>
  <si>
    <t xml:space="preserve"> Disgaea 5</t>
  </si>
  <si>
    <t xml:space="preserve"> Diablo III</t>
  </si>
  <si>
    <t>clone drone in the danger zone</t>
  </si>
  <si>
    <t xml:space="preserve"> hitman</t>
  </si>
  <si>
    <t xml:space="preserve"> broforce</t>
  </si>
  <si>
    <t xml:space="preserve"> ghost recon wild lands</t>
  </si>
  <si>
    <t xml:space="preserve"> Black Ops 4</t>
  </si>
  <si>
    <t xml:space="preserve"> Brawllhala</t>
  </si>
  <si>
    <t>card games</t>
  </si>
  <si>
    <t xml:space="preserve"> puzzle games.</t>
  </si>
  <si>
    <t>borderlands 2</t>
  </si>
  <si>
    <t xml:space="preserve"> fallout 4</t>
  </si>
  <si>
    <t xml:space="preserve"> Assassin's Creed Odyssey</t>
  </si>
  <si>
    <t xml:space="preserve"> Battle royale games and other first person shooters.</t>
  </si>
  <si>
    <t xml:space="preserve"> terra tech and terraria</t>
  </si>
  <si>
    <t>Counterstrike</t>
  </si>
  <si>
    <t xml:space="preserve"> league of ledgends</t>
  </si>
  <si>
    <t xml:space="preserve"> rainbow six</t>
  </si>
  <si>
    <t xml:space="preserve"> rdr2</t>
  </si>
  <si>
    <t xml:space="preserve"> Counter Strike Global Ofensive</t>
  </si>
  <si>
    <t xml:space="preserve"> World of Warcraft e Overwatch</t>
  </si>
  <si>
    <t>helldivers</t>
  </si>
  <si>
    <t xml:space="preserve"> rimworld</t>
  </si>
  <si>
    <t xml:space="preserve"> deep rock galactic</t>
  </si>
  <si>
    <t xml:space="preserve"> Shadow Warrior 2 (My PC sucks so it can hardly handle it)</t>
  </si>
  <si>
    <t xml:space="preserve"> Cortex Command (Sometimes)</t>
  </si>
  <si>
    <t xml:space="preserve"> West of Loathing (Sometimes)</t>
  </si>
  <si>
    <t xml:space="preserve"> Wizard of Legend (Sometimes)</t>
  </si>
  <si>
    <t>G-mod</t>
  </si>
  <si>
    <t xml:space="preserve"> Yugioh Duel Links</t>
  </si>
  <si>
    <t xml:space="preserve"> Faeria</t>
  </si>
  <si>
    <t xml:space="preserve"> World of tanks blitz</t>
  </si>
  <si>
    <t>7 days to die</t>
  </si>
  <si>
    <t xml:space="preserve"> the forest</t>
  </si>
  <si>
    <t xml:space="preserve"> card hunter</t>
  </si>
  <si>
    <t xml:space="preserve"> the witcher franchise</t>
  </si>
  <si>
    <t>Fortnite BR</t>
  </si>
  <si>
    <t xml:space="preserve"> Fallout NV</t>
  </si>
  <si>
    <t xml:space="preserve"> GTA V</t>
  </si>
  <si>
    <t xml:space="preserve"> FIFA 18</t>
  </si>
  <si>
    <t xml:space="preserve"> Grand strategy. That sort of things</t>
  </si>
  <si>
    <t>sport games as madden and fifa</t>
  </si>
  <si>
    <t xml:space="preserve"> shooter games as call of duty and pubg</t>
  </si>
  <si>
    <t xml:space="preserve"> hack and slash as diablo</t>
  </si>
  <si>
    <t xml:space="preserve"> Echo Of Soul</t>
  </si>
  <si>
    <t xml:space="preserve"> A Hat In Time</t>
  </si>
  <si>
    <t xml:space="preserve"> And a bunch of lewd games</t>
  </si>
  <si>
    <t>civilization 6</t>
  </si>
  <si>
    <t xml:space="preserve"> factorio</t>
  </si>
  <si>
    <t xml:space="preserve"> europa universalis 4</t>
  </si>
  <si>
    <t>Dark souls</t>
  </si>
  <si>
    <t xml:space="preserve"> Dragalia Lost</t>
  </si>
  <si>
    <t xml:space="preserve"> cs</t>
  </si>
  <si>
    <t xml:space="preserve"> starcraft</t>
  </si>
  <si>
    <t xml:space="preserve"> AOE</t>
  </si>
  <si>
    <t xml:space="preserve"> Empire earth. All sorts of games.</t>
  </si>
  <si>
    <t>PoE</t>
  </si>
  <si>
    <t xml:space="preserve"> Souls like</t>
  </si>
  <si>
    <t xml:space="preserve"> War3</t>
  </si>
  <si>
    <t xml:space="preserve"> SCII</t>
  </si>
  <si>
    <t xml:space="preserve"> Civilization</t>
  </si>
  <si>
    <t xml:space="preserve"> Sea of thieves</t>
  </si>
  <si>
    <t xml:space="preserve"> everything that´s fun</t>
  </si>
  <si>
    <t xml:space="preserve"> SAS: Zombie Assault 4</t>
  </si>
  <si>
    <t xml:space="preserve"> ETC</t>
  </si>
  <si>
    <t xml:space="preserve"> Final Fantasy XIV</t>
  </si>
  <si>
    <t xml:space="preserve"> I play through Dark Souls 3 all the time</t>
  </si>
  <si>
    <t xml:space="preserve"> Divinity Original Sin 1 + 2 and many others from different genres</t>
  </si>
  <si>
    <t xml:space="preserve"> Smash Bros</t>
  </si>
  <si>
    <t xml:space="preserve"> Kingdom Hearts</t>
  </si>
  <si>
    <t xml:space="preserve"> Visual Novels like zero escape or Danganronpa</t>
  </si>
  <si>
    <t>wicther 1-3</t>
  </si>
  <si>
    <t xml:space="preserve"> mass effect</t>
  </si>
  <si>
    <t xml:space="preserve"> too many more to name</t>
  </si>
  <si>
    <t>PS4: Monster Hunter World</t>
  </si>
  <si>
    <t xml:space="preserve"> Horizon Zero Dawn</t>
  </si>
  <si>
    <t xml:space="preserve"> Dark Souls III</t>
  </si>
  <si>
    <t xml:space="preserve"> Battletech</t>
  </si>
  <si>
    <t>I play a lot of Rocket League</t>
  </si>
  <si>
    <t xml:space="preserve"> and i also play starcraft 2. I like real-time strategy :)</t>
  </si>
  <si>
    <t>Divinity Origional Sin 2</t>
  </si>
  <si>
    <t>Civ6</t>
  </si>
  <si>
    <t xml:space="preserve"> Closers</t>
  </si>
  <si>
    <t xml:space="preserve"> Diablo Immortal</t>
  </si>
  <si>
    <t xml:space="preserve"> everything</t>
  </si>
  <si>
    <t xml:space="preserve"> X-Com 2</t>
  </si>
  <si>
    <t xml:space="preserve"> The Settlers</t>
  </si>
  <si>
    <t xml:space="preserve"> Gothic 1</t>
  </si>
  <si>
    <t>3 Risen 1</t>
  </si>
  <si>
    <t>3 Elex</t>
  </si>
  <si>
    <t xml:space="preserve"> For honor and other online stuff</t>
  </si>
  <si>
    <t xml:space="preserve"> also other 400+ games on my steam</t>
  </si>
  <si>
    <t xml:space="preserve"> like Battlefield </t>
  </si>
  <si>
    <t xml:space="preserve"> Overwatch. RPG's Red Dead 2</t>
  </si>
  <si>
    <t xml:space="preserve"> Hearts of Iron</t>
  </si>
  <si>
    <t xml:space="preserve"> Magic: The Gathering</t>
  </si>
  <si>
    <t xml:space="preserve"> sinst of a solar empire</t>
  </si>
  <si>
    <t xml:space="preserve"> players unknown battlegrounds</t>
  </si>
  <si>
    <t xml:space="preserve"> imortal redneck</t>
  </si>
  <si>
    <t xml:space="preserve"> lots of others</t>
  </si>
  <si>
    <t xml:space="preserve"> fishing planet</t>
  </si>
  <si>
    <t xml:space="preserve"> avengers</t>
  </si>
  <si>
    <t xml:space="preserve"> Several others.</t>
  </si>
  <si>
    <t>mount&amp;blade</t>
  </si>
  <si>
    <t xml:space="preserve"> borderlands2</t>
  </si>
  <si>
    <t xml:space="preserve"> payday2</t>
  </si>
  <si>
    <t>mtg arena</t>
  </si>
  <si>
    <t xml:space="preserve"> krosmaga</t>
  </si>
  <si>
    <t xml:space="preserve"> I use to play hearthstone but rotating cards made it even more pay to win</t>
  </si>
  <si>
    <t xml:space="preserve">  some fps games and some rpg games</t>
  </si>
  <si>
    <t>Hunt Show Down</t>
  </si>
  <si>
    <t xml:space="preserve"> DayZ</t>
  </si>
  <si>
    <t xml:space="preserve"> Ark</t>
  </si>
  <si>
    <t>Heroes of the Storm competitively</t>
  </si>
  <si>
    <t xml:space="preserve"> Black Ops</t>
  </si>
  <si>
    <t xml:space="preserve"> Warcraft 3 The Frozen Throne</t>
  </si>
  <si>
    <t>Binding of isaac afterbirth+</t>
  </si>
  <si>
    <t>Team fortress 2</t>
  </si>
  <si>
    <t xml:space="preserve"> Left for dead 2</t>
  </si>
  <si>
    <t xml:space="preserve"> clash of clans</t>
  </si>
  <si>
    <t>ego shooter</t>
  </si>
  <si>
    <t xml:space="preserve"> action based games</t>
  </si>
  <si>
    <t xml:space="preserve"> also hearthstone so i like the aspect with creating decks</t>
  </si>
  <si>
    <t xml:space="preserve"> Monster Hunter Generations</t>
  </si>
  <si>
    <t>Eve Online</t>
  </si>
  <si>
    <t xml:space="preserve"> Kerbal Space Program</t>
  </si>
  <si>
    <t xml:space="preserve"> Torchlight</t>
  </si>
  <si>
    <t>Counterstrike Global offensive</t>
  </si>
  <si>
    <t xml:space="preserve"> some indie games</t>
  </si>
  <si>
    <t>Quake Champions</t>
  </si>
  <si>
    <t xml:space="preserve"> Guilty Gear</t>
  </si>
  <si>
    <t xml:space="preserve"> KOF XIV</t>
  </si>
  <si>
    <t>Scum</t>
  </si>
  <si>
    <t xml:space="preserve">Mortal Kombat X </t>
  </si>
  <si>
    <t xml:space="preserve"> Paladins.</t>
  </si>
  <si>
    <t xml:space="preserve"> Breath of the Wild. I really like Dark Souls and Perdona.</t>
  </si>
  <si>
    <t>Mini guns</t>
  </si>
  <si>
    <t xml:space="preserve"> various mobile idle and puzzle games</t>
  </si>
  <si>
    <t xml:space="preserve"> diablo 2 &amp;3</t>
  </si>
  <si>
    <t xml:space="preserve"> Figthing games such as tekken on ps4</t>
  </si>
  <si>
    <t>to much to say: Fifa hearthstone</t>
  </si>
  <si>
    <t xml:space="preserve"> rocket league etc</t>
  </si>
  <si>
    <t xml:space="preserve"> Team Fortress</t>
  </si>
  <si>
    <t xml:space="preserve"> Natural Selection II</t>
  </si>
  <si>
    <t xml:space="preserve"> Dark Souls Series</t>
  </si>
  <si>
    <t>Dark Souls and Counter Strike cover most of my steam hours</t>
  </si>
  <si>
    <t xml:space="preserve"> formerly a phantasy star online 2 addict</t>
  </si>
  <si>
    <t xml:space="preserve"> X-com</t>
  </si>
  <si>
    <t xml:space="preserve"> Last day on earth</t>
  </si>
  <si>
    <t xml:space="preserve"> Save the world</t>
  </si>
  <si>
    <t xml:space="preserve"> and many others</t>
  </si>
  <si>
    <t>Fearia</t>
  </si>
  <si>
    <t xml:space="preserve"> Star Trek Adversaries</t>
  </si>
  <si>
    <t xml:space="preserve"> Age of empire 2</t>
  </si>
  <si>
    <t xml:space="preserve"> rise to ruin</t>
  </si>
  <si>
    <t xml:space="preserve"> warhammer vermintide 2</t>
  </si>
  <si>
    <t xml:space="preserve"> League of legend etc...</t>
  </si>
  <si>
    <t xml:space="preserve"> Dofus</t>
  </si>
  <si>
    <t xml:space="preserve"> Ark survival evolved</t>
  </si>
  <si>
    <t xml:space="preserve"> Garry's mod</t>
  </si>
  <si>
    <t xml:space="preserve"> Monster Hunter world</t>
  </si>
  <si>
    <t>Divinity Original Sin 2</t>
  </si>
  <si>
    <t xml:space="preserve"> Elder Scrolls Online</t>
  </si>
  <si>
    <t xml:space="preserve"> Invisible Inc</t>
  </si>
  <si>
    <t xml:space="preserve"> Alchemist Code</t>
  </si>
  <si>
    <t xml:space="preserve"> Last Day on Earth</t>
  </si>
  <si>
    <t>War for the over world</t>
  </si>
  <si>
    <t xml:space="preserve"> VRChat</t>
  </si>
  <si>
    <t xml:space="preserve"> and FTL</t>
  </si>
  <si>
    <t xml:space="preserve"> Soulworker Online</t>
  </si>
  <si>
    <t xml:space="preserve"> and a lot more</t>
  </si>
  <si>
    <t xml:space="preserve"> Ff14 and more</t>
  </si>
  <si>
    <t xml:space="preserve"> Overcooked</t>
  </si>
  <si>
    <t xml:space="preserve"> Multiplayer Games mostly with friends</t>
  </si>
  <si>
    <t xml:space="preserve"> civ V</t>
  </si>
  <si>
    <t xml:space="preserve"> crawl</t>
  </si>
  <si>
    <t xml:space="preserve"> Mount and blade Warband</t>
  </si>
  <si>
    <t xml:space="preserve"> Europa universalis 4</t>
  </si>
  <si>
    <t xml:space="preserve"> Terraria.</t>
  </si>
  <si>
    <t xml:space="preserve"> Rainbow Six siege</t>
  </si>
  <si>
    <t>CS:GO Competitive</t>
  </si>
  <si>
    <t xml:space="preserve"> Mobile Legends</t>
  </si>
  <si>
    <t xml:space="preserve"> Planteside 2</t>
  </si>
  <si>
    <t xml:space="preserve"> Heathstone</t>
  </si>
  <si>
    <t>disgaea 5</t>
  </si>
  <si>
    <t>slay the spire</t>
  </si>
  <si>
    <t xml:space="preserve"> hearstone</t>
  </si>
  <si>
    <t>mobile games</t>
  </si>
  <si>
    <t>well</t>
  </si>
  <si>
    <t xml:space="preserve"> this question is really too unspecific</t>
  </si>
  <si>
    <t xml:space="preserve"> but right now I'm much more on video game that allow fast game like osu! or minion master than big solo game (I lack of time like everyone)</t>
  </si>
  <si>
    <t xml:space="preserve"> counter strike global offensif</t>
  </si>
  <si>
    <t xml:space="preserve"> heroes of hammerwatch</t>
  </si>
  <si>
    <t xml:space="preserve"> age of mythology. and other</t>
  </si>
  <si>
    <t>Horror</t>
  </si>
  <si>
    <t>MtG</t>
  </si>
  <si>
    <t>Star Craft</t>
  </si>
  <si>
    <t>runescape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</si>
</sst>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m/d/yyyy\ h:mm:ss"/>
    <numFmt numFmtId="165" formatCode="#,##0&quot;€&quot;"/>
  </numFmts>
  <fonts count="13" x14ac:knownFonts="1">
    <font>
      <sz val="10"/>
      <color rgb="FF000000"/>
      <name val="Arial"/>
    </font>
    <font>
      <b/>
      <sz val="10"/>
      <name val="Arial"/>
    </font>
    <font>
      <b/>
      <sz val="10"/>
      <color rgb="FF000000"/>
      <name val="Arial"/>
    </font>
    <font>
      <b/>
      <sz val="10"/>
      <name val="Arial"/>
    </font>
    <font>
      <sz val="10"/>
      <name val="Arial"/>
    </font>
    <font>
      <sz val="10"/>
      <name val="Arial"/>
    </font>
    <font>
      <sz val="10"/>
      <name val="Arial"/>
    </font>
    <font>
      <sz val="10"/>
      <color rgb="FF000000"/>
      <name val="Arial"/>
    </font>
    <font>
      <u/>
      <sz val="10"/>
      <color rgb="FF0000FF"/>
      <name val="Arial"/>
    </font>
    <font>
      <sz val="10"/>
      <color rgb="FF000000"/>
      <name val="Arial"/>
    </font>
    <font>
      <sz val="11"/>
      <color rgb="FFF7981D"/>
      <name val="Arial"/>
    </font>
    <font>
      <sz val="11"/>
      <color rgb="FF7E3794"/>
      <name val="Arial"/>
    </font>
    <font>
      <sz val="11"/>
      <name val="Arial"/>
    </font>
  </fonts>
  <fills count="4">
    <fill>
      <patternFill patternType="none"/>
    </fill>
    <fill>
      <patternFill patternType="gray125"/>
    </fill>
    <fill>
      <patternFill patternType="solid">
        <fgColor rgb="FF6D9EEB"/>
        <bgColor rgb="FF6D9EEB"/>
      </patternFill>
    </fill>
    <fill>
      <patternFill patternType="solid">
        <fgColor rgb="FFC9DAF8"/>
        <bgColor rgb="FFC9DAF8"/>
      </patternFill>
    </fill>
  </fills>
  <borders count="3">
    <border>
      <left/>
      <right/>
      <top/>
      <bottom/>
      <diagonal/>
    </border>
    <border>
      <left/>
      <right/>
      <top/>
      <bottom style="medium">
        <color rgb="FF000000"/>
      </bottom>
      <diagonal/>
    </border>
    <border>
      <left/>
      <right/>
      <top style="medium">
        <color rgb="FF000000"/>
      </top>
      <bottom/>
      <diagonal/>
    </border>
  </borders>
  <cellStyleXfs count="1">
    <xf numFmtId="0" fontId="0" fillId="0" borderId="0"/>
  </cellStyleXfs>
  <cellXfs count="52">
    <xf numFmtId="0" fontId="0" fillId="0" borderId="0" xfId="0" applyFont="1" applyAlignment="1"/>
    <xf numFmtId="0" fontId="1" fillId="0" borderId="0" xfId="0" applyFont="1"/>
    <xf numFmtId="0" fontId="2" fillId="0" borderId="0" xfId="0" applyFont="1"/>
    <xf numFmtId="0" fontId="3" fillId="0" borderId="0" xfId="0" applyFont="1"/>
    <xf numFmtId="0" fontId="1" fillId="0" borderId="0" xfId="0" applyFont="1" applyAlignment="1"/>
    <xf numFmtId="0" fontId="3" fillId="0" borderId="0" xfId="0" applyFont="1" applyAlignment="1"/>
    <xf numFmtId="0" fontId="4" fillId="0" borderId="0" xfId="0" applyFont="1"/>
    <xf numFmtId="164" fontId="4" fillId="0" borderId="0" xfId="0" applyNumberFormat="1" applyFont="1"/>
    <xf numFmtId="0" fontId="0" fillId="0" borderId="0" xfId="0" applyFont="1"/>
    <xf numFmtId="0" fontId="5" fillId="2" borderId="0" xfId="0" applyFont="1" applyFill="1"/>
    <xf numFmtId="0" fontId="5" fillId="2" borderId="1" xfId="0" applyFont="1" applyFill="1" applyBorder="1"/>
    <xf numFmtId="0" fontId="4" fillId="0" borderId="0" xfId="0" applyFont="1" applyAlignment="1"/>
    <xf numFmtId="0" fontId="5" fillId="0" borderId="0" xfId="0" applyFont="1" applyAlignment="1"/>
    <xf numFmtId="0" fontId="6" fillId="0" borderId="0" xfId="0" applyFont="1" applyAlignment="1"/>
    <xf numFmtId="0" fontId="0" fillId="0" borderId="0" xfId="0" applyFont="1" applyAlignment="1"/>
    <xf numFmtId="0" fontId="7" fillId="0" borderId="0" xfId="0" applyFont="1"/>
    <xf numFmtId="0" fontId="7" fillId="0" borderId="0" xfId="0" applyFont="1" applyAlignment="1"/>
    <xf numFmtId="0" fontId="6" fillId="0" borderId="0" xfId="0" applyFont="1"/>
    <xf numFmtId="0" fontId="1" fillId="3" borderId="0" xfId="0" applyFont="1" applyFill="1" applyAlignment="1"/>
    <xf numFmtId="0" fontId="5" fillId="3" borderId="0" xfId="0" applyFont="1" applyFill="1"/>
    <xf numFmtId="0" fontId="4" fillId="0" borderId="0" xfId="0" quotePrefix="1" applyFont="1"/>
    <xf numFmtId="165" fontId="4" fillId="0" borderId="0" xfId="0" applyNumberFormat="1" applyFont="1"/>
    <xf numFmtId="0" fontId="5" fillId="0" borderId="0" xfId="0" applyFont="1"/>
    <xf numFmtId="0" fontId="3" fillId="0" borderId="0" xfId="0" applyFont="1" applyAlignment="1">
      <alignment horizontal="left"/>
    </xf>
    <xf numFmtId="0" fontId="4" fillId="0" borderId="0" xfId="0" applyFont="1" applyAlignment="1">
      <alignment horizontal="left"/>
    </xf>
    <xf numFmtId="0" fontId="8" fillId="0" borderId="0" xfId="0" applyFont="1"/>
    <xf numFmtId="0" fontId="4" fillId="0" borderId="0" xfId="0" quotePrefix="1" applyFont="1" applyAlignment="1">
      <alignment horizontal="left"/>
    </xf>
    <xf numFmtId="0" fontId="4" fillId="0" borderId="0" xfId="0" applyFont="1" applyAlignment="1">
      <alignment horizontal="left"/>
    </xf>
    <xf numFmtId="0" fontId="9" fillId="0" borderId="0" xfId="0" applyFont="1"/>
    <xf numFmtId="3" fontId="5" fillId="0" borderId="0" xfId="0" applyNumberFormat="1" applyFont="1"/>
    <xf numFmtId="0" fontId="10" fillId="0" borderId="0" xfId="0" applyFont="1"/>
    <xf numFmtId="0" fontId="11" fillId="0" borderId="0" xfId="0" applyFont="1"/>
    <xf numFmtId="0" fontId="11" fillId="0" borderId="0" xfId="0" applyFont="1"/>
    <xf numFmtId="0" fontId="12" fillId="0" borderId="0" xfId="0" applyFont="1"/>
    <xf numFmtId="0" fontId="5" fillId="3" borderId="0" xfId="0" applyFont="1" applyFill="1"/>
    <xf numFmtId="0" fontId="0" fillId="0" borderId="0" xfId="0" applyFont="1" applyAlignment="1"/>
    <xf numFmtId="0" fontId="1" fillId="3" borderId="0" xfId="0" applyFont="1" applyFill="1" applyAlignment="1"/>
    <xf numFmtId="0" fontId="5" fillId="2" borderId="2" xfId="0" applyFont="1" applyFill="1" applyBorder="1"/>
    <xf numFmtId="0" fontId="5" fillId="2" borderId="0" xfId="0" applyFont="1" applyFill="1"/>
    <xf numFmtId="0" fontId="1" fillId="0" borderId="1" xfId="0" applyFont="1" applyBorder="1"/>
    <xf numFmtId="0" fontId="5" fillId="0" borderId="1" xfId="0" applyFont="1" applyBorder="1"/>
    <xf numFmtId="0" fontId="1" fillId="0" borderId="1" xfId="0" applyFont="1" applyBorder="1" applyAlignment="1">
      <alignment horizontal="center"/>
    </xf>
    <xf numFmtId="0" fontId="3" fillId="0" borderId="1" xfId="0" applyFont="1" applyBorder="1"/>
    <xf numFmtId="0" fontId="0" fillId="0" borderId="0" xfId="0" pivotButton="1" applyFont="1" applyAlignment="1"/>
    <xf numFmtId="0" fontId="0" fillId="0" borderId="0" xfId="0" applyFont="1" applyAlignment="1">
      <alignment horizontal="left"/>
    </xf>
    <xf numFmtId="0" fontId="0" fillId="0" borderId="0" xfId="0" applyNumberFormat="1" applyFont="1" applyAlignment="1"/>
    <xf numFmtId="0" fontId="1" fillId="0" borderId="0" xfId="0" applyFont="1" applyAlignment="1">
      <alignment wrapText="1"/>
    </xf>
    <xf numFmtId="0" fontId="4" fillId="0" borderId="0" xfId="0" applyFont="1" applyAlignment="1">
      <alignment wrapText="1"/>
    </xf>
    <xf numFmtId="0" fontId="0" fillId="0" borderId="0" xfId="0" applyFont="1" applyAlignment="1">
      <alignment wrapText="1"/>
    </xf>
    <xf numFmtId="0" fontId="4" fillId="0" borderId="0" xfId="0" quotePrefix="1" applyFont="1" applyAlignment="1">
      <alignment wrapText="1"/>
    </xf>
    <xf numFmtId="0" fontId="8" fillId="0" borderId="0" xfId="0" applyFont="1" applyAlignment="1">
      <alignment wrapText="1"/>
    </xf>
    <xf numFmtId="0" fontId="1" fillId="0" borderId="0" xfId="0" applyFont="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pivotCacheDefinition" Target="pivotCache/pivotCacheDefinition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Sacha" refreshedDate="43871.491208449072" createdVersion="6" refreshedVersion="6" minRefreshableVersion="3" recordCount="1292" xr:uid="{A6C6D10B-B893-4737-8F59-9D98D4122ACF}">
  <cacheSource type="worksheet">
    <worksheetSource ref="A1:A1293" sheet="Form responses"/>
  </cacheSource>
  <cacheFields count="31">
    <cacheField name="Timestamp" numFmtId="164">
      <sharedItems containsSemiMixedTypes="0" containsNonDate="0" containsDate="1" containsString="0" minDate="2018-11-13T15:31:38" maxDate="2018-11-19T12:37:40"/>
    </cacheField>
    <cacheField name="What do you enjoy the most about Minion Masters?" numFmtId="0">
      <sharedItems containsBlank="1" longText="1"/>
    </cacheField>
    <cacheField name="Which game mode(s) do you prefer?" numFmtId="0">
      <sharedItems containsBlank="1"/>
    </cacheField>
    <cacheField name="Which in-game customizations do you enjoy the most?" numFmtId="0">
      <sharedItems containsBlank="1"/>
    </cacheField>
    <cacheField name="Have you spent money on rubies?" numFmtId="0">
      <sharedItems containsBlank="1"/>
    </cacheField>
    <cacheField name="If yes for what purpose?" numFmtId="0">
      <sharedItems containsBlank="1" containsMixedTypes="1" containsNumber="1" containsInteger="1" minValue="30" maxValue="30"/>
    </cacheField>
    <cacheField name="Are you satisfied with your purchase?" numFmtId="0">
      <sharedItems containsBlank="1"/>
    </cacheField>
    <cacheField name="Can you list your top 5 favourite cards?" numFmtId="0">
      <sharedItems containsBlank="1" longText="1"/>
    </cacheField>
    <cacheField name="#" numFmtId="0">
      <sharedItems containsNonDate="0" containsString="0" containsBlank="1"/>
    </cacheField>
    <cacheField name="Who is your favourite master?" numFmtId="0">
      <sharedItems containsBlank="1"/>
    </cacheField>
    <cacheField name="#2" numFmtId="0">
      <sharedItems containsNonDate="0" containsString="0" containsBlank="1"/>
    </cacheField>
    <cacheField name="Why did you choose this Master?" numFmtId="0">
      <sharedItems containsBlank="1" longText="1"/>
    </cacheField>
    <cacheField name="#3" numFmtId="0">
      <sharedItems containsNonDate="0" containsString="0" containsBlank="1"/>
    </cacheField>
    <cacheField name="What is the highest rank you've reached?" numFmtId="0">
      <sharedItems containsBlank="1"/>
    </cacheField>
    <cacheField name="#4" numFmtId="0">
      <sharedItems containsNonDate="0" containsString="0" containsBlank="1"/>
    </cacheField>
    <cacheField name="How many hours have you spent on Minion Masters so far?" numFmtId="0">
      <sharedItems containsBlank="1"/>
    </cacheField>
    <cacheField name="#5" numFmtId="0">
      <sharedItems containsNonDate="0" containsString="0" containsBlank="1"/>
    </cacheField>
    <cacheField name="What other games do you play? Please specify." numFmtId="0">
      <sharedItems containsBlank="1" count="959" longText="1">
        <s v="Lately? Prismata, Slay the Spire, "/>
        <s v="Lately just Path of Exile, but I've have many hours in various action/isometric/FPS RPGs and standard FPSs"/>
        <s v="Overwatch, CoD Black Ops 4, scary games"/>
        <s v="MtG: Arena, Chess, Star Craft"/>
        <m/>
        <s v="League of Legends, Ragnarok M"/>
        <s v="LoL, Tabletop Sim, Overwatch, Heros of the Strom, Undertale, etc."/>
        <s v="Duelyst, Lunatic Rave 2, Borderlands 2"/>
        <s v="Ravenfield, Crossout(rarely)"/>
        <s v="Diablo 2, Hearthstone"/>
        <s v="oldschool runescape"/>
        <s v="Warframe, Stellaris, KRITIKA Online"/>
        <s v="Path of Exile"/>
        <s v="osu!, Rocket League"/>
        <s v="Ghost Recon Wildlands, From The Depths, Starbound, Warframe, Children of a Dead Earth, Robocraft"/>
        <s v="Strategy games (like HOI4), some fighting games (like Tekken), some RTS (like Starcraft) and some shooters (like L4D)"/>
        <s v="Dota 2"/>
        <s v="League of Legends, Runescape and valkyrie Connect."/>
        <s v="League"/>
        <s v="Final Fantasy XIV"/>
        <s v="Vermintide 2, league of legends, gang beasts and slay the spire"/>
        <s v="Trackmania 2 Stadium, Maplestory 2, Battlerite"/>
        <s v="Guild Wars 2 and Maple Story 2"/>
        <s v="Space engineers, robocraft, Empyrion, Payday 2, warframe, etc"/>
        <s v="Mostly FPS games such as csgo and I also play adventure games"/>
        <s v="everything but PVP shooter, all of them, from divinity:OS2 to exapunks"/>
        <s v="Fortnite, League of Legends"/>
        <s v="lol, csgo, wow, mount and blade, and a lot of others (more than 200 game in steam)"/>
        <s v="Battlerite royal / aion / lost ark"/>
        <s v="Dark Souls, Dark Souls 3"/>
        <s v="World of Warcraft, Heroes of the Storm, Starcraft 2"/>
        <s v="Minecraft, ROBLOX"/>
        <s v="Overwatch"/>
        <s v="Sdorica, mobile game"/>
        <s v="Overwatch, Borderlands 2"/>
        <s v="Realm Royale"/>
        <s v="RimWorld, World of Warcraft"/>
        <s v="Call of duty, fallout games, Skyrim, final fantasy, resident evil, pretty much anything except sport games."/>
        <s v="Golf It, Hot Lava, Binding of Isaac, Borderlands 2, Heroes of the Storm, Hearthstone, Hitman, Nimbatus, Talos Principle, Slay the Spire, Dead Cells etc."/>
        <s v="Heroes of the Storm, various indie."/>
        <s v="Osu, dragon quest"/>
        <s v="Smite, Rocket League"/>
        <s v="League of legends, Hearthstone, Atlas Reactor, Battlecon-online, Total war Warhammer, "/>
        <s v="Hearthstone, FPS, games with a good story and games i can enjoy with my friends"/>
        <s v="Hots, Fallout 76, path of exile, MTG."/>
        <s v="https://steamcommunity.com/profiles/76561198030546142/ lol to many to write her"/>
        <s v="a lot of them. switch games and pc games."/>
        <s v="xcom 2, duelyst, atlas reactor, eternal"/>
        <s v="Warframe, League of Legends, Soul Calibur VI, Hearthstone "/>
        <s v="Leagur of legends, diablo 3, bloons td battles, everything "/>
        <s v="Planetside 2, Arma 3, Many many RTS, Heroes Of The Storm"/>
        <s v="Quake 4 | Killing Floor 2 | Battlefield "/>
        <s v="Hearthstone"/>
        <s v="Path of Exile, Heartstone, Fortnite"/>
        <s v="Overwatch, Destiny 2, Warframe, Minesweeper"/>
        <s v="Numerous"/>
        <s v="Faeria, choas reborn, spellweaver,forced showdown"/>
        <s v="Clash Royal, CS GO, W3"/>
        <s v="Hearthstone, and occasionally point and click story based games (TWDG, Stardew, To the Moon etc.)"/>
        <s v="League of Legends, Legion TD 2"/>
        <s v="Gems of War; mainstream single player(CRPG, Action, Adv.); occassionally MMO"/>
        <s v="Disc jam, total war Warhammer, wurm unlimited, "/>
        <s v="League of Legends, "/>
        <s v="LoL, OW, Sonic adventure battle 2 "/>
        <s v="darkest dungeon; im not a fan of playing multiple games in same time"/>
        <s v="Total war and eu4 mostly "/>
        <s v="League of Legends, Hearthstone, Heroes of the Storm, Overwatch, Destiny 2, Battlerite and usually all the solo games bethesda make"/>
        <s v="World of Warcraft, Overwatch, League of legends"/>
        <s v="Heroes of the Storm, League of Legends, Binding of Isaac, Dead by Daylight"/>
        <s v="Fallout, Xcom, Fortnite, Rocket league, etc"/>
        <s v="Kingdom Rush, fallout 3 and other fallout games also owerwatch and hearthstone and rocket League and Lots of other games."/>
        <s v="rise of nations,roblox and ourWorld(browsergame)"/>
        <s v="Cs GO"/>
        <s v="League of Legends, Warframe, Rainbow six siege, Monster Hunter World"/>
        <s v="Threre is not a spefic genre. Hearthstone, counter-strike global offensive (haven't played in a long time), slay the spire,  left for dead 2, misc indie games "/>
        <s v="Infinity Wars Reborn and Diablo 3"/>
        <s v="Bunch of card games (Faeria MTGA Duelyst, Spellweaver, Gwent, Scrolls soon Artifact) Also path of exile every new league for a few weeks"/>
        <s v="Fortnite"/>
        <s v="poe, any free sex game i like titties"/>
        <s v="Minecraft, Clash Royale, Undertale, Half Life"/>
        <s v="CS:GO, Ravenfield and Payday 2"/>
        <s v="MOBA/MMORPG"/>
        <s v="Overwatch, Rainbow Six Siege, Terraria"/>
        <s v="MOBAs, FPSs"/>
        <s v="Warframe, Real Racing 3"/>
        <s v="Lol, MTGA, Hearthstone, Tons of Single Player "/>
        <s v="League of Legends, Overwatch, World of Warcraft, Dragon Age, Witcher, Skyrim, Minecraft, Monster Hunter World and more."/>
        <s v="Destiny 2 and others"/>
        <s v="Too many"/>
        <s v="DotA 2, Counter-Strike and World of Warcraft are the games I return to time and time again. I dabble in many other games."/>
        <s v="mostly roguelikes isaac wizard of legends enter the gungeon fresh body etc"/>
        <s v="Eternal card game, call of Cthulhu, smite"/>
        <s v="hots / overwatch / ps4 games exclusives"/>
        <s v="Rocket League, Overwatch and Rainbow Six siege"/>
        <s v="Everything"/>
        <s v="Rainbow Six Siege, Dead by Daylight, Outlast, Assassin's Creed Series"/>
        <s v="Mainly First Person Shooters: Half-Life, Counter-Strike, Quake, Doom, Left 4 Dead 2, Killing Floor 2, and many others."/>
        <s v="Monster Hunter: World, Warfame, Yakuza 0, Crosscode, Tales of Berseria, West of Loathing"/>
        <s v="MC, ROBLOX, Undertale, Deltarune"/>
        <s v="Counter strike global offensive, hearts of iron 4, crusader kings 2, terraria."/>
        <s v="league of legends / destiny 2 / overwatch / dragonball fighter z"/>
        <s v="Ark, Rust, Minecraft, Rainbow 6 seige, Assasinsc "/>
        <s v="none like this but i play heroes of the storm"/>
        <s v="team based fps"/>
        <s v="dead cells, lethal league blaze"/>
        <s v="Mobas, rpg, mmorpg "/>
        <s v="Dota, Gmod(TTT), Anything that looks good and is free ;)"/>
        <s v="Roblox, Factorio, Brower games"/>
        <s v="Magic the Gathering Arena"/>
        <s v="Too many to specify. Mostly fighting, strategy, or (&quot;D&amp;D&quot;) games . "/>
        <s v="Fallout 76, Fortnite, TerraTech"/>
        <s v="Overwatch, fortnite, Clash royale"/>
        <s v="Minecraft, clash royale, duelyst, elder scrolls legends"/>
        <s v="hearthstone (a long time ago) / portal 2 (coop/maps)/ brawlhalla (ranked) / darkest dungeon"/>
        <s v="Warframe, Elder Scrolls Legends"/>
        <s v="hon, hearthstone"/>
        <s v="Alot"/>
        <s v="Krosmaga"/>
        <s v="almost anything multiplayer-like"/>
        <s v="Clash Royale"/>
        <s v="Path of Exile, Destiny 2, Ark: Survival Evolved, Heroes of the Storm, Vermintide 2, too many really"/>
        <s v="Warframe"/>
        <s v="Hearthstone, Battlefield, CoD, Battlerite"/>
        <s v="Warframe, Dungeon Defenders 2, Witcher 3, Titanfall 2, etc"/>
        <s v="Warcraft 3, Total War, Rainbow Six: Siege, Dungeons &amp; Dragons."/>
        <s v="Fifa, Pro Evolution Soccer, Stardew Valley"/>
        <s v="Overwatch, Into The Breach, Clash Royale, Borderlands"/>
        <s v="League of legend /spiral knight / hearthstones"/>
        <s v="League of legends, killing floor 2, rust, hearthstone, monster hunter world (current selection i play)"/>
        <s v="Terraria, Slay the Spire, Brawlhalla"/>
        <s v="Warframe, Oxygen not Included, Warcraft 3, Skyrim, Frostpunk, Life is Strange, The walking dead, Total War: Warhammer, Rise to Ruins, League of Legends, Path of Exile, among others ( with variying frequency)."/>
        <s v="Heroes of the Storm, dota, fortnite"/>
        <s v="ROBLOX"/>
        <s v="All sorts of card games - heartstone, spellweaver, eternal; All sorts of board games - Atlas reactor, warbands bushido,  Chaos reborn; all sorts of f2p games - Star conflict, Crossout, battlerite, brawlhalla (all in the descending order)"/>
        <s v="Summoners War"/>
        <s v="World Of warcraft"/>
        <s v="Warframe, League of Legends, Skyrim"/>
        <s v="Artifact soon ^^. hearthstone. Gwent. eternal."/>
        <s v="WoW, brawlhalla, CS:GO, MH: WORLD, Don't starve Together "/>
        <s v="Lots - Tyranny, SCUM, 7 Days to Die, Dota 2, League of Legends, Final Fantasy Omnia Opera."/>
        <s v="Dota2, Yugioh Duel Link"/>
        <s v="csgo, minecraft, kf2."/>
        <s v="Path of Exile, Heroes of the Storm, Raft, Don't Starve Together"/>
        <s v="Every fighting game known to man"/>
        <s v="League of Legends, Rocket League, PUBG"/>
        <s v="Cod, mtg, rocket league, etc"/>
        <s v="pokemon go"/>
        <s v="Destiny 2, Rainbow Six Siege"/>
        <s v="League of Legends, Vainglory and Summoners War"/>
        <s v="warthunder, various browser games, some quests...actually many and diverse styles"/>
        <s v="MTG Arena, LoL, Path of Exile, Most Nintendo Switch titles, MMORPG's when they come out and look interesting- ooooh is that a penny!"/>
        <s v="Yu-gi-oh, Fort night, Anno, "/>
        <s v="Cs go, PUBG, overwatch, civ v, heroes of the storm, destiny 2"/>
        <s v="CS:GO, Geometry Dash, Clash Royale, Minecraft, Terraria, Quake Champions"/>
        <s v="minecraft"/>
        <s v="Zelda, Clash Royale"/>
        <s v="League of Legends"/>
        <s v="Osu!, Dark souls, The witcher"/>
        <s v="Blops 4 blackout"/>
        <s v="EU4, Call of Duty, Rise of Nations etc."/>
        <s v="HOTS, Rainbow 6"/>
        <s v="Lotro, stardew valley, rust"/>
        <s v="league of legends, world of warcraft, final fantasy, legend of zelda"/>
        <s v="Diablo 3,WoW,Destiny 2,Sins of the Solar Empire "/>
        <s v="Rainbow six seige, forza horizon, battlefield 5... im all over tue place across many genres. "/>
        <s v="Brawl Stars"/>
        <s v="Slay the Spire, Factorio, Rocket League"/>
        <s v="There are several games that I play, so I’ll list my favorites: Dark Souls (the entire series), Subnautica, Minecraft, Skyrim (modded), Mount and Blade: Warband, Mount and Blade: Viking Conquest, and Sinner: Sacrifice for Redemption. "/>
        <s v="Minecraft, Terraria, TF2"/>
        <s v="rainbow six, heroes of the storm, battlerite, overwatch, destiny 2"/>
        <s v="The Witcher 3, Ark: Survival Evolved"/>
        <s v="Hots, ring of elysium, jackbox, deceit"/>
        <s v="too many to count in this one answer!"/>
        <s v="Rocket League, Battleblock Theater, PUBG, Castle Crashers, Football Manager"/>
        <s v="Path of Exile, Rocket League, Hyper Heroes"/>
        <s v="Strategy, FPS, Sim, Open World games"/>
        <s v="Hearthstone, Don't Starve Together"/>
        <s v="Pokemon, Maple Story 2, Minecraft, Yu-Gi-Oh duel links, and tons others"/>
        <s v="Legion TD 2, Counter-Strike, Hearthstone"/>
        <s v="Overwatch "/>
        <s v="Rainbow Six Siege "/>
        <s v="heroes of the storm, fist full of frags, counter strike source"/>
        <s v="LoL, i also play games like Heartstone "/>
        <s v="haertstne, magic the gathering, clash royal, black dessert"/>
        <s v="Overwatch, Hearthstone, Terraria, (Always open to try new games)"/>
        <s v="hots, Magic, "/>
        <s v="Too many to list"/>
        <s v="Primarily card based and/or turn based games. Slay the Spire, Darkest Dungeon, West/Kingdom of Loathing, Hearthstone. Also Don't Starve and TF2."/>
        <s v="Overwatch, League of Legends"/>
        <s v="so many..."/>
        <s v="League of Legends, World of Warcraft, Pokemon... "/>
        <s v="PUBG CSGO Clash Royale"/>
        <s v="Clash royale "/>
        <s v="D3, Fallout 76, MTG Arena"/>
        <s v="Watchdogs"/>
        <s v="PC: League of Legends, Warframe, Warcraft 3, Rainbow 6 Siege, Black Squad; NinSwitch: Dark Souls, Fortnite, The Flame and the Flood"/>
        <s v="Many others, Ravenfield, Slime Rancher"/>
        <s v="League of Legends, Slay the Spire, Minecraft"/>
        <s v="alot... I have over 150 games on my steam account and I play alot. Mainly rts, fps, and adventure games."/>
        <s v="League of legends, fifa, smite, MTG: Arena"/>
        <s v="ARK L4D Battlefield "/>
        <s v="Battletech, My Town At Portia, Slay the Spire"/>
        <s v="League of Legends, Heroes of the storm,Skyrim,Dark souls! Mostly MOBA and RPG"/>
        <s v="mostly multiplayer like csgo or lol otherwise as singleplayer only horrorgames"/>
        <s v="Chess"/>
        <s v="Fallout 1-4, Witcher, Graveyard Keeper,  Tabletop Simulator, Gary’s Mod,"/>
        <s v="starcraft"/>
        <s v="Silent hill 2, hollow knight"/>
        <s v="PUBG Mobile, Ravenfield, Chess, yu-gi-oh"/>
        <s v="rocket league,"/>
        <s v="Platformers , MMO's , CO-OP , FPS Anything really except simulators"/>
        <s v="Town of Salem, Pokemon, Gmod, Tabletop Sim."/>
        <s v="Overwatch, League of Legends, Tetris, Rust"/>
        <s v="The Witcher 3, God of War 4, card games, Streets of Rogue, Mario Kart Wii, Crawl"/>
        <s v="Multiplayer and Single Player on console: Assassin’s Creed IV, Fortnite, PUBG, Last Of Us, Minecraft, FIFA, etc..."/>
        <s v="The Elder Scrolls Legends, Magic the Gathering, Overwatch, Heroes of the Storm, Age of Empires 2 &amp; 3, Endless Legend, Endless Space 2, Slay the Spire, Sorcerer King Rivals"/>
        <s v="League of Legends, Smite, Starcraft 2, Hearthstone and Assasins creed odyssey. "/>
        <s v="Hearthstone, Banished, Flash games"/>
        <s v="League of Legends, Overwatch"/>
        <s v="Rec room, Lol, Rocket league, I am a casual online gamer, not really into long comitment so I dropped lol for the lengthy rounds. I enjoy that the most in MM, short and sweet victory or loss :D"/>
        <s v="Quake champions, dark souls"/>
        <s v="Smite; some rpgs, especially final fantasies, rarely shooters like resident evil. tower defense games like dungeon defenders or orcs must die."/>
        <s v="League of Legends, Enter the Gungeon, Super Smash Brothers"/>
        <s v="A Hat In Time, Slay the Spire, Oxygen Not Included, Portal 2, Slime Rancher, and Evolution."/>
        <s v="League of Legends only besides MM"/>
        <s v="Rainbow 6, LoL,Total War warhammer"/>
        <s v="TF2 (think you know that game),  Síd Meyers Civilization 6 and Kards, a deck building game themed around WII."/>
        <s v="BR games"/>
        <s v="SWTOR"/>
        <s v="World of Warcraft / Overwatch"/>
        <s v="Fate hounter"/>
        <s v="Atlas Reactor, Slay the Spire, Rocket Legue, etc"/>
        <s v="League of Legends, Fallout 76, Prison Architect"/>
        <s v="dota2"/>
        <s v="Recently: StarCraft 2, Heroes of the Storm, Sentinels of the Multiverse, Savage Worlds, Left 4 Dead 2, homemade games through Tabletop Simulator."/>
        <s v="CS:GO"/>
        <s v="Strategy games like Starcraft II, Gwent, Sid Meiers CIV 6, Slay the Spire"/>
        <s v="League of Legends, Pokemon Ultra Moon, Dungeon Defenders 2, Realm Grinder, and Grim Dawn."/>
        <s v="Rocket League, Cod, APB Reloaded, etc"/>
        <s v="destiny 2 , rainbow six siege, hearthstone,etc"/>
        <s v="smite heartstone dota2 "/>
        <s v="breath of the wild, bloodborne, titanfall 2, monster hunter, rocket league."/>
        <s v="Battlefield, Street Fighter, Death's gambit, Salt and sanctuary, and some other challenging 2D"/>
        <s v="Roblox, Asphalt,"/>
        <s v="Dead Cells"/>
        <s v="Rocket League, Battlefront II"/>
        <s v="Borderlands 2, Skyrim, League of Legends, The Elder Scrolls: Legends, Eternal Card Game"/>
        <s v="League of Legends, Hearthstone, Fortnite, Rocket League, Overwatch, Diablo 3, "/>
        <s v="Final fantasy 14 Runescape Maple Story 2"/>
        <s v="paladins. "/>
        <s v="Rocket League, Sanctum 1 and 2, Borderlands"/>
        <s v="Hearthstone- Card Game and random RTS games"/>
        <s v="Warframe, Stellaris, The Elders Scrolls Online, The Division, Ghost Recon Wildlands"/>
        <s v="Recently, Overkill's The Walking Dead, but mostly FPS, fighting games, Mobas, Card Games, and more."/>
        <s v="Card games such as Hearthstone, simulation games such as Factorio, some FPS games such as Overwatch and Killing Floor 2"/>
        <s v="League of legends, battlerite, Warframe, path of exile"/>
        <s v="World of Warcraft, Hearthstone, wizard of legend"/>
        <s v="3rdPersonShooter; FirstPersonShooter; Strategy Games; Action RPGs; RPGs; ActionAdventures;"/>
        <s v="Maplestory, Town Of Salem, Destiny 2"/>
        <s v="Terraria"/>
        <s v="Realm of the mad god, curve fever 2, CSGO, CSS surf, lost and lots of surf, steambirds alliance, other games"/>
        <s v="counter strike global offensive, league of legends"/>
        <s v="Third Person Shooters, RTS's"/>
        <s v="I play MMOs, have been for 2 decades"/>
        <s v="Not much at the moment"/>
        <s v="Arena of Valor, Dota 2"/>
        <s v="Maplestory / Yu-Gi-Oh! Duel Links / League Of Legends / osu! / Overwatch"/>
        <s v="Alles mögliche, ich schreibe hier jetzt keine 500+ Games hin"/>
        <s v="Path of Exile, Total War series, Slay the spire, Hearhstone"/>
        <s v="Rainbow six siege, Rocket league, Red dead redemption 2, "/>
        <s v="Minecraft, Roblox, Dota 2, Injustice 2, Star Wars Battlefront 1 &amp; 2, Fortnite."/>
        <s v="Minecraft, League of Legends, Fortnite, Undertale"/>
        <s v="PokeOne, Dead by Daylight"/>
        <s v="Legion td 2"/>
        <s v="MMORPGs (wakfu and Guild Wars 2 especially); Minecraft; The Powder Toy; The Ultimatest Battle..."/>
        <s v="This amount is huge... But mostly SMITE"/>
        <s v="RPGs (like AC:Odyssey, WoW), Online-TCGs (Hearthstone, MTG:A), Legion TD 2"/>
        <s v="DOOM, Battlefield, CSGO"/>
        <s v="League of Legends, Heroes of the Storm, Soul Calibur VI, Rivals of Aether, SSBM, DOOM, Nier: Automata, Divinity: Original Sin 2, Stellaris, and a whole lot more"/>
        <s v="heroes of the storm"/>
        <s v="poe, osrs, csgo, dota2"/>
        <s v="I play pretty much every game, not  focusing on a single genre."/>
        <s v="Hearthstone, Starcraft 2, Go, Chess, MagicTG"/>
        <s v="Paladins Overwatch Warface Spiral_Knights  Minecraft"/>
        <s v="Overwatch, Hearthstone, Lethal League"/>
        <s v="Gwent, Hearthstone, Fortnite, Doom, Too many point-n-click Adventure games to count."/>
        <s v="Warframe, Grim Dawn"/>
        <s v="League of Legends, Overwatch, Magic the Gathering"/>
        <s v="fallouts,rainbow six sige,tomb raider"/>
        <s v="fps (overwatch, rainbow six) and grindy rpgs (fortnite stw)"/>
        <s v="LoL, HotS, OW, Diablo 3"/>
        <s v="Danganronpa"/>
        <s v="Currently, other that MM, I sometimes play Hearthstone and Warframe - they're good for relaxing after work. I play them mostly because they don't take up that much time and you can stop almost anytime - these games are a bit boring and repetitive so when you get bored, you just do something different. +there's that feeling of progress just from getting daily rewards."/>
        <s v="dota"/>
        <s v="Mostly CO-OP FPS, RPG, ARPG"/>
        <s v="This one"/>
        <s v="League of legends, Nostale, Elsword, Hearthstone,..."/>
        <s v="CS:GO, Rainbow Six Siege"/>
        <s v="Crossout, Agents of Mayhem, GTAV, Witcher 3, Wreckfest."/>
        <s v="Pretty much any multiplayer game"/>
        <s v="Hearthstone, Overwatch, Vermintide 2."/>
        <s v="Smite, Battlefield, I don't really play too many different games. I like to stick to a select few."/>
        <s v="League of Legends, Destiny 2, Witcher 3, Skyrim, Tricky Towers."/>
        <s v="Fortnite - Diablo 3 - MtG - Hearthstone - Cube Cube - Sudoku - CS:GO occasionally - Lots of RPGs - X-Wing - SC:2 "/>
        <s v="tes legends, hearthstone"/>
        <s v="League of Legends, battlerite, brawlhalla, overwatch"/>
        <s v="Lol, Overwatch, Oldschool Runescape"/>
        <s v="h1z1"/>
        <s v="World of Warcraft, osu!"/>
        <s v="too many to list - hearthstone,stormguard,league of legends,world of warcraft, heroes of the storm, overwatch, monster hunter world, etc. etc. "/>
        <s v="Heroes of the Storm, Overwatch"/>
        <s v="Currently only playing Battlehand"/>
        <s v="cs go, battlerite"/>
        <s v="Paladins, Realm Royale, MTG Arena, Destiny 2"/>
        <s v="Hunt: showdown, League of legends, Dead by daylight"/>
        <s v="League of Legends/ R6 Siege / CS GO / Dota 2 / Warframe / DnD / and a load more"/>
        <s v="League of Legends, Path of Exile, Terraria"/>
        <s v="FPS games like Battlefield 1 and BO4, RTS games like Age of Wonders"/>
        <s v="mmorpg"/>
        <s v="Hearthstone dota 2 clash royale"/>
        <s v="Minecraft, Borderlands 2, Europa Universalis 4"/>
        <s v="For Honor, Destiny, Overwatch, PUBG, Warframe, Witcher, Dark Souls, Hammerwatch, Spelunky, and soooo many more"/>
        <s v="Many different kinds, eg. MLB The Show, Spiderman, Sea of Thieves, lots of puzzle games"/>
        <s v="Too many to list, WoW, Heroes of the storm, Red dead Redemption 2, literally everything else. "/>
        <s v="Warframe, pokemon TCG, Hearthstone, magic the gathering arena"/>
        <s v="Hearthstone HOTs Dota "/>
        <s v="Nigger"/>
        <s v="Minecraft, Super Smash Bros. serie, &quot;Rogue Lite&quot; games in general"/>
        <s v="Killing Floor 2, Gothic+Risen+Elex(All Piranha Bytes games), S.T.A.L.K.E.R. series, Metro series, WoW, Diablo, Path of Exile, Realm of the Mad God, Europa Universalis 4, Warcraft 3, Borderlands series, and much more"/>
        <s v="Lol, fortnite, csgo, cod 4, lif MMO..."/>
        <s v="League of Legends, Guild Wars 2, CS:GO"/>
        <s v="Rpgs, Fallout 76 more recently. A bit of everything to be honest. I like variety. "/>
        <s v="Overwatch, Atlas Reactor, Skyrim, Crusader Kings 2"/>
        <s v="anything I find interesting "/>
        <s v="roblox, l4d2, tf2, garry's mod"/>
        <s v="league or legends &amp; slay the spire, mostly"/>
        <s v="Balck Ops 4 - Overwatch - HOTS - R6"/>
        <s v="RPGs"/>
        <s v="Overwatch, hero shooter, Clash Royale, mobile, Gwent, card game"/>
        <s v="diablo 2, Mu online, ragnarok online."/>
        <s v="League of legends and minecraft"/>
        <s v="Slay the Spire, other"/>
        <s v="World of Warcraft, Dead by Daylight, Fortnite, League of Legends, Smite, and others"/>
        <s v="Dota 2, World of Warships, Tom Clany's Rainbow Six Siege, Overwatch, MTG Arena"/>
        <s v="diablo 3, counter strike:go, PUBG"/>
        <s v="battlefield, fortnite, minecraft, survive io, and limbo"/>
        <s v="csgo, ori and the blind forest, rayman legends, middle-earth:shadow of mordor,lineage 2 "/>
        <s v="Rocket League, Heartstone, mobile legends"/>
        <s v="ARK, Diablo "/>
        <s v="The elder scrolls: legends"/>
        <s v="DC Legends"/>
        <s v="Wow, warframe"/>
        <s v="stardew, warframe, paladins, slime rancher"/>
        <s v="League of Legends, ARK"/>
        <s v="Realm royale, gwent, creative destruction, runeward,"/>
        <s v="Forza, Cities Skylines, Planet Coaster, Brawlhalla, Riff Racer"/>
        <s v="Forced(Great game) and 100+ games on Xbox plus 200+ games on Steam"/>
        <s v="League pf Legends, Destiny 2, Fallout 4,  Rising Storm 2, Warhammer Vermintide 1&amp;2, Warhammer 40,000 Dawn of War, Escape from Tarkov, Dayz, WoW, Hearthstone, Starcraft 2"/>
        <s v="SMITE , Hearthstone , Monster Hunter : WORLD"/>
        <s v="LoL, HS, DN, Eternal, Poe"/>
        <s v="League of Legends, CS:GO, Garry's Mod"/>
        <s v="Destiny, Minecraft, AC, TWD"/>
        <s v="Brawlhall,War Thunder"/>
        <s v="Blade &amp; Soul, Starcraft 2, Torchlight 2, Destiny Child and a big etc."/>
        <s v="Tabletop Simulator, SCP secret laboratory, "/>
        <s v="League of legends, payday 2, battleborn, rocket league and a tons of others"/>
        <s v="Skyrim, Divine Divinity Original Sin, Pillars of Eternity, Bauldrs Gate, Reassembly, Titan Quest Immortal Throne, Grim Dawn, (Mostly, ARPGs, RPGs, TBS games)"/>
        <s v="Fortnite, clash of clan, Rocket League, Hearthstone"/>
        <s v="League of legends, rainbow six siege and counter strike global offensive"/>
        <s v="Hearthstone, Brawlhalla, COD BO4"/>
        <s v="I'm playing since 7 or so. Now I'm 30. I played literally everything that I could put my hands on till 20. But for 17-23 I played fighting games really competitively and almost exclusively. Nowadays I'm on Blizzard needle. Overwatch a little (GM), some HS. Mahjong IRL. A lot of Destiny 2."/>
        <s v="League of Legends. Clash Royle."/>
        <s v="Binding of Isaac, DOTA, Hearthstone"/>
        <s v="League of legends, rainbo 6 siege, assassin's creed, the witcher, shadow of war."/>
        <s v="Hearthstone, clash royale, PUBG, Slay the Spire, red dead redemption 2, dark souls 1-3 + bloodbourne, mario party switch, mario odyssey"/>
        <s v="all"/>
        <s v="Dragalia Lost, Shadowverse"/>
        <s v="Warhammer 2, Rainbow six, League of Legends"/>
        <s v="rainbow six siege, forza horizon 4"/>
        <s v="Shooter, MMO, BR"/>
        <s v="Csgo, hearthstone"/>
        <s v="League of legends, Hearthstone, Destiny 2, Back Ops 4"/>
        <s v="League, Hearthstone, COD, CS:GO, MTG arena"/>
        <s v="Rocket League, Clash Royale, Project zomboid, "/>
        <s v="Metroidvanias (like Hollow Knight), League of legends (sometimes), logic/card/puzzle games (especially with rpg elements, like Gems of War)"/>
        <s v="Titan Quest, Tales of Maj'Eyal, Binding of Isaac"/>
        <s v="lol"/>
        <s v="Hearthstone, Factorio, MTG Arena, RimWorld, Dwarf Fortress..."/>
        <s v="Dead by daylight, league of legends "/>
        <s v="WoW, Fallout, Hearthstone, CoD, BF"/>
        <s v="Pretty much everything except simulation games, online games I play at the moment are: Dead by daylight, League of Legends, Overwatch, and Warframe."/>
        <s v="League of Legends, Clash Royale, Slay the Spire, Bad North"/>
        <s v="LeagueOfLegends, Destiny2, MagicTheGatheringArena, Hearthstone, Diablo II, Pub-G, KnightOnline"/>
        <s v="league, cod, fortnite, "/>
        <s v="Regularly, I play more than 20 games of different kind. However, there are no other &quot;card&quot; games."/>
        <s v="Rainbow Six: Siege, Crusader Kings 2, Heroes of the Storm,  Overwatch"/>
        <s v="League of Legends, Battlerite, XCOM, Factorio, Rimworld to name a few"/>
        <s v="Other indie steam games or games on sale. Recently played Reassembly and Slay the Spire"/>
        <s v="WoW, cod black ops 4. CS:GO"/>
        <s v="Lots"/>
        <s v="Call of Duty, Battlefield, Starcraft, Fallout 76, Overwatch, Rocket League"/>
        <s v="WoW, LoL, OW."/>
        <s v="that's hard. manly alot of emulators, and i've been playing destiny 2 alot since it became free for a limited time."/>
        <s v="clash royale league of legends"/>
        <s v="Dead by daylight, warframe, rainbow six seige"/>
        <s v="rocket league, hearthstone, fortnite"/>
        <s v="Path of Exile, Warframe, 7 Days to die, Payday 2"/>
        <s v="Path of exile, monster Hunter, eternal, almost anything else"/>
        <s v="Hearthstone, LOL, CS:GO, Battlerite, Atlas reactor"/>
        <s v="Heroes of the Storm, FFXIV, The Alchemist Code"/>
        <s v="DOTA 2 - Fortntie ."/>
        <s v="League of Legends, MTG"/>
        <s v="No any others. Sometimes i play in ps4"/>
        <s v="heroes of the storm (moba from blizzard)"/>
        <s v="FPS"/>
        <s v="Neverwinter Nights Enhanced Edition, Clash Royale"/>
        <s v="Metal Gear Solid, Fallout, Moun And Blade, Terraria, Darkwood, Insurgency, Days of Infamy"/>
        <s v="Guild Wars 2, League of Legends, Hearthstone, Slay the Spire, Don't Starve"/>
        <s v="Too too many"/>
        <s v="Heartstone, duelyst, faeria etc"/>
        <s v="Factorio, Rocket League, Hearthstone, Hots"/>
        <s v="Heroes of the Storm, MapleStory 2, Elder Scrolls"/>
        <s v="Magic the gathering: arena; Hitman 2"/>
        <s v="horror games, fast FPS, mobile moba, dorky/funny games"/>
        <s v="LOL GW2 ROE PUBG Hearthstone Diablo3 Sims 3&amp;4"/>
        <s v="Dragon Ball Xenoverse, darkest dungeon, borderlands. Those are the ones Ive been playing lately anyways"/>
        <s v="hots"/>
        <s v="Garrys mod, Roblox, dont starve together, and Brawlhalla"/>
        <s v="1400 Games on my account, so alot more than I care to list"/>
        <s v="NCAA 14, Gran Turismo 4, Homebrew Vehicle Sandbox, MTG, Pokemon Stuff, CSGO."/>
        <s v="Nowadays, mainly For Honor, Fortnite, Kingsway, and Stick Fight"/>
        <s v="R6 Siege, FF14, League of Legends, Heroes of the Storm, Dark Souls"/>
        <s v="Destiny 2, Overwatch, Fortnite, Rainbow 6, Clash Royale, "/>
        <s v="League of legends, overwatch, fortnite"/>
        <s v="LoL destiny 2 killing floor 2 overwatch"/>
        <s v="Fortnite, Overwatch"/>
        <s v="Gwent, Heroes of the storm, Ghost recon wildlands. Basically what my friends want to play"/>
        <s v="Mobile games, I have some free time but I don't feel like investing myself in the games I've bought on pc because I'm more focused on school right now."/>
        <s v="Rust, Fallout New Vegas, Rainbow Six Seige"/>
        <s v="Smite, diablo 3, magic the gathering"/>
        <s v="Sc2"/>
        <s v="Heat Signature, Warhammer vermintide 2, too many others to list at an infrequent rate"/>
        <s v="clash royal, earth stones"/>
        <s v="Ark, 7 days to die, PUBG"/>
        <s v="CSGO, LoL, R6, Minecraft, Terraria, The Binding of Isaac, Enter the Gungeon"/>
        <s v="Hots, Dota, Hearthstone, Overcoocked"/>
        <s v="Space Engineers, Heartstone, Overwatch, and Minecraft"/>
        <s v="hots, fortnite, hearthstone, the long dark"/>
        <s v="Heroes of the Storm, Hearthstone, World of Warcraft mainly, and some fps"/>
        <s v="FFXIV, League of Legends, Town of Salem, Minecraft, Overwatch"/>
        <s v="Hearthstone, Skyrim: Legends, Starcraft 2, Pokemon TCG Online, Warframe, Path of Exile."/>
        <s v="ROBLOX (lmao), a good chunk of the Monster Hunter franchise, a lot of RPG Maker games, I frequent the Halo series and I play COD Black Ops (1)."/>
        <s v="Fortnite, Surviv.io, Terraria, Roblox. "/>
        <s v="League of legends, destiny, Mtg, borderlands, civ 5"/>
        <s v="Dota 2, Creative Destruction"/>
        <s v="TW Warhammer 2, Vermintide 2, Clash Royal (strong &quot;similiarities&quot; (;  ), Sykrim, BDO, etc."/>
        <s v="Hearthstone, overwatch, rocket league, quake champions"/>
        <s v="FPS, this is my first card game "/>
        <s v="Skyrim Legends, Planet Coaster, Jurassic World and many mor"/>
        <s v="World of warcraft "/>
        <s v="Ark Survival Evolved, Rainbow Six Siege, Clash Royale and some of the classics like Unreal Tournament, Mario 64......"/>
        <s v="I stopped playing most games as i usually play this now"/>
        <s v="heroes of the storm, ff14, couple mobile games like dragonball legends or star wars heroes of galaxy"/>
        <s v="Hots, wow, botw"/>
        <s v="Warhammer 2, Warframe, Guild Wars 2, Planetside 2, Starcraft 2, Oh, I'm noticing a pattern here."/>
        <s v="Blood Bowl 2, Dark and Light"/>
        <s v="Smite"/>
        <s v="Overwatch, GW2, WoW"/>
        <s v="I'm afraid that I don't really have time for more than 1 game right now."/>
        <s v="for honor,move or die(Good game btw), bad north"/>
        <s v="Paladins, supreme commander, command and conquer"/>
        <s v="League of legends, Hearthstone, Witcher 3, Dead by Daylight"/>
        <s v="Warframe. Nothing more yet."/>
        <s v="Rocket League, COD 4, Fortnite"/>
        <s v="Gears of War 1-4, Forza, Forza Horizon, Torchlight 2 &amp; more"/>
        <s v="Blizzard Games, PoE, Steam Games"/>
        <s v="Red Dead Redemption 2, Tooth and Tail, GTAV Online, and a lot of others"/>
        <s v="Heroes of the Storm, Rust, StarCraft 2, Warcraft 3, Destiny 2, Dauntless, Smite, Clash Royale"/>
        <s v="Rocket League"/>
        <s v="artifact - asap"/>
        <s v="league of legends, WoW, overwatch, destiny 2"/>
        <s v="League of Legends, Magic: the Gathering, Persona 5, Dungeons and Dragons"/>
        <s v="divnity original sin 2, endless legend, elite dangerous"/>
        <s v="Art of War: Red Tides"/>
        <s v="smite fallout 4"/>
        <s v="Dark Souls, DotA 2, Stardew Valley, Enter the Gungeon, Hollow Knight"/>
        <s v="league of legends dota hearthstone "/>
        <s v="Forza Horizon 4 and Diablo 3"/>
        <s v="Human fall flat"/>
        <s v="RTS,Estrategy Survival "/>
        <s v="Quake Champions Pokemon GO"/>
        <s v="Smite, World of Warcraft, Heroes of the Storm, Warhammer (mostly all) Starwars all (except BF) Destiny 2, Diablo 3, Starcraft, Warcraft 3,  Horizon Zero Dawn, Darksouls 1, Darksouls 2, Darksouls 3, The Surge, Bloodborn, Mass Effect 1, Mass Effect 2, Mass Effect 3,  uhm. i dont want to place every steam game of my 260+ library here so thats it i guess.  Oh wait  Soulcalibur 6 is great and Smite tactics.  Im also in some TCG   like Magic the gathering"/>
        <s v="Roblox."/>
        <s v="Hearthstone, Tibia"/>
        <s v="Magic the gathering "/>
        <s v="Adventure Quest 3D"/>
        <s v="wurm unlimited"/>
        <s v="not minion masters :^)"/>
        <s v="Overwatch, Soulcalibur 6, Skyrim, and League of Legends"/>
        <s v="HOTS, SimCity, Wakfu, Fifa19"/>
        <s v="rocket league, roblox"/>
        <s v="Hearthstone, Overwatch"/>
        <s v="bard's tale IV"/>
        <s v="heroes of the storm, hearthstone"/>
        <s v="Heroes of Newerth, Dota 2, Call of Duty Black ops 4, Company of Heroes 2, For Honor"/>
        <s v="clash of clans , eve online , league of legends , heroes of the storm , hearthstone , etc"/>
        <s v="Occasionally League of Legends, Warcraft III, Dark Souls II, Battlerite etc."/>
        <s v="Heroes of the storm, MTG, Fortnite"/>
        <s v="League of Legend, Divinity 2 : Original Syn, The Witcher 3, Fallout 4, Battlerite Arena"/>
        <s v="PUBG, LoL, Hearthstone"/>
        <s v="Too many to name off"/>
        <s v="Clash Royale, Adventure Quest 3D, Club Penguin Online, AQWorlds, Dragonfable, Wizard101, and Toontown Rewritten"/>
        <s v="F1 2018, LoL, Maplestory 2"/>
        <s v="The battle cats👌👌👌👌👌👌"/>
        <s v="UNLEASH"/>
        <s v="Badland Brawl (mobile) &amp; Elder Scrolls Online (MMO)"/>
        <s v="Many games, action, mmorpg, adventure, racing, rpg, fps, sports"/>
        <s v="Hearthstone leauge of legends and a wide variety beyond that"/>
        <s v="I've played countless... but currently MM, WoW, spyro remastered, pokemon go / lets go"/>
        <s v="league of legends, overwatch, gmod"/>
        <s v="Everything. Dark Souls (Any), Magic the Gathering: Arena, Overwatch (only with friends), Heroes of the Storm, CS:GO, etc."/>
        <s v="Overwatch, Fortnite, Door Kickers."/>
        <s v="Minecraft,Roblox,Town of Salem "/>
        <s v="Guild Wars 2"/>
        <s v="League of Legends, Overwatch, Pokemon"/>
        <s v="Dead By Daylight, Battlerite Royale"/>
        <s v="for honor, tf2, skyrim"/>
        <s v="None Really - Just Minion Masters now!"/>
        <s v="Dota 2, Path of Exile"/>
        <s v="Rocket League, CSGO, RanbowSix Siege"/>
        <s v="Clash Royale, various rogue-lites, lots of strategy/management games, Killing Floor"/>
        <s v="Path of Exile, Warframe"/>
        <s v="Clash Royale, Creative Destruction, Darkest Dungeon, Cuphead"/>
        <s v="Rocket League, Minecraft"/>
        <s v="RTS style games"/>
        <s v="PUBG"/>
        <s v="League of Legends etc."/>
        <s v="A lot!  Mostly RPGs, puzzle games, and card games, but recently Shadow of War, too."/>
        <s v="RTS games like Dwarf Fortress, Men of War, etc. Some tower defense games here and there, MMO games. "/>
        <s v="not really any (don't play games much)"/>
        <s v="starcraft 2, age of empires 2,  tekken 7, killing floor 2, diablo 3, heroes of the storm"/>
        <s v="Path of exile, action rpgs...battle chef brigade..."/>
        <s v="Overwatch, Smite, WoT, WoW, Diablo, Various console games."/>
        <s v="World of Warcraft - Leage of Legends  - Hearthstone - Path of exile "/>
        <s v="clash royal, gwent"/>
        <s v="clash royale, league of legends, overwatch, warframe, fortnite, pubg, warcraft 3, starcraft 2"/>
        <s v="WoW, Hots, 7 days to Die, Warframe, Payday 2"/>
        <s v="WoW"/>
        <s v="League of legends, overwatch, call of duty, hearthstone "/>
        <s v="Guild Wars 2, League of Legends, CS:GO, Planet Side 2"/>
        <s v="Hitman 2, Super Mario Odyssey"/>
        <s v="World of Warcraft, Rainbow6 Seige"/>
        <s v="Starcraft II, Overwatch"/>
        <s v="Dota 2, Don't Starve Together, Town of Salem, Counter-Strike 1.6, World of Warcraft, Heroes of Might and Magic III, Terraria. That's my most played ones, not all."/>
        <s v="Call of Duty Black Ops 4, Fortnite, Overwatch, Rust, Hunt Showdown"/>
        <s v="kjlkj"/>
        <s v="League of Legends, PUBG, CSGO"/>
        <s v="warframe,black squad , black desert"/>
        <s v="league of legends, terraria, ark"/>
        <s v="RUST, Rocket League"/>
        <s v="rpg, strategy"/>
        <s v="POE, "/>
        <s v="wow, ark, 7d2d"/>
        <s v="None right now."/>
        <s v="Warframe, Killing Floor 2, Heros of the Storm"/>
        <s v="Starcraft, monster hunter"/>
        <s v="Epic Seven"/>
        <s v="Monster Hunter world, Souls Series"/>
        <s v="path of exile, league of legends, chess."/>
        <s v="Overwatch, Hearthstone, Pokemon TCGO"/>
        <s v="League of Legends, Minecraft, a lot of steam games"/>
        <s v="They are billions, Battleforge, Archeage"/>
        <s v="League of Legends, Hearthstone, Clash Royale"/>
        <s v="RTS, RPGs, strategy games"/>
        <s v="World of Warcraft, Elder Scrolls Online and Fallout 76"/>
        <s v="MTG Arena"/>
        <s v="Hearthstone, Duelyst, Dreadnought, Grim Nights"/>
        <s v="Hearthstone, Call of Duty, Runescape, and Rocket League"/>
        <s v="Assassins Creed, Smite, For Honor, PUBG"/>
        <s v="Black ops 4, Minecraft, Pong, Pac Man, and Minesweeper"/>
        <s v="AoE2, Dragon ball Fighterz, Soul Caliber 6, Supreme Commander, and Beat saber take up most of my gaming time atm."/>
        <s v=" Irrelevant"/>
        <s v="League of legends, maplestory 2"/>
        <s v="too many to list, but pretty much every genre except horror and puzzle. Love strategy the most"/>
        <s v="Overwatch when there's an event or a new hero. I would play wow if it didn't suck. I used to play league but now it sucks too. I play discord nitro games and started path of exile. Free to play is a big factor too."/>
        <s v="League of Legends, Civ 5"/>
        <s v="gta,fall out, poke pro "/>
        <s v="Single/Multi Player Steam Games: Thumper, Deus Ex, Witcher, Gauntlet.  Previously played: League of Legends, Hearthstone, Counter-Strike."/>
        <s v="i like playing fortnite but now i do not. i like play other online games too."/>
        <s v="Dota 2, Lol, SC2"/>
        <s v="On discord none other."/>
        <s v="CS:GO, Overwatch, Dota 2, Warcraft III, Terraria, Grand Theft Auto V, The Binding of Isaac: Rebirth, Rust, Warframe, Garry's Mod, Skyrim"/>
        <s v="Clash Royale, Fortnite"/>
        <s v="League of Legends, Hearthstone, World of Warcraft"/>
        <s v="Hearthstone, Overwatch, Counter-Strike, many indie games"/>
        <s v="Runescape"/>
        <s v="LoL, clash Royale, chess"/>
        <s v="League of legends, lord of the rings online, final fantasy 14 and a mix genre of steam games."/>
        <s v="hearhstone. "/>
        <s v="Strategy games like Europa Universalis, Civilizations and Total War; Fightning games; Card games (Magic, Shadowverse and waiting for Artifact), among others (RPGs, ARPGs, management games, etc)."/>
        <s v="Magic the Gathering, Fortnite, Misc."/>
        <s v="League of Leguends, Destiny 2, Clash Royale, Puzzle Empires"/>
        <s v="Heroes of the Storm, Monster Hunter World, Age of Wonders 3, Warframe"/>
        <s v="paladins champion of the realm "/>
        <s v="League of legends, Hearthstone"/>
        <s v="Left 4 Dead 2, Single Player games mostly"/>
        <s v="Titanfall: Assault, Overkill's The Walking Dead, Red Solstice, and over 1300 others."/>
        <s v="CS:GO, League, Destiny, Overwatch, and some Indies"/>
        <s v="Csgo, Ultimate Chicken Horse"/>
        <s v="Shooters, MMORPGs, MOBAs, almost everything actually"/>
        <s v="Heroes of the storm,Warcraft 3,Gemcraft-chasing shadows."/>
        <s v="Magic: The Gathering Arena"/>
        <s v="rust fallout rainbow six terraria "/>
        <s v="fortnite, rainbow six siege"/>
        <s v="League of legends, enter the gungeon, crusader kings"/>
        <s v="Heroes of the Storm, World of tanks, WoW, Hearthstone"/>
        <s v="XCOM 2 War of the chosen"/>
        <s v="Wow, Hots, hearthstone"/>
        <s v="For Honor to Ubisoft. Blizzard Games : HoTS, Hearstone, Diablo III. "/>
        <s v="All across the board, really. Besiege, Team Fortress 2, Oxygen not Included, Broforce, Vindictus... whichever, really. There isn't much of a red thread connecting what I like playing. Some stuff just clicks."/>
        <s v="LoL, no card games, shooter(BF4,5)"/>
        <s v="Legion TD 2, Path of Exile, Console (Suikoden 1+2 atm)"/>
        <s v="Allot of other games that is strategy and fps "/>
        <s v="Cardgames, MOBA"/>
        <s v="Hitman 2, Rainbow Six Siege, Hearthstone, Super Smash Bros, Fallout 76"/>
        <s v="Dota, Hots, Destiny2"/>
        <s v="League of Legends, Hearthstone, Destiny 2, Heroes of the Storm, Fallout 3, Fallout 4, Fallout 76, PUBG, Cod Blackout,  Starcraft II, Clash Royale, Brawlhalla, Eve Online, Red Alert 2, Dominion 4, EU4, "/>
        <s v="Warframe and occasionally some strategy, fighting, ... something else maybe"/>
        <s v="Stellaris, Rimworld, Monster Hunter"/>
        <s v="Star Wars the Old Republic, League of Legends, Overwatch"/>
        <s v="I play a lot of games lol. Playing FO76 right now"/>
        <s v="Heroes of Newerth, Clash of Clans "/>
        <s v="Cs:go, Clash royal, Rocket league"/>
        <s v="CS:GO, Warframe, Rocket League, Osu!"/>
        <s v="Baldur's gate, Starbound, Warframe, Rollercoaster Tycoon, Stardew Valley, Rocket League, Project Zomboid, Exanima, Shadow of Mordor, Child of Light, Darkest Dungeon, Crypt of the Necrodancer, Dragon Age, Divine Divinity, Dragon's Dogma, Dreadout, Skyrim, Outlast, Final Fantasy 6-12, For Honor, Hammerwatch, Monster Slayers, Neverending Nightmares, Oxenfree, Pit People, Secrets of Grindea, Tomb Raider, This War of Mine, Pokemon, Monster Hunter, Sega Genesis, SNES, NES, Sega CD, Nintendo 64, Gameboy, Guild Wars 2, Drakensang Online"/>
        <s v="Theme Hospital, Prison Architech, Path of Exile, Warframe, Stardew Valley, Starbound, Project Zomboid, Baldur's Gate"/>
        <s v="Planetside 2 Guild wars 2 and sometimes Roblox"/>
        <s v="LoL Slay the Spire"/>
        <s v="Neverwinter, Love Nikki, Marvel's Future Fight, Eldarya"/>
        <s v="League of legends, Magic the gathering, MTGA, Hearthstone, For honor "/>
        <s v="For Honor"/>
        <s v="Elder Scrolls Online, Warframe"/>
        <s v="League of Legends, Dead by Daylight, Maplestory 2 "/>
        <s v="Divinity: Original Sin 2, Minecraft, Realm Grinder, Dungeons 3, thousands of games"/>
        <s v="command &amp; conquer 3:kanes wrath, command &amp; conquer 3: tiberium wars, they are billions, stronghold 2 steam edition, total war: war-hammer 2"/>
        <s v="Cookie Wars, MMOS, Shooter, Strategy, Golem Gates, Racing Games"/>
        <s v="CoD, LoL, Dead by Daylight, Battlerite, Battlerite Royale, Rainbow Six"/>
        <s v="CSGO,  WoW."/>
        <s v="not meny mainly this "/>
        <s v="league of legends , cs go , the biding of isaac , lots of independant games "/>
        <s v="'Battle ground games''"/>
        <s v="Counter-Strike, Overwatch, Starcraft just to name a few"/>
        <s v="Guild Wars 2, Path of Exile, Factorio, Divinity Origional Sin 2."/>
        <s v="FPS, RTS, citybuilder and simulation games"/>
        <s v="warframe, for honor, bloodbowl, total war arena"/>
        <s v="escape from tarkov, league of legends, path of exile"/>
        <s v="LoL, Minecraft, single player RPGs from time to time"/>
        <s v="Lots of multiplayer and singleplayer games"/>
        <s v="Path of exile  Rocket League"/>
        <s v="Overwatch, CSGO, "/>
        <s v="Fallout 76, Albion Online"/>
        <s v="Skyrim, Minecraft"/>
        <s v="DOTA, GWENT, PUBG, They are Billions"/>
        <s v="League of Legends, Gwent, Black Ops IV"/>
        <s v="Eternal Card Game, Smite"/>
        <s v="League of Legeds"/>
        <s v="Vermintide 2"/>
        <s v="Mostly open world games (Fallout 4, Skyrim, Mass Effect: Andromeda, etc) but I also play a good few card games (Elder Scrolls Legends mostly) and a few other games (Fallout Shelter, RWBY:Amity Arena, Elder Scrolls Blades (Once it comes out)"/>
        <s v="Overwatch, Warframe, Destiny, Counter Strike, LoL"/>
        <s v="dofus"/>
        <s v="40k Inquisitor; Fallout 4; Destiny 2; WoW; Hots; LoL; Vermintide 2; "/>
        <s v="CCGs (Hearthstone, Shadowverse), RPGs (currently Kingmaker), MMOs (WoW, Wildstar, Secret World)"/>
        <s v="aion, l4d2"/>
        <s v="A ton of other games. League of legends, overwatch, rainbow six siege, tf2, gmod, it does on and on."/>
        <s v="CS:GO, Don't starve together, legion td 2, resonance of fate, hearthstone and many other game multiplayer with my friends"/>
        <s v="Civilization V"/>
        <s v="World of WarCraft, Team Fortress 2, Dragon Age,"/>
        <s v="Slay the Spire, Dead Cells"/>
        <s v="Lol,Diablo 3,Starcraft2"/>
        <s v="Overwatch, Lobotomy Corp., Destiny 2, R6 Siege, Heroes of the Storm, Killing Floor 2,, Stardew Valley"/>
        <s v="GTA V, LOL, TotalWar: Arena, Stardew Valley, EuroTruck Simulator 2, Assassin's Creed Unity, Overwatch and RocketLeague"/>
        <s v="Nothing"/>
        <s v="one hour one life"/>
        <s v="Paladins, total war serial..."/>
        <s v="League of Legends, Warframe"/>
        <s v="Dark Souls, Warframe, Overwatch and Kingdom Hearts just to name a few"/>
        <s v="Battlerite, Royale Games, FPS"/>
        <s v="League of Legends, Town of Salem"/>
        <s v="Overwatch, TF2"/>
        <s v="Diablo, HotS, Battlefield"/>
        <s v="dota2. "/>
        <s v="warframe, terraria, brawlhalla"/>
        <s v="Overwatch, MTGA, HearthStone, Theme Hospital, COD:BO4, Stardew Valley, Rocket League"/>
        <s v="Mostly league now, played just about every genre though, still play Clash Royale for bout 5 years, what brought me to your game"/>
        <s v="Shadowverse, The Witcher, Disgaea"/>
        <s v="Magic, Yugioh, League of Legends, Call of Duty"/>
        <s v="Legion TD2, Civilisation V, The Elder Scrolls V: Skyrim"/>
        <s v="League of legends, Rocke league , Counter strike go, Astroneer, World of Warcraft, Heroes of the storm and many many more"/>
        <s v="mtg:arena, wow, hearthstone,eternal"/>
        <s v="League of Legends, Destiny 2, ARK: Survival Evolved, Oldschool Runescape"/>
        <s v="HEROS OF THE STORM"/>
        <s v="Overwatch, Hearthstone, multiplayer games on steam"/>
        <s v="Starcraft II, Ylands"/>
        <s v="Magic, Magic Arena, Magic Online, Pokemon Go, "/>
        <s v="league of legends, cs:go"/>
        <s v="Torchlight 2, Hyper Universe"/>
        <s v="Terraria, Counter Strike: Global Offensive"/>
        <s v="oh a load been gamer since 1980"/>
        <s v="Path of Exile, Fallout 76, "/>
        <s v="Monster Hunter World, Vindictus, Factorio, FTL: Faster than Light, Reassembly, Stronghold Crusader, Supreme Commander"/>
        <s v="Extensive Steam catalogue. Lately, Strategy and Roguelikes. Sunless Seas, Swent, Moon Hunters, Rise to Ruins."/>
        <s v="League of Legends, Robocraft"/>
        <s v="Shooters like Overwatch and Battle Royals like Ring of Elysium and Darwin Projects, a lot of Fighting Games in general, time to time Hearthstone but never competitive, a lot of mobile games like Fire Emblem Geroes"/>
        <s v="Smite, Paladins, Maple Story2"/>
        <s v="TF2, Terraria, Overwatch, Ark Survival Evolved, Pokemon, etc."/>
        <s v="Rimworld, League of Legends, SCP: secret laboratory, Space station 13 "/>
        <s v="pubg, d3, not diablo immortal, WoW, Hots, clicker heroes, ARK, "/>
        <s v="hearthstone, minecraft"/>
        <s v="Lately just For Honor"/>
        <s v="Destiny 2, Diablo 3, Heroes of the storm, Rainbow six sige, Borderlands2."/>
        <s v="None Like this at all. I usually play colony games or story games."/>
        <s v="League of legends. ARK"/>
        <s v="The Legend of Zelda, Animal Crossing, Pokemon, Fortnite, League of Legends, Overwatch, Call of Duty: Black Ops Series,  "/>
        <s v="Nothing else right now. This is the only game that's hooked me in YEARS! I'm so happy to be connected to the gaming scene again, and genuinely enjoy one this much. PS, gender bent versions of masters would be hilarious and awesome. Playing as a dude is a drag. (...that pun was an accident but I'll go with it. lol)"/>
        <s v="Guild Wars 2, Diablo3 and 2, Warcraft 3 All of Blizzards games. Few others."/>
        <s v="Most all types of games."/>
        <s v="Hearthstone, Overwatch, and Smash Bros"/>
        <s v="Madden, WWE"/>
        <s v="A large variety, according to mood, from various genres such as RTS, RPG, TD."/>
        <s v="Action roleplay like God of War, Hearthstone, League of Legends, Puzzle Games"/>
        <s v="Fortnite, Fallout series, Bo4, (mainstream games)"/>
        <s v="Heroes of the Storm, Roguelikes (Slay the Spire, Nuclear Throne, etc.), Minecraft, Super Smash Bros. Melee"/>
        <s v="Farm Together"/>
        <s v="brawlhalla , planetside 2 , used to play ark survival evolved"/>
        <s v="rainbow six siege. fortnite. csgo. left for dead 2 . dont sterve. and alot more "/>
        <s v="hearthstone Black ops 4 WOW Heros of the storm LoL dota 2 Csgo Battlefield 1 3 4 and 5"/>
        <s v="Not many now"/>
        <s v="LoL, Planetside2, Hearthstone, Skylords Online"/>
        <s v="cod4, subnautica atm, overwatch, heroes of the storm, stormbound, clash royal"/>
        <s v="ARK, SCP, Dishounered, Sims 4, "/>
        <s v="Albion online  "/>
        <s v="Payday 2, Destiny 2"/>
        <s v="American Truck Simulator, Euro Truck Simulator, Beamng.drive, DIRT 4, and basically the entire Pokemon main game series."/>
        <s v="BOI, Stardew Valley, other mindless games"/>
        <s v="A lot? Overwatch, HotS, Hitman currently."/>
        <s v="MMOs,HotS,For Honor,..."/>
        <s v="World of Tanks; World of Warships"/>
        <s v="Overwatch, Slay the Spire, Darkest Dungeon, Warhammer: Vermintide 2, Warcraft"/>
        <s v="CS:GO, Hearthstone and WoW"/>
        <s v="Forced, Diablo, Hearthstone, Rust"/>
        <s v="Divinity: Original Sin 2, Dead by Daylight, DotA 2"/>
        <s v="Dead by Daylight, Dota 2"/>
        <s v="Lol- some fps- pokemon"/>
        <s v="Overwatch, GTA 5, MapleStory 2"/>
        <s v="Maple Story 2"/>
        <s v="Rocket League, Darsiders "/>
        <s v="I play so much games but now,i play Me n Of War 2,League Of Legends"/>
        <s v="LoL Maple Story 2 Tales of Berseria MGSV GTA V CSGO"/>
        <s v="osu! It's a japanese ''Click on the beat'' game."/>
        <s v="Hearthstone, For Honor, WWE 2k19, Dragon Quest XI, Ultra Street Fighter IV"/>
        <s v="Action Shooting, Rogue like, Digital card game, Strategy, RTS and MOBA,"/>
        <s v="Escape from Tarkov, Arma 3 and generally MilSim Games."/>
        <s v="Paladins, Pokémon, Hearthstone"/>
        <s v="many other games. from console shooters to mobile idlers to roguelikes to 4k strats, you name it."/>
        <s v="Maplestory 2, Warframe, Destiny 2, WoW, Hearthstone, LoL, HotS, Diablo 3, etc"/>
        <s v="Overwatch, Hearthstone, Atlas Reactor."/>
        <s v="Gta, spiderman, super luckys tales, fortnite, mario odyssey, captin toads adventure"/>
        <s v="League of legends, fortnite, some blizzard stuff."/>
        <s v="None at the time."/>
        <s v="League of Legends, Hearthstone, Overwatch, Darkest Dungeon, Heroes of the Storm and others"/>
        <s v="A lot, can't specify."/>
        <s v="Ark Survival, Assassin Creed, Smite, The Forest, Hearthstone. "/>
        <s v="league of legend, overwatch, heores of the storm, puyo puyo, tekken 7, soul calibur 6."/>
        <s v="r6"/>
        <s v="Dota 2, Overwatch, Wow, Heros of might and magic 3, warcraft 3, Call of Duty 2 (i swaped on MM from Hearthstone because of kripp promo video, honestly i didnt like how much money i am forced to spend on casual game)"/>
        <s v="SMITE, Battlerite, Runescape, Pokemon, Dragons Dogma: Dark Arisan, Final Fantasy"/>
        <s v="Albion online, Destiny 2, Arc Survival evolved"/>
        <s v="League of Legends, Football Manager 2019, Divinity Original Sin 2, Crusader Kings 2."/>
        <s v="League of legends, Monster hunter"/>
        <s v="Sid Meier's Civilization, Beyond Earth"/>
        <s v="Dauntless, Azur Lane, Granblue Fantasy, Shadowverse, Brawlhalla, For Honor, Paladins, Overwatch, Vindictus, Guild Wars 2, Warframe, Dark Souls 1, 2 and 3, Duelyst, Dungeon Defenders 2, Art of War: Red Tides, Tera, Heroes and Generals, Planetside 2, Dead Frontier 2 and many others."/>
        <s v="we would be here for awhilejust assume im a loser and go from there"/>
        <s v="Forced / forced showdown ;)"/>
        <s v="I don't think this text field will allow me to list all of them. But here are some: World of Warcraft, Heroes of the Storm, Overwatch, Diablo series, Starcraft series, Warcraft series, Dark Souls series, Hearthstone, Destiny 2 and also I am the FQA Technician working on League of Legends so you could say I play this one too."/>
        <s v="Elder Scroll legends"/>
        <s v="Everything. Path of Exile, Project Zomboid, and Stonehearth most recently"/>
        <s v="League of Legends, World of Warcraft (vanilla), Kingdom Come: Deliverance"/>
        <s v="Overwatch, Kerbal, Factorio, B ops 4, PUBG"/>
        <s v="roblox and lotro(lord of the rings online mmorpg)"/>
        <s v="MTG Online and Rainbow Six Siege."/>
        <s v="CSGO League and alot of strategy"/>
        <s v="DoTA 2, Hearthstone, Overwatch, Dark Souls, Slay the Spire"/>
        <s v="BattleField, Assassins Creed"/>
        <s v="Hots, Sims4, ARK, Sid Meier's Civilisation VI, Dota2, Rainbow Six Siege, My Time At Portia, Oxygen not included, Stardew Valley, Rimworld"/>
        <s v="ogame - heroes of the storm"/>
        <s v="combat arms , borderlands"/>
        <s v="ROCKET LEAGUE, OVERWATCH, LOL"/>
        <s v="City Skylines, hearthstone, overwatch, warframe"/>
        <s v="WOW - DOTA 2 - SUMMONERS WAR (MOBILE) - OVERWATCH - LOL-"/>
        <s v="My friends usually suggest games to me, maybe Brwlhalla, Rocket League, Paladins and other games of those sort "/>
        <s v="Smite, OSU, Euro truck simulator 2"/>
        <s v="LoL, WoWs, swtor, steam games"/>
        <s v="Civilisation, fallout, warplanet conquest and many more ;)"/>
        <s v="Overwatch, Hearthstone, Pokemon"/>
        <s v="League of legends, overwatch "/>
        <s v="League of Legends, Clash Royale, Overwatch, Monster Hunter World, PUBG"/>
        <s v="Smite and Wow"/>
        <s v="Minecraft, No Man's Sky, Clash Royale (mobile), Kingdom Rush (mobile), and many others (I own 500+ games)"/>
        <s v="League Of Legends, Civ 5, Disgaea 5"/>
        <s v=" unturned"/>
        <s v="Starcraft 2, league of legends, heroes of the storm"/>
        <s v="League of Legends, Diablo III"/>
        <s v="clone drone in the danger zone, hitman, broforce, ghost recon wild lands, hearts of iron 4"/>
        <s v="Rocket League, Fortnite, Hearthstone, Black Ops 4"/>
        <s v="Creativerse, Brawllhala, Paladins, Battlerite"/>
        <s v="card games, puzzle games."/>
        <s v="gta v"/>
        <s v="Minecraft and Roblox and Fortnite"/>
        <s v="Factorio, Rocket League, Overwatch"/>
        <s v="borderlands 2, fallout 4"/>
        <s v="League of legends, Assassin's Creed Odyssey, Warframe, Battle royale games and other first person shooters."/>
        <s v="warframe, gmod, terra tech and terraria"/>
        <s v="clash royale mobile game"/>
        <s v="Counterstrike, league of ledgends, rainbow six, battlerite, rdr2"/>
        <s v="Heroes of the Storm, Hearthstone, Counter Strike Global Ofensive, Skyrim, World of Warcraft e Overwatch"/>
        <s v="helldivers, rimworld, deep rock galactic"/>
        <s v="Team Fortress 2, Dota 2, Shadow Warrior 2 (My PC sucks so it can hardly handle it), Cortex Command (Sometimes), West of Loathing (Sometimes), Wizard of Legend (Sometimes)"/>
        <s v="G-mod, Hearthstone, Yugioh Duel Links, Faeria, Arma 3, World of tanks blitz, heroes of the storm, overwatch, starcraft 2, Magic arena, League of legends."/>
        <s v="league of legends   most of blizzard's games   "/>
        <s v="7 days to die, the forest, card hunter, the witcher franchise, "/>
        <s v="Fortnite BR, CS:GO, Fallout 3, Fallout NV, Fallout 4, GTA V, Rocket League, Prison Architect, FIFA 18,19, Raft, Starcraft 2"/>
        <s v="dota 2 rust kingdom new lands monster hunter dungeons 2"/>
        <s v="FPS, RPGs, Grand strategy. That sort of things"/>
        <s v="sport games as madden and fifa, shooter games as call of duty and pubg, hack and slash as diablo"/>
        <s v="Dota2 StarConflict Maple Terra &quot;Thea: The Awakening&quot; ..."/>
        <s v="Diablo, Hearthstone, Heroes of the Storm, Darkest Dungeon"/>
        <s v="Paladins, Echo Of Soul, Maplestory 2, A Hat In Time, And a bunch of lewd games"/>
        <s v="civilization 6, factorio, europa universalis 4, 7 days to die"/>
        <s v="Dark souls, Skyrim, Total War, Fallout, Enter the Gungeon, etc."/>
        <s v="Roblox, Minecraft"/>
        <s v="League of Legends, Dragalia Lost, Pokemon Go"/>
        <s v="Wow, rust, cs, starcraft, AOE, Empire earth. All sorts of games."/>
        <s v="PoE, Hots, Souls like, War3, SCII"/>
        <s v="For Honor, Hots, Civilization, Sea of thieves, everything that´s fun"/>
        <s v="H1Z1, SAS: Zombie Assault 4, Fortnite, ETC"/>
        <s v="HotS, Maplestory 2"/>
        <s v="Monster Hunter World, Dead Cells, Final Fantasy XIV, Pokemon Go"/>
        <s v="MMO (ESO) RTS (SC2) ..."/>
        <s v="MMO RPG"/>
        <s v="Overwatch and Clash Royale right now. I switch up the games I play every month or so though"/>
        <s v="Destiny 2, World of Warcraft, Heroes of the Storm, Rocket League, I play through Dark Souls 3 all the time"/>
        <s v="Solgard"/>
        <s v="Call of Duty, Destiny 2, Diablo 3"/>
        <s v="Final Fantasy XIV, Borderlands 2, Divinity Original Sin 1 + 2 and many others from different genres"/>
        <s v="Mobas and JRPG's"/>
        <s v="building games"/>
        <s v="Heroes of the Storm, Overwatch, Smash Bros, Kingdom Hearts, Visual Novels like zero escape or Danganronpa"/>
        <s v="wicther 1-3, black desert, mass effect, too many more to name"/>
        <s v="Mostly RPGs and RTS"/>
        <s v="PS4: Monster Hunter World, Horizon Zero Dawn, Dark Souls III"/>
        <s v="Rocket League, Overwatch, Arma 3, Battletech"/>
        <s v="SpellStone"/>
        <s v="Fallout 76"/>
        <s v="I play a lot of Rocket League, and i also play starcraft 2. I like real-time strategy :)"/>
        <s v="FF14"/>
        <s v="Divinity Origional Sin 2, Stardew Valley"/>
        <s v="Civ6, Closers, Diablo Immortal"/>
        <s v="rocket league wow csgo"/>
        <s v="League of Legends, Clash Royale, Hearthstone "/>
        <s v="league of legends, call of duty, everything"/>
        <s v="Heroes of the storm, Graveyard Keeper, X-Com 2"/>
        <s v="Overwatch, The Settlers, Gothic 1,2,3 Risen 1,2,3 Elex, Starcraft, Brawlhalla,Spellforce series, Other Roleplaying games, Yu-Gi-Oh, Pokemon, Worms W.M.D, Gwent, Trine, Stardew Valley, Battle Realms "/>
        <s v="heartstone/hots/ few mobil games"/>
        <s v="Rainbow Six Siege, Rimworld, The Witcher, "/>
        <s v="everything, warframe, LoL, Smite, For honor and other online stuff, also other 400+ games on my steam"/>
        <s v="FPS, like Battlefield , Overwatch. RPG's Red Dead 2, Elder Scrolls"/>
        <s v="Red Dead Redemption 2, Clash Royale"/>
        <s v="League of Legends, Hearts of Iron, Magic: The Gathering"/>
        <s v="xcom 2, sinst of a solar empire, players unknown battlegrounds, imortal redneck, lots of others"/>
        <s v="csgo, fishing planet, avengers"/>
        <s v="PUBG, Hearthstone, Rocket League"/>
        <s v="Fighting games"/>
        <s v="xcom 2"/>
        <s v="Magic Arena"/>
        <s v="MTG Arena, Warframe, Hearthstone, Several others."/>
        <s v="mount&amp;blade, borderlands2, payday2, rust"/>
        <s v="mtg arena, gwent, elder scrolls legends, hearthstone, eternal, krosmaga"/>
        <s v="Overwatch, warframe, I use to play hearthstone but rotating cards made it even more pay to win"/>
        <s v="Starcraft 2, Path of Exile, World of Warcraft, Overwatch, Slay the Spire, MTG Arena, Rocket League"/>
        <s v="Warframe,  some fps games and some rpg games"/>
        <s v="Hunt Show Down, DayZ, Ark"/>
        <s v="LoL, CSGO, Fallout, HotS"/>
        <s v="elsword "/>
        <s v="Battlerite Royale"/>
        <s v="Heroes of the Storm competitively, Black Ops"/>
        <s v="Heroes of the Storm, Warcraft 3 The Frozen Throne"/>
        <s v="League of Legends/Star Citizen/Diablo III"/>
        <s v="Overwatch,Hearthstone,Wow,Binding of isaac afterbirth+,S4,Dota2"/>
        <s v="Team fortress 2, Left for dead 2, clash of clans"/>
        <s v="ego shooter, action based games, also hearthstone so i like the aspect with creating decks"/>
        <s v="Dragon Ball FighterZ, Monster Hunter Generations"/>
        <s v="Eve Online, Kerbal Space Program, Dota 2, Torchlight"/>
        <s v="counter strike global offensive"/>
        <s v="https://steamcommunity.com/profiles/76561198325967721/games/?tab=all"/>
        <s v="Counterstrike Global offensive, Hearthstone, , some indie games"/>
        <s v="Hearthstone, Heros of the Storm, Path of Exile."/>
        <s v="Quake Champions, Guilty Gear, KOF XIV, Heroes of the Storm"/>
        <s v="Destiny 2,Rust,Scum,Ark,Rainbow 6, CS:GO"/>
        <s v="Mortal Kombat X , Paladins."/>
        <s v="None"/>
        <s v="Starsector, Breath of the Wild. I really like Dark Souls and Perdona."/>
        <s v="Mini guns, Paladins, PUBG, various mobile idle and puzzle games"/>
        <s v="dota 2, diablo 2 &amp;3,, Grim Dawn, Figthing games such as tekken on ps4"/>
        <s v="Warframe, league of legends, destiny 2, etc."/>
        <s v="Rocket League mostly"/>
        <s v="to much to say: Fifa hearthstone, rocket league etc"/>
        <s v="fnaf games and minecraft!"/>
        <s v="Monster Hunter World, Warframe, Team Fortress, Hunt Showdown, Natural Selection II, etc."/>
        <s v="league of legends and sometimes cs.go butmstly minion masters and league of legends"/>
        <s v="a. lot. of. games."/>
        <s v="League of Legends, Hearthstone, Dark Souls Series"/>
        <s v="Gwent"/>
        <s v="pls"/>
        <s v="Hearthstone, slay the spire"/>
        <s v="LOL too many to count"/>
        <s v="Dark Souls and Counter Strike cover most of my steam hours, formerly a phantasy star online 2 addict"/>
        <s v="Magic the Gathering, X-com"/>
        <s v="Battlerite - Brawhalla"/>
        <s v="Rust, Last day on earth"/>
        <s v="Rimworld, Save the world, and many others"/>
        <s v="Fearia, Star Trek Adversaries, Hearthstone, WoW, GTA V, PUBG"/>
        <s v="Dota, Hearthstone, Magic"/>
        <s v="Heroes of the storm, Rimworld, Oxygen not included, Age of empire 2, rise to ruin, warhammer vermintide 2, killing floor 2, deep rock galactic, League of legend etc..."/>
        <s v="Far North"/>
        <s v="Destiny 2, Dofus, Dark souls, Diablo 3, Ark survival evolved, Borderlands 2, Garry's mod, GTA 5, Monster Hunter world, PUBG, Civilization 5, space engineer, skyrim, fallout 4, ..."/>
        <s v="tf2"/>
        <s v="Divinity Original Sin 2, League of Legends, Elder Scrolls Online, Invisible Inc, Alchemist Code, Last Day on Earth"/>
        <s v="War for the over world, VRChat, and FTL"/>
        <s v="League of Legends, Hearthstone, Soulworker Online, and a lot more"/>
        <s v="tower defense"/>
        <s v="Magic The Gathering"/>
        <s v="I have 666 games in my steam account. A lot."/>
        <s v="D3, Wow, Minecraft, "/>
        <s v="i dont really play anything else"/>
        <s v="Smite, LoL, Ff14 and more"/>
        <s v="Overwatch, Overcooked, Multiplayer Games mostly with friends"/>
        <s v="Dota 2, civ V, slay the spire, crawl"/>
        <s v="That's a pretty big question"/>
        <s v="Total War Warhammer, Mount and blade Warband, Europa universalis 4"/>
        <s v="Planetside 2, Minecraft, Robocraft, Terraria."/>
        <s v="Hearthstone, Rainbow Six siege, Slay the Spire"/>
        <s v="Escape From Tarkov"/>
        <s v="Roblox Asphalt 9 Crazy games Fortnite "/>
        <s v="CS:GO Competitive, Mobile Legends, Planteside 2"/>
        <s v="Dark Souls, Overwatch, Heathstone"/>
        <s v="WoW,disgaea 5,slay the spire, hearstone, PoE"/>
        <s v="Heroes of the storm,mobile games"/>
        <s v="well, this question is really too unspecific, but right now I'm much more on video game that allow fast game like osu! or minion master than big solo game (I lack of time like everyone)"/>
        <s v="heroes of the storm, counter strike global offensif, heroes of hammerwatch, age of mythology. and other"/>
      </sharedItems>
    </cacheField>
    <cacheField name="#6" numFmtId="0">
      <sharedItems containsNonDate="0" containsString="0" containsBlank="1"/>
    </cacheField>
    <cacheField name="On an average week how much time do you spend playing games?" numFmtId="0">
      <sharedItems containsBlank="1"/>
    </cacheField>
    <cacheField name="#7" numFmtId="0">
      <sharedItems containsNonDate="0" containsString="0" containsBlank="1"/>
    </cacheField>
    <cacheField name="Do you watch or stream games on Twitch?" numFmtId="0">
      <sharedItems containsBlank="1"/>
    </cacheField>
    <cacheField name="#8" numFmtId="0">
      <sharedItems containsNonDate="0" containsString="0" containsBlank="1"/>
    </cacheField>
    <cacheField name="Gender" numFmtId="0">
      <sharedItems containsBlank="1"/>
    </cacheField>
    <cacheField name="#9" numFmtId="0">
      <sharedItems containsNonDate="0" containsString="0" containsBlank="1"/>
    </cacheField>
    <cacheField name="Age" numFmtId="0">
      <sharedItems containsBlank="1"/>
    </cacheField>
    <cacheField name="#10" numFmtId="0">
      <sharedItems containsNonDate="0" containsString="0" containsBlank="1"/>
    </cacheField>
    <cacheField name="Occupation" numFmtId="0">
      <sharedItems count="6">
        <s v="Employed"/>
        <s v="Student"/>
        <s v="I prefer not to say"/>
        <s v="Unemployed"/>
        <s v="Self-Employed"/>
        <s v="Retired"/>
      </sharedItems>
    </cacheField>
    <cacheField name="#11" numFmtId="0">
      <sharedItems containsNonDate="0" containsString="0" containsBlank="1"/>
    </cacheField>
    <cacheField name="Country" numFmtId="0">
      <sharedItems/>
    </cacheField>
    <cacheField name="#12"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292">
  <r>
    <d v="2018-11-13T15:31:38"/>
    <s v="Gameplay, Competitions"/>
    <s v="Solo"/>
    <s v="Master Skins"/>
    <m/>
    <s v="Getting my DNest deck faster"/>
    <s v="Yes"/>
    <s v="Anything aggressive that lets me focus more on defeating my opponent rather than accumulating exp for a quicker mana frenzy. (old palace/dnest decks, most cards an aggressive mordar deck would play (in other words: DNest, cleaver, succubus, colossus, etc.))"/>
    <m/>
    <s v="Settsu"/>
    <m/>
    <m/>
    <m/>
    <s v="Grandmaster"/>
    <m/>
    <s v="200-1000"/>
    <m/>
    <x v="0"/>
    <m/>
    <s v="Daily"/>
    <m/>
    <s v="Watch, Stream"/>
    <m/>
    <s v="Male"/>
    <m/>
    <s v="I prefer not to say"/>
    <m/>
    <x v="0"/>
    <m/>
    <s v="Sweden"/>
    <m/>
  </r>
  <r>
    <d v="2018-11-13T16:24:24"/>
    <s v="Gameplay, Collecting Cards/Masters"/>
    <s v="Solo, Duo, Premade Duo, Mayhem Duo"/>
    <m/>
    <m/>
    <s v="Just the premium"/>
    <s v="Yes"/>
    <s v="Tranquil Shi-hou, Cannon Roller, Future Present, Black Hole, Musketeer"/>
    <m/>
    <s v="Apep"/>
    <m/>
    <m/>
    <m/>
    <s v="Grandmaster"/>
    <m/>
    <s v="1000+"/>
    <m/>
    <x v="1"/>
    <m/>
    <s v="Daily"/>
    <m/>
    <s v="Watch"/>
    <m/>
    <s v="Male"/>
    <m/>
    <s v="26-35"/>
    <m/>
    <x v="0"/>
    <m/>
    <s v="Australia"/>
    <m/>
  </r>
  <r>
    <d v="2018-11-13T17:24:12"/>
    <s v="Gameplay, Collecting Cards/Masters, Competitions"/>
    <s v="Solo"/>
    <s v="Master Skins"/>
    <m/>
    <s v="Paid to win the battlepass when it first came out for the LULz and for master skins"/>
    <s v="Yes"/>
    <s v="Future Present, Future Past, Nether Step, Scrat Pack, Blackhole"/>
    <m/>
    <s v="Mordar"/>
    <m/>
    <m/>
    <m/>
    <s v="Grandmaster"/>
    <m/>
    <s v="200-1000"/>
    <m/>
    <x v="2"/>
    <m/>
    <s v="Daily"/>
    <m/>
    <s v="Watch, Stream"/>
    <m/>
    <s v="Male"/>
    <m/>
    <s v="19-25"/>
    <m/>
    <x v="1"/>
    <m/>
    <s v="USA"/>
    <m/>
  </r>
  <r>
    <d v="2018-11-13T20:51:55"/>
    <s v="Collecting Cards/Masters, Competitions, King Puff Cup"/>
    <s v="Solo, Premade Duo"/>
    <s v="Master Skins"/>
    <m/>
    <s v="Yes, for 12 win draft runs back before glory. Lost a lot of economy from the poor communication behind the switch to Glory though."/>
    <s v="No"/>
    <s v="Lighting Bolt, Trick Swap (in old KP), Heal Puff, Wall, Cleaver"/>
    <m/>
    <s v="Mordar"/>
    <m/>
    <m/>
    <m/>
    <s v="Grandmaster"/>
    <m/>
    <s v="1000+"/>
    <m/>
    <x v="3"/>
    <m/>
    <s v="3-4 times a week"/>
    <m/>
    <s v="Watch"/>
    <m/>
    <s v="Male"/>
    <m/>
    <s v="19-25"/>
    <m/>
    <x v="0"/>
    <m/>
    <s v="USA"/>
    <m/>
  </r>
  <r>
    <d v="2018-11-13T21:43:24"/>
    <s v="Gameplay, Competitions"/>
    <s v="Premade Duo, Mayhem Duo"/>
    <m/>
    <m/>
    <s v="no"/>
    <s v="I've not made a purchase"/>
    <s v="bolt, whirly, shi hou, morgrul, prowler"/>
    <m/>
    <s v="Ravager"/>
    <m/>
    <m/>
    <m/>
    <s v="Grandmaster"/>
    <m/>
    <s v="1000+"/>
    <m/>
    <x v="4"/>
    <m/>
    <s v="3-4 times a week"/>
    <m/>
    <s v="Watch"/>
    <m/>
    <s v="I prefer not to say"/>
    <m/>
    <s v="I prefer not to say"/>
    <m/>
    <x v="2"/>
    <m/>
    <s v="I prefer not to say"/>
    <m/>
  </r>
  <r>
    <d v="2018-11-14T11:44:15"/>
    <s v="Gameplay"/>
    <s v="Solo, Duo"/>
    <s v="Emotes"/>
    <s v="No"/>
    <m/>
    <s v="I've not made a purchase"/>
    <m/>
    <m/>
    <s v="Stormbringer"/>
    <m/>
    <m/>
    <m/>
    <s v="Bronze"/>
    <m/>
    <s v="5-25"/>
    <m/>
    <x v="4"/>
    <m/>
    <s v="Daily"/>
    <m/>
    <s v="Watch"/>
    <m/>
    <s v="I prefer not to say"/>
    <m/>
    <s v="I prefer not to say"/>
    <m/>
    <x v="1"/>
    <m/>
    <s v="I prefer not to say"/>
    <m/>
  </r>
  <r>
    <d v="2018-11-14T11:45:47"/>
    <s v="Collecting Cards/Masters"/>
    <s v="Premade Duo"/>
    <s v="Master Skins"/>
    <s v="No"/>
    <m/>
    <s v="I've not made a purchase"/>
    <s v="Harbinger, Crossbow Guild, Fireball, Ghost, Sniper Squad"/>
    <m/>
    <s v="Settsu"/>
    <m/>
    <s v="Can drop into the arena anywhere!"/>
    <m/>
    <s v="Gold"/>
    <m/>
    <s v="100-200"/>
    <m/>
    <x v="5"/>
    <m/>
    <s v="Daily"/>
    <m/>
    <s v="Neither"/>
    <m/>
    <s v="I prefer not to say"/>
    <m/>
    <s v="26-35"/>
    <m/>
    <x v="0"/>
    <m/>
    <s v="Philippines"/>
    <m/>
  </r>
  <r>
    <d v="2018-11-14T11:46:41"/>
    <s v="Gameplay, Competitions/Tournaments"/>
    <s v="Solo, Premade Duo, Mayhem Solo"/>
    <s v="Master Skins"/>
    <s v="No"/>
    <m/>
    <s v="I've not made a purchase"/>
    <s v="crystal archer, sniper scart, bounty sniper, sniper squad, banner man "/>
    <m/>
    <s v="Milloween"/>
    <m/>
    <s v="Arcane Golem"/>
    <m/>
    <s v="Grandmaster"/>
    <m/>
    <s v="200-1000"/>
    <m/>
    <x v="6"/>
    <m/>
    <s v="Daily"/>
    <m/>
    <s v="Watch, Stream"/>
    <m/>
    <s v="Female"/>
    <m/>
    <s v="19-25"/>
    <m/>
    <x v="0"/>
    <m/>
    <s v="USA"/>
    <m/>
  </r>
  <r>
    <d v="2018-11-14T11:47:37"/>
    <s v="Gameplay"/>
    <s v="Premade Duo, Mayhem Duo"/>
    <s v="Master Skins"/>
    <s v="No"/>
    <m/>
    <s v="I've not made a purchase"/>
    <m/>
    <m/>
    <s v="King Puff"/>
    <m/>
    <s v="cool perks and looks cool"/>
    <m/>
    <s v="Master"/>
    <m/>
    <s v="100-200"/>
    <m/>
    <x v="7"/>
    <m/>
    <s v="5-6 times a week"/>
    <m/>
    <s v="Watch"/>
    <m/>
    <s v="Male"/>
    <m/>
    <s v="19-25"/>
    <m/>
    <x v="1"/>
    <m/>
    <s v="Germany"/>
    <m/>
  </r>
  <r>
    <d v="2018-11-14T11:48:09"/>
    <s v="Gameplay, Competitions/Tournaments"/>
    <s v="Solo, Duo"/>
    <s v="Master Skins"/>
    <s v="No"/>
    <m/>
    <m/>
    <m/>
    <m/>
    <s v="Stormbringer"/>
    <m/>
    <m/>
    <m/>
    <s v="Bronze"/>
    <m/>
    <s v="5-25"/>
    <m/>
    <x v="4"/>
    <m/>
    <s v="5-6 times a week"/>
    <m/>
    <s v="Watch, Stream"/>
    <m/>
    <s v="Male"/>
    <m/>
    <s v="19-25"/>
    <m/>
    <x v="2"/>
    <m/>
    <s v="I prefer not to say"/>
    <m/>
  </r>
  <r>
    <d v="2018-11-14T11:48:16"/>
    <s v="Gameplay"/>
    <s v="Duo"/>
    <s v="Master Skins"/>
    <s v="No"/>
    <m/>
    <s v="I've not made a purchase"/>
    <m/>
    <m/>
    <s v="Settsu"/>
    <m/>
    <s v="I was intrigued by the character abilities and I also just love sci-fi"/>
    <m/>
    <s v="Bronze"/>
    <m/>
    <s v="5-25"/>
    <m/>
    <x v="8"/>
    <m/>
    <s v="1-2 times a week"/>
    <m/>
    <s v="Neither"/>
    <m/>
    <s v="Male"/>
    <m/>
    <s v="I prefer not to say"/>
    <m/>
    <x v="2"/>
    <m/>
    <s v="Australia"/>
    <m/>
  </r>
  <r>
    <d v="2018-11-14T11:49:24"/>
    <s v="Gameplay"/>
    <s v="Duo"/>
    <s v="Master Skins"/>
    <s v="No"/>
    <m/>
    <s v="I've not made a purchase"/>
    <m/>
    <m/>
    <s v="Stormbringer"/>
    <m/>
    <s v="Suits my playstyle"/>
    <m/>
    <s v="Silver"/>
    <m/>
    <s v="5-25"/>
    <m/>
    <x v="9"/>
    <m/>
    <s v="Daily"/>
    <m/>
    <s v="Neither"/>
    <m/>
    <s v="Male"/>
    <m/>
    <s v="19-25"/>
    <m/>
    <x v="0"/>
    <m/>
    <s v="Australia"/>
    <m/>
  </r>
  <r>
    <d v="2018-11-14T11:49:24"/>
    <s v="Gameplay"/>
    <s v="Solo, Premade Duo"/>
    <s v="Master Skins"/>
    <s v="No"/>
    <m/>
    <s v="I've not made a purchase"/>
    <s v="I don't have favourite cards"/>
    <m/>
    <s v="Milloween"/>
    <m/>
    <s v="she's a cute girl"/>
    <m/>
    <s v="Gold"/>
    <m/>
    <s v="5-25"/>
    <m/>
    <x v="10"/>
    <m/>
    <s v="Daily"/>
    <m/>
    <s v="Neither"/>
    <m/>
    <s v="Male"/>
    <m/>
    <s v="19-25"/>
    <m/>
    <x v="3"/>
    <m/>
    <s v="Australia"/>
    <m/>
  </r>
  <r>
    <d v="2018-11-14T11:49:29"/>
    <s v="Gameplay, Graphics, Collecting Cards/Masters"/>
    <s v="Duo, Premade Duo"/>
    <s v="Master Skins, Arenas, Emotes"/>
    <s v="No"/>
    <m/>
    <s v="I've not made a purchase"/>
    <m/>
    <m/>
    <s v="Stormbringer"/>
    <m/>
    <s v="The extend reach of the master is really cool"/>
    <m/>
    <s v="Master"/>
    <m/>
    <s v="25-100"/>
    <m/>
    <x v="4"/>
    <m/>
    <s v="Daily"/>
    <m/>
    <s v="Watch"/>
    <m/>
    <s v="Male"/>
    <m/>
    <s v="19-25"/>
    <m/>
    <x v="1"/>
    <m/>
    <s v="France"/>
    <m/>
  </r>
  <r>
    <d v="2018-11-14T11:49:31"/>
    <s v="Gameplay"/>
    <s v="Duo"/>
    <s v="Avatars"/>
    <s v="No"/>
    <m/>
    <s v="I've not made a purchase"/>
    <s v="Future Pass, Future Present, Hypnotize, Demon Warrior, Bridge Shrine."/>
    <m/>
    <s v="Apep"/>
    <m/>
    <s v="He's the good late game snek w/ free cards."/>
    <m/>
    <s v="Silver"/>
    <m/>
    <s v="5-25"/>
    <m/>
    <x v="11"/>
    <m/>
    <s v="Daily"/>
    <m/>
    <s v="Watch, Stream"/>
    <m/>
    <s v="Male"/>
    <m/>
    <s v="19-25"/>
    <m/>
    <x v="0"/>
    <m/>
    <s v="Ukraine"/>
    <m/>
  </r>
  <r>
    <d v="2018-11-14T11:49:32"/>
    <s v="Gameplay, Competitions/Tournaments"/>
    <s v="Solo, Premade Duo"/>
    <s v="Master Skins, Avatars"/>
    <s v="Yes"/>
    <s v="Skins"/>
    <s v="Yes"/>
    <s v="Wall, Stixy, Cleaver, Clear Skies, Screaming Scrat"/>
    <m/>
    <s v="Mordar"/>
    <m/>
    <s v="I play all masters pretty much equally, there is none i really prefer it's more about the decks they enable"/>
    <m/>
    <s v="Grandmaster"/>
    <m/>
    <s v="200-1000"/>
    <m/>
    <x v="12"/>
    <m/>
    <s v="Daily"/>
    <m/>
    <s v="Watch, Stream"/>
    <m/>
    <s v="Male"/>
    <m/>
    <s v="19-25"/>
    <m/>
    <x v="4"/>
    <m/>
    <s v="Germany"/>
    <m/>
  </r>
  <r>
    <d v="2018-11-14T11:49:36"/>
    <s v="Gameplay, Collecting Cards/Masters"/>
    <s v="Solo, Premade Duo"/>
    <s v="Master Skins"/>
    <s v="Yes"/>
    <s v="Skin, Battle Pass"/>
    <s v="Yes"/>
    <s v="Netherstep, Morgrul, Succubus, Mana Puff Madness, Blastmancer"/>
    <m/>
    <s v="Milloween"/>
    <m/>
    <s v="Because I like spells and she has good use for it with the Golem"/>
    <m/>
    <s v="Master"/>
    <m/>
    <s v="100-200"/>
    <m/>
    <x v="13"/>
    <m/>
    <s v="Daily"/>
    <m/>
    <s v="Watch"/>
    <m/>
    <s v="Male"/>
    <m/>
    <s v="19-25"/>
    <m/>
    <x v="0"/>
    <m/>
    <s v="Germany"/>
    <m/>
  </r>
  <r>
    <d v="2018-11-14T11:50:17"/>
    <s v="Gameplay"/>
    <s v="Premade Duo"/>
    <s v="Master Skins, Avatars"/>
    <s v="No"/>
    <m/>
    <s v="I've not made a purchase"/>
    <m/>
    <m/>
    <s v="Ravager"/>
    <m/>
    <s v="His lvl up abilities"/>
    <m/>
    <s v="Gold"/>
    <m/>
    <s v="25-100"/>
    <m/>
    <x v="4"/>
    <m/>
    <s v="5-6 times a week"/>
    <m/>
    <s v="Watch"/>
    <m/>
    <s v="Male"/>
    <m/>
    <s v="19-25"/>
    <m/>
    <x v="0"/>
    <m/>
    <s v="USA"/>
    <m/>
  </r>
  <r>
    <d v="2018-11-14T11:50:49"/>
    <s v="Gameplay"/>
    <s v="Duo"/>
    <s v="Avatars"/>
    <s v="No"/>
    <m/>
    <s v="I've not made a purchase"/>
    <m/>
    <m/>
    <s v="Stormbringer"/>
    <m/>
    <s v="It's the one true free one, and the free Marksman feels nice if nothing else."/>
    <m/>
    <s v="Silver"/>
    <m/>
    <s v="5-25"/>
    <m/>
    <x v="14"/>
    <m/>
    <s v="Daily"/>
    <m/>
    <s v="Watch"/>
    <m/>
    <s v="I prefer not to say"/>
    <m/>
    <s v="19-25"/>
    <m/>
    <x v="3"/>
    <m/>
    <s v="USA"/>
    <m/>
  </r>
  <r>
    <d v="2018-11-14T11:51:07"/>
    <s v="Gameplay, Graphics"/>
    <s v="Solo"/>
    <s v="Arenas, Avatars"/>
    <s v="Yes"/>
    <s v="Just for having them"/>
    <s v="Yes"/>
    <s v="Living Statue, Blastmancer, Cannon Roller, Daggerfall, Disruptor Puffs"/>
    <m/>
    <s v="Volco"/>
    <m/>
    <s v="Good control, good agression"/>
    <m/>
    <s v="Grandmaster"/>
    <m/>
    <s v="1000+"/>
    <m/>
    <x v="15"/>
    <m/>
    <s v="Daily"/>
    <m/>
    <s v="Neither"/>
    <m/>
    <s v="Male"/>
    <m/>
    <s v="14-18"/>
    <m/>
    <x v="0"/>
    <m/>
    <s v="Bulgaria"/>
    <m/>
  </r>
  <r>
    <d v="2018-11-14T11:52:19"/>
    <s v="Gameplay"/>
    <s v="Duo, Premade Duo"/>
    <s v="Master Skins, Arenas"/>
    <s v="No"/>
    <m/>
    <s v="No"/>
    <m/>
    <m/>
    <s v="Volco"/>
    <m/>
    <s v="cause pewpew"/>
    <m/>
    <s v="Grandmaster"/>
    <m/>
    <s v="200-1000"/>
    <m/>
    <x v="4"/>
    <m/>
    <s v="Daily"/>
    <m/>
    <s v="Watch"/>
    <m/>
    <s v="Male"/>
    <m/>
    <s v="26-35"/>
    <m/>
    <x v="1"/>
    <m/>
    <s v="Germany"/>
    <m/>
  </r>
  <r>
    <d v="2018-11-14T11:52:46"/>
    <s v="Gameplay"/>
    <s v="Duo"/>
    <m/>
    <s v="No"/>
    <m/>
    <s v="I've not made a purchase"/>
    <m/>
    <m/>
    <s v="Stormbringer"/>
    <m/>
    <s v="from beginning"/>
    <m/>
    <s v="Stone"/>
    <m/>
    <s v="0-5"/>
    <m/>
    <x v="16"/>
    <m/>
    <s v="Daily"/>
    <m/>
    <s v="Watch"/>
    <m/>
    <s v="Male"/>
    <m/>
    <s v="26-35"/>
    <m/>
    <x v="3"/>
    <m/>
    <s v="Norway"/>
    <m/>
  </r>
  <r>
    <d v="2018-11-14T11:52:50"/>
    <s v="Gameplay, Collecting Cards/Masters"/>
    <s v="Duo, Premade Duo"/>
    <s v="Master Skins"/>
    <s v="No"/>
    <m/>
    <s v="I've not made a purchase"/>
    <s v="I dont really have any of the good cards i want, yet."/>
    <m/>
    <s v="Milloween"/>
    <m/>
    <s v="Her arcane golems and her lvl 2 passive."/>
    <m/>
    <s v="Gold"/>
    <m/>
    <s v="5-25"/>
    <m/>
    <x v="17"/>
    <m/>
    <s v="Daily"/>
    <m/>
    <s v="Watch"/>
    <m/>
    <s v="Male"/>
    <m/>
    <s v="19-25"/>
    <m/>
    <x v="1"/>
    <m/>
    <s v="United Kingdom"/>
    <m/>
  </r>
  <r>
    <d v="2018-11-14T11:52:52"/>
    <s v="Collecting Cards/Masters"/>
    <s v="Premade Duo"/>
    <m/>
    <s v="No"/>
    <m/>
    <s v="I've not made a purchase"/>
    <s v="Every Scrat card"/>
    <m/>
    <s v="Milloween"/>
    <m/>
    <s v="free unit"/>
    <m/>
    <s v="Gold"/>
    <m/>
    <s v="5-25"/>
    <m/>
    <x v="18"/>
    <m/>
    <s v="Daily"/>
    <m/>
    <s v="Watch"/>
    <m/>
    <s v="Male"/>
    <m/>
    <s v="19-25"/>
    <m/>
    <x v="3"/>
    <m/>
    <s v="United Kingdom"/>
    <m/>
  </r>
  <r>
    <d v="2018-11-14T11:53:05"/>
    <s v="Gameplay, Graphics, Collecting Cards/Masters"/>
    <s v="Solo, Duo"/>
    <s v="Master Skins"/>
    <s v="Yes"/>
    <s v="Battle pass"/>
    <s v="Yes"/>
    <m/>
    <m/>
    <s v="Ratbo"/>
    <m/>
    <m/>
    <m/>
    <s v="Silver"/>
    <m/>
    <s v="5-25"/>
    <m/>
    <x v="19"/>
    <m/>
    <s v="Daily"/>
    <m/>
    <s v="Watch, Stream"/>
    <m/>
    <s v="Male"/>
    <m/>
    <s v="26-35"/>
    <m/>
    <x v="0"/>
    <m/>
    <s v="Canada"/>
    <m/>
  </r>
  <r>
    <d v="2018-11-14T11:53:18"/>
    <s v="Gameplay"/>
    <s v="Solo, Premade Duo"/>
    <s v="Arenas, Emotes"/>
    <s v="Yes"/>
    <s v="Buying heroes and season pass"/>
    <s v="Yes"/>
    <s v="Yes"/>
    <m/>
    <s v="Stormbringer"/>
    <m/>
    <s v="I like the control game and the supportive buff"/>
    <m/>
    <s v="Master"/>
    <m/>
    <s v="25-100"/>
    <m/>
    <x v="20"/>
    <m/>
    <s v="Daily"/>
    <m/>
    <s v="Watch"/>
    <m/>
    <s v="Male"/>
    <m/>
    <s v="19-25"/>
    <m/>
    <x v="1"/>
    <m/>
    <s v="Norway"/>
    <m/>
  </r>
  <r>
    <d v="2018-11-14T11:53:21"/>
    <s v="Gameplay, Collecting Cards/Masters"/>
    <s v="Solo"/>
    <s v="Master Skins, Avatars"/>
    <s v="No"/>
    <m/>
    <s v="I've not made a purchase"/>
    <s v="Scrat Pack, Plasma Marines, Blue Golem, Blast Entry, Xiao Long"/>
    <m/>
    <s v="Apep"/>
    <m/>
    <s v="Versatility of decks available."/>
    <m/>
    <s v="Grandmaster"/>
    <m/>
    <s v="200-1000"/>
    <m/>
    <x v="21"/>
    <m/>
    <s v="Daily"/>
    <m/>
    <s v="Watch, Stream"/>
    <m/>
    <s v="Male"/>
    <m/>
    <s v="19-25"/>
    <m/>
    <x v="3"/>
    <m/>
    <s v="Croatia"/>
    <m/>
  </r>
  <r>
    <d v="2018-11-14T11:55:02"/>
    <s v="Collecting Cards/Masters"/>
    <s v="Solo"/>
    <s v="Master Skins"/>
    <s v="Yes"/>
    <s v="Daily deals. The best ones are for cards that I really want. "/>
    <s v="Yes"/>
    <s v="Cleaver, Plasma Marines, Dragon, Xiao Long, Divine Warrior, Scrat pack"/>
    <m/>
    <s v="Mordar"/>
    <m/>
    <s v="Resurrection"/>
    <m/>
    <s v="Gold"/>
    <m/>
    <s v="25-100"/>
    <m/>
    <x v="22"/>
    <m/>
    <s v="Daily"/>
    <m/>
    <s v="Neither"/>
    <m/>
    <s v="Male"/>
    <m/>
    <s v="26-35"/>
    <m/>
    <x v="0"/>
    <m/>
    <s v="USA"/>
    <m/>
  </r>
  <r>
    <d v="2018-11-14T11:55:40"/>
    <s v="Gameplay, Collecting Cards/Masters"/>
    <s v="Solo, Duo, Premade Duo"/>
    <s v="Master Skins, Arenas"/>
    <s v="Yes"/>
    <s v="Came with premium"/>
    <s v="Yes"/>
    <s v="Plasma marines, infiltration, card that transforms random minion into cleaver, "/>
    <m/>
    <s v="Ravager"/>
    <m/>
    <s v="Like his style, also works well with my tactics"/>
    <m/>
    <s v="Gold"/>
    <m/>
    <s v="5-25"/>
    <m/>
    <x v="23"/>
    <m/>
    <s v="5-6 times a week"/>
    <m/>
    <s v="Neither"/>
    <m/>
    <s v="Male"/>
    <m/>
    <s v="26-35"/>
    <m/>
    <x v="0"/>
    <m/>
    <s v="South Africa"/>
    <m/>
  </r>
  <r>
    <d v="2018-11-14T11:55:58"/>
    <s v="Gameplay"/>
    <s v="Solo, Duo, Premade Duo"/>
    <s v="Master Skins, Arenas"/>
    <s v="No"/>
    <m/>
    <s v="I've not made a purchase"/>
    <s v="Scrat, scrat Horde, harbinger, Knight with the shield, "/>
    <m/>
    <s v="Stormbringer"/>
    <m/>
    <s v="Long range and semi high damage "/>
    <m/>
    <s v="Gold"/>
    <m/>
    <s v="25-100"/>
    <m/>
    <x v="24"/>
    <m/>
    <s v="Daily"/>
    <m/>
    <s v="Neither"/>
    <m/>
    <s v="Male"/>
    <m/>
    <s v="14-18"/>
    <m/>
    <x v="1"/>
    <m/>
    <s v="Denmark"/>
    <m/>
  </r>
  <r>
    <d v="2018-11-14T11:56:35"/>
    <s v="Graphics, characters"/>
    <s v="Solo, Expeditions"/>
    <s v="Arenas"/>
    <s v="Yes"/>
    <s v="to earn 2xEXP and to support the developer"/>
    <s v="Yes"/>
    <s v="manapuff, annihilator, XP Shrine, that swap spell from king puff, shock trooper"/>
    <m/>
    <s v="King Puff"/>
    <m/>
    <s v="he is too damn cute"/>
    <m/>
    <s v="Bronze"/>
    <m/>
    <s v="25-100"/>
    <m/>
    <x v="25"/>
    <m/>
    <s v="Occasionally"/>
    <m/>
    <s v="Neither"/>
    <m/>
    <s v="Male"/>
    <m/>
    <s v="26-35"/>
    <m/>
    <x v="0"/>
    <m/>
    <s v="Germany"/>
    <m/>
  </r>
  <r>
    <d v="2018-11-14T11:56:44"/>
    <s v="Gameplay, Collecting Cards/Masters"/>
    <s v="Premade Duo"/>
    <s v="Master Skins, Emotes, Avatars"/>
    <s v="No"/>
    <m/>
    <s v="I've not made a purchase"/>
    <s v="Cheese Date, Rabid Prowler, Blue Golem, Guardian, Harbinger"/>
    <m/>
    <s v="Mordar"/>
    <m/>
    <s v="His gravestones has turned around so many games for my premade and I. Also skeleton, heckin’ love anything skeleton "/>
    <m/>
    <s v="Silver"/>
    <m/>
    <s v="5-25"/>
    <m/>
    <x v="26"/>
    <m/>
    <s v="3-4 times a week"/>
    <m/>
    <s v="Watch"/>
    <m/>
    <s v="Female"/>
    <m/>
    <s v="19-25"/>
    <m/>
    <x v="0"/>
    <m/>
    <s v="Ireland"/>
    <m/>
  </r>
  <r>
    <d v="2018-11-14T11:56:48"/>
    <s v="Gameplay"/>
    <s v="Duo"/>
    <s v="Master Skins"/>
    <s v="No"/>
    <m/>
    <s v="I've not made a purchase"/>
    <m/>
    <m/>
    <s v="King Puff"/>
    <m/>
    <s v="His lv 3"/>
    <m/>
    <s v="Platinum"/>
    <m/>
    <s v="25-100"/>
    <m/>
    <x v="27"/>
    <m/>
    <s v="Daily"/>
    <m/>
    <s v="Watch"/>
    <m/>
    <s v="Male"/>
    <m/>
    <s v="19-25"/>
    <m/>
    <x v="1"/>
    <m/>
    <s v="France"/>
    <m/>
  </r>
  <r>
    <d v="2018-11-14T11:57:59"/>
    <s v="Gameplay"/>
    <s v="Solo, Premade Duo"/>
    <s v="Master Skins, Emotes"/>
    <s v="Yes"/>
    <s v="season pass"/>
    <s v="Yes"/>
    <m/>
    <m/>
    <s v="Settsu"/>
    <m/>
    <s v="all rounder"/>
    <m/>
    <s v="Grandmaster"/>
    <m/>
    <s v="200-1000"/>
    <m/>
    <x v="28"/>
    <m/>
    <s v="Daily"/>
    <m/>
    <s v="Watch, Stream"/>
    <m/>
    <s v="Male"/>
    <m/>
    <s v="26-35"/>
    <m/>
    <x v="0"/>
    <m/>
    <s v="Morocco"/>
    <m/>
  </r>
  <r>
    <d v="2018-11-14T11:58:25"/>
    <s v="Gameplay, Collecting Cards/Masters"/>
    <s v="Duo"/>
    <s v="Arenas"/>
    <s v="No"/>
    <m/>
    <s v="I've not made a purchase"/>
    <s v="Scrat Launcher, Re-boomer, Spiritmancer, Bonemancer, Hyponotize"/>
    <m/>
    <s v="King Puff"/>
    <m/>
    <s v="Control 4/5 Mana Deck"/>
    <m/>
    <s v="Diamond"/>
    <m/>
    <s v="5-25"/>
    <m/>
    <x v="29"/>
    <m/>
    <s v="Daily"/>
    <m/>
    <s v="Neither"/>
    <m/>
    <s v="Male"/>
    <m/>
    <s v="26-35"/>
    <m/>
    <x v="0"/>
    <m/>
    <s v="USA"/>
    <m/>
  </r>
  <r>
    <d v="2018-11-14T11:58:38"/>
    <s v="Gameplay"/>
    <s v="Solo, Duo, Premade Duo"/>
    <m/>
    <s v="No"/>
    <m/>
    <s v="I've not made a purchase"/>
    <s v="colossus, annihilator, xiao long, daggerfall, cursebearer"/>
    <m/>
    <s v="Ravager"/>
    <m/>
    <s v="it was present a lot in top 10"/>
    <m/>
    <s v="Diamond"/>
    <m/>
    <s v="5-25"/>
    <m/>
    <x v="30"/>
    <m/>
    <s v="Daily"/>
    <m/>
    <s v="Watch"/>
    <m/>
    <s v="Male"/>
    <m/>
    <s v="26-35"/>
    <m/>
    <x v="0"/>
    <m/>
    <s v="The Netherlands"/>
    <m/>
  </r>
  <r>
    <d v="2018-11-14T11:59:30"/>
    <s v="Gameplay, Graphics"/>
    <s v="Solo, Premade Duo"/>
    <s v="Master Skins, Avatars"/>
    <s v="No"/>
    <m/>
    <s v="I've not made a purchase"/>
    <s v="Beam of Doom, AIMBot, Harbringer"/>
    <m/>
    <s v="Volco"/>
    <m/>
    <s v="Best for my playstyle"/>
    <m/>
    <s v="Silver"/>
    <m/>
    <s v="5-25"/>
    <m/>
    <x v="31"/>
    <m/>
    <s v="Daily"/>
    <m/>
    <s v="Stream"/>
    <m/>
    <s v="Male"/>
    <m/>
    <s v="14-18"/>
    <m/>
    <x v="1"/>
    <m/>
    <s v="Australia"/>
    <m/>
  </r>
  <r>
    <d v="2018-11-14T12:00:18"/>
    <s v="Gameplay"/>
    <s v="Premade Duo"/>
    <s v="Arenas"/>
    <s v="Yes"/>
    <s v="Account upgrade"/>
    <s v="Yes"/>
    <s v="No"/>
    <m/>
    <s v="Milloween"/>
    <m/>
    <s v="Hot girl"/>
    <m/>
    <s v="Master"/>
    <m/>
    <s v="25-100"/>
    <m/>
    <x v="32"/>
    <m/>
    <s v="3-4 times a week"/>
    <m/>
    <s v="Neither"/>
    <m/>
    <s v="Male"/>
    <m/>
    <s v="19-25"/>
    <m/>
    <x v="1"/>
    <m/>
    <s v="Canada"/>
    <m/>
  </r>
  <r>
    <d v="2018-11-14T12:00:47"/>
    <s v="Gameplay, Collecting Cards/Masters"/>
    <s v="Solo, Duo, Expeditions, Mayhem Solo"/>
    <s v="Master Skins"/>
    <s v="No"/>
    <m/>
    <s v="I've not made a purchase"/>
    <m/>
    <m/>
    <s v="Apep"/>
    <m/>
    <s v="Because I did not see it used often at the higher ranks"/>
    <m/>
    <s v="Master"/>
    <m/>
    <s v="100-200"/>
    <m/>
    <x v="33"/>
    <m/>
    <s v="Daily"/>
    <m/>
    <s v="Neither"/>
    <m/>
    <s v="Male"/>
    <m/>
    <s v="19-25"/>
    <m/>
    <x v="1"/>
    <m/>
    <s v="Australia"/>
    <m/>
  </r>
  <r>
    <d v="2018-11-14T12:00:57"/>
    <s v="Gameplay"/>
    <s v="Duo, Expeditions"/>
    <s v="Master Skins"/>
    <s v="No"/>
    <m/>
    <s v="I've not made a purchase"/>
    <s v="Walking blind date, Xiao Long, Chain lightning, banner man, Plasma marines"/>
    <m/>
    <s v="Milloween"/>
    <m/>
    <s v="Her spell spam"/>
    <m/>
    <s v="Silver"/>
    <m/>
    <s v="5-25"/>
    <m/>
    <x v="34"/>
    <m/>
    <s v="Daily"/>
    <m/>
    <s v="Watch"/>
    <m/>
    <s v="Male"/>
    <m/>
    <s v="I prefer not to say"/>
    <m/>
    <x v="1"/>
    <m/>
    <s v="Australia"/>
    <m/>
  </r>
  <r>
    <d v="2018-11-14T12:01:16"/>
    <s v="Gameplay, Collecting Cards/Masters, Competitions/Tournaments"/>
    <s v="Solo, Duo, Premade Duo"/>
    <s v="Arenas"/>
    <s v="No"/>
    <m/>
    <s v="I've not made a purchase"/>
    <m/>
    <m/>
    <s v="Ravager"/>
    <m/>
    <m/>
    <m/>
    <s v="Diamond"/>
    <m/>
    <s v="25-100"/>
    <m/>
    <x v="4"/>
    <m/>
    <s v="3-4 times a week"/>
    <m/>
    <s v="Stream"/>
    <m/>
    <s v="Male"/>
    <m/>
    <s v="19-25"/>
    <m/>
    <x v="1"/>
    <m/>
    <s v="I prefer not to say"/>
    <m/>
  </r>
  <r>
    <d v="2018-11-14T12:01:32"/>
    <s v="Gameplay"/>
    <s v="Solo"/>
    <m/>
    <s v="No"/>
    <m/>
    <s v="I've not made a purchase"/>
    <m/>
    <m/>
    <s v="King Puff"/>
    <m/>
    <s v="Overpowered"/>
    <m/>
    <s v="Master"/>
    <m/>
    <s v="100-200"/>
    <m/>
    <x v="35"/>
    <m/>
    <s v="5-6 times a week"/>
    <m/>
    <s v="Watch, Stream"/>
    <m/>
    <s v="Male"/>
    <m/>
    <s v="over 36"/>
    <m/>
    <x v="0"/>
    <m/>
    <s v="Australia"/>
    <m/>
  </r>
  <r>
    <d v="2018-11-14T12:01:38"/>
    <s v="Gameplay"/>
    <s v="Solo, Expeditions"/>
    <s v="Master Skins, Arenas"/>
    <s v="Yes"/>
    <s v="I bought the Premium Package. To get the permanent Boosts and to support the Devs"/>
    <s v="Yes"/>
    <m/>
    <m/>
    <s v="Stormbringer"/>
    <m/>
    <s v="I like the Range Increase"/>
    <m/>
    <s v="Master"/>
    <m/>
    <s v="25-100"/>
    <m/>
    <x v="36"/>
    <m/>
    <s v="5-6 times a week"/>
    <m/>
    <s v="Watch"/>
    <m/>
    <s v="I prefer not to say"/>
    <m/>
    <s v="19-25"/>
    <m/>
    <x v="1"/>
    <m/>
    <s v="Germany"/>
    <m/>
  </r>
  <r>
    <d v="2018-11-14T12:02:11"/>
    <s v="Gameplay, Graphics, Collecting Cards/Masters, Competitions/Tournaments, Crafting system"/>
    <s v="Solo, Duo, Expeditions"/>
    <s v="Master Skins, Arenas, Avatars"/>
    <s v="No"/>
    <m/>
    <s v="I've not made a purchase"/>
    <s v="Blind date, crystal archers, screaming scrat, 10 mana card (forgot name), musketeer"/>
    <m/>
    <s v="Milloween"/>
    <m/>
    <s v="Cool, good skills, works well for me"/>
    <m/>
    <s v="Silver"/>
    <m/>
    <s v="25-100"/>
    <m/>
    <x v="37"/>
    <m/>
    <s v="3-4 times a week"/>
    <m/>
    <s v="Watch"/>
    <m/>
    <s v="Male"/>
    <m/>
    <s v="19-25"/>
    <m/>
    <x v="0"/>
    <m/>
    <s v="Ireland"/>
    <m/>
  </r>
  <r>
    <d v="2018-11-14T12:02:18"/>
    <s v="Gameplay"/>
    <s v="Solo, Premade Duo"/>
    <s v="Master Skins, Arenas"/>
    <s v="Yes"/>
    <s v="To have rubies. (Battle pass)"/>
    <s v="Yes"/>
    <s v="Harbringer, Crossbow Guild, Scrat Horde, Plasma Marines, Arcane Golem"/>
    <m/>
    <s v="Stormbringer"/>
    <m/>
    <s v="It seems good, I enjoy they range and his auto hit is basically like always having a minion in play."/>
    <m/>
    <s v="Platinum"/>
    <m/>
    <s v="5-25"/>
    <m/>
    <x v="38"/>
    <m/>
    <s v="Daily"/>
    <m/>
    <s v="Watch"/>
    <m/>
    <s v="Male"/>
    <m/>
    <s v="19-25"/>
    <m/>
    <x v="1"/>
    <m/>
    <s v="Sweden"/>
    <m/>
  </r>
  <r>
    <d v="2018-11-14T12:02:54"/>
    <s v="Gameplay"/>
    <s v="Duo, Mayhem Solo"/>
    <s v="Arenas"/>
    <s v="Yes"/>
    <s v="To support the game"/>
    <s v="No"/>
    <s v="Black Hole, Arcane Golem, Whirly Scrat, Priestess, Crystal Archers"/>
    <m/>
    <s v="Stormbringer"/>
    <m/>
    <s v="Useful in general"/>
    <m/>
    <s v="Diamond"/>
    <m/>
    <s v="100-200"/>
    <m/>
    <x v="39"/>
    <m/>
    <s v="Daily"/>
    <m/>
    <s v="Watch"/>
    <m/>
    <s v="Male"/>
    <m/>
    <s v="26-35"/>
    <m/>
    <x v="1"/>
    <m/>
    <s v="United Kingdom"/>
    <m/>
  </r>
  <r>
    <d v="2018-11-14T12:04:25"/>
    <s v="Gameplay"/>
    <s v="Premade Duo"/>
    <s v="Arenas"/>
    <s v="Yes"/>
    <s v="Premium account"/>
    <s v="Yes"/>
    <m/>
    <m/>
    <s v="Apep"/>
    <m/>
    <s v="Good tempo  wide variety of cards to use each game"/>
    <m/>
    <s v="Gold"/>
    <m/>
    <s v="5-25"/>
    <m/>
    <x v="40"/>
    <m/>
    <s v="Daily"/>
    <m/>
    <s v="Neither"/>
    <m/>
    <s v="Male"/>
    <m/>
    <s v="19-25"/>
    <m/>
    <x v="0"/>
    <m/>
    <s v="United Kingdom"/>
    <m/>
  </r>
  <r>
    <d v="2018-11-14T12:04:33"/>
    <s v="Gameplay"/>
    <s v="Premade Duo"/>
    <s v="Arenas"/>
    <s v="Yes"/>
    <s v="Battle pass"/>
    <s v="Yes"/>
    <s v="mana puff madness, styx, black hole, chain lightning, troubadour"/>
    <m/>
    <s v="Stormbringer"/>
    <m/>
    <s v="marksman skill is so good to have in duo"/>
    <m/>
    <s v="Diamond"/>
    <m/>
    <s v="5-25"/>
    <m/>
    <x v="41"/>
    <m/>
    <s v="5-6 times a week"/>
    <m/>
    <s v="Neither"/>
    <m/>
    <s v="Male"/>
    <m/>
    <s v="19-25"/>
    <m/>
    <x v="1"/>
    <m/>
    <s v="USA"/>
    <m/>
  </r>
  <r>
    <d v="2018-11-14T12:04:44"/>
    <s v="Gameplay"/>
    <s v="Solo, Expeditions, Mayhem Solo"/>
    <s v="Master Skins"/>
    <s v="Yes"/>
    <s v="Liked the Battlepass idea. Wanted to jumpstart my xp and will use the rest probably for a master."/>
    <s v="Yes"/>
    <s v="xiao long, Banner man, sniper scrat, defenso chopper, armoured escort "/>
    <m/>
    <s v="Milloween"/>
    <m/>
    <s v="I really like the spells being oriented as a part of her golem as well as the nice feeling of the endgame golems. Her attack is also nice so I don't have to defend against some things with cards so I can save up for a push."/>
    <m/>
    <s v="Platinum"/>
    <m/>
    <s v="5-25"/>
    <m/>
    <x v="42"/>
    <m/>
    <s v="Daily"/>
    <m/>
    <s v="Watch"/>
    <m/>
    <s v="Male"/>
    <m/>
    <s v="19-25"/>
    <m/>
    <x v="0"/>
    <m/>
    <s v="USA"/>
    <m/>
  </r>
  <r>
    <d v="2018-11-14T12:08:01"/>
    <s v="Gameplay, Graphics, Collecting Cards/Masters"/>
    <s v="Solo, Duo, Premade Duo, Expeditions"/>
    <s v="Master Skins, Arenas"/>
    <s v="No"/>
    <m/>
    <s v="I've not made a purchase"/>
    <m/>
    <m/>
    <s v="Stormbringer"/>
    <m/>
    <s v="Overall a good, solid master to pick with the ability to shoot the minions everywhere and even the enermy master :D"/>
    <m/>
    <s v="Gold"/>
    <m/>
    <s v="5-25"/>
    <m/>
    <x v="43"/>
    <m/>
    <s v="Daily"/>
    <m/>
    <s v="Watch"/>
    <m/>
    <s v="Male"/>
    <m/>
    <s v="14-18"/>
    <m/>
    <x v="1"/>
    <m/>
    <s v="Denmark"/>
    <m/>
  </r>
  <r>
    <d v="2018-11-14T12:08:42"/>
    <s v="Gameplay, Collecting Cards/Masters, building combos"/>
    <s v="Premade Duo"/>
    <s v="Avatars"/>
    <s v="No"/>
    <m/>
    <s v="I've not made a purchase"/>
    <s v="Propeller horde, Dragon ball, Gor'rakk brutes, Red golem and Dragon nest"/>
    <m/>
    <s v="Milloween"/>
    <m/>
    <s v="becuse she enables deck strategy"/>
    <m/>
    <s v="Gold"/>
    <m/>
    <s v="25-100"/>
    <m/>
    <x v="44"/>
    <m/>
    <s v="Daily"/>
    <m/>
    <s v="Neither"/>
    <m/>
    <s v="Male"/>
    <m/>
    <s v="26-35"/>
    <m/>
    <x v="0"/>
    <m/>
    <s v="Sweden"/>
    <m/>
  </r>
  <r>
    <d v="2018-11-14T12:08:48"/>
    <s v="Gameplay, Graphics"/>
    <s v="Solo, Duo"/>
    <s v="Master Skins"/>
    <s v="No"/>
    <m/>
    <s v="I've not made a purchase"/>
    <m/>
    <m/>
    <s v="Milloween"/>
    <m/>
    <m/>
    <m/>
    <s v="Bronze"/>
    <m/>
    <s v="0-5"/>
    <m/>
    <x v="4"/>
    <m/>
    <s v="5-6 times a week"/>
    <m/>
    <s v="Watch"/>
    <m/>
    <s v="Female"/>
    <m/>
    <s v="19-25"/>
    <m/>
    <x v="3"/>
    <m/>
    <s v="Italy"/>
    <m/>
  </r>
  <r>
    <d v="2018-11-14T12:09:44"/>
    <s v="Gameplay"/>
    <s v="Duo"/>
    <s v="Emotes"/>
    <s v="No"/>
    <m/>
    <s v="I've not made a purchase"/>
    <s v="no"/>
    <m/>
    <s v="King Puff"/>
    <m/>
    <s v="i like his abilitys"/>
    <m/>
    <s v="Diamond"/>
    <m/>
    <s v="100-200"/>
    <m/>
    <x v="45"/>
    <m/>
    <s v="Daily"/>
    <m/>
    <s v="Watch"/>
    <m/>
    <s v="Male"/>
    <m/>
    <s v="over 36"/>
    <m/>
    <x v="3"/>
    <m/>
    <s v="Sweden"/>
    <m/>
  </r>
  <r>
    <d v="2018-11-14T12:10:26"/>
    <s v="The announcer"/>
    <s v="Solo"/>
    <s v="Avatars"/>
    <s v="No"/>
    <m/>
    <s v="I've not made a purchase"/>
    <s v="Cleaver, Golem, Ghost, Daggerfall, Stun Stone"/>
    <m/>
    <s v="King Puff"/>
    <m/>
    <s v="His perk 3 to turn invincible is OP."/>
    <m/>
    <s v="Silver"/>
    <m/>
    <m/>
    <m/>
    <x v="46"/>
    <m/>
    <s v="Daily"/>
    <m/>
    <s v="Neither"/>
    <m/>
    <s v="Male"/>
    <m/>
    <s v="14-18"/>
    <m/>
    <x v="2"/>
    <m/>
    <s v="I prefer not to say"/>
    <m/>
  </r>
  <r>
    <d v="2018-11-14T12:11:09"/>
    <s v="Gameplay"/>
    <s v="Duo, Premade Duo, Expeditions"/>
    <s v="Master Skins"/>
    <s v="Yes"/>
    <s v="having enough for battlepack"/>
    <s v="Yes"/>
    <s v="black hole, shock rock, hypnotize (though it needs buff), healing fire ball, screaming scrat"/>
    <m/>
    <s v="Milloween"/>
    <m/>
    <s v="she's cute and I think spells are the most fun and interesting thing to play"/>
    <m/>
    <s v="Master"/>
    <m/>
    <s v="25-100"/>
    <m/>
    <x v="47"/>
    <m/>
    <s v="5-6 times a week"/>
    <m/>
    <s v="Watch, Stream"/>
    <m/>
    <s v="Female"/>
    <m/>
    <s v="26-35"/>
    <m/>
    <x v="1"/>
    <m/>
    <s v="USA"/>
    <m/>
  </r>
  <r>
    <d v="2018-11-14T12:11:13"/>
    <s v="Gameplay"/>
    <s v="Duo"/>
    <s v="Emotes"/>
    <s v="No"/>
    <m/>
    <s v="I've not made a purchase"/>
    <s v="Chain Lightning, Hypnotize, Incubus, Netherstep, Walking Blind Date"/>
    <m/>
    <s v="Ravager"/>
    <m/>
    <s v="Brutus is so good when you can keep him alive long enough"/>
    <m/>
    <s v="Gold"/>
    <m/>
    <s v="25-100"/>
    <m/>
    <x v="48"/>
    <m/>
    <s v="Daily"/>
    <m/>
    <s v="Neither"/>
    <m/>
    <s v="Male"/>
    <m/>
    <s v="14-18"/>
    <m/>
    <x v="1"/>
    <m/>
    <s v="USA"/>
    <m/>
  </r>
  <r>
    <d v="2018-11-14T12:11:30"/>
    <s v="Gameplay, Graphics"/>
    <s v="Solo, Premade Duo"/>
    <s v="Arenas"/>
    <s v="No"/>
    <m/>
    <s v="I've not made a purchase"/>
    <s v="Daggerfall, raging reinforcements, healing fireball, plasma marines and blue golem "/>
    <m/>
    <s v="Ravager"/>
    <m/>
    <s v="His tier 2 upgrade and the built in tank minions without using suchba high mana costing card"/>
    <m/>
    <s v="Platinum"/>
    <m/>
    <s v="25-100"/>
    <m/>
    <x v="49"/>
    <m/>
    <s v="Daily"/>
    <m/>
    <s v="Watch, Stream"/>
    <m/>
    <s v="Male"/>
    <m/>
    <s v="19-25"/>
    <m/>
    <x v="1"/>
    <m/>
    <s v="USA"/>
    <m/>
  </r>
  <r>
    <d v="2018-11-14T12:12:12"/>
    <s v="Gameplay, Collecting Cards/Masters, Crafting system"/>
    <s v="Duo, Premade Duo"/>
    <s v="Avatars"/>
    <s v="Yes"/>
    <s v="Battle pass"/>
    <s v="Yes"/>
    <s v="Scrat Pack, Spiritmancer, Spirit Vessel, Plasma Marines, Daggerfall "/>
    <m/>
    <s v="Stormbringer"/>
    <m/>
    <s v="Love the global presence and marksmanship ability, provides great support for Duos."/>
    <m/>
    <s v="Diamond"/>
    <m/>
    <s v="25-100"/>
    <m/>
    <x v="50"/>
    <m/>
    <s v="Daily"/>
    <m/>
    <s v="Watch, Stream"/>
    <m/>
    <s v="Male"/>
    <m/>
    <s v="19-25"/>
    <m/>
    <x v="0"/>
    <m/>
    <s v="USA"/>
    <m/>
  </r>
  <r>
    <d v="2018-11-14T12:13:13"/>
    <s v="Gameplay, Collecting Cards/Masters, Competitions/Tournaments"/>
    <s v="Duo"/>
    <s v="Master Skins"/>
    <s v="No"/>
    <m/>
    <s v="I've not made a purchase"/>
    <s v="Mana puffs | Arcane Missiles | Crystal Archers | Crystal Construct | Blood Imps"/>
    <m/>
    <s v="Milloween"/>
    <m/>
    <s v="She is a powerful female character"/>
    <m/>
    <s v="Silver"/>
    <m/>
    <s v="25-100"/>
    <m/>
    <x v="51"/>
    <m/>
    <s v="3-4 times a week"/>
    <m/>
    <s v="Neither"/>
    <m/>
    <s v="Female"/>
    <m/>
    <s v="19-25"/>
    <m/>
    <x v="0"/>
    <m/>
    <s v="South Africa"/>
    <m/>
  </r>
  <r>
    <d v="2018-11-14T12:13:14"/>
    <s v="Collecting Cards/Masters"/>
    <s v="Solo, Premade Duo"/>
    <s v="Avatars"/>
    <s v="No"/>
    <m/>
    <s v="I've not made a purchase"/>
    <m/>
    <m/>
    <s v="Settsu"/>
    <m/>
    <m/>
    <m/>
    <s v="Bronze"/>
    <m/>
    <s v="5-25"/>
    <m/>
    <x v="52"/>
    <m/>
    <s v="Daily"/>
    <m/>
    <s v="Watch"/>
    <m/>
    <s v="Male"/>
    <m/>
    <s v="14-18"/>
    <m/>
    <x v="2"/>
    <m/>
    <s v="Australia"/>
    <m/>
  </r>
  <r>
    <d v="2018-11-14T12:13:18"/>
    <s v="Gameplay, Collecting Cards/Masters"/>
    <s v="Solo"/>
    <s v="Master Skins, Emotes"/>
    <s v="No"/>
    <m/>
    <s v="I've not made a purchase"/>
    <s v="Escorts, Plasma Marines, Black Hole, Infiltration, The Twins"/>
    <m/>
    <s v="Ravager"/>
    <m/>
    <s v="I love Fast Games and big Combo Pushes"/>
    <m/>
    <s v="Grandmaster"/>
    <m/>
    <s v="100-200"/>
    <m/>
    <x v="53"/>
    <m/>
    <s v="Daily"/>
    <m/>
    <s v="Watch, Stream"/>
    <m/>
    <s v="Male"/>
    <m/>
    <s v="19-25"/>
    <m/>
    <x v="0"/>
    <m/>
    <s v="Brazil"/>
    <m/>
  </r>
  <r>
    <d v="2018-11-14T12:13:35"/>
    <s v="Gameplay"/>
    <s v="Duo, Premade Duo, Expeditions, Mayhem Duo"/>
    <s v="Arenas, Emotes"/>
    <s v="No"/>
    <m/>
    <s v="I've not made a purchase"/>
    <s v="Divine warrior, healing shrine, illusion reaver, bridge buddies"/>
    <m/>
    <s v="Stormbringer"/>
    <m/>
    <s v="Marksmanship passive"/>
    <m/>
    <s v="Diamond"/>
    <m/>
    <s v="100-200"/>
    <m/>
    <x v="54"/>
    <m/>
    <s v="Daily"/>
    <m/>
    <s v="Neither"/>
    <m/>
    <s v="Male"/>
    <m/>
    <s v="19-25"/>
    <m/>
    <x v="1"/>
    <m/>
    <s v="Kazakhstan"/>
    <m/>
  </r>
  <r>
    <d v="2018-11-14T12:14:23"/>
    <s v="Gameplay, Collecting Cards/Masters"/>
    <s v="Duo"/>
    <s v="Master Skins, Avatars"/>
    <s v="No"/>
    <m/>
    <s v="I've not made a purchase"/>
    <m/>
    <m/>
    <s v="Stormbringer"/>
    <m/>
    <s v="Global range"/>
    <m/>
    <s v="Diamond"/>
    <m/>
    <s v="5-25"/>
    <m/>
    <x v="55"/>
    <m/>
    <s v="Daily"/>
    <m/>
    <s v="Watch"/>
    <m/>
    <s v="I prefer not to say"/>
    <m/>
    <s v="26-35"/>
    <m/>
    <x v="3"/>
    <m/>
    <s v="United Kingdom"/>
    <m/>
  </r>
  <r>
    <d v="2018-11-14T12:15:42"/>
    <s v="Gameplay"/>
    <s v="Premade Duo"/>
    <s v="Arenas"/>
    <s v="Yes"/>
    <s v="All"/>
    <s v="Yes"/>
    <s v="Morgrul, Black Hole, Wheel of Doom now^^, Fireball, Xiao"/>
    <m/>
    <s v="King Puff"/>
    <m/>
    <s v="Perks"/>
    <m/>
    <s v="Grandmaster"/>
    <m/>
    <s v="1000+"/>
    <m/>
    <x v="56"/>
    <m/>
    <s v="Daily"/>
    <m/>
    <s v="Watch"/>
    <m/>
    <s v="Male"/>
    <m/>
    <s v="over 36"/>
    <m/>
    <x v="0"/>
    <m/>
    <s v="France"/>
    <m/>
  </r>
  <r>
    <d v="2018-11-14T12:15:43"/>
    <s v="Gameplay, Graphics, Collecting Cards/Masters"/>
    <s v="Solo"/>
    <s v="Emotes"/>
    <s v="No"/>
    <m/>
    <s v="I've not made a purchase"/>
    <m/>
    <m/>
    <s v="Milloween"/>
    <m/>
    <s v="look at her boobs :), and for her gameplay"/>
    <m/>
    <s v="Diamond"/>
    <m/>
    <s v="25-100"/>
    <m/>
    <x v="57"/>
    <m/>
    <s v="3-4 times a week"/>
    <m/>
    <s v="Neither"/>
    <m/>
    <s v="Male"/>
    <m/>
    <s v="19-25"/>
    <m/>
    <x v="1"/>
    <m/>
    <s v="France"/>
    <m/>
  </r>
  <r>
    <d v="2018-11-14T12:17:03"/>
    <s v="Gameplay"/>
    <s v="Solo, Premade Duo, Expeditions"/>
    <s v="Arenas, Avatars"/>
    <s v="No"/>
    <m/>
    <s v="I've not made a purchase"/>
    <s v="1. Prowler, 2. Blue Golem, 3. "/>
    <m/>
    <s v="Mordar"/>
    <m/>
    <s v="The tombstones are fun to use"/>
    <m/>
    <s v="Platinum"/>
    <m/>
    <s v="5-25"/>
    <m/>
    <x v="58"/>
    <m/>
    <s v="Daily"/>
    <m/>
    <s v="Neither"/>
    <m/>
    <s v="Male"/>
    <m/>
    <s v="14-18"/>
    <m/>
    <x v="1"/>
    <m/>
    <s v="Sweden"/>
    <m/>
  </r>
  <r>
    <d v="2018-11-14T12:17:35"/>
    <s v="Gameplay"/>
    <s v="Premade Duo"/>
    <s v="Master Skins, Arenas, Avatars"/>
    <s v="No"/>
    <m/>
    <s v="I've not made a purchase"/>
    <m/>
    <m/>
    <s v="Stormbringer"/>
    <m/>
    <s v="Capability of range damage"/>
    <m/>
    <s v="Platinum"/>
    <m/>
    <s v="5-25"/>
    <m/>
    <x v="4"/>
    <m/>
    <s v="3-4 times a week"/>
    <m/>
    <s v="Neither"/>
    <m/>
    <s v="Male"/>
    <m/>
    <s v="19-25"/>
    <m/>
    <x v="0"/>
    <m/>
    <s v="I prefer not to say"/>
    <m/>
  </r>
  <r>
    <d v="2018-11-14T12:18:30"/>
    <s v="Gameplay"/>
    <s v="Premade Duo"/>
    <s v="Master Skins"/>
    <s v="No"/>
    <m/>
    <s v="I've not made a purchase"/>
    <m/>
    <m/>
    <s v="Milloween"/>
    <m/>
    <m/>
    <m/>
    <s v="Bronze"/>
    <m/>
    <s v="0-5"/>
    <m/>
    <x v="59"/>
    <m/>
    <s v="Daily"/>
    <m/>
    <s v="Watch"/>
    <m/>
    <s v="Male"/>
    <m/>
    <s v="19-25"/>
    <m/>
    <x v="1"/>
    <m/>
    <s v="Germany"/>
    <m/>
  </r>
  <r>
    <d v="2018-11-14T12:20:46"/>
    <s v="Gameplay"/>
    <s v="Premade Duo"/>
    <s v="Master Skins"/>
    <s v="No"/>
    <m/>
    <s v="I've not made a purchase"/>
    <m/>
    <m/>
    <s v="Milloween"/>
    <m/>
    <m/>
    <m/>
    <s v="Silver"/>
    <m/>
    <s v="5-25"/>
    <m/>
    <x v="4"/>
    <m/>
    <s v="Daily"/>
    <m/>
    <s v="Watch"/>
    <m/>
    <s v="Male"/>
    <m/>
    <s v="19-25"/>
    <m/>
    <x v="1"/>
    <m/>
    <s v="I prefer not to say"/>
    <m/>
  </r>
  <r>
    <d v="2018-11-14T12:21:17"/>
    <s v="Gameplay, Collecting Cards/Masters"/>
    <s v="Solo, Duo"/>
    <s v="Master Skins, Arenas"/>
    <s v="Yes"/>
    <s v="Battle pass"/>
    <s v="Yes"/>
    <m/>
    <m/>
    <s v="Apep"/>
    <m/>
    <m/>
    <m/>
    <s v="Gold"/>
    <m/>
    <s v="25-100"/>
    <m/>
    <x v="60"/>
    <m/>
    <s v="Daily"/>
    <m/>
    <s v="Neither"/>
    <m/>
    <s v="Male"/>
    <m/>
    <s v="over 36"/>
    <m/>
    <x v="0"/>
    <m/>
    <s v="Switzerland"/>
    <m/>
  </r>
  <r>
    <d v="2018-11-14T12:21:47"/>
    <s v="Gameplay, Collecting Cards/Masters"/>
    <s v="Solo, Duo, Expeditions"/>
    <s v="Arenas"/>
    <s v="Yes"/>
    <s v="To buy a champion"/>
    <s v="Yes"/>
    <s v="Nana puff, re-boomer, "/>
    <m/>
    <s v="Stormbringer"/>
    <m/>
    <s v="Global attack range"/>
    <m/>
    <s v="Platinum"/>
    <m/>
    <s v="25-100"/>
    <m/>
    <x v="61"/>
    <m/>
    <s v="Daily"/>
    <m/>
    <s v="Neither"/>
    <m/>
    <s v="Male"/>
    <m/>
    <s v="26-35"/>
    <m/>
    <x v="0"/>
    <m/>
    <s v="Canada"/>
    <m/>
  </r>
  <r>
    <d v="2018-11-14T12:21:58"/>
    <s v="Gameplay, Competitions/Tournaments, Community"/>
    <s v="Solo, Premade Duo"/>
    <s v="Master Skins, Emotes"/>
    <s v="Yes"/>
    <s v="Get rid of my tournament money, (Conquering the Universe),being kind to devs, get battlepass, (pay2win)"/>
    <s v="Yes"/>
    <s v="Black Hole, Plasma Marines, Netherstep, Prowler, (Snail),Bridge Swap"/>
    <m/>
    <s v="Settsu"/>
    <m/>
    <s v="Because you really need to think carefully about the things you do and it requires lots of skill to play, has nice playmaking potential, diversified matches"/>
    <m/>
    <s v="Grandmaster"/>
    <m/>
    <s v="1000+"/>
    <m/>
    <x v="62"/>
    <m/>
    <s v="Daily"/>
    <m/>
    <s v="Watch"/>
    <m/>
    <s v="I prefer not to say"/>
    <m/>
    <s v="19-25"/>
    <m/>
    <x v="2"/>
    <m/>
    <s v="Germany"/>
    <m/>
  </r>
  <r>
    <d v="2018-11-14T12:22:05"/>
    <s v="Gameplay"/>
    <s v="Solo, Premade Duo"/>
    <s v="Master Skins, Arenas"/>
    <s v="No"/>
    <m/>
    <s v="I've not made a purchase"/>
    <s v="Divine warrior, arrows, sniper scrat, Mana puff and plasma gunners!"/>
    <m/>
    <s v="Stormbringer"/>
    <m/>
    <s v="I like his range and he is very basic. I'm new so learning the cards is more important than the Masters rn"/>
    <m/>
    <s v="Gold"/>
    <m/>
    <s v="5-25"/>
    <m/>
    <x v="63"/>
    <m/>
    <s v="5-6 times a week"/>
    <m/>
    <s v="Stream"/>
    <m/>
    <s v="Female"/>
    <m/>
    <s v="19-25"/>
    <m/>
    <x v="0"/>
    <m/>
    <s v="USA"/>
    <m/>
  </r>
  <r>
    <d v="2018-11-14T12:22:11"/>
    <s v="Gameplay"/>
    <s v="Duo"/>
    <s v="Master Skins, Arenas"/>
    <s v="No"/>
    <m/>
    <s v="I've not made a purchase"/>
    <s v="plasma marines, stun lancers, wheel of doom, spear throwers, rockshock"/>
    <m/>
    <s v="King Puff"/>
    <m/>
    <s v="easy to play, hard to master. Trickery with bridge swaps can either lead to doom or great surprising turning point."/>
    <m/>
    <s v="Grandmaster"/>
    <m/>
    <s v="200-1000"/>
    <m/>
    <x v="64"/>
    <m/>
    <s v="5-6 times a week"/>
    <m/>
    <s v="Watch, Stream"/>
    <m/>
    <s v="Male"/>
    <m/>
    <s v="26-35"/>
    <m/>
    <x v="0"/>
    <m/>
    <s v="Poland"/>
    <m/>
  </r>
  <r>
    <d v="2018-11-14T12:22:17"/>
    <s v="Gameplay"/>
    <s v="Solo"/>
    <s v="Master Skins"/>
    <s v="Yes"/>
    <s v="well...premium"/>
    <s v="Yes"/>
    <s v="xiao long, scrat pack, ilusory cleaver, shrsrak twins, pre-change dragon ball"/>
    <m/>
    <s v="Ravager"/>
    <m/>
    <s v="because I enjoy punishing opponents mistakes"/>
    <m/>
    <s v="Grandmaster"/>
    <m/>
    <s v="200-1000"/>
    <m/>
    <x v="4"/>
    <m/>
    <s v="5-6 times a week"/>
    <m/>
    <s v="Watch"/>
    <m/>
    <s v="Male"/>
    <m/>
    <s v="26-35"/>
    <m/>
    <x v="0"/>
    <m/>
    <s v="Slovenia"/>
    <m/>
  </r>
  <r>
    <d v="2018-11-14T12:22:59"/>
    <s v="Gameplay, Playing with my best friend on the other side of the world "/>
    <s v="Duo, Premade Duo"/>
    <s v="Master Skins, Arenas"/>
    <s v="No"/>
    <m/>
    <s v="Yes"/>
    <s v="Magma storm (value rocks), elite swarmer, annihilator, shock rock, tranquil shi ho "/>
    <m/>
    <s v="Apep"/>
    <m/>
    <s v="Sheer value, cycle decks are fun and random apep is always funny"/>
    <m/>
    <s v="Grandmaster"/>
    <m/>
    <s v="200-1000"/>
    <m/>
    <x v="65"/>
    <m/>
    <s v="5-6 times a week"/>
    <m/>
    <s v="Neither"/>
    <m/>
    <s v="Male"/>
    <m/>
    <s v="19-25"/>
    <m/>
    <x v="1"/>
    <m/>
    <s v="Australia"/>
    <m/>
  </r>
  <r>
    <d v="2018-11-14T12:23:23"/>
    <s v="Gameplay, Graphics, Collecting Cards/Masters, Crafting system"/>
    <s v="Premade Duo"/>
    <s v="Master Skins, Arenas, Emotes"/>
    <s v="No"/>
    <m/>
    <s v="Yes"/>
    <s v="Reaper"/>
    <m/>
    <s v="Ravager"/>
    <m/>
    <s v="Strong"/>
    <m/>
    <s v="Diamond"/>
    <m/>
    <s v="25-100"/>
    <m/>
    <x v="4"/>
    <m/>
    <s v="5-6 times a week"/>
    <m/>
    <s v="Neither"/>
    <m/>
    <s v="Male"/>
    <m/>
    <s v="26-35"/>
    <m/>
    <x v="0"/>
    <m/>
    <s v="Russia"/>
    <m/>
  </r>
  <r>
    <d v="2018-11-14T12:23:49"/>
    <s v="Gameplay"/>
    <s v="Solo"/>
    <s v="Master Skins, Emotes"/>
    <s v="No"/>
    <m/>
    <s v="I've not made a purchase"/>
    <m/>
    <m/>
    <s v="Apep"/>
    <m/>
    <s v="The most fun perks"/>
    <m/>
    <s v="Grandmaster"/>
    <m/>
    <s v="200-1000"/>
    <m/>
    <x v="4"/>
    <m/>
    <s v="Daily"/>
    <m/>
    <s v="Stream"/>
    <m/>
    <s v="Male"/>
    <m/>
    <s v="19-25"/>
    <m/>
    <x v="1"/>
    <m/>
    <s v="Israel"/>
    <m/>
  </r>
  <r>
    <d v="2018-11-14T12:24:00"/>
    <s v="Gameplay, Graphics"/>
    <s v="Solo, Premade Duo"/>
    <m/>
    <s v="Yes"/>
    <s v="Just a little to get earlier the pass so I could finish it with 3 hours a day of gaming, but your pass is too long to complete for someone with a decent job sadely"/>
    <s v="No"/>
    <s v="Scott the sensitive savage, Incubus, Defenso Chopper, Dragon Ball and Clear Skies because it's so manly"/>
    <m/>
    <s v="King Puff"/>
    <m/>
    <s v="Because it's the only one I could afford to purchase xD"/>
    <m/>
    <s v="Platinum"/>
    <m/>
    <s v="25-100"/>
    <m/>
    <x v="66"/>
    <m/>
    <s v="Daily"/>
    <m/>
    <s v="Watch, Stream"/>
    <m/>
    <s v="Male"/>
    <m/>
    <s v="19-25"/>
    <m/>
    <x v="3"/>
    <m/>
    <s v="France"/>
    <m/>
  </r>
  <r>
    <d v="2018-11-14T12:24:30"/>
    <s v="Gameplay"/>
    <s v="Premade Duo"/>
    <s v="Arenas"/>
    <s v="Yes"/>
    <s v="To buy masters"/>
    <s v="Yes"/>
    <m/>
    <m/>
    <s v="Volco"/>
    <m/>
    <s v="I love fire"/>
    <m/>
    <s v="Platinum"/>
    <m/>
    <s v="5-25"/>
    <m/>
    <x v="67"/>
    <m/>
    <s v="5-6 times a week"/>
    <m/>
    <s v="Neither"/>
    <m/>
    <s v="Male"/>
    <m/>
    <s v="19-25"/>
    <m/>
    <x v="1"/>
    <m/>
    <s v="France"/>
    <m/>
  </r>
  <r>
    <d v="2018-11-14T12:24:50"/>
    <s v="Gameplay, Graphics"/>
    <s v="Solo, Duo, Premade Duo"/>
    <s v="Master Skins"/>
    <s v="No"/>
    <m/>
    <s v="I've not made a purchase"/>
    <s v="Arcane Golem, Spiritmancer, Tranquil Shi-Hou, Armored Escort, Chain Lightning"/>
    <m/>
    <s v="Milloween"/>
    <m/>
    <s v="Early game control into late game monster."/>
    <m/>
    <s v="Platinum"/>
    <m/>
    <s v="25-100"/>
    <m/>
    <x v="68"/>
    <m/>
    <s v="Daily"/>
    <m/>
    <s v="Neither"/>
    <m/>
    <s v="Male"/>
    <m/>
    <s v="19-25"/>
    <m/>
    <x v="3"/>
    <m/>
    <s v="USA"/>
    <m/>
  </r>
  <r>
    <d v="2018-11-14T12:24:51"/>
    <s v="Gameplay, Collecting Cards/Masters"/>
    <s v="Premade Duo, Expeditions"/>
    <s v="Master Skins, Arenas"/>
    <s v="Yes"/>
    <s v="starter pack and season pass"/>
    <s v="Yes"/>
    <s v="Assassin, Dragon ball, Xiao Long, Last stand, Empowered soul stealer."/>
    <m/>
    <s v="Stormbringer"/>
    <m/>
    <s v="His long range shooting ability."/>
    <m/>
    <s v="Gold"/>
    <m/>
    <s v="25-100"/>
    <m/>
    <x v="69"/>
    <m/>
    <s v="Daily"/>
    <m/>
    <s v="Watch"/>
    <m/>
    <s v="Male"/>
    <m/>
    <s v="19-25"/>
    <m/>
    <x v="2"/>
    <m/>
    <s v="Ireland"/>
    <m/>
  </r>
  <r>
    <d v="2018-11-14T12:28:00"/>
    <s v="Gameplay, Collecting Cards/Masters"/>
    <s v="Duo, Premade Duo, Mayhem Duo"/>
    <s v="Master Skins, Avatars"/>
    <s v="Yes"/>
    <s v="To Get master’s faster and cards i was missing"/>
    <s v="Yes"/>
    <s v=" Colossus, spiritmancer, succubus, comander azali, musketeer."/>
    <m/>
    <s v="Volco"/>
    <m/>
    <s v="I really like Masters which have a boost to Their minions so i also like ravager and stormbringer"/>
    <m/>
    <s v="Master"/>
    <m/>
    <s v="200-1000"/>
    <m/>
    <x v="70"/>
    <m/>
    <s v="Daily"/>
    <m/>
    <s v="Watch"/>
    <m/>
    <s v="Male"/>
    <m/>
    <s v="19-25"/>
    <m/>
    <x v="0"/>
    <m/>
    <s v="Denmark"/>
    <m/>
  </r>
  <r>
    <d v="2018-11-14T12:28:03"/>
    <s v="Gameplay, Collecting Cards/Masters, Competitions/Tournaments, Better community "/>
    <s v="Solo, Duo"/>
    <s v="Master Skins, Emotes"/>
    <s v="No"/>
    <m/>
    <s v="I've not made a purchase"/>
    <s v="xiao long,shock rock,wall,fire imps and divine warrior"/>
    <m/>
    <s v="Milloween"/>
    <m/>
    <s v="cute,pretty and my playstyle suit her"/>
    <m/>
    <s v="Grandmaster"/>
    <m/>
    <s v="200-1000"/>
    <m/>
    <x v="71"/>
    <m/>
    <s v="Occasionally"/>
    <m/>
    <s v="Watch"/>
    <m/>
    <s v="Male"/>
    <m/>
    <s v="19-25"/>
    <m/>
    <x v="1"/>
    <m/>
    <s v="Malaysia"/>
    <m/>
  </r>
  <r>
    <d v="2018-11-14T12:28:08"/>
    <s v="Competitions/Tournaments"/>
    <s v="Solo, Duo, Expeditions"/>
    <s v="Avatars"/>
    <s v="No"/>
    <m/>
    <s v="I've not made a purchase"/>
    <s v="No im not on my pc atm"/>
    <m/>
    <m/>
    <m/>
    <m/>
    <m/>
    <s v="Bronze"/>
    <m/>
    <s v="5-25"/>
    <m/>
    <x v="72"/>
    <m/>
    <s v="Daily"/>
    <m/>
    <s v="Watch, Stream"/>
    <m/>
    <s v="Male"/>
    <m/>
    <s v="14-18"/>
    <m/>
    <x v="1"/>
    <m/>
    <s v="Belgium"/>
    <m/>
  </r>
  <r>
    <d v="2018-11-14T12:28:29"/>
    <s v="Gameplay, Collecting Cards/Masters"/>
    <s v="Solo, Duo, Premade Duo"/>
    <s v="Master Skins, Avatars"/>
    <s v="No"/>
    <m/>
    <s v="I've not made a purchase"/>
    <s v="Annihilator, demon warrior, Beam of doom, divine warrior, crystal archers :)"/>
    <m/>
    <s v="Apep"/>
    <m/>
    <s v="i like the free random cards"/>
    <m/>
    <s v="Gold"/>
    <m/>
    <s v="5-25"/>
    <m/>
    <x v="73"/>
    <m/>
    <s v="Daily"/>
    <m/>
    <s v="Watch"/>
    <m/>
    <s v="Male"/>
    <m/>
    <s v="19-25"/>
    <m/>
    <x v="1"/>
    <m/>
    <s v="Singapore"/>
    <m/>
  </r>
  <r>
    <d v="2018-11-14T12:28:45"/>
    <s v="Gameplay"/>
    <s v="Duo, Premade Duo"/>
    <s v="Master Skins"/>
    <s v="No"/>
    <m/>
    <s v="I've not made a purchase"/>
    <m/>
    <m/>
    <s v="Stormbringer"/>
    <m/>
    <m/>
    <m/>
    <s v="Silver"/>
    <m/>
    <s v="5-25"/>
    <m/>
    <x v="4"/>
    <m/>
    <s v="Daily"/>
    <m/>
    <s v="Watch, Stream"/>
    <m/>
    <s v="I prefer not to say"/>
    <m/>
    <s v="19-25"/>
    <m/>
    <x v="0"/>
    <m/>
    <s v="I prefer not to say"/>
    <m/>
  </r>
  <r>
    <d v="2018-11-14T12:29:56"/>
    <s v="Gameplay, Collecting Cards/Masters"/>
    <s v="Solo"/>
    <s v="Master Skins, Emotes"/>
    <s v="No"/>
    <m/>
    <s v="I've not made a purchase"/>
    <s v="(Random order)  blind date, lightning bolt, musketeer, (following are uncertain)prowler, incubus"/>
    <m/>
    <s v="Settsu"/>
    <m/>
    <s v="I like mainly the powerfull basic attack. But overall the perks dont need a lot of card synergy. It ends up being a really flexible master that is also fun to play."/>
    <m/>
    <s v="Grandmaster"/>
    <m/>
    <s v="1000+"/>
    <m/>
    <x v="74"/>
    <m/>
    <s v="Daily"/>
    <m/>
    <s v="Watch"/>
    <m/>
    <s v="Male"/>
    <m/>
    <s v="14-18"/>
    <m/>
    <x v="1"/>
    <m/>
    <s v="Romania"/>
    <m/>
  </r>
  <r>
    <d v="2018-11-14T12:33:40"/>
    <s v="Gameplay, Specifically the Diverse Masters that cater for all the different play styles that people play."/>
    <s v="Duo, Premade Duo"/>
    <s v="Arenas"/>
    <s v="No"/>
    <m/>
    <s v="I've not made a purchase"/>
    <s v="Yes. Black hole, Crossbow Dudes, Lost Legionnaires, Crossbow Guild and Scrat Launcher"/>
    <m/>
    <s v="King Puff"/>
    <m/>
    <s v="I enjoy his playstyle."/>
    <m/>
    <s v="Gold"/>
    <m/>
    <s v="25-100"/>
    <m/>
    <x v="75"/>
    <m/>
    <s v="5-6 times a week"/>
    <m/>
    <s v="Neither"/>
    <m/>
    <s v="I prefer not to say"/>
    <m/>
    <s v="I prefer not to say"/>
    <m/>
    <x v="2"/>
    <m/>
    <s v="Australia"/>
    <m/>
  </r>
  <r>
    <d v="2018-11-14T12:33:42"/>
    <s v="Gameplay"/>
    <s v="Solo"/>
    <s v="Master Skins"/>
    <s v="Yes"/>
    <s v="Support the devs (It was the 20$ thing on steam)"/>
    <s v="Yes"/>
    <s v="based on game design, not strength : screaming scrat / arcane bolt / shock rock / succubus / tranquil shi hou"/>
    <m/>
    <s v="Ratbo"/>
    <m/>
    <s v="I like to pretend spiritmancer doesn't exist and I get to have fun playing kinda swarmy"/>
    <m/>
    <s v="Grandmaster"/>
    <m/>
    <s v="200-1000"/>
    <m/>
    <x v="76"/>
    <m/>
    <s v="Daily"/>
    <m/>
    <s v="Watch, Stream"/>
    <m/>
    <s v="Male"/>
    <m/>
    <s v="26-35"/>
    <m/>
    <x v="0"/>
    <m/>
    <s v="France"/>
    <m/>
  </r>
  <r>
    <d v="2018-11-14T12:34:11"/>
    <s v="Gameplay, Collecting Cards/Masters"/>
    <s v="Solo, Duo, Premade Duo"/>
    <s v="Master Skins, Arenas"/>
    <s v="Yes"/>
    <s v="Battle Pass"/>
    <s v="Yes"/>
    <m/>
    <m/>
    <s v="Apep"/>
    <m/>
    <m/>
    <m/>
    <s v="Diamond"/>
    <m/>
    <s v="25-100"/>
    <m/>
    <x v="77"/>
    <m/>
    <s v="Daily"/>
    <m/>
    <s v="Watch, Stream"/>
    <m/>
    <s v="Male"/>
    <m/>
    <s v="19-25"/>
    <m/>
    <x v="3"/>
    <m/>
    <s v="United Kingdom"/>
    <m/>
  </r>
  <r>
    <d v="2018-11-14T12:38:27"/>
    <s v="Gameplay"/>
    <s v="Duo"/>
    <s v="Master Skins"/>
    <s v="No"/>
    <m/>
    <s v="I've not made a purchase"/>
    <m/>
    <m/>
    <s v="King Puff"/>
    <m/>
    <s v="Cause its so CUTE"/>
    <m/>
    <s v="Bronze"/>
    <m/>
    <s v="25-100"/>
    <m/>
    <x v="4"/>
    <m/>
    <s v="Daily"/>
    <m/>
    <s v="Neither"/>
    <m/>
    <s v="Male"/>
    <m/>
    <s v="19-25"/>
    <m/>
    <x v="2"/>
    <m/>
    <s v="Philippines"/>
    <m/>
  </r>
  <r>
    <d v="2018-11-14T12:40:23"/>
    <s v="Gameplay"/>
    <s v="Duo"/>
    <s v="Arenas"/>
    <s v="No"/>
    <m/>
    <s v="I've not made a purchase"/>
    <m/>
    <m/>
    <s v="Apep"/>
    <m/>
    <m/>
    <m/>
    <s v="Diamond"/>
    <m/>
    <s v="25-100"/>
    <m/>
    <x v="4"/>
    <m/>
    <s v="3-4 times a week"/>
    <m/>
    <s v="Watch"/>
    <m/>
    <s v="Male"/>
    <m/>
    <s v="26-35"/>
    <m/>
    <x v="0"/>
    <m/>
    <s v="I prefer not to say"/>
    <m/>
  </r>
  <r>
    <d v="2018-11-14T12:40:27"/>
    <s v="Collecting Cards/Masters, playing with friends"/>
    <s v="Solo, Duo, Premade Duo"/>
    <s v="Master Skins, Arenas, Emotes, Avatars"/>
    <s v="Yes"/>
    <s v="buying stuff in the shop"/>
    <s v="No"/>
    <s v="no because you will nerf them"/>
    <m/>
    <m/>
    <m/>
    <s v="didnt because you will nerf it"/>
    <m/>
    <s v="Platinum"/>
    <m/>
    <s v="1000+"/>
    <m/>
    <x v="78"/>
    <m/>
    <s v="Daily"/>
    <m/>
    <s v="Neither"/>
    <m/>
    <s v="I prefer not to say"/>
    <m/>
    <s v="I prefer not to say"/>
    <m/>
    <x v="2"/>
    <m/>
    <s v="I prefer not to say"/>
    <m/>
  </r>
  <r>
    <d v="2018-11-14T12:42:46"/>
    <s v="Gameplay"/>
    <s v="Duo"/>
    <s v="Avatars"/>
    <s v="Yes"/>
    <s v="Packs"/>
    <s v="Yes"/>
    <s v="Musketeer, Scott The Sensitive Savage, Assassin, Styxi, Fire Imp"/>
    <m/>
    <s v="Volco"/>
    <m/>
    <s v="Abilities"/>
    <m/>
    <s v="Diamond"/>
    <m/>
    <s v="100-200"/>
    <m/>
    <x v="79"/>
    <m/>
    <s v="Daily"/>
    <m/>
    <s v="Neither"/>
    <m/>
    <s v="Male"/>
    <m/>
    <s v="26-35"/>
    <m/>
    <x v="0"/>
    <m/>
    <s v="Russia"/>
    <m/>
  </r>
  <r>
    <d v="2018-11-14T12:43:02"/>
    <s v="Gameplay, Graphics, Collecting Cards/Masters"/>
    <s v="Duo, Expeditions"/>
    <s v="Master Skins"/>
    <s v="No"/>
    <m/>
    <s v="I've not made a purchase"/>
    <s v="Black Hole, Guardian, Scrat Launcher, Plasma Marines and Incubus"/>
    <m/>
    <s v="Settsu"/>
    <m/>
    <s v="Good attack with a deck not based on the second skill but amazing with one."/>
    <m/>
    <s v="Silver"/>
    <m/>
    <s v="25-100"/>
    <m/>
    <x v="80"/>
    <m/>
    <s v="5-6 times a week"/>
    <m/>
    <s v="Watch"/>
    <m/>
    <s v="Male"/>
    <m/>
    <s v="I prefer not to say"/>
    <m/>
    <x v="2"/>
    <m/>
    <s v="USA"/>
    <m/>
  </r>
  <r>
    <d v="2018-11-14T12:43:11"/>
    <s v="Collecting Cards/Masters"/>
    <s v="Duo"/>
    <s v="Master Skins"/>
    <s v="No"/>
    <m/>
    <s v="I've not made a purchase"/>
    <s v="incubus/succubus"/>
    <m/>
    <s v="Apep"/>
    <m/>
    <s v="he looks cool and reminds me of another game"/>
    <m/>
    <s v="Gold"/>
    <m/>
    <s v="5-25"/>
    <m/>
    <x v="81"/>
    <m/>
    <s v="5-6 times a week"/>
    <m/>
    <s v="Neither"/>
    <m/>
    <s v="Male"/>
    <m/>
    <s v="19-25"/>
    <m/>
    <x v="3"/>
    <m/>
    <s v="Poland"/>
    <m/>
  </r>
  <r>
    <d v="2018-11-14T12:44:42"/>
    <s v="Gameplay"/>
    <s v="Premade Duo"/>
    <s v="Master Skins"/>
    <s v="Yes"/>
    <s v="Battle Pass"/>
    <s v="Yes"/>
    <s v="Stun Lancers, Commander Azali, Fire Imp, Gor'Rakk Brutes, Daggerfall"/>
    <m/>
    <s v="Ravager"/>
    <m/>
    <s v="If you played your cards right, when Brutus comes into play he would stomp the opposing masters"/>
    <m/>
    <s v="Platinum"/>
    <m/>
    <s v="25-100"/>
    <m/>
    <x v="82"/>
    <m/>
    <s v="5-6 times a week"/>
    <m/>
    <s v="Stream"/>
    <m/>
    <s v="Male"/>
    <m/>
    <s v="19-25"/>
    <m/>
    <x v="0"/>
    <m/>
    <s v="Singapore"/>
    <m/>
  </r>
  <r>
    <d v="2018-11-14T12:45:08"/>
    <s v="Gameplay"/>
    <s v="Solo, Duo, Premade Duo"/>
    <s v="Master Skins"/>
    <s v="Yes"/>
    <s v="Battle Pass"/>
    <s v="Yes"/>
    <m/>
    <m/>
    <s v="King Puff"/>
    <m/>
    <s v="Is cute "/>
    <m/>
    <s v="Gold"/>
    <m/>
    <s v="0-5"/>
    <m/>
    <x v="83"/>
    <m/>
    <s v="Daily"/>
    <m/>
    <s v="Watch, Stream"/>
    <m/>
    <s v="Male"/>
    <m/>
    <m/>
    <m/>
    <x v="4"/>
    <m/>
    <s v="USA"/>
    <m/>
  </r>
  <r>
    <d v="2018-11-14T12:46:19"/>
    <s v="Gameplay, Graphics, Collecting Cards/Masters"/>
    <s v="Duo, Premade Duo, Expeditions"/>
    <s v="Arenas"/>
    <s v="No"/>
    <m/>
    <s v="I've not made a purchase"/>
    <s v="Harbinger, Spiritmancer, Necromancer, Arcane Bolt, Priestess"/>
    <m/>
    <s v="Stormbringer"/>
    <m/>
    <s v="Constant pressure with ranged auto attacks"/>
    <m/>
    <s v="Gold"/>
    <m/>
    <s v="25-100"/>
    <m/>
    <x v="84"/>
    <m/>
    <s v="3-4 times a week"/>
    <m/>
    <s v="Watch"/>
    <m/>
    <s v="Male"/>
    <m/>
    <s v="19-25"/>
    <m/>
    <x v="1"/>
    <m/>
    <s v="Romania"/>
    <m/>
  </r>
  <r>
    <d v="2018-11-14T12:46:25"/>
    <s v="Gameplay"/>
    <s v="Solo, Duo"/>
    <m/>
    <s v="No"/>
    <m/>
    <s v="I've not made a purchase"/>
    <s v="The 4-cost minion that makes the ground burn; Crossbow Guild, The 5-cost shielded paladin, Daggerfall, Crystal Archers"/>
    <m/>
    <s v="Mordar"/>
    <m/>
    <s v="Bringing back strong minions is awesome and cost-efficient"/>
    <m/>
    <s v="Silver"/>
    <m/>
    <s v="5-25"/>
    <m/>
    <x v="4"/>
    <m/>
    <s v="Daily"/>
    <m/>
    <s v="Neither"/>
    <m/>
    <s v="Male"/>
    <m/>
    <s v="19-25"/>
    <m/>
    <x v="0"/>
    <m/>
    <s v="Estonia"/>
    <m/>
  </r>
  <r>
    <d v="2018-11-14T12:48:58"/>
    <s v="Gameplay, Collecting Cards/Masters, Deckbuilding ya Dingus"/>
    <s v="Solo, Duo"/>
    <s v="Master Skins, Arenas"/>
    <s v="Yes"/>
    <s v="Battle Pass, Account Upgrade, good sales"/>
    <s v="Yes"/>
    <s v="Infiltration, Shars'Rack Twins, Commander Azali, Lost Legionaires"/>
    <m/>
    <s v="Milloween"/>
    <m/>
    <s v="Because her Golem is sick. Setsu is a close second. "/>
    <m/>
    <s v="Diamond"/>
    <m/>
    <s v="25-100"/>
    <m/>
    <x v="85"/>
    <m/>
    <s v="Daily"/>
    <m/>
    <s v="Neither"/>
    <m/>
    <s v="Male"/>
    <m/>
    <s v="19-25"/>
    <m/>
    <x v="1"/>
    <m/>
    <s v="Germany"/>
    <m/>
  </r>
  <r>
    <d v="2018-11-14T12:50:09"/>
    <s v="Gameplay, Graphics, Collecting Cards/Masters"/>
    <s v="Premade Duo, Expeditions"/>
    <s v="Master Skins, Arenas, Avatars"/>
    <s v="Yes"/>
    <s v="Battle Pass"/>
    <s v="Yes"/>
    <s v="Scrat horde or what its called, elven archers, harbinger, reinforcements and.. not sure"/>
    <m/>
    <s v="Milloween"/>
    <m/>
    <s v="I enjoy her abilities, her basic attacks and how she looks"/>
    <m/>
    <s v="Silver"/>
    <m/>
    <s v="5-25"/>
    <m/>
    <x v="86"/>
    <m/>
    <s v="Daily"/>
    <m/>
    <s v="Neither"/>
    <m/>
    <s v="Female"/>
    <m/>
    <s v="19-25"/>
    <m/>
    <x v="3"/>
    <m/>
    <s v="Norway"/>
    <m/>
  </r>
  <r>
    <d v="2018-11-14T12:50:27"/>
    <s v="Gameplay, Graphics, Collecting Cards/Masters, Competitions/Tournaments"/>
    <s v="Solo, Duo, Premade Duo, Mayhem Solo"/>
    <s v="Master Skins, Arenas, Emotes"/>
    <s v="No"/>
    <m/>
    <s v="I've not made a purchase"/>
    <s v="Demon Warrior, Demon Warrior, Demon Warrior, Demon Warrior, Demon Warrior"/>
    <m/>
    <s v="Apep"/>
    <m/>
    <s v="Demon Warrior"/>
    <m/>
    <s v="Grandmaster"/>
    <m/>
    <s v="1000+"/>
    <m/>
    <x v="87"/>
    <m/>
    <s v="Daily"/>
    <m/>
    <s v="Watch, Stream"/>
    <m/>
    <s v="Male"/>
    <m/>
    <s v="19-25"/>
    <m/>
    <x v="0"/>
    <m/>
    <s v="Russia"/>
    <m/>
  </r>
  <r>
    <d v="2018-11-14T12:51:28"/>
    <s v="Gameplay"/>
    <s v="Premade Duo"/>
    <s v="Master Skins"/>
    <s v="Yes"/>
    <s v="Because I have no self control"/>
    <s v="Yes"/>
    <s v="Flightless Dragons, Defenso Chopper, Whirly Scrat, Daggerfall, Mana Puff Madness "/>
    <m/>
    <s v="King Puff"/>
    <m/>
    <s v="OP"/>
    <m/>
    <s v="Diamond"/>
    <m/>
    <s v="25-100"/>
    <m/>
    <x v="88"/>
    <m/>
    <s v="Daily"/>
    <m/>
    <s v="Stream"/>
    <m/>
    <s v="Male"/>
    <m/>
    <s v="19-25"/>
    <m/>
    <x v="1"/>
    <m/>
    <s v="United Kingdom"/>
    <m/>
  </r>
  <r>
    <d v="2018-11-14T12:51:28"/>
    <s v="Gameplay"/>
    <s v="Solo, Premade Duo"/>
    <s v="Arenas, Emotes"/>
    <s v="No"/>
    <m/>
    <s v="I've not made a purchase"/>
    <m/>
    <m/>
    <s v="Milloween"/>
    <m/>
    <s v="I like spells."/>
    <m/>
    <s v="Silver"/>
    <m/>
    <s v="5-25"/>
    <m/>
    <x v="89"/>
    <m/>
    <s v="Daily"/>
    <m/>
    <s v="Watch"/>
    <m/>
    <s v="Male"/>
    <m/>
    <s v="19-25"/>
    <m/>
    <x v="1"/>
    <m/>
    <s v="Finland"/>
    <m/>
  </r>
  <r>
    <d v="2018-11-14T12:52:48"/>
    <s v="Gameplay"/>
    <s v="Solo, Duo, Premade Duo"/>
    <s v="Emotes"/>
    <s v="No"/>
    <m/>
    <s v="I've not made a purchase"/>
    <m/>
    <m/>
    <s v="King Puff"/>
    <m/>
    <m/>
    <m/>
    <s v="Grandmaster"/>
    <m/>
    <s v="200-1000"/>
    <m/>
    <x v="90"/>
    <m/>
    <s v="Daily"/>
    <m/>
    <s v="Watch"/>
    <m/>
    <s v="Male"/>
    <m/>
    <s v="26-35"/>
    <m/>
    <x v="3"/>
    <m/>
    <s v="Germany"/>
    <m/>
  </r>
  <r>
    <d v="2018-11-14T12:53:30"/>
    <s v="Gameplay"/>
    <s v="Premade Duo"/>
    <s v="Arenas"/>
    <s v="No"/>
    <m/>
    <s v="I've not made a purchase"/>
    <s v="Crystal construct, crystal archers, lightning strike, xia long, bridge buddies"/>
    <m/>
    <s v="Milloween"/>
    <m/>
    <s v="Like the spell synergy and her constructs "/>
    <m/>
    <s v="Silver"/>
    <m/>
    <s v="25-100"/>
    <m/>
    <x v="91"/>
    <m/>
    <s v="Daily"/>
    <m/>
    <s v="Watch, Stream"/>
    <m/>
    <s v="Male"/>
    <m/>
    <s v="over 36"/>
    <m/>
    <x v="0"/>
    <m/>
    <s v="USA"/>
    <m/>
  </r>
  <r>
    <d v="2018-11-14T12:54:43"/>
    <s v="Gameplay"/>
    <s v="Premade Duo"/>
    <s v="Master Skins"/>
    <s v="Yes"/>
    <s v="premium account"/>
    <s v="Yes"/>
    <s v="Harbringer / cristal archers / living statue / undying skeleton / colossus "/>
    <m/>
    <s v="Mordar"/>
    <m/>
    <s v="Revive mechanic"/>
    <m/>
    <s v="Platinum"/>
    <m/>
    <s v="25-100"/>
    <m/>
    <x v="92"/>
    <m/>
    <s v="5-6 times a week"/>
    <m/>
    <s v="Watch"/>
    <m/>
    <s v="Male"/>
    <m/>
    <s v="26-35"/>
    <m/>
    <x v="0"/>
    <m/>
    <s v="France"/>
    <m/>
  </r>
  <r>
    <d v="2018-11-14T12:55:03"/>
    <s v="Gameplay"/>
    <s v="Premade Duo"/>
    <s v="Avatars"/>
    <s v="No"/>
    <m/>
    <s v="I've not made a purchase"/>
    <s v="Scrat horde, prowler, incubus, shield totem and Colossus"/>
    <m/>
    <s v="Apep"/>
    <m/>
    <s v="It gives you a free extra card and a shield totem."/>
    <m/>
    <s v="Gold"/>
    <m/>
    <s v="25-100"/>
    <m/>
    <x v="93"/>
    <m/>
    <s v="5-6 times a week"/>
    <m/>
    <s v="Watch, Stream"/>
    <m/>
    <s v="Male"/>
    <m/>
    <s v="14-18"/>
    <m/>
    <x v="2"/>
    <m/>
    <s v="The Netherlands"/>
    <m/>
  </r>
  <r>
    <d v="2018-11-14T12:57:25"/>
    <s v="Gameplay"/>
    <s v="Duo, Premade Duo"/>
    <s v="Master Skins, Avatars"/>
    <s v="Yes"/>
    <s v="starter pack"/>
    <s v="Yes"/>
    <s v="yes"/>
    <m/>
    <s v="Ravager"/>
    <m/>
    <s v="Fun"/>
    <m/>
    <s v="Master"/>
    <m/>
    <s v="25-100"/>
    <m/>
    <x v="94"/>
    <m/>
    <s v="Daily"/>
    <m/>
    <s v="Watch"/>
    <m/>
    <s v="Male"/>
    <m/>
    <s v="26-35"/>
    <m/>
    <x v="0"/>
    <m/>
    <s v="United Kingdom"/>
    <m/>
  </r>
  <r>
    <d v="2018-11-14T12:57:35"/>
    <s v="Gameplay"/>
    <s v="Premade Duo"/>
    <s v="Master Skins"/>
    <s v="Yes"/>
    <s v="Battlepass"/>
    <s v="Yes"/>
    <s v="Crystal Golem, Mousqetier, Spirit Mancer, daggerfall, Sensitive Scott"/>
    <m/>
    <s v="Milloween"/>
    <m/>
    <s v="The only pretty  looking Master, even though her voice is somehwat annoying (to high pitched)"/>
    <m/>
    <s v="Diamond"/>
    <m/>
    <s v="25-100"/>
    <m/>
    <x v="95"/>
    <m/>
    <s v="Daily"/>
    <m/>
    <s v="Watch"/>
    <m/>
    <s v="Female"/>
    <m/>
    <s v="26-35"/>
    <m/>
    <x v="0"/>
    <m/>
    <s v="Germany"/>
    <m/>
  </r>
  <r>
    <d v="2018-11-14T12:58:39"/>
    <s v="Gameplay, Collecting Cards/Masters, Competitions/Tournaments, Not being P2W"/>
    <s v="Solo, Premade Duo, Mayhem Solo"/>
    <s v="Arenas, Emotes"/>
    <s v="No"/>
    <m/>
    <s v="I've not made a purchase"/>
    <s v="Scrat Punk, Cleaver, Succubus, Prowler, Fire Imp."/>
    <m/>
    <s v="Apep"/>
    <m/>
    <s v="Because of its ability to protect itself with the Shield Totem and for the 2 and 4 mana cards for free. Also because its DPS changes depending on the mana cost of cards in your hand."/>
    <m/>
    <s v="Grandmaster"/>
    <m/>
    <s v="200-1000"/>
    <m/>
    <x v="96"/>
    <m/>
    <s v="Daily"/>
    <m/>
    <s v="Watch"/>
    <m/>
    <s v="Male"/>
    <m/>
    <s v="26-35"/>
    <m/>
    <x v="0"/>
    <m/>
    <s v="Italy"/>
    <m/>
  </r>
  <r>
    <d v="2018-11-14T12:59:15"/>
    <s v="Gameplay"/>
    <s v="Solo, Premade Duo"/>
    <s v="Master Skins"/>
    <s v="No"/>
    <m/>
    <s v="I've not made a purchase"/>
    <s v="Black Hole, Styxi, Commander Azali, Magma Storm, Illusory Cleaver "/>
    <m/>
    <s v="Settsu"/>
    <m/>
    <s v="I like the mechanics of her auto attack and the planning it brings with it and that you can bring her with you in a push."/>
    <m/>
    <s v="Grandmaster"/>
    <m/>
    <s v="200-1000"/>
    <m/>
    <x v="97"/>
    <m/>
    <s v="Daily"/>
    <m/>
    <s v="Watch"/>
    <m/>
    <s v="Male"/>
    <m/>
    <s v="26-35"/>
    <m/>
    <x v="2"/>
    <m/>
    <s v="Germany"/>
    <m/>
  </r>
  <r>
    <d v="2018-11-14T13:00:36"/>
    <s v="Gameplay, Graphics, Collecting Cards/Masters"/>
    <s v="Solo"/>
    <s v="Master Skins, Avatars"/>
    <s v="No"/>
    <s v="Not yet."/>
    <s v="I've not made a purchase"/>
    <m/>
    <m/>
    <s v="Milloween"/>
    <m/>
    <s v="*insert lenny face*"/>
    <m/>
    <s v="Stone"/>
    <m/>
    <s v="0-5"/>
    <m/>
    <x v="98"/>
    <m/>
    <s v="Daily"/>
    <m/>
    <s v="Neither"/>
    <m/>
    <s v="Male"/>
    <m/>
    <s v="I prefer not to say"/>
    <m/>
    <x v="1"/>
    <m/>
    <s v="I prefer not to say"/>
    <m/>
  </r>
  <r>
    <d v="2018-11-14T13:04:56"/>
    <s v="Gameplay, Graphics, Collecting Cards/Masters"/>
    <s v="Solo, Premade Duo"/>
    <m/>
    <s v="No"/>
    <m/>
    <s v="Yes"/>
    <s v="Forgot -3-"/>
    <m/>
    <s v="King Puff"/>
    <m/>
    <s v="Fun looking character, good abilities &amp; works well with rage."/>
    <m/>
    <s v="Bronze"/>
    <m/>
    <s v="5-25"/>
    <m/>
    <x v="99"/>
    <m/>
    <s v="3-4 times a week"/>
    <m/>
    <s v="Neither"/>
    <m/>
    <s v="Male"/>
    <m/>
    <s v="14-18"/>
    <m/>
    <x v="1"/>
    <m/>
    <s v="United Kingdom"/>
    <m/>
  </r>
  <r>
    <d v="2018-11-14T13:06:04"/>
    <s v="Gameplay"/>
    <s v="Solo, Premade Duo"/>
    <s v="Master Skins"/>
    <s v="Yes"/>
    <s v="battlepass"/>
    <s v="Yes"/>
    <s v="rammer / chain lightning / scrat tank / dragon welp / arcane sentry"/>
    <m/>
    <s v="Apep"/>
    <m/>
    <s v="ability"/>
    <m/>
    <s v="Bronze"/>
    <m/>
    <s v="5-25"/>
    <m/>
    <x v="100"/>
    <m/>
    <s v="Daily"/>
    <m/>
    <s v="Watch, Stream"/>
    <m/>
    <s v="Male"/>
    <m/>
    <s v="19-25"/>
    <m/>
    <x v="3"/>
    <m/>
    <s v="United Kingdom"/>
    <m/>
  </r>
  <r>
    <d v="2018-11-14T13:07:00"/>
    <s v="Gameplay"/>
    <s v="Premade Duo"/>
    <s v="Arenas"/>
    <s v="No"/>
    <m/>
    <s v="I've not made a purchase"/>
    <m/>
    <m/>
    <s v="Stormbringer"/>
    <m/>
    <m/>
    <m/>
    <s v="Gold"/>
    <m/>
    <s v="5-25"/>
    <m/>
    <x v="101"/>
    <m/>
    <s v="Occasionally"/>
    <m/>
    <s v="Neither"/>
    <m/>
    <s v="Male"/>
    <m/>
    <s v="14-18"/>
    <m/>
    <x v="1"/>
    <m/>
    <s v="Denmark"/>
    <m/>
  </r>
  <r>
    <d v="2018-11-14T13:07:14"/>
    <s v="Gameplay, Graphics, Collecting Cards/Masters"/>
    <s v="Duo"/>
    <s v="Arenas, Avatars"/>
    <s v="No"/>
    <m/>
    <s v="I've not made a purchase"/>
    <s v="succubus, escorts, wizard puff, arcane golem (? first perk milloween) and divine warrior ig?? idk"/>
    <m/>
    <s v="Milloween"/>
    <m/>
    <s v="well i like her perks and also i think she looks nice "/>
    <m/>
    <s v="Silver"/>
    <m/>
    <s v="5-25"/>
    <m/>
    <x v="102"/>
    <m/>
    <s v="Daily"/>
    <m/>
    <s v="Watch, Stream"/>
    <m/>
    <s v="Female"/>
    <m/>
    <s v="14-18"/>
    <m/>
    <x v="1"/>
    <m/>
    <s v="Canada"/>
    <m/>
  </r>
  <r>
    <d v="2018-11-14T13:09:10"/>
    <s v="Gameplay, Collecting Cards/Masters"/>
    <s v="Duo, Premade Duo"/>
    <s v="Arenas, Avatars"/>
    <s v="No"/>
    <m/>
    <s v="I've not made a purchase"/>
    <m/>
    <m/>
    <s v="Ratbo"/>
    <m/>
    <s v="I like spam"/>
    <m/>
    <s v="Silver"/>
    <m/>
    <s v="0-5"/>
    <m/>
    <x v="4"/>
    <m/>
    <s v="Occasionally"/>
    <m/>
    <s v="Neither"/>
    <m/>
    <s v="Male"/>
    <m/>
    <s v="14-18"/>
    <m/>
    <x v="1"/>
    <m/>
    <s v="United Kingdom"/>
    <m/>
  </r>
  <r>
    <d v="2018-11-14T13:10:42"/>
    <s v="Gameplay"/>
    <s v="Premade Duo"/>
    <s v="Arenas"/>
    <s v="No"/>
    <m/>
    <s v="I've not made a purchase"/>
    <m/>
    <m/>
    <s v="Mordar"/>
    <m/>
    <s v="good abilities"/>
    <m/>
    <s v="Gold"/>
    <m/>
    <s v="5-25"/>
    <m/>
    <x v="103"/>
    <m/>
    <s v="3-4 times a week"/>
    <m/>
    <s v="Neither"/>
    <m/>
    <s v="Male"/>
    <m/>
    <s v="14-18"/>
    <m/>
    <x v="1"/>
    <m/>
    <s v="Australia"/>
    <m/>
  </r>
  <r>
    <d v="2018-11-14T13:10:48"/>
    <s v="Gameplay, Collecting Cards/Masters"/>
    <s v="Solo, Premade Duo, Expeditions"/>
    <s v="Arenas"/>
    <s v="Yes"/>
    <s v="the premium upgrade"/>
    <s v="Yes"/>
    <s v="netherstep, colossus, crossbow guild, future present, dragon ball"/>
    <m/>
    <s v="Mordar"/>
    <m/>
    <s v="reviving big things just feels good"/>
    <m/>
    <s v="Platinum"/>
    <m/>
    <s v="25-100"/>
    <m/>
    <x v="104"/>
    <m/>
    <s v="Daily"/>
    <m/>
    <s v="Watch"/>
    <m/>
    <s v="Male"/>
    <m/>
    <s v="19-25"/>
    <m/>
    <x v="0"/>
    <m/>
    <s v="USA"/>
    <m/>
  </r>
  <r>
    <d v="2018-11-14T13:11:47"/>
    <s v="Gameplay, Graphics"/>
    <s v="Solo, Duo, Premade Duo"/>
    <m/>
    <s v="No"/>
    <m/>
    <s v="I've not made a purchase"/>
    <m/>
    <m/>
    <s v="Stormbringer"/>
    <m/>
    <s v="Range"/>
    <m/>
    <s v="Platinum"/>
    <m/>
    <s v="5-25"/>
    <m/>
    <x v="105"/>
    <m/>
    <s v="Daily"/>
    <m/>
    <s v="Watch"/>
    <m/>
    <s v="Male"/>
    <m/>
    <s v="14-18"/>
    <m/>
    <x v="1"/>
    <m/>
    <s v="Germany"/>
    <m/>
  </r>
  <r>
    <d v="2018-11-14T13:12:44"/>
    <s v="Gameplay, Collecting Cards/Masters, Competitions/Tournaments"/>
    <s v="Solo, Premade Duo, Expeditions"/>
    <s v="Master Skins, Arenas"/>
    <s v="No"/>
    <m/>
    <s v="I've not made a purchase"/>
    <s v="Assassin, Zeppelin Bomber, Blastmancer,  Styxi, Musketeer"/>
    <m/>
    <s v="Settsu"/>
    <m/>
    <s v="Stomping minions on entry and stunlocking the enemy master with perk 3"/>
    <m/>
    <s v="Master"/>
    <m/>
    <s v="100-200"/>
    <m/>
    <x v="106"/>
    <m/>
    <s v="Daily"/>
    <m/>
    <s v="Neither"/>
    <m/>
    <s v="Male"/>
    <m/>
    <s v="19-25"/>
    <m/>
    <x v="1"/>
    <m/>
    <s v="United Kingdom"/>
    <m/>
  </r>
  <r>
    <d v="2018-11-14T13:12:53"/>
    <s v="Gameplay"/>
    <s v="Solo, Duo"/>
    <s v="Master Skins"/>
    <s v="No"/>
    <m/>
    <s v="I've not made a purchase"/>
    <s v="Succubus Soul Eater Cleaver Golem and Divine person with a sword  "/>
    <m/>
    <s v="Stormbringer"/>
    <m/>
    <s v="It's range boost is amazing."/>
    <m/>
    <s v="Gold"/>
    <m/>
    <s v="5-25"/>
    <m/>
    <x v="107"/>
    <m/>
    <s v="Occasionally"/>
    <m/>
    <s v="Neither"/>
    <m/>
    <s v="Male"/>
    <m/>
    <s v="I prefer not to say"/>
    <m/>
    <x v="2"/>
    <m/>
    <s v="USA"/>
    <m/>
  </r>
  <r>
    <d v="2018-11-14T13:15:45"/>
    <s v="Gameplay, Collecting Cards/Masters"/>
    <s v="Solo"/>
    <s v="Master Skins, Arenas"/>
    <s v="Yes"/>
    <s v="Buy a Master"/>
    <s v="Yes"/>
    <s v="Hachoir Illusoir, meutes de scats, Marines Plasma, Succube,  Golem Bleu "/>
    <m/>
    <s v="Apep"/>
    <m/>
    <s v="The 0 cost cards skill"/>
    <m/>
    <s v="Silver"/>
    <m/>
    <s v="0-5"/>
    <m/>
    <x v="108"/>
    <m/>
    <s v="Daily"/>
    <m/>
    <s v="Watch, Stream"/>
    <m/>
    <s v="Male"/>
    <m/>
    <s v="26-35"/>
    <m/>
    <x v="0"/>
    <m/>
    <s v="France"/>
    <m/>
  </r>
  <r>
    <d v="2018-11-14T13:16:37"/>
    <s v="Gameplay, What it COULD become.... Minion masters lacks content, greatly. It needs more content. I had an idea I think you guys could impliment and would make the game WAY better. As in with your campaign mode tabletop thing. You could make a strategy game with it such as. Giving each player on each side a set of those (&quot;NPC&quot;) minion masters they can place on said map. That have a preset deck. Which would mean they would have to collect those NPC minion masters as well. And each player takes (&quot;turns&quot;) moving a piece to obtain something on the map..  Like a resource or something.  And where people could use actual strategy on that board with the units to fight one another. Taking the other player's (&quot;base&quot;) would be instant win. When units touch, they enter combat as one would normally, but you would be playing as that NPC master with a preset deck."/>
    <s v="Solo, Duo, Premade Duo, Expeditions"/>
    <s v="Master Skins, Emotes"/>
    <s v="Yes"/>
    <s v=".... One skin... Really wanted it."/>
    <s v="No"/>
    <s v="Musketeer, Rabid Prowler, Cheese Date, Xiao Long, Guardian"/>
    <m/>
    <s v="Settsu"/>
    <m/>
    <s v="It was a difficult choice between Apep, King Puff, and Settsu for me. I choose Settsu mainly due to her in combat summon card along with her range attack. Though, it tends to be more double edge. However, she is rather decent. Plus, just love mechs and mech suits. "/>
    <m/>
    <s v="Grandmaster"/>
    <m/>
    <s v="200-1000"/>
    <m/>
    <x v="109"/>
    <m/>
    <s v="Daily"/>
    <m/>
    <s v="Neither"/>
    <m/>
    <s v="Male"/>
    <m/>
    <s v="26-35"/>
    <m/>
    <x v="4"/>
    <m/>
    <s v="USA"/>
    <m/>
  </r>
  <r>
    <d v="2018-11-14T13:17:51"/>
    <s v="Gameplay, Graphics, Collecting Cards/Masters"/>
    <s v="Duo, Premade Duo, Expeditions"/>
    <s v="Master Skins, Arenas"/>
    <s v="Yes"/>
    <s v="Battle Pass"/>
    <s v="Yes"/>
    <s v="Bazooka Scrat, Harbinger, Healing Totem, S.T.INT., Chain Lightning"/>
    <m/>
    <s v="Ravager"/>
    <m/>
    <s v="Brutus helps greatly as a free tank for a push involving things such as Harbinger, great support Master, strong close range attack."/>
    <m/>
    <s v="Platinum"/>
    <m/>
    <s v="25-100"/>
    <m/>
    <x v="110"/>
    <m/>
    <s v="5-6 times a week"/>
    <m/>
    <s v="Watch"/>
    <m/>
    <s v="Male"/>
    <m/>
    <s v="14-18"/>
    <m/>
    <x v="1"/>
    <m/>
    <s v="USA"/>
    <m/>
  </r>
  <r>
    <d v="2018-11-14T13:18:12"/>
    <s v="Discord sponsoring this game made me check it out, disappointed, same as Clash royale, but better graphics."/>
    <s v="Solo"/>
    <s v="Avatars"/>
    <s v="No"/>
    <m/>
    <s v="I've not made a purchase"/>
    <s v="Dont know the cards here, but on Clash royale Hog rider, minions, ice spirit fireball and the log"/>
    <m/>
    <s v="Stormbringer"/>
    <m/>
    <s v="I have no idea what are these names."/>
    <m/>
    <s v="Wood"/>
    <m/>
    <s v="0-5"/>
    <m/>
    <x v="111"/>
    <m/>
    <s v="Daily"/>
    <m/>
    <s v="Neither"/>
    <m/>
    <s v="Male"/>
    <m/>
    <s v="14-18"/>
    <m/>
    <x v="1"/>
    <m/>
    <s v="Israel"/>
    <m/>
  </r>
  <r>
    <d v="2018-11-14T13:20:10"/>
    <s v="Gameplay, Collecting Cards/Masters"/>
    <s v="Solo"/>
    <s v="Master Skins, Avatars"/>
    <s v="Yes"/>
    <s v="Battle pass"/>
    <s v="Yes"/>
    <s v="Xiao long, shars'rakk twins, dragonball, armored escorts, morgul the swarm king"/>
    <m/>
    <s v="Ravager"/>
    <m/>
    <s v="Brutus allows for good counter pushes"/>
    <m/>
    <s v="Diamond"/>
    <m/>
    <s v="5-25"/>
    <m/>
    <x v="112"/>
    <m/>
    <s v="Daily"/>
    <m/>
    <s v="Watch"/>
    <m/>
    <s v="Male"/>
    <m/>
    <s v="14-18"/>
    <m/>
    <x v="1"/>
    <m/>
    <s v="USA"/>
    <m/>
  </r>
  <r>
    <d v="2018-11-14T13:21:22"/>
    <s v="Gameplay"/>
    <s v="Solo, Duo"/>
    <s v="Arenas"/>
    <s v="No"/>
    <m/>
    <s v="I've not made a purchase"/>
    <s v="styxi - crystal arcanist - fire imp - ghost - commander azali"/>
    <m/>
    <s v="Stormbringer"/>
    <m/>
    <s v="his ability yo shoot at everything "/>
    <m/>
    <s v="Master"/>
    <m/>
    <s v="25-100"/>
    <m/>
    <x v="113"/>
    <m/>
    <s v="Daily"/>
    <m/>
    <s v="Neither"/>
    <m/>
    <s v="Male"/>
    <m/>
    <s v="19-25"/>
    <m/>
    <x v="1"/>
    <m/>
    <s v="France"/>
    <m/>
  </r>
  <r>
    <d v="2018-11-14T13:23:23"/>
    <s v="Gameplay, Collecting Cards/Masters"/>
    <s v="Solo, Duo"/>
    <s v="Master Skins, Arenas"/>
    <s v="Yes"/>
    <s v="Battle pass"/>
    <s v="Yes"/>
    <s v="Morgrul, Soul stealer, Stun lancers, black hole, fencer"/>
    <m/>
    <s v="Stormbringer"/>
    <m/>
    <s v="He provides a consistent advantage in equal trades, allowing for easier tempo-oriented play"/>
    <m/>
    <s v="Gold"/>
    <m/>
    <s v="5-25"/>
    <m/>
    <x v="114"/>
    <m/>
    <s v="5-6 times a week"/>
    <m/>
    <s v="Neither"/>
    <m/>
    <s v="Male"/>
    <m/>
    <s v="19-25"/>
    <m/>
    <x v="1"/>
    <m/>
    <s v="USA"/>
    <m/>
  </r>
  <r>
    <d v="2018-11-14T13:24:04"/>
    <s v="Gameplay, Graphics, Competitions/Tournaments"/>
    <s v="Solo"/>
    <m/>
    <s v="No"/>
    <m/>
    <s v="I've not made a purchase"/>
    <m/>
    <m/>
    <s v="King Puff"/>
    <m/>
    <s v="control, perks"/>
    <m/>
    <s v="Gold"/>
    <m/>
    <s v="5-25"/>
    <m/>
    <x v="115"/>
    <m/>
    <s v="Daily"/>
    <m/>
    <s v="Neither"/>
    <m/>
    <s v="Male"/>
    <m/>
    <s v="over 36"/>
    <m/>
    <x v="0"/>
    <m/>
    <s v="Turkey"/>
    <m/>
  </r>
  <r>
    <d v="2018-11-14T13:25:00"/>
    <s v="Gameplay"/>
    <s v="Duo"/>
    <s v="Avatars"/>
    <s v="Yes"/>
    <s v="Account upgrade, Battle Pass and some Masters"/>
    <s v="Yes"/>
    <s v="Walking Blinde Date, Wizard Puff, Snake Druid, Cannon Roller, Styxi(he needs some love)"/>
    <m/>
    <s v="Apep"/>
    <m/>
    <s v="Great perks"/>
    <m/>
    <s v="Master"/>
    <m/>
    <s v="25-100"/>
    <m/>
    <x v="12"/>
    <m/>
    <s v="Daily"/>
    <m/>
    <s v="Neither"/>
    <m/>
    <s v="Male"/>
    <m/>
    <s v="26-35"/>
    <m/>
    <x v="0"/>
    <m/>
    <s v="France"/>
    <m/>
  </r>
  <r>
    <d v="2018-11-14T13:26:28"/>
    <s v="Gameplay, Graphics, Collecting Cards/Masters"/>
    <s v="Premade Duo"/>
    <s v="Arenas"/>
    <s v="Yes"/>
    <s v="To get the king puff pack it was on sale"/>
    <s v="Yes"/>
    <s v="Stun lancer, commandar Azali, immune warrior, scratch pack, spear throwers"/>
    <m/>
    <s v="Ravager"/>
    <m/>
    <s v="I like the push"/>
    <m/>
    <s v="Diamond"/>
    <m/>
    <s v="25-100"/>
    <m/>
    <x v="116"/>
    <m/>
    <s v="Daily"/>
    <m/>
    <s v="Watch"/>
    <m/>
    <s v="Male"/>
    <m/>
    <s v="19-25"/>
    <m/>
    <x v="1"/>
    <m/>
    <s v="The Netherlands"/>
    <m/>
  </r>
  <r>
    <d v="2018-11-14T13:27:23"/>
    <s v="Competitions/Tournaments"/>
    <s v="Expeditions"/>
    <s v="Master Skins"/>
    <s v="Yes"/>
    <s v="Masters"/>
    <s v="No"/>
    <m/>
    <m/>
    <s v="Mordar"/>
    <m/>
    <m/>
    <m/>
    <s v="Gold"/>
    <m/>
    <s v="25-100"/>
    <m/>
    <x v="117"/>
    <m/>
    <s v="Daily"/>
    <m/>
    <s v="Watch"/>
    <m/>
    <s v="I prefer not to say"/>
    <m/>
    <s v="I prefer not to say"/>
    <m/>
    <x v="2"/>
    <m/>
    <s v="I prefer not to say"/>
    <m/>
  </r>
  <r>
    <d v="2018-11-14T13:31:24"/>
    <s v="Gameplay, Collecting Cards/Masters, Competitions/Tournaments"/>
    <s v="Mayhem Solo"/>
    <s v="Master Skins, Emotes, Avatars"/>
    <s v="Yes"/>
    <s v="battle pass, shop offers, power tokens. basically anything. main reason was to support you guys."/>
    <s v="Yes"/>
    <s v="yes. assassin, shakalaka twins, fake cleaver,  dragonball, wheel of doom"/>
    <m/>
    <s v="King Puff"/>
    <m/>
    <s v="because i have to choose one.  i play anything, except ratbo and volco."/>
    <m/>
    <s v="Grandmaster"/>
    <m/>
    <s v="200-1000"/>
    <m/>
    <x v="118"/>
    <m/>
    <s v="Daily"/>
    <m/>
    <s v="Watch"/>
    <m/>
    <s v="Male"/>
    <m/>
    <s v="26-35"/>
    <m/>
    <x v="0"/>
    <m/>
    <s v="Germany"/>
    <m/>
  </r>
  <r>
    <d v="2018-11-14T13:31:47"/>
    <s v="Gameplay, Collecting Cards/Masters"/>
    <s v="Solo, Duo, Premade Duo"/>
    <s v="Master Skins, Arenas"/>
    <s v="No"/>
    <m/>
    <s v="I've not made a purchase"/>
    <m/>
    <m/>
    <s v="Mordar"/>
    <m/>
    <m/>
    <m/>
    <s v="Grandmaster"/>
    <m/>
    <s v="1000+"/>
    <m/>
    <x v="4"/>
    <m/>
    <s v="Daily"/>
    <m/>
    <s v="Watch, Stream"/>
    <m/>
    <s v="Male"/>
    <m/>
    <s v="over 36"/>
    <m/>
    <x v="2"/>
    <m/>
    <s v="The Netherlands"/>
    <m/>
  </r>
  <r>
    <d v="2018-11-14T13:33:58"/>
    <s v="Gameplay, Collecting Cards/Masters"/>
    <s v="Solo, Duo"/>
    <s v="Master Skins, Arenas"/>
    <s v="No"/>
    <m/>
    <s v="I've not made a purchase"/>
    <m/>
    <m/>
    <s v="Stormbringer"/>
    <m/>
    <m/>
    <m/>
    <s v="Silver"/>
    <m/>
    <s v="0-5"/>
    <m/>
    <x v="4"/>
    <m/>
    <s v="Daily"/>
    <m/>
    <s v="Neither"/>
    <m/>
    <s v="Male"/>
    <m/>
    <s v="19-25"/>
    <m/>
    <x v="0"/>
    <m/>
    <s v="I prefer not to say"/>
    <m/>
  </r>
  <r>
    <d v="2018-11-14T13:34:05"/>
    <s v="Gameplay, Competitions/Tournaments"/>
    <s v="Solo, Premade Duo"/>
    <s v="Master Skins"/>
    <s v="No"/>
    <m/>
    <s v="I've not made a purchase"/>
    <s v="Legendary ghoul that spawns with 2 small ghouls, the flying bald guy, fire mage, priestess, warrior with shield. Im sorry I can't remember the names :/"/>
    <m/>
    <s v="King Puff"/>
    <m/>
    <s v="Strong early late game, bridge swap is fun."/>
    <m/>
    <s v="Diamond"/>
    <m/>
    <s v="25-100"/>
    <m/>
    <x v="119"/>
    <m/>
    <s v="Daily"/>
    <m/>
    <s v="Neither"/>
    <m/>
    <s v="Male"/>
    <m/>
    <s v="26-35"/>
    <m/>
    <x v="0"/>
    <m/>
    <s v="Spain"/>
    <m/>
  </r>
  <r>
    <d v="2018-11-14T13:35:12"/>
    <s v="Gameplay"/>
    <s v="Duo, Premade Duo"/>
    <s v="Emotes"/>
    <s v="Yes"/>
    <s v="2.00 dollars, wanted to try a new master"/>
    <s v="Yes"/>
    <s v="Plasma Marine, Beam of Doom, Divine Warrior, Cannon Roller, Annihilator"/>
    <m/>
    <s v="Stormbringer"/>
    <m/>
    <s v="The constant arrow spam is strong at my tier"/>
    <m/>
    <s v="Platinum"/>
    <m/>
    <s v="5-25"/>
    <m/>
    <x v="120"/>
    <m/>
    <s v="Daily"/>
    <m/>
    <s v="Watch"/>
    <m/>
    <s v="Male"/>
    <m/>
    <s v="26-35"/>
    <m/>
    <x v="0"/>
    <m/>
    <s v="USA"/>
    <m/>
  </r>
  <r>
    <d v="2018-11-14T13:35:41"/>
    <s v="Gameplay"/>
    <s v="Solo"/>
    <s v="Master Skins"/>
    <s v="No"/>
    <m/>
    <s v="I've not made a purchase"/>
    <m/>
    <m/>
    <s v="Apep"/>
    <m/>
    <m/>
    <m/>
    <s v="Bronze"/>
    <m/>
    <s v="5-25"/>
    <m/>
    <x v="121"/>
    <m/>
    <s v="Daily"/>
    <m/>
    <s v="Neither"/>
    <m/>
    <s v="Male"/>
    <m/>
    <s v="14-18"/>
    <m/>
    <x v="1"/>
    <m/>
    <s v="USA"/>
    <m/>
  </r>
  <r>
    <d v="2018-11-14T13:35:58"/>
    <s v="Gameplay, Graphics, Collecting Cards/Masters"/>
    <s v="Solo, Premade Duo, Mayhem Solo, Mayhem Duo"/>
    <s v="Master Skins, Arenas"/>
    <s v="Yes"/>
    <s v="Battle Pass And Masters"/>
    <s v="Yes"/>
    <s v="Not of the top of my head"/>
    <m/>
    <s v="Milloween"/>
    <m/>
    <s v="I like spellcasters"/>
    <m/>
    <s v="Platinum"/>
    <m/>
    <s v="5-25"/>
    <m/>
    <x v="122"/>
    <m/>
    <s v="Daily"/>
    <m/>
    <s v="Watch, Stream"/>
    <m/>
    <s v="Male"/>
    <m/>
    <s v="19-25"/>
    <m/>
    <x v="1"/>
    <m/>
    <s v="USA"/>
    <m/>
  </r>
  <r>
    <d v="2018-11-14T13:37:42"/>
    <s v="Gameplay"/>
    <s v="Duo, Premade Duo, Expeditions, Mayhem Duo"/>
    <s v="Master Skins, Arenas"/>
    <s v="No"/>
    <m/>
    <s v="I've not made a purchase"/>
    <s v="Chain lightning, Fire Imp, Elite Swarmer, Harbinger, Stun Lancers"/>
    <m/>
    <s v="Ravager"/>
    <m/>
    <s v="Feels Strong"/>
    <m/>
    <s v="Gold"/>
    <m/>
    <s v="25-100"/>
    <m/>
    <x v="4"/>
    <m/>
    <s v="Daily"/>
    <m/>
    <s v="Watch"/>
    <m/>
    <s v="Male"/>
    <m/>
    <s v="26-35"/>
    <m/>
    <x v="3"/>
    <m/>
    <s v="USA"/>
    <m/>
  </r>
  <r>
    <d v="2018-11-14T13:38:19"/>
    <s v="Gameplay, Graphics, Collecting Cards/Masters"/>
    <s v="Duo, Mayhem Solo, Mayhem Duo"/>
    <s v="Master Skins, Arenas"/>
    <s v="Yes"/>
    <s v="bundles"/>
    <s v="No"/>
    <m/>
    <m/>
    <s v="Milloween"/>
    <m/>
    <m/>
    <m/>
    <s v="Platinum"/>
    <m/>
    <s v="25-100"/>
    <m/>
    <x v="4"/>
    <m/>
    <s v="Daily"/>
    <m/>
    <s v="Neither"/>
    <m/>
    <s v="Male"/>
    <m/>
    <s v="19-25"/>
    <m/>
    <x v="3"/>
    <m/>
    <s v="I prefer not to say"/>
    <m/>
  </r>
  <r>
    <d v="2018-11-14T13:40:01"/>
    <s v="Gameplay, Graphics"/>
    <s v="Duo, Premade Duo"/>
    <s v="Master Skins, Arenas"/>
    <s v="No"/>
    <m/>
    <s v="I've not made a purchase"/>
    <m/>
    <m/>
    <s v="Mordar"/>
    <m/>
    <m/>
    <m/>
    <s v="Master"/>
    <m/>
    <s v="25-100"/>
    <m/>
    <x v="4"/>
    <m/>
    <s v="3-4 times a week"/>
    <m/>
    <s v="Watch"/>
    <m/>
    <s v="I prefer not to say"/>
    <m/>
    <s v="I prefer not to say"/>
    <m/>
    <x v="2"/>
    <m/>
    <s v="France"/>
    <m/>
  </r>
  <r>
    <d v="2018-11-14T13:41:17"/>
    <s v="Gameplay, Collecting Cards/Masters"/>
    <s v="Solo, Duo, Premade Duo"/>
    <s v="Master Skins, Arenas"/>
    <s v="Yes"/>
    <s v="Season pass"/>
    <s v="Yes"/>
    <s v="Plasma marines, Divine Warrior, Cursebearer, Choper, Xiao Long (but I dont have yet)"/>
    <m/>
    <s v="Stormbringer"/>
    <m/>
    <s v="I'ts Defensive and offensive"/>
    <m/>
    <s v="Master"/>
    <m/>
    <s v="25-100"/>
    <m/>
    <x v="123"/>
    <m/>
    <s v="Daily"/>
    <m/>
    <s v="Watch, Stream"/>
    <m/>
    <s v="Male"/>
    <m/>
    <s v="26-35"/>
    <m/>
    <x v="3"/>
    <m/>
    <s v="Spain"/>
    <m/>
  </r>
  <r>
    <d v="2018-11-14T13:43:35"/>
    <s v="Gameplay, Competitions/Tournaments"/>
    <s v="Solo, Duo, Premade Duo"/>
    <s v="Master Skins, Arenas"/>
    <s v="No"/>
    <m/>
    <s v="I've not made a purchase"/>
    <s v="Assassin, Harbringer, Incubus, Annihilator, Spiritmancer"/>
    <m/>
    <s v="Settsu"/>
    <m/>
    <s v="Consistency and interesting use that applies well to nearly any kind of deck. "/>
    <m/>
    <s v="Grandmaster"/>
    <m/>
    <s v="25-100"/>
    <m/>
    <x v="124"/>
    <m/>
    <s v="5-6 times a week"/>
    <m/>
    <s v="Neither"/>
    <m/>
    <s v="Male"/>
    <m/>
    <s v="19-25"/>
    <m/>
    <x v="1"/>
    <m/>
    <s v="Denmark"/>
    <m/>
  </r>
  <r>
    <d v="2018-11-14T13:43:58"/>
    <s v="Gameplay"/>
    <s v="Duo"/>
    <s v="Master Skins"/>
    <s v="No"/>
    <m/>
    <s v="I've not made a purchase"/>
    <m/>
    <m/>
    <s v="Stormbringer"/>
    <m/>
    <m/>
    <m/>
    <s v="Bronze"/>
    <m/>
    <s v="0-5"/>
    <m/>
    <x v="125"/>
    <m/>
    <s v="Daily"/>
    <m/>
    <s v="Watch"/>
    <m/>
    <s v="Male"/>
    <m/>
    <s v="14-18"/>
    <m/>
    <x v="1"/>
    <m/>
    <s v="Brazil"/>
    <m/>
  </r>
  <r>
    <d v="2018-11-14T13:44:53"/>
    <s v="Gameplay, Collecting Cards/Masters"/>
    <s v="Solo, Premade Duo, Mayhem Duo"/>
    <s v="Master Skins, Arenas"/>
    <s v="No"/>
    <m/>
    <s v="I've not made a purchase"/>
    <m/>
    <m/>
    <s v="Settsu"/>
    <m/>
    <s v="mobility, strategy possible"/>
    <m/>
    <s v="Diamond"/>
    <m/>
    <s v="25-100"/>
    <m/>
    <x v="126"/>
    <m/>
    <s v="Daily"/>
    <m/>
    <s v="Watch"/>
    <m/>
    <s v="Male"/>
    <m/>
    <s v="19-25"/>
    <m/>
    <x v="1"/>
    <m/>
    <s v="France"/>
    <m/>
  </r>
  <r>
    <d v="2018-11-14T13:45:13"/>
    <s v="Gameplay"/>
    <s v="Premade Duo"/>
    <s v="Emotes"/>
    <s v="No"/>
    <m/>
    <s v="I've not made a purchase"/>
    <s v="Sucube and incube/ mana colosus/ sucube and that’s it"/>
    <m/>
    <s v="Mordar"/>
    <m/>
    <s v="I like his disign , and i love ressurection system"/>
    <m/>
    <s v="Platinum"/>
    <m/>
    <s v="25-100"/>
    <m/>
    <x v="127"/>
    <m/>
    <s v="1-2 times a week"/>
    <m/>
    <m/>
    <m/>
    <s v="Male"/>
    <m/>
    <s v="14-18"/>
    <m/>
    <x v="1"/>
    <m/>
    <s v="France"/>
    <m/>
  </r>
  <r>
    <d v="2018-11-14T13:45:21"/>
    <s v="Gameplay"/>
    <s v="Premade Duo"/>
    <s v="Master Skins"/>
    <s v="No"/>
    <m/>
    <s v="I've not made a purchase"/>
    <s v="Scrat tank, chain lightning, whirly scrat, wizard puff, troubadour "/>
    <m/>
    <s v="Ravager"/>
    <m/>
    <s v="Thematically it reminds me of a voidborn zerg type creature, i tend to use zerg swarm strategies with my partner having heavier cards. He spawns his own big minion to help. He also looks rather cool. "/>
    <m/>
    <s v="Gold"/>
    <m/>
    <s v="5-25"/>
    <m/>
    <x v="128"/>
    <m/>
    <s v="Daily"/>
    <m/>
    <s v="Watch"/>
    <m/>
    <s v="Male"/>
    <m/>
    <s v="19-25"/>
    <m/>
    <x v="0"/>
    <m/>
    <s v="United Kingdom"/>
    <m/>
  </r>
  <r>
    <d v="2018-11-14T13:46:30"/>
    <s v="Gameplay, Graphics, Collecting Cards/Masters, Competitions/Tournaments, the devs being so active in the community is amazing"/>
    <s v="Solo"/>
    <s v="Master Skins, Arenas, Emotes"/>
    <s v="No"/>
    <m/>
    <s v="I've not made a purchase"/>
    <s v="morgrul, blood imp, zooka, MEMESTORM, scrat tank"/>
    <m/>
    <s v="Volco"/>
    <m/>
    <s v="cause u made me choose only one"/>
    <m/>
    <s v="Grandmaster"/>
    <m/>
    <s v="1000+"/>
    <m/>
    <x v="129"/>
    <m/>
    <s v="Daily"/>
    <m/>
    <s v="Watch, Stream"/>
    <m/>
    <s v="Male"/>
    <m/>
    <s v="26-35"/>
    <m/>
    <x v="3"/>
    <m/>
    <s v="USA"/>
    <m/>
  </r>
  <r>
    <d v="2018-11-14T13:46:32"/>
    <s v="Gameplay"/>
    <s v="Premade Duo, Mayhem Solo"/>
    <m/>
    <s v="No"/>
    <m/>
    <s v="I've not made a purchase"/>
    <s v="Rammer, Harbinger, Cleaver, Last Stand, Gor'Rakk Sacrifice."/>
    <m/>
    <s v="Ravager"/>
    <m/>
    <s v="His passives, being able to spawn a tanky unit with decent damage helps wit h my playstyle i believe. His ability to kill weak minions in melee range is quite usefull too."/>
    <m/>
    <s v="Gold"/>
    <m/>
    <s v="25-100"/>
    <m/>
    <x v="130"/>
    <m/>
    <s v="Daily"/>
    <m/>
    <s v="Watch"/>
    <m/>
    <s v="Male"/>
    <m/>
    <s v="19-25"/>
    <m/>
    <x v="1"/>
    <m/>
    <s v="Sweden"/>
    <m/>
  </r>
  <r>
    <d v="2018-11-14T13:46:47"/>
    <s v="Playing with friends"/>
    <s v="Premade Duo, Expeditions"/>
    <s v="Arenas, Emotes"/>
    <s v="No"/>
    <m/>
    <s v="I've not made a purchase"/>
    <s v="Hypnotize, future present, spiritmancer, burn the bridges, blastmancer"/>
    <m/>
    <s v="Volco"/>
    <m/>
    <s v="Easy and fum"/>
    <m/>
    <s v="Diamond"/>
    <m/>
    <s v="100-200"/>
    <m/>
    <x v="131"/>
    <m/>
    <s v="5-6 times a week"/>
    <m/>
    <s v="Neither"/>
    <m/>
    <s v="Male"/>
    <m/>
    <s v="19-25"/>
    <m/>
    <x v="1"/>
    <m/>
    <s v="Poland"/>
    <m/>
  </r>
  <r>
    <d v="2018-11-14T13:49:13"/>
    <s v="Gameplay"/>
    <s v="Solo, Duo"/>
    <s v="Master Skins"/>
    <s v="Yes"/>
    <s v="Not sure I was new"/>
    <s v="No"/>
    <s v="Not good with names but Shawn the sensitive is funny not a bad card either"/>
    <m/>
    <s v="Milloween"/>
    <m/>
    <s v="It’s free on discord"/>
    <m/>
    <s v="Gold"/>
    <m/>
    <s v="5-25"/>
    <m/>
    <x v="4"/>
    <m/>
    <s v="Daily"/>
    <m/>
    <s v="Watch, Stream"/>
    <m/>
    <s v="Female"/>
    <m/>
    <s v="over 36"/>
    <m/>
    <x v="1"/>
    <m/>
    <s v="USA"/>
    <m/>
  </r>
  <r>
    <d v="2018-11-14T13:50:20"/>
    <s v="Gameplay, Collecting Cards/Masters"/>
    <s v="Duo, Mayhem Duo"/>
    <s v="Avatars"/>
    <s v="No"/>
    <m/>
    <s v="I've not made a purchase"/>
    <s v="Annilator, Blue golem, Healer, and i dont have a lot"/>
    <m/>
    <s v="Milloween"/>
    <m/>
    <s v="IDK"/>
    <m/>
    <s v="Gold"/>
    <m/>
    <s v="100-200"/>
    <m/>
    <x v="132"/>
    <m/>
    <s v="1-2 times a week"/>
    <m/>
    <s v="Neither"/>
    <m/>
    <s v="Male"/>
    <m/>
    <s v="14-18"/>
    <m/>
    <x v="1"/>
    <m/>
    <s v="Taiwan"/>
    <m/>
  </r>
  <r>
    <d v="2018-11-14T13:50:36"/>
    <s v="Gameplay, Graphics, Collecting Cards/Masters"/>
    <s v="Solo, Duo, Expeditions"/>
    <s v="Master Skins, Avatars"/>
    <s v="Yes"/>
    <s v="Battle pass, Master skins from deals"/>
    <s v="Yes"/>
    <s v="Reboomer, Beam of DOOM, Annihilator, Blood imps, Harbringer."/>
    <m/>
    <s v="Apep"/>
    <m/>
    <s v="The other masters are sort of focused towards one thing, while Apep is focused on random stuff happening. Plus he synergises with high cost cards."/>
    <m/>
    <s v="Master"/>
    <m/>
    <s v="200-1000"/>
    <m/>
    <x v="133"/>
    <m/>
    <s v="Daily"/>
    <m/>
    <s v="Watch"/>
    <m/>
    <s v="Male"/>
    <m/>
    <s v="26-35"/>
    <m/>
    <x v="3"/>
    <m/>
    <s v="Russia"/>
    <m/>
  </r>
  <r>
    <d v="2018-11-14T13:52:02"/>
    <s v="Gameplay"/>
    <s v="Solo"/>
    <s v="Arenas"/>
    <s v="No"/>
    <m/>
    <s v="I've not made a purchase"/>
    <m/>
    <m/>
    <s v="Stormbringer"/>
    <m/>
    <s v="Good all around"/>
    <m/>
    <s v="Gold"/>
    <m/>
    <s v="25-100"/>
    <m/>
    <x v="4"/>
    <m/>
    <s v="Daily"/>
    <m/>
    <s v="Watch"/>
    <m/>
    <s v="I prefer not to say"/>
    <m/>
    <s v="19-25"/>
    <m/>
    <x v="0"/>
    <m/>
    <s v="Canada"/>
    <m/>
  </r>
  <r>
    <d v="2018-11-14T13:52:37"/>
    <s v="Community"/>
    <s v="Duo, Draft"/>
    <s v="Arenas"/>
    <s v="No"/>
    <m/>
    <s v="I've not made a purchase"/>
    <s v="Marines, Zooka,  Flying snek, Mustache man, Pounce lizard. "/>
    <m/>
    <s v="Settsu"/>
    <m/>
    <s v="Can only pick one and this is the most versatile."/>
    <m/>
    <s v="Grandmaster"/>
    <m/>
    <s v="1000+"/>
    <m/>
    <x v="134"/>
    <m/>
    <s v="Daily"/>
    <m/>
    <s v="Watch"/>
    <m/>
    <s v="Male"/>
    <m/>
    <s v="26-35"/>
    <m/>
    <x v="0"/>
    <m/>
    <s v="Bulgaria"/>
    <m/>
  </r>
  <r>
    <d v="2018-11-14T13:53:09"/>
    <s v="Gameplay, Collecting Cards/Masters"/>
    <s v="Draft, Mayhem Solo"/>
    <s v="Master Skins"/>
    <s v="Yes"/>
    <s v="I wanted to buy the battle pass"/>
    <s v="Yes"/>
    <s v="1 Whirly Scrat 2 Rammer 3 Daggerfall 4 assassin 5 Legionnaires"/>
    <m/>
    <s v="Volco"/>
    <m/>
    <s v="I really like everything with this master . Gameplay / skin / voice "/>
    <m/>
    <s v="Diamond"/>
    <m/>
    <s v="25-100"/>
    <m/>
    <x v="135"/>
    <m/>
    <s v="Daily"/>
    <m/>
    <s v="Watch"/>
    <m/>
    <s v="Male"/>
    <m/>
    <s v="19-25"/>
    <m/>
    <x v="3"/>
    <m/>
    <s v="France"/>
    <m/>
  </r>
  <r>
    <d v="2018-11-14T13:53:36"/>
    <s v="Gameplay, Collecting Cards/Masters"/>
    <s v="Solo, Duo"/>
    <s v="Master Skins"/>
    <s v="No"/>
    <m/>
    <s v="I've not made a purchase"/>
    <s v="Incubus, Fire Imp, Whirly Scrat, Cleaver, Mana Puff"/>
    <m/>
    <s v="Mordar"/>
    <m/>
    <s v="He's a spooky scary skeleton"/>
    <m/>
    <s v="Gold"/>
    <m/>
    <s v="25-100"/>
    <m/>
    <x v="136"/>
    <m/>
    <s v="Daily"/>
    <m/>
    <s v="Watch"/>
    <m/>
    <s v="Male"/>
    <m/>
    <s v="19-25"/>
    <m/>
    <x v="1"/>
    <m/>
    <s v="Austria"/>
    <m/>
  </r>
  <r>
    <d v="2018-11-14T13:54:01"/>
    <s v="Gameplay, Graphics, Collecting Cards/Masters"/>
    <s v="Duo, Expeditions, Mayhem Solo, Mayhem Duo"/>
    <s v="Arenas, Emotes"/>
    <s v="No"/>
    <m/>
    <s v="I've not made a purchase"/>
    <s v="2 mana scrats, Scott, flying unit with +1 range, blackhole, zone stun"/>
    <m/>
    <s v="Mordar"/>
    <m/>
    <s v="revival, tombs used as walls. not meta atm though"/>
    <m/>
    <s v="Grandmaster"/>
    <m/>
    <s v="1000+"/>
    <m/>
    <x v="137"/>
    <m/>
    <s v="Daily"/>
    <m/>
    <s v="Watch, Stream"/>
    <m/>
    <s v="Male"/>
    <m/>
    <s v="26-35"/>
    <m/>
    <x v="3"/>
    <m/>
    <s v="France"/>
    <m/>
  </r>
  <r>
    <d v="2018-11-14T13:54:42"/>
    <s v="Gameplay, Collecting Cards/Masters"/>
    <s v="Solo, Premade Duo, Draft, Mayhem Solo, Mayhem Duo"/>
    <s v="Arenas"/>
    <s v="Yes"/>
    <s v="for the battlepass"/>
    <s v="Yes"/>
    <s v="assasin, bruiser, soulstealer, scratt mine, puff sorcerer"/>
    <m/>
    <s v="Settsu"/>
    <m/>
    <s v="because I like the way she interact directly with the battle"/>
    <m/>
    <s v="Platinum"/>
    <m/>
    <s v="25-100"/>
    <m/>
    <x v="138"/>
    <m/>
    <s v="Daily"/>
    <m/>
    <s v="Watch"/>
    <m/>
    <s v="Male"/>
    <m/>
    <s v="19-25"/>
    <m/>
    <x v="1"/>
    <m/>
    <s v="France"/>
    <m/>
  </r>
  <r>
    <d v="2018-11-14T13:55:32"/>
    <s v="Gameplay, Graphics, Collecting Cards/Masters, Combinations of Cards/Minions, makes it feel like MOBA on fast pace."/>
    <s v="Solo, Duo, Premade Duo, Expeditions"/>
    <s v="Master Skins"/>
    <s v="Yes"/>
    <s v="Account Upgrades, Cards, Masters."/>
    <s v="Yes"/>
    <s v="Whirling Scamp, Harbinger, Crystal Archers, Arcane Golem, Beam of Doom. "/>
    <m/>
    <s v="Settsu"/>
    <m/>
    <s v="The fact it can go into the Arena, it is underpowered I feel though, but still fun to see &quot;YOURSELF&quot; fighting."/>
    <m/>
    <s v="Gold"/>
    <m/>
    <s v="25-100"/>
    <m/>
    <x v="139"/>
    <m/>
    <s v="3-4 times a week"/>
    <m/>
    <s v="Neither"/>
    <m/>
    <s v="Male"/>
    <m/>
    <s v="26-35"/>
    <m/>
    <x v="0"/>
    <m/>
    <s v="USA"/>
    <m/>
  </r>
  <r>
    <d v="2018-11-14T13:58:19"/>
    <s v="Gameplay, Graphics, Collecting Cards/Masters"/>
    <s v="Solo, Duo, Expeditions, Mayhem Solo"/>
    <s v="Master Skins, Arenas, Emotes, Avatars"/>
    <s v="No"/>
    <m/>
    <s v="I've not made a purchase"/>
    <s v="Colossus, Beam of Doom!, Infiltration, Empowered Soul Stealer, Styxi"/>
    <m/>
    <s v="Settsu"/>
    <m/>
    <s v="versatile hero because can also enter battlefield"/>
    <m/>
    <s v="Master"/>
    <m/>
    <s v="200-1000"/>
    <m/>
    <x v="140"/>
    <m/>
    <s v="Daily"/>
    <m/>
    <s v="Neither"/>
    <m/>
    <s v="Male"/>
    <m/>
    <s v="26-35"/>
    <m/>
    <x v="3"/>
    <m/>
    <s v="Malaysia"/>
    <m/>
  </r>
  <r>
    <d v="2018-11-14T13:58:28"/>
    <s v="Gameplay, Collecting Cards/Masters"/>
    <s v="Duo, Premade Duo"/>
    <s v="Master Skins"/>
    <s v="Yes"/>
    <s v="Starting Pack"/>
    <s v="Yes"/>
    <s v="All of the Mana Frenzy guys"/>
    <m/>
    <s v="Stormbringer"/>
    <m/>
    <m/>
    <m/>
    <s v="Gold"/>
    <m/>
    <s v="5-25"/>
    <m/>
    <x v="4"/>
    <m/>
    <s v="Daily"/>
    <m/>
    <s v="Watch"/>
    <m/>
    <s v="Male"/>
    <m/>
    <s v="26-35"/>
    <m/>
    <x v="0"/>
    <m/>
    <s v="I prefer not to say"/>
    <m/>
  </r>
  <r>
    <d v="2018-11-14T13:58:42"/>
    <s v="Gameplay, Graphics, Collecting Cards/Masters"/>
    <s v="Duo, Expeditions"/>
    <s v="Master Skins"/>
    <s v="No"/>
    <m/>
    <s v="I've not made a purchase"/>
    <s v="Rabid Prowler, Succubus,  Xiao Long, Assassin, Spiritmancer "/>
    <m/>
    <s v="Stormbringer"/>
    <m/>
    <s v="Think that the long range shots are pretty op"/>
    <m/>
    <s v="Master"/>
    <m/>
    <s v="25-100"/>
    <m/>
    <x v="4"/>
    <m/>
    <s v="Daily"/>
    <m/>
    <s v="Neither"/>
    <m/>
    <s v="Male"/>
    <m/>
    <s v="19-25"/>
    <m/>
    <x v="0"/>
    <m/>
    <s v="Malta"/>
    <m/>
  </r>
  <r>
    <d v="2018-11-14T13:59:16"/>
    <s v="Gameplay"/>
    <s v="Duo, Premade Duo, Mayhem Duo"/>
    <s v="Arenas"/>
    <s v="No"/>
    <m/>
    <s v="I've not made a purchase"/>
    <s v="rammer, cleaver, crystal archers, lving statue, assassin."/>
    <m/>
    <s v="Ravager"/>
    <m/>
    <s v="because he can spawn in very powerful allys to help with a push"/>
    <m/>
    <s v="Gold"/>
    <m/>
    <s v="25-100"/>
    <m/>
    <x v="141"/>
    <m/>
    <s v="Daily"/>
    <m/>
    <s v="Watch"/>
    <m/>
    <s v="Male"/>
    <m/>
    <s v="14-18"/>
    <m/>
    <x v="3"/>
    <m/>
    <s v="United Kingdom"/>
    <m/>
  </r>
  <r>
    <d v="2018-11-14T14:00:21"/>
    <s v="Gameplay"/>
    <s v="Solo, Duo, Premade Duo"/>
    <s v="Master Skins"/>
    <s v="Yes"/>
    <s v="I wanted the Battle Pass"/>
    <s v="Yes"/>
    <s v="Bridge buddies, cheese date, dragonball, whirly scat, fire imp"/>
    <m/>
    <s v="Milloween"/>
    <m/>
    <s v="I feel like can can direct her actions more"/>
    <m/>
    <s v="Silver"/>
    <m/>
    <s v="25-100"/>
    <m/>
    <x v="142"/>
    <m/>
    <s v="5-6 times a week"/>
    <m/>
    <s v="Watch"/>
    <m/>
    <s v="Female"/>
    <m/>
    <s v="26-35"/>
    <m/>
    <x v="0"/>
    <m/>
    <s v="USA"/>
    <m/>
  </r>
  <r>
    <d v="2018-11-14T14:01:42"/>
    <s v="Gameplay"/>
    <s v="Duo"/>
    <s v="Master Skins"/>
    <s v="Yes"/>
    <s v="Premium upgrade"/>
    <s v="Yes"/>
    <m/>
    <m/>
    <s v="Settsu"/>
    <m/>
    <s v="Reminds me of starcraft"/>
    <m/>
    <s v="Diamond"/>
    <m/>
    <s v="25-100"/>
    <m/>
    <x v="143"/>
    <m/>
    <s v="Daily"/>
    <m/>
    <s v="Watch"/>
    <m/>
    <s v="Male"/>
    <m/>
    <s v="19-25"/>
    <m/>
    <x v="2"/>
    <m/>
    <s v="United Kingdom"/>
    <m/>
  </r>
  <r>
    <d v="2018-11-14T14:02:37"/>
    <s v="Gameplay, Collecting Cards/Masters, 2vs2 Mode"/>
    <s v="Solo, Premade Duo, Draft"/>
    <s v="Master Skins, Arenas"/>
    <s v="No"/>
    <m/>
    <s v="I've not made a purchase"/>
    <s v="Cheese Date Propeller Horde Blind Date Chain Lighting Assasin "/>
    <m/>
    <s v="King Puff"/>
    <m/>
    <s v="Because of the PowerSpike of the 2nd Perk."/>
    <m/>
    <s v="Platinum"/>
    <m/>
    <s v="25-100"/>
    <m/>
    <x v="144"/>
    <m/>
    <s v="Daily"/>
    <m/>
    <s v="Neither"/>
    <m/>
    <s v="Male"/>
    <m/>
    <s v="14-18"/>
    <m/>
    <x v="1"/>
    <m/>
    <s v="Romania"/>
    <m/>
  </r>
  <r>
    <d v="2018-11-14T14:04:43"/>
    <s v="Gameplay"/>
    <s v="Solo, Duo, Premade Duo"/>
    <s v="Master Skins"/>
    <s v="Yes"/>
    <s v="Shop"/>
    <s v="No"/>
    <m/>
    <m/>
    <s v="King Puff"/>
    <m/>
    <s v="High skill cap 1st perk"/>
    <m/>
    <s v="Platinum"/>
    <m/>
    <s v="25-100"/>
    <m/>
    <x v="145"/>
    <m/>
    <s v="3-4 times a week"/>
    <m/>
    <s v="Watch"/>
    <m/>
    <s v="Male"/>
    <m/>
    <s v="26-35"/>
    <m/>
    <x v="0"/>
    <m/>
    <s v="USA"/>
    <m/>
  </r>
  <r>
    <d v="2018-11-14T14:05:06"/>
    <s v="Gameplay, Collecting Cards/Masters"/>
    <s v="Solo, Duo, Draft"/>
    <s v="Master Skins, Arenas"/>
    <s v="No"/>
    <m/>
    <s v="I've not made a purchase"/>
    <m/>
    <m/>
    <s v="Stormbringer"/>
    <m/>
    <s v="free"/>
    <m/>
    <s v="Silver"/>
    <m/>
    <s v="0-5"/>
    <m/>
    <x v="146"/>
    <m/>
    <s v="Daily"/>
    <m/>
    <s v="Neither"/>
    <m/>
    <s v="Male"/>
    <m/>
    <s v="19-25"/>
    <m/>
    <x v="2"/>
    <m/>
    <s v="Indonesia"/>
    <m/>
  </r>
  <r>
    <d v="2018-11-14T14:06:29"/>
    <s v="Gameplay"/>
    <s v="Premade Duo"/>
    <s v="Emotes"/>
    <s v="No"/>
    <m/>
    <s v="I've not made a purchase"/>
    <s v="Lighting Lancers, Mystery box, The flying rats(6 or 12 with rage), the evil elf lady(gets stronger after the 5th time played), and the two gun boys"/>
    <m/>
    <s v="Stormbringer"/>
    <m/>
    <s v="cross map arrows"/>
    <m/>
    <s v="Silver"/>
    <m/>
    <s v="5-25"/>
    <m/>
    <x v="147"/>
    <m/>
    <s v="Daily"/>
    <m/>
    <s v="Neither"/>
    <m/>
    <s v="Male"/>
    <m/>
    <s v="14-18"/>
    <m/>
    <x v="1"/>
    <m/>
    <s v="Texas"/>
    <m/>
  </r>
  <r>
    <d v="2018-11-14T14:07:48"/>
    <s v="Gameplay, Collecting Cards/Masters"/>
    <s v="Duo, Premade Duo"/>
    <s v="Master Skins, Avatars"/>
    <s v="No"/>
    <m/>
    <s v="I've not made a purchase"/>
    <m/>
    <m/>
    <s v="Milloween"/>
    <m/>
    <s v="Because of her kit and the look of her"/>
    <m/>
    <s v="Bronze"/>
    <m/>
    <s v="0-5"/>
    <m/>
    <x v="148"/>
    <m/>
    <s v="Daily"/>
    <m/>
    <s v="Watch, Stream"/>
    <m/>
    <s v="Female"/>
    <m/>
    <s v="14-18"/>
    <m/>
    <x v="1"/>
    <m/>
    <s v="Norway"/>
    <m/>
  </r>
  <r>
    <d v="2018-11-14T14:09:03"/>
    <s v="Gameplay, Collecting Cards/Masters"/>
    <s v="Solo, Duo"/>
    <s v="Master Skins"/>
    <s v="No"/>
    <m/>
    <s v="I've not made a purchase"/>
    <s v="whirly scrat, xiao-long,drone buzzers, spear throwers"/>
    <m/>
    <s v="Ravager"/>
    <m/>
    <s v="cool looking and brutus"/>
    <m/>
    <s v="Diamond"/>
    <m/>
    <s v="5-25"/>
    <m/>
    <x v="52"/>
    <m/>
    <s v="3-4 times a week"/>
    <m/>
    <s v="Watch"/>
    <m/>
    <s v="Male"/>
    <m/>
    <s v="19-25"/>
    <m/>
    <x v="3"/>
    <m/>
    <s v="Finland"/>
    <m/>
  </r>
  <r>
    <d v="2018-11-14T14:09:06"/>
    <s v="Gameplay"/>
    <s v="Duo, Premade Duo, Expeditions"/>
    <s v="Arenas"/>
    <s v="No"/>
    <m/>
    <s v="I've not made a purchase"/>
    <s v="daggerfall, hypnotize, stun lancers, rampage, incubus"/>
    <m/>
    <s v="Mordar"/>
    <m/>
    <s v="tombs"/>
    <m/>
    <s v="Platinum"/>
    <m/>
    <s v="25-100"/>
    <m/>
    <x v="149"/>
    <m/>
    <s v="Daily"/>
    <m/>
    <s v="Watch"/>
    <m/>
    <s v="Male"/>
    <m/>
    <s v="over 36"/>
    <m/>
    <x v="0"/>
    <m/>
    <s v="Russia"/>
    <m/>
  </r>
  <r>
    <d v="2018-11-14T14:09:13"/>
    <s v="Gameplay, Collecting Cards/Masters, Competitions/Tournaments, Crafting system"/>
    <s v="Solo, Duo, Draft, Expeditions"/>
    <s v="Arenas, Emotes, Avatars"/>
    <s v="No"/>
    <m/>
    <s v="I've not made a purchase"/>
    <s v="Nope"/>
    <m/>
    <s v="Stormbringer"/>
    <m/>
    <s v="Played the most on him"/>
    <m/>
    <s v="Gold"/>
    <m/>
    <s v="5-25"/>
    <m/>
    <x v="150"/>
    <m/>
    <s v="Daily"/>
    <m/>
    <s v="Watch"/>
    <m/>
    <s v="Male"/>
    <m/>
    <s v="26-35"/>
    <m/>
    <x v="0"/>
    <m/>
    <s v="USA"/>
    <m/>
  </r>
  <r>
    <d v="2018-11-14T14:12:29"/>
    <s v="Gameplay"/>
    <s v="Solo, Premade Duo, Draft, Mayhem Solo"/>
    <s v="Master Skins"/>
    <s v="No"/>
    <m/>
    <s v="I've not made a purchase"/>
    <s v="Feuerteufel, Kristallbogenschützin, Himmelskriegerin, Drachenball, Verteidugungshäcksler"/>
    <m/>
    <s v="Stormbringer"/>
    <m/>
    <s v="Ist good, vs all ather Cards!"/>
    <m/>
    <s v="Master"/>
    <m/>
    <s v="25-100"/>
    <m/>
    <x v="151"/>
    <m/>
    <s v="Daily"/>
    <m/>
    <s v="Watch, Stream"/>
    <m/>
    <s v="Male"/>
    <m/>
    <s v="19-25"/>
    <m/>
    <x v="1"/>
    <m/>
    <s v="Germany"/>
    <m/>
  </r>
  <r>
    <d v="2018-11-14T14:13:05"/>
    <s v="Gameplay, Graphics, Collecting Cards/Masters"/>
    <s v="Solo, Expeditions"/>
    <s v="Master Skins"/>
    <s v="No"/>
    <m/>
    <s v="I've not made a purchase"/>
    <s v="Sniper squad, sniper scrat, bounty sniper, demon warrior, and that one super sniper scrat"/>
    <m/>
    <s v="Stormbringer"/>
    <m/>
    <s v="Helps my deck best so far"/>
    <m/>
    <s v="Master"/>
    <m/>
    <s v="5-25"/>
    <m/>
    <x v="152"/>
    <m/>
    <s v="Daily"/>
    <m/>
    <s v="Neither"/>
    <m/>
    <s v="Male"/>
    <m/>
    <s v="I prefer not to say"/>
    <m/>
    <x v="2"/>
    <m/>
    <s v="USA"/>
    <m/>
  </r>
  <r>
    <d v="2018-11-14T14:13:07"/>
    <s v="Gameplay"/>
    <s v="Solo"/>
    <s v="Master Skins"/>
    <s v="Yes"/>
    <s v="Bought the premium account upgrade (which contained rubies) because I found the game fun so I wanted to support the devs and also to get the Battle Pass"/>
    <s v="Yes"/>
    <s v="Drone Walker - Living Statue - Plasma Marines - Dagger Fall - Scrat Pack"/>
    <m/>
    <s v="Settsu"/>
    <m/>
    <s v="I don't really play one master in particular but Settsu is really badass"/>
    <m/>
    <s v="Gold"/>
    <m/>
    <s v="25-100"/>
    <m/>
    <x v="153"/>
    <m/>
    <s v="5-6 times a week"/>
    <m/>
    <s v="Watch"/>
    <m/>
    <s v="Male"/>
    <m/>
    <s v="I prefer not to say"/>
    <m/>
    <x v="1"/>
    <m/>
    <s v="France"/>
    <m/>
  </r>
  <r>
    <d v="2018-11-14T14:13:13"/>
    <s v="Gameplay, Graphics, Collecting Cards/Masters"/>
    <s v="Solo, Expeditions"/>
    <s v="Master Skins"/>
    <s v="No"/>
    <m/>
    <s v="I've not made a purchase"/>
    <s v="Sniper squad, sniper scrat, bounty sniper, demon warrior, and that one super sniper scrat"/>
    <m/>
    <s v="Stormbringer"/>
    <m/>
    <s v="Helps my deck best so far"/>
    <m/>
    <s v="Master"/>
    <m/>
    <s v="5-25"/>
    <m/>
    <x v="152"/>
    <m/>
    <s v="Daily"/>
    <m/>
    <s v="Neither"/>
    <m/>
    <s v="Male"/>
    <m/>
    <s v="I prefer not to say"/>
    <m/>
    <x v="2"/>
    <m/>
    <s v="USA"/>
    <m/>
  </r>
  <r>
    <d v="2018-11-14T14:13:18"/>
    <s v="Competitions/Tournaments"/>
    <s v="Duo"/>
    <s v="Arenas"/>
    <s v="No"/>
    <m/>
    <s v="I've not made a purchase"/>
    <s v="Hachoir"/>
    <m/>
    <s v="Stormbringer"/>
    <m/>
    <s v="Nice skill"/>
    <m/>
    <s v="Gold"/>
    <m/>
    <s v="100-200"/>
    <m/>
    <x v="154"/>
    <m/>
    <s v="Daily"/>
    <m/>
    <s v="Stream"/>
    <m/>
    <s v="Male"/>
    <m/>
    <s v="14-18"/>
    <m/>
    <x v="1"/>
    <m/>
    <s v="Reunion Island"/>
    <m/>
  </r>
  <r>
    <d v="2018-11-14T14:13:58"/>
    <s v="Gameplay"/>
    <s v="Solo, Duo, Premade Duo, Draft, Expeditions"/>
    <s v="Master Skins, Emotes"/>
    <s v="No"/>
    <m/>
    <s v="I've not made a purchase"/>
    <m/>
    <m/>
    <s v="Settsu"/>
    <m/>
    <s v="Versatile"/>
    <m/>
    <s v="Master"/>
    <m/>
    <s v="25-100"/>
    <m/>
    <x v="4"/>
    <m/>
    <s v="Daily"/>
    <m/>
    <s v="Neither"/>
    <m/>
    <s v="Male"/>
    <m/>
    <s v="26-35"/>
    <m/>
    <x v="0"/>
    <m/>
    <s v="I prefer not to say"/>
    <m/>
  </r>
  <r>
    <d v="2018-11-14T14:14:22"/>
    <s v="Gameplay"/>
    <s v="Premade Duo"/>
    <s v="Avatars"/>
    <s v="Yes"/>
    <s v="Battle pass "/>
    <s v="Yes"/>
    <m/>
    <m/>
    <s v="Stormbringer"/>
    <m/>
    <m/>
    <m/>
    <s v="Platinum"/>
    <m/>
    <s v="5-25"/>
    <m/>
    <x v="4"/>
    <m/>
    <s v="Daily"/>
    <m/>
    <s v="Watch"/>
    <m/>
    <s v="Male"/>
    <m/>
    <s v="19-25"/>
    <m/>
    <x v="0"/>
    <m/>
    <s v="France"/>
    <m/>
  </r>
  <r>
    <d v="2018-11-14T14:14:38"/>
    <s v="Gameplay, Collecting Cards/Masters"/>
    <s v="Solo"/>
    <s v="Master Skins"/>
    <s v="No"/>
    <m/>
    <s v="I've not made a purchase"/>
    <m/>
    <m/>
    <s v="Stormbringer"/>
    <m/>
    <m/>
    <m/>
    <s v="Bronze"/>
    <m/>
    <s v="0-5"/>
    <m/>
    <x v="155"/>
    <m/>
    <s v="3-4 times a week"/>
    <m/>
    <s v="Watch"/>
    <m/>
    <s v="Male"/>
    <m/>
    <s v="14-18"/>
    <m/>
    <x v="1"/>
    <m/>
    <s v="USA"/>
    <m/>
  </r>
  <r>
    <d v="2018-11-14T14:14:48"/>
    <s v="Gameplay, Collecting Cards/Masters"/>
    <s v="Solo"/>
    <s v="Master Skins"/>
    <s v="No"/>
    <m/>
    <s v="I've not made a purchase"/>
    <m/>
    <m/>
    <s v="Ratbo"/>
    <m/>
    <m/>
    <m/>
    <s v="Platinum"/>
    <m/>
    <s v="5-25"/>
    <m/>
    <x v="156"/>
    <m/>
    <s v="5-6 times a week"/>
    <m/>
    <s v="Watch"/>
    <m/>
    <s v="Male"/>
    <m/>
    <s v="19-25"/>
    <m/>
    <x v="1"/>
    <m/>
    <s v="Croatia"/>
    <m/>
  </r>
  <r>
    <d v="2018-11-14T14:15:31"/>
    <s v="Gameplay, Collecting Cards/Masters, Competitions/Tournaments"/>
    <s v="Solo, Duo, Mayhem Solo"/>
    <s v="Master Skins, Arenas"/>
    <s v="Yes"/>
    <s v="Premium"/>
    <s v="Yes"/>
    <s v="Blood imps, magma storm, sniper squad, walll, mana puff"/>
    <m/>
    <s v="Mordar"/>
    <m/>
    <s v="The best master for my type of play style"/>
    <m/>
    <s v="Master"/>
    <m/>
    <s v="1000+"/>
    <m/>
    <x v="157"/>
    <m/>
    <s v="Daily"/>
    <m/>
    <s v="Watch, Stream"/>
    <m/>
    <s v="Male"/>
    <m/>
    <s v="14-18"/>
    <m/>
    <x v="1"/>
    <m/>
    <s v="Sweden"/>
    <m/>
  </r>
  <r>
    <d v="2018-11-14T14:16:38"/>
    <s v="Competitions/Tournaments"/>
    <s v="Duo"/>
    <m/>
    <s v="Yes"/>
    <s v="Masters"/>
    <s v="Yes"/>
    <s v="Xiao, fake-cleaver, tantrum throwers, both flying yellow dudes"/>
    <m/>
    <s v="Stormbringer"/>
    <m/>
    <s v="Ez and effective"/>
    <m/>
    <s v="Grandmaster"/>
    <m/>
    <s v="100-200"/>
    <m/>
    <x v="158"/>
    <m/>
    <s v="Daily"/>
    <m/>
    <s v="Watch, Stream"/>
    <m/>
    <s v="Male"/>
    <m/>
    <s v="26-35"/>
    <m/>
    <x v="3"/>
    <m/>
    <s v="Sweden"/>
    <m/>
  </r>
  <r>
    <d v="2018-11-14T14:17:33"/>
    <s v="Gameplay"/>
    <s v="Premade Duo"/>
    <s v="Arenas"/>
    <s v="No"/>
    <m/>
    <s v="I've not made a purchase"/>
    <s v="Collosus, 4 mana monkey, Xiao Long, arrow rain spell, Swarmer King"/>
    <m/>
    <s v="Stormbringer"/>
    <m/>
    <s v="Versatile and OP in premade duo"/>
    <m/>
    <s v="Diamond"/>
    <m/>
    <s v="5-25"/>
    <m/>
    <x v="159"/>
    <m/>
    <s v="1-2 times a week"/>
    <m/>
    <s v="Neither"/>
    <m/>
    <s v="Male"/>
    <m/>
    <s v="19-25"/>
    <m/>
    <x v="1"/>
    <m/>
    <s v="The Netherlands"/>
    <m/>
  </r>
  <r>
    <d v="2018-11-14T14:18:10"/>
    <s v="Gameplay"/>
    <s v="Solo, Duo, Premade Duo"/>
    <s v="Master Skins, Arenas"/>
    <s v="Yes"/>
    <s v="season pass"/>
    <s v="Yes"/>
    <s v="SCRATS!!"/>
    <m/>
    <s v="King Puff"/>
    <m/>
    <s v="interesting mechanics"/>
    <m/>
    <s v="Diamond"/>
    <m/>
    <s v="25-100"/>
    <m/>
    <x v="160"/>
    <m/>
    <s v="Daily"/>
    <m/>
    <s v="Neither"/>
    <m/>
    <s v="Male"/>
    <m/>
    <s v="26-35"/>
    <m/>
    <x v="0"/>
    <m/>
    <s v="USA"/>
    <m/>
  </r>
  <r>
    <d v="2018-11-14T14:18:14"/>
    <s v="Gameplay"/>
    <s v="Duo, Premade Duo, Expeditions, Mayhem Solo"/>
    <s v="Arenas"/>
    <s v="Yes"/>
    <s v="Battle pass "/>
    <s v="Yes"/>
    <s v="Swarmers, statue, poison skeleton, shielded woman, daggerfall"/>
    <m/>
    <s v="Stormbringer"/>
    <m/>
    <s v="Good for the extra range on my Minion "/>
    <m/>
    <s v="Gold"/>
    <m/>
    <s v="25-100"/>
    <m/>
    <x v="161"/>
    <m/>
    <s v="Daily"/>
    <m/>
    <s v="Watch, Stream"/>
    <m/>
    <s v="Male"/>
    <m/>
    <s v="26-35"/>
    <m/>
    <x v="0"/>
    <m/>
    <s v="Canada"/>
    <m/>
  </r>
  <r>
    <d v="2018-11-14T14:18:20"/>
    <s v="Gameplay"/>
    <s v="Solo, Premade Duo"/>
    <s v="Master Skins, Arenas"/>
    <s v="Yes"/>
    <s v="Kind of, i bought premium otherwise yall got a awesome way to actually get rubies free."/>
    <s v="Yes"/>
    <s v="fire imp, flightless dragons, dragon ball, morgrul the swarmer king, spear throwers"/>
    <m/>
    <s v="King Puff"/>
    <m/>
    <s v="uhh duh hes king puff"/>
    <m/>
    <s v="Master"/>
    <m/>
    <s v="25-100"/>
    <m/>
    <x v="162"/>
    <m/>
    <s v="Daily"/>
    <m/>
    <s v="Watch, Stream"/>
    <m/>
    <s v="Male"/>
    <m/>
    <s v="14-18"/>
    <m/>
    <x v="3"/>
    <m/>
    <s v="USA"/>
    <m/>
  </r>
  <r>
    <d v="2018-11-14T14:19:34"/>
    <s v="Collecting Cards/Masters"/>
    <s v="Solo, Duo, Draft, Expeditions"/>
    <s v="Master Skins"/>
    <s v="No"/>
    <m/>
    <s v="No"/>
    <s v="Xiao Long, Sniper Scrat, Succubus, Cleaver, Whirly Scrat"/>
    <m/>
    <s v="Mordar"/>
    <m/>
    <s v="First Time playing, Free rotation for the week. Has potential"/>
    <m/>
    <s v="Silver"/>
    <m/>
    <s v="25-100"/>
    <m/>
    <x v="4"/>
    <m/>
    <s v="Daily"/>
    <m/>
    <s v="Watch"/>
    <m/>
    <s v="Male"/>
    <m/>
    <s v="over 36"/>
    <m/>
    <x v="0"/>
    <m/>
    <s v="USA"/>
    <m/>
  </r>
  <r>
    <d v="2018-11-14T14:19:48"/>
    <s v="Gameplay, Collecting Cards/Masters"/>
    <s v="Solo, Duo, Premade Duo, Expeditions, Mayhem Solo, Mayhem Duo"/>
    <s v="Master Skins, Arenas"/>
    <s v="Yes"/>
    <s v="Just to have encase i see a good daily sale. "/>
    <s v="Yes"/>
    <s v="Walking Blind Date,Blind Date,Swarmer Totem,Harbinger,Crossbow Guild"/>
    <m/>
    <s v="Apep"/>
    <m/>
    <s v="King RNG i like playing my odds that i might get something good with his powers."/>
    <m/>
    <s v="Platinum"/>
    <m/>
    <s v="25-100"/>
    <m/>
    <x v="163"/>
    <m/>
    <s v="Daily"/>
    <m/>
    <s v="Watch"/>
    <m/>
    <s v="Male"/>
    <m/>
    <s v="26-35"/>
    <m/>
    <x v="0"/>
    <m/>
    <s v="USA"/>
    <m/>
  </r>
  <r>
    <d v="2018-11-14T14:20:10"/>
    <s v="Gameplay"/>
    <s v="Premade Duo"/>
    <s v="Arenas"/>
    <s v="No"/>
    <m/>
    <s v="I've not made a purchase"/>
    <s v="No, sorry"/>
    <m/>
    <s v="Stormbringer"/>
    <m/>
    <s v="It's free and seems strong"/>
    <m/>
    <s v="Bronze"/>
    <m/>
    <s v="5-25"/>
    <m/>
    <x v="52"/>
    <m/>
    <s v="3-4 times a week"/>
    <m/>
    <s v="Watch"/>
    <m/>
    <s v="Male"/>
    <m/>
    <s v="19-25"/>
    <m/>
    <x v="1"/>
    <m/>
    <s v="Germany"/>
    <m/>
  </r>
  <r>
    <d v="2018-11-14T14:20:35"/>
    <s v="Gameplay, Collecting Cards/Masters"/>
    <s v="Premade Duo"/>
    <s v="Arenas"/>
    <s v="Yes"/>
    <s v="Purchase remaining rubirs needed for season pass"/>
    <s v="Yes"/>
    <m/>
    <m/>
    <s v="Ravager"/>
    <m/>
    <s v="Free heavy monsters"/>
    <m/>
    <s v="Platinum"/>
    <m/>
    <s v="5-25"/>
    <m/>
    <x v="164"/>
    <m/>
    <s v="Daily"/>
    <m/>
    <s v="Watch"/>
    <m/>
    <s v="Male"/>
    <m/>
    <s v="26-35"/>
    <m/>
    <x v="0"/>
    <m/>
    <s v="USA"/>
    <m/>
  </r>
  <r>
    <d v="2018-11-14T14:20:38"/>
    <s v="Gameplay, Graphics, Collecting Cards/Masters, Competitions/Tournaments"/>
    <s v="Solo, Premade Duo, Expeditions"/>
    <s v="Master Skins"/>
    <s v="No"/>
    <m/>
    <s v="I've not made a purchase"/>
    <s v="Empowered Soul Stealer; Defenso Chopper; Red Golem; Stun Lancers; Scott the Sensitive Savage"/>
    <m/>
    <s v="King Puff"/>
    <m/>
    <s v="For the shield he gets at level 3"/>
    <m/>
    <s v="Gold"/>
    <m/>
    <s v="5-25"/>
    <m/>
    <x v="4"/>
    <m/>
    <s v="Daily"/>
    <m/>
    <s v="Watch"/>
    <m/>
    <s v="Male"/>
    <m/>
    <s v="14-18"/>
    <m/>
    <x v="1"/>
    <m/>
    <s v="France"/>
    <m/>
  </r>
  <r>
    <d v="2018-11-14T14:21:39"/>
    <s v="Gameplay, Graphics, Collecting Cards/Masters"/>
    <s v="Premade Duo, Draft"/>
    <s v="Master Skins"/>
    <s v="Yes"/>
    <m/>
    <s v="Yes"/>
    <m/>
    <m/>
    <s v="Milloween"/>
    <m/>
    <m/>
    <m/>
    <s v="Platinum"/>
    <m/>
    <s v="25-100"/>
    <m/>
    <x v="4"/>
    <m/>
    <s v="Daily"/>
    <m/>
    <s v="Watch"/>
    <m/>
    <s v="Male"/>
    <m/>
    <s v="over 36"/>
    <m/>
    <x v="3"/>
    <m/>
    <s v="Germany"/>
    <m/>
  </r>
  <r>
    <d v="2018-11-14T14:22:24"/>
    <s v="Gameplay"/>
    <s v="Premade Duo"/>
    <s v="Master Skins"/>
    <s v="Yes"/>
    <s v="VIP"/>
    <s v="Yes"/>
    <m/>
    <m/>
    <s v="Settsu"/>
    <m/>
    <s v="PEW PEW"/>
    <m/>
    <s v="Gold"/>
    <m/>
    <s v="25-100"/>
    <m/>
    <x v="156"/>
    <m/>
    <s v="3-4 times a week"/>
    <m/>
    <s v="Neither"/>
    <m/>
    <s v="Male"/>
    <m/>
    <s v="14-18"/>
    <m/>
    <x v="1"/>
    <m/>
    <s v="Germany"/>
    <m/>
  </r>
  <r>
    <d v="2018-11-14T14:22:49"/>
    <s v="Gameplay"/>
    <s v="Solo, Premade Duo"/>
    <m/>
    <s v="No"/>
    <m/>
    <s v="I've not made a purchase"/>
    <m/>
    <m/>
    <s v="King Puff"/>
    <m/>
    <m/>
    <m/>
    <s v="Diamond"/>
    <m/>
    <s v="25-100"/>
    <m/>
    <x v="165"/>
    <m/>
    <s v="Daily"/>
    <m/>
    <s v="Watch"/>
    <m/>
    <s v="Male"/>
    <m/>
    <s v="26-35"/>
    <m/>
    <x v="1"/>
    <m/>
    <s v="Portugal"/>
    <m/>
  </r>
  <r>
    <d v="2018-11-14T14:23:23"/>
    <s v="Gameplay, Crafting system"/>
    <s v="Premade Duo"/>
    <s v="Avatars"/>
    <s v="No"/>
    <m/>
    <s v="I've not made a purchase"/>
    <s v="Assassin, Defenso Chopper, Wizard Puff, Colossus, Illusory Cleaver"/>
    <m/>
    <s v="Mordar"/>
    <m/>
    <s v="Style + Tombstone mechanic"/>
    <m/>
    <s v="Master"/>
    <m/>
    <s v="5-25"/>
    <m/>
    <x v="166"/>
    <m/>
    <s v="3-4 times a week"/>
    <m/>
    <s v="Watch"/>
    <m/>
    <s v="Male"/>
    <m/>
    <s v="26-35"/>
    <m/>
    <x v="1"/>
    <m/>
    <s v="Germany"/>
    <m/>
  </r>
  <r>
    <d v="2018-11-14T14:24:02"/>
    <s v="Gameplay, Graphics, Collecting Cards/Masters"/>
    <s v="Duo"/>
    <s v="Arenas"/>
    <s v="No"/>
    <m/>
    <s v="I've not made a purchase"/>
    <s v="Arcane Golem, Disruptor Puffs, Stun Lancers, Mana Puff Madness, Crystal Construct"/>
    <m/>
    <s v="Milloween"/>
    <m/>
    <s v="it's satisfying seeing my Arcane Golem grow xD"/>
    <m/>
    <s v="Silver"/>
    <m/>
    <s v="25-100"/>
    <m/>
    <x v="4"/>
    <m/>
    <s v="Daily"/>
    <m/>
    <s v="Watch"/>
    <m/>
    <s v="Male"/>
    <m/>
    <s v="14-18"/>
    <m/>
    <x v="1"/>
    <m/>
    <s v="Malaysia"/>
    <m/>
  </r>
  <r>
    <d v="2018-11-14T14:24:47"/>
    <s v="Gameplay"/>
    <s v="Duo"/>
    <s v="Avatars"/>
    <s v="No"/>
    <m/>
    <s v="I've not made a purchase"/>
    <s v="Fire Imp, Crystal Archers, Drone Buzzers, Lord Sentinel Thelec, and Gorakk Sacrifice"/>
    <m/>
    <s v="Mordar"/>
    <m/>
    <s v="He’s very effective in long term battles. "/>
    <m/>
    <s v="Silver"/>
    <m/>
    <s v="5-25"/>
    <m/>
    <x v="167"/>
    <m/>
    <s v="1-2 times a week"/>
    <m/>
    <s v="Neither"/>
    <m/>
    <s v="Male"/>
    <m/>
    <s v="14-18"/>
    <m/>
    <x v="1"/>
    <m/>
    <s v="USA"/>
    <m/>
  </r>
  <r>
    <d v="2018-11-14T14:25:34"/>
    <s v="Gameplay, Collecting Cards/Masters"/>
    <s v="Duo"/>
    <s v="Master Skins"/>
    <s v="No"/>
    <m/>
    <s v="I've not made a purchase"/>
    <s v="divine warrior, fireball, blue/red golem, "/>
    <m/>
    <s v="Milloween"/>
    <m/>
    <s v="I enjoy using the cards"/>
    <m/>
    <s v="Bronze"/>
    <m/>
    <s v="5-25"/>
    <m/>
    <x v="168"/>
    <m/>
    <s v="3-4 times a week"/>
    <m/>
    <s v="Neither"/>
    <m/>
    <s v="Female"/>
    <m/>
    <s v="I prefer not to say"/>
    <m/>
    <x v="1"/>
    <m/>
    <s v="USA"/>
    <m/>
  </r>
  <r>
    <d v="2018-11-14T14:25:37"/>
    <s v="the satisfaction of beating someone with better cards than you"/>
    <s v="Solo, Premade Duo, Expeditions"/>
    <s v="Emotes, Avatars"/>
    <s v="No"/>
    <m/>
    <s v="I've not made a purchase"/>
    <s v="xiao long (op sht), scott the mvp, sun burn (had a good long laugh about this card),  rammer, healer"/>
    <m/>
    <s v="Ravager"/>
    <m/>
    <s v="free tank at lv 1 and 3"/>
    <m/>
    <s v="Platinum"/>
    <m/>
    <s v="5-25"/>
    <m/>
    <x v="169"/>
    <m/>
    <s v="Daily"/>
    <m/>
    <s v="Neither"/>
    <m/>
    <s v="Male"/>
    <m/>
    <s v="19-25"/>
    <m/>
    <x v="0"/>
    <m/>
    <s v="Malaysia"/>
    <m/>
  </r>
  <r>
    <d v="2018-11-14T14:26:16"/>
    <s v="Gameplay, Graphics, Collecting Cards/Masters"/>
    <s v="Duo, Premade Duo, Draft, Expeditions"/>
    <s v="Master Skins, Arenas"/>
    <s v="Yes"/>
    <s v="Store deals for power tokens on sale"/>
    <s v="Yes"/>
    <s v="Soul Stealer, annihilator, crossbow guild, daggerfall, stun lancers "/>
    <m/>
    <s v="Milloween"/>
    <m/>
    <s v="I like her abilities the most"/>
    <m/>
    <s v="Gold"/>
    <m/>
    <s v="25-100"/>
    <m/>
    <x v="170"/>
    <m/>
    <s v="Daily"/>
    <m/>
    <s v="Neither"/>
    <m/>
    <s v="Male"/>
    <m/>
    <s v="26-35"/>
    <m/>
    <x v="4"/>
    <m/>
    <s v="USA"/>
    <m/>
  </r>
  <r>
    <d v="2018-11-14T14:26:35"/>
    <s v="Gameplay"/>
    <s v="Solo, Duo, Premade Duo"/>
    <s v="Arenas"/>
    <s v="Yes"/>
    <s v="Crafting"/>
    <s v="Yes"/>
    <s v="Soulstealer, armored escort, xiao long, dragonball, defensochopper"/>
    <m/>
    <s v="Milloween"/>
    <m/>
    <s v="Playstyle"/>
    <m/>
    <s v="Master"/>
    <m/>
    <s v="100-200"/>
    <m/>
    <x v="171"/>
    <m/>
    <s v="Daily"/>
    <m/>
    <s v="Watch, Stream"/>
    <m/>
    <s v="Male"/>
    <m/>
    <s v="26-35"/>
    <m/>
    <x v="0"/>
    <m/>
    <s v="USA"/>
    <m/>
  </r>
  <r>
    <d v="2018-11-14T14:27:00"/>
    <s v="Gameplay"/>
    <s v="Duo, Premade Duo, Expeditions, Mayhem Duo"/>
    <s v="Master Skins"/>
    <s v="No"/>
    <m/>
    <s v="I've not made a purchase"/>
    <m/>
    <m/>
    <s v="Stormbringer"/>
    <m/>
    <m/>
    <m/>
    <s v="Gold"/>
    <m/>
    <s v="25-100"/>
    <m/>
    <x v="4"/>
    <m/>
    <s v="Occasionally"/>
    <m/>
    <s v="Neither"/>
    <m/>
    <s v="Female"/>
    <m/>
    <s v="19-25"/>
    <m/>
    <x v="0"/>
    <m/>
    <s v="I prefer not to say"/>
    <m/>
  </r>
  <r>
    <d v="2018-11-14T14:28:38"/>
    <s v="Gameplay, Graphics, Collecting Cards/Masters"/>
    <s v="Duo, Expeditions"/>
    <s v="Master Skins"/>
    <s v="No"/>
    <m/>
    <s v="I've not made a purchase"/>
    <s v="Stun Lancers, Living Statue, Black Hole, Divine Warrior and Blind Date"/>
    <m/>
    <s v="Milloween"/>
    <m/>
    <s v="i liked the game play style"/>
    <m/>
    <s v="Gold"/>
    <m/>
    <s v="25-100"/>
    <m/>
    <x v="172"/>
    <m/>
    <s v="Daily"/>
    <m/>
    <s v="Watch"/>
    <m/>
    <s v="Male"/>
    <m/>
    <s v="14-18"/>
    <m/>
    <x v="1"/>
    <m/>
    <s v="Israel"/>
    <m/>
  </r>
  <r>
    <d v="2018-11-14T14:29:35"/>
    <s v="Graphics"/>
    <s v="Duo"/>
    <s v="Avatars"/>
    <s v="No"/>
    <s v="to buy a master"/>
    <s v="I've not made a purchase"/>
    <s v="xiao long, lightning bolt, legionnaires, scrat pack, fire imp"/>
    <m/>
    <s v="Milloween"/>
    <m/>
    <s v="cause that arcane golem does some good damage"/>
    <m/>
    <s v="Gold"/>
    <m/>
    <s v="100-200"/>
    <m/>
    <x v="132"/>
    <m/>
    <s v="Daily"/>
    <m/>
    <s v="Watch"/>
    <m/>
    <s v="Male"/>
    <m/>
    <s v="I prefer not to say"/>
    <m/>
    <x v="1"/>
    <m/>
    <s v="Vietnam"/>
    <m/>
  </r>
  <r>
    <d v="2018-11-14T14:29:37"/>
    <s v="Gameplay, Collecting Cards/Masters"/>
    <s v="Duo, Premade Duo, Expeditions, Mayhem Duo"/>
    <s v="Arenas"/>
    <s v="No"/>
    <m/>
    <s v="I've not made a purchase"/>
    <s v="Blastomancer, Rammer, Wizard Puff, Divine Warrior, Arcane Golem"/>
    <m/>
    <s v="Milloween"/>
    <m/>
    <s v="I like the &quot;spells-gameplay&quot;."/>
    <m/>
    <s v="Master"/>
    <m/>
    <s v="200-1000"/>
    <m/>
    <x v="173"/>
    <m/>
    <s v="Daily"/>
    <m/>
    <s v="Neither"/>
    <m/>
    <s v="Male"/>
    <m/>
    <s v="19-25"/>
    <m/>
    <x v="3"/>
    <m/>
    <s v="Italy"/>
    <m/>
  </r>
  <r>
    <d v="2018-11-14T14:29:50"/>
    <s v="Gameplay, Graphics"/>
    <s v="Solo, Duo"/>
    <s v="Arenas"/>
    <s v="Yes"/>
    <s v="Battle pass"/>
    <s v="Yes"/>
    <s v="Crystal archers construct cant remember names of others"/>
    <m/>
    <s v="Mordar"/>
    <m/>
    <s v="I like his skills"/>
    <m/>
    <s v="Platinum"/>
    <m/>
    <s v="25-100"/>
    <m/>
    <x v="4"/>
    <m/>
    <s v="Daily"/>
    <m/>
    <s v="Stream"/>
    <m/>
    <s v="Male"/>
    <m/>
    <s v="26-35"/>
    <m/>
    <x v="3"/>
    <m/>
    <s v="United Kingdom"/>
    <m/>
  </r>
  <r>
    <d v="2018-11-14T14:31:09"/>
    <s v="Gameplay, Collecting Cards/Masters, Competitions/Tournaments"/>
    <s v="Solo, Premade Duo, Draft, Expeditions, Mayhem Solo"/>
    <s v="Arenas, Avatars"/>
    <s v="Yes"/>
    <s v="Arenas and Master unlocks, the occasional card pack"/>
    <s v="Yes"/>
    <s v="Cleaver, Chopper, Morgul, Spear Throwers, Incubus"/>
    <m/>
    <s v="Volco"/>
    <m/>
    <s v="Rewards solid play, bridge control, with face damage just by playing cards"/>
    <m/>
    <s v="Platinum"/>
    <m/>
    <s v="25-100"/>
    <m/>
    <x v="174"/>
    <m/>
    <s v="Daily"/>
    <m/>
    <s v="Neither"/>
    <m/>
    <s v="Male"/>
    <m/>
    <s v="26-35"/>
    <m/>
    <x v="0"/>
    <m/>
    <s v="USA"/>
    <m/>
  </r>
  <r>
    <d v="2018-11-14T14:32:49"/>
    <s v="Gameplay, Collecting Cards/Masters"/>
    <s v="Solo, Duo, Draft, Mayhem Solo, Mayhem Duo"/>
    <s v="Master Skins, Arenas"/>
    <s v="Yes"/>
    <s v="buying skins, arenas and battle passes"/>
    <s v="Yes"/>
    <s v="assassin, swarmer totem, priestess, styxi, wheel of doom"/>
    <m/>
    <s v="Settsu"/>
    <m/>
    <s v="good perks and looks cool"/>
    <m/>
    <s v="Master"/>
    <m/>
    <s v="200-1000"/>
    <m/>
    <x v="175"/>
    <m/>
    <s v="Daily"/>
    <m/>
    <s v="Neither"/>
    <m/>
    <s v="Male"/>
    <m/>
    <s v="26-35"/>
    <m/>
    <x v="3"/>
    <m/>
    <s v="Finland"/>
    <m/>
  </r>
  <r>
    <d v="2018-11-14T14:34:00"/>
    <s v="Gameplay, Graphics, Collecting Cards/Masters"/>
    <s v="Solo, Premade Duo"/>
    <s v="Arenas"/>
    <s v="No"/>
    <m/>
    <s v="I've not made a purchase"/>
    <m/>
    <m/>
    <s v="Ravager"/>
    <m/>
    <m/>
    <m/>
    <s v="Silver"/>
    <m/>
    <s v="5-25"/>
    <m/>
    <x v="4"/>
    <m/>
    <s v="Daily"/>
    <m/>
    <s v="Watch, Stream"/>
    <m/>
    <s v="Male"/>
    <m/>
    <s v="19-25"/>
    <m/>
    <x v="0"/>
    <m/>
    <s v="USA"/>
    <m/>
  </r>
  <r>
    <d v="2018-11-14T14:34:13"/>
    <s v="Gameplay"/>
    <s v="Premade Duo"/>
    <s v="Master Skins"/>
    <s v="No"/>
    <m/>
    <s v="I've not made a purchase"/>
    <s v="Harbinger, Beam of DOOM, Armored Escort, Commander Azali, Lord-Sentinel Thelec (if only he was good)"/>
    <m/>
    <s v="Milloween"/>
    <m/>
    <s v="Arcane Golem"/>
    <m/>
    <s v="Grandmaster"/>
    <m/>
    <s v="25-100"/>
    <m/>
    <x v="176"/>
    <m/>
    <s v="Daily"/>
    <m/>
    <s v="Neither"/>
    <m/>
    <s v="Male"/>
    <m/>
    <s v="19-25"/>
    <m/>
    <x v="2"/>
    <m/>
    <s v="Australia"/>
    <m/>
  </r>
  <r>
    <d v="2018-11-14T14:35:04"/>
    <s v="Gameplay, Graphics, Collecting Cards/Masters, Competitions/Tournaments, Crafting system"/>
    <s v="Duo, Premade Duo, Draft, Expeditions, Mayhem Duo"/>
    <s v="Master Skins, Arenas, Emotes, Avatars"/>
    <s v="No"/>
    <m/>
    <s v="I've not made a purchase"/>
    <m/>
    <m/>
    <s v="Milloween"/>
    <m/>
    <s v="She is adorable and I love her play style"/>
    <m/>
    <s v="Gold"/>
    <m/>
    <s v="1000+"/>
    <m/>
    <x v="177"/>
    <m/>
    <s v="Daily"/>
    <m/>
    <s v="Watch"/>
    <m/>
    <s v="I prefer not to say"/>
    <m/>
    <s v="19-25"/>
    <m/>
    <x v="2"/>
    <m/>
    <s v="USA"/>
    <m/>
  </r>
  <r>
    <d v="2018-11-14T14:35:44"/>
    <s v="Gameplay, Collecting Cards/Masters"/>
    <s v="Duo, Premade Duo"/>
    <s v="Arenas"/>
    <s v="No"/>
    <m/>
    <s v="I've not made a purchase"/>
    <m/>
    <m/>
    <s v="Ravager"/>
    <m/>
    <s v="traits"/>
    <m/>
    <s v="Platinum"/>
    <m/>
    <s v="25-100"/>
    <m/>
    <x v="4"/>
    <m/>
    <s v="3-4 times a week"/>
    <m/>
    <s v="Neither"/>
    <m/>
    <s v="Male"/>
    <m/>
    <s v="26-35"/>
    <m/>
    <x v="3"/>
    <m/>
    <s v="United Kingdom"/>
    <m/>
  </r>
  <r>
    <d v="2018-11-14T14:38:32"/>
    <s v="Collecting Cards/Masters"/>
    <s v="Duo"/>
    <s v="Master Skins"/>
    <s v="No"/>
    <m/>
    <s v="I've not made a purchase"/>
    <s v="I just started playing so not by name, there is the card that does a fireball or a healing fireball. That's cool."/>
    <m/>
    <s v="Ravager"/>
    <m/>
    <s v="Summons big guy."/>
    <m/>
    <s v="Silver"/>
    <m/>
    <s v="5-25"/>
    <m/>
    <x v="178"/>
    <m/>
    <s v="Daily"/>
    <m/>
    <s v="Neither"/>
    <m/>
    <s v="Male"/>
    <m/>
    <s v="26-35"/>
    <m/>
    <x v="0"/>
    <m/>
    <s v="Canada"/>
    <m/>
  </r>
  <r>
    <d v="2018-11-14T14:38:39"/>
    <s v="Gameplay"/>
    <s v="Solo, Premade Duo"/>
    <s v="Master Skins, Arenas"/>
    <s v="No"/>
    <m/>
    <s v="I've not made a purchase"/>
    <s v="Lightning bolt, Assassin, "/>
    <m/>
    <s v="Apep"/>
    <m/>
    <s v="His free 2 and 4 mana cards are awesome. And hes a sssssnake."/>
    <m/>
    <s v="Gold"/>
    <m/>
    <s v="5-25"/>
    <m/>
    <x v="179"/>
    <m/>
    <s v="Daily"/>
    <m/>
    <s v="Watch"/>
    <m/>
    <s v="Male"/>
    <m/>
    <s v="26-35"/>
    <m/>
    <x v="0"/>
    <m/>
    <s v="USA"/>
    <m/>
  </r>
  <r>
    <d v="2018-11-14T14:39:07"/>
    <s v="Gameplay, Graphics, Collecting Cards/Masters"/>
    <s v="Solo, Duo"/>
    <s v="Master Skins, Arenas, Avatars"/>
    <s v="No"/>
    <m/>
    <s v="I've not made a purchase"/>
    <s v="Heal puff Swarmers Jack o box (walking box dude)"/>
    <m/>
    <s v="Stormbringer"/>
    <m/>
    <m/>
    <m/>
    <s v="Stone"/>
    <m/>
    <s v="5-25"/>
    <m/>
    <x v="180"/>
    <m/>
    <s v="Daily"/>
    <m/>
    <s v="Watch, Stream"/>
    <m/>
    <s v="Male"/>
    <m/>
    <s v="14-18"/>
    <m/>
    <x v="1"/>
    <m/>
    <s v="USA"/>
    <m/>
  </r>
  <r>
    <d v="2018-11-14T14:40:50"/>
    <s v="Gameplay"/>
    <s v="Duo"/>
    <s v="Avatars"/>
    <s v="No"/>
    <m/>
    <s v="I've not made a purchase"/>
    <s v="Last stand, annihilator"/>
    <m/>
    <s v="Stormbringer"/>
    <m/>
    <s v="Ability to take out long ranged minions, consistent damage output, buffs ranged, doesn't take up card slot with ability"/>
    <m/>
    <s v="Platinum"/>
    <m/>
    <s v="5-25"/>
    <m/>
    <x v="181"/>
    <m/>
    <s v="5-6 times a week"/>
    <m/>
    <s v="Neither"/>
    <m/>
    <s v="Male"/>
    <m/>
    <s v="19-25"/>
    <m/>
    <x v="1"/>
    <m/>
    <s v="Australia"/>
    <m/>
  </r>
  <r>
    <d v="2018-11-14T14:40:55"/>
    <s v="Gameplay, Collecting Cards/Masters"/>
    <s v="Solo, Premade Duo, Draft"/>
    <s v="Arenas, Emotes"/>
    <s v="No"/>
    <m/>
    <s v="I've not made a purchase"/>
    <s v="Undying skeleton, legendary spell counter dragon, scrat duo, shiekded warrior"/>
    <m/>
    <s v="Ravager"/>
    <m/>
    <s v="Fits my playstyle of bid satisfying rushes and early pressure, goes well with anyone in duos wich makes him more of a supporting pusher and he looks and sounds good, unlike the minigun wannabe knock off sounding rambo wich i hate please give him proper soun acting"/>
    <m/>
    <s v="Diamond"/>
    <m/>
    <s v="25-100"/>
    <m/>
    <x v="182"/>
    <m/>
    <s v="Daily"/>
    <m/>
    <s v="Watch"/>
    <m/>
    <s v="Male"/>
    <m/>
    <s v="14-18"/>
    <m/>
    <x v="1"/>
    <m/>
    <s v="Finland"/>
    <m/>
  </r>
  <r>
    <d v="2018-11-14T14:40:59"/>
    <s v="Gameplay, Graphics"/>
    <s v="Duo"/>
    <s v="Arenas"/>
    <s v="Yes"/>
    <s v="Battle pass"/>
    <s v="Yes"/>
    <s v="i can't"/>
    <m/>
    <s v="King Puff"/>
    <m/>
    <s v="Can't say i'm shure why."/>
    <m/>
    <s v="Diamond"/>
    <m/>
    <s v="5-25"/>
    <m/>
    <x v="4"/>
    <m/>
    <s v="Daily"/>
    <m/>
    <s v="Watch"/>
    <m/>
    <s v="Male"/>
    <m/>
    <s v="19-25"/>
    <m/>
    <x v="1"/>
    <m/>
    <s v="I prefer not to say"/>
    <m/>
  </r>
  <r>
    <d v="2018-11-14T14:42:03"/>
    <s v="Gameplay"/>
    <s v="Solo"/>
    <s v="Emotes"/>
    <s v="No"/>
    <m/>
    <s v="I've not made a purchase"/>
    <s v="No"/>
    <m/>
    <s v="Stormbringer"/>
    <m/>
    <s v="It was free"/>
    <m/>
    <s v="Platinum"/>
    <m/>
    <s v="5-25"/>
    <m/>
    <x v="52"/>
    <m/>
    <s v="3-4 times a week"/>
    <m/>
    <s v="Stream"/>
    <m/>
    <s v="Male"/>
    <m/>
    <s v="14-18"/>
    <m/>
    <x v="1"/>
    <m/>
    <s v="Norway"/>
    <m/>
  </r>
  <r>
    <d v="2018-11-14T14:42:05"/>
    <s v="Gameplay"/>
    <s v="Solo, Duo, Premade Duo, Mayhem Duo"/>
    <s v="Arenas"/>
    <s v="No"/>
    <m/>
    <s v="I've not made a purchase"/>
    <s v="xiao long, expshrine, infiltration, disrupter puf's, brutish betrayer"/>
    <m/>
    <s v="Settsu"/>
    <m/>
    <s v="more interesting playstyle, ability to be more adaptive depending on the opponent's deck (using the infiltration as offense or defense), strong auto attack with downside"/>
    <m/>
    <s v="Master"/>
    <m/>
    <s v="100-200"/>
    <m/>
    <x v="183"/>
    <m/>
    <s v="3-4 times a week"/>
    <m/>
    <s v="Neither"/>
    <m/>
    <s v="Male"/>
    <m/>
    <s v="19-25"/>
    <m/>
    <x v="1"/>
    <m/>
    <s v="Belgium"/>
    <m/>
  </r>
  <r>
    <d v="2018-11-14T14:42:45"/>
    <s v="Gameplay, Graphics"/>
    <s v="Solo, Premade Duo"/>
    <s v="Master Skins"/>
    <s v="No"/>
    <m/>
    <s v="I've not made a purchase"/>
    <s v="Empowered Soul Stealer, Tantrum Throwers, Crystal Sentry, Musketeer, Incubus"/>
    <m/>
    <s v="Stormbringer"/>
    <m/>
    <s v="I like him. He is simple yet effective. He is not over powered, but not underpowered."/>
    <m/>
    <s v="Grandmaster"/>
    <m/>
    <s v="200-1000"/>
    <m/>
    <x v="184"/>
    <m/>
    <s v="Daily"/>
    <m/>
    <s v="Watch"/>
    <m/>
    <s v="Male"/>
    <m/>
    <s v="14-18"/>
    <m/>
    <x v="1"/>
    <m/>
    <s v="Slovakia"/>
    <m/>
  </r>
  <r>
    <d v="2018-11-14T14:42:47"/>
    <s v="Gameplay"/>
    <s v="Premade Duo"/>
    <s v="Arenas"/>
    <s v="No"/>
    <m/>
    <s v="Yes"/>
    <m/>
    <m/>
    <s v="Stormbringer"/>
    <m/>
    <s v="its free"/>
    <m/>
    <m/>
    <m/>
    <s v="5-25"/>
    <m/>
    <x v="185"/>
    <m/>
    <s v="5-6 times a week"/>
    <m/>
    <s v="Neither"/>
    <m/>
    <s v="Male"/>
    <m/>
    <s v="26-35"/>
    <m/>
    <x v="0"/>
    <m/>
    <s v="Spain"/>
    <m/>
  </r>
  <r>
    <d v="2018-11-14T14:43:08"/>
    <s v="Gameplay, Graphics"/>
    <s v="Solo, Duo, Premade Duo"/>
    <s v="Emotes"/>
    <s v="Yes"/>
    <s v="power tokens / battlepass"/>
    <s v="Yes"/>
    <m/>
    <m/>
    <s v="Settsu"/>
    <m/>
    <s v="i like her &quot;air strike&quot; "/>
    <m/>
    <s v="Grandmaster"/>
    <m/>
    <s v="200-1000"/>
    <m/>
    <x v="4"/>
    <m/>
    <s v="Daily"/>
    <m/>
    <s v="Watch, Stream"/>
    <m/>
    <s v="Male"/>
    <m/>
    <s v="26-35"/>
    <m/>
    <x v="0"/>
    <m/>
    <s v="Germany"/>
    <m/>
  </r>
  <r>
    <d v="2018-11-14T14:46:33"/>
    <s v="Gameplay, Collecting Cards/Masters"/>
    <s v="Duo, Premade Duo"/>
    <s v="Master Skins"/>
    <s v="No"/>
    <m/>
    <s v="I've not made a purchase"/>
    <s v="Crossbow Guild, mana puff, cheese date, Healer’s fireball and chain lighting... are the names I remember off the top of my head"/>
    <m/>
    <s v="Stormbringer"/>
    <m/>
    <s v="His ability to pinpoint any enemy minion and second ability buff to ranged minions"/>
    <m/>
    <s v="Silver"/>
    <m/>
    <s v="5-25"/>
    <m/>
    <x v="186"/>
    <m/>
    <s v="Daily"/>
    <m/>
    <s v="Watch"/>
    <m/>
    <s v="Male"/>
    <m/>
    <s v="19-25"/>
    <m/>
    <x v="1"/>
    <m/>
    <s v="USA"/>
    <m/>
  </r>
  <r>
    <d v="2018-11-14T14:46:54"/>
    <s v="Gameplay"/>
    <s v="Duo, Draft, Mayhem Solo"/>
    <s v="Arenas"/>
    <s v="Yes"/>
    <s v="I bought rubies for the first battle pass."/>
    <s v="Yes"/>
    <s v="Wheel of Doom, Morgrul, Ghost, Illusory Cleaver, Scrat Pack"/>
    <m/>
    <s v="Ratbo"/>
    <m/>
    <m/>
    <m/>
    <s v="Grandmaster"/>
    <m/>
    <s v="200-1000"/>
    <m/>
    <x v="187"/>
    <m/>
    <s v="5-6 times a week"/>
    <m/>
    <s v="Neither"/>
    <m/>
    <s v="Male"/>
    <m/>
    <s v="14-18"/>
    <m/>
    <x v="1"/>
    <m/>
    <s v="USA"/>
    <m/>
  </r>
  <r>
    <d v="2018-11-14T14:49:03"/>
    <s v="Gameplay"/>
    <s v="Premade Duo, Draft"/>
    <s v="Master Skins"/>
    <s v="Yes"/>
    <s v="Battle Pass"/>
    <s v="Yes"/>
    <m/>
    <m/>
    <s v="Stormbringer"/>
    <m/>
    <m/>
    <m/>
    <s v="Platinum"/>
    <m/>
    <s v="25-100"/>
    <m/>
    <x v="188"/>
    <m/>
    <s v="5-6 times a week"/>
    <m/>
    <s v="Watch"/>
    <m/>
    <s v="Male"/>
    <m/>
    <s v="14-18"/>
    <m/>
    <x v="1"/>
    <m/>
    <s v="Sweden"/>
    <m/>
  </r>
  <r>
    <d v="2018-11-14T14:49:43"/>
    <s v="Gameplay, Collecting Cards/Masters, Competitions/Tournaments, In this game you dont need to donate (thanks for this)"/>
    <s v="Solo, Duo, Premade Duo, Draft"/>
    <s v="Master Skins, Arenas"/>
    <s v="No"/>
    <m/>
    <s v="I've not made a purchase"/>
    <m/>
    <m/>
    <s v="Apep"/>
    <m/>
    <s v="good skills"/>
    <m/>
    <s v="Silver"/>
    <m/>
    <s v="5-25"/>
    <m/>
    <x v="189"/>
    <m/>
    <s v="Daily"/>
    <m/>
    <s v="Neither"/>
    <m/>
    <s v="Male"/>
    <m/>
    <s v="14-18"/>
    <m/>
    <x v="1"/>
    <m/>
    <s v="Russia"/>
    <m/>
  </r>
  <r>
    <d v="2018-11-14T14:50:11"/>
    <s v="Gameplay, Collecting Cards/Masters"/>
    <s v="Duo, Expeditions"/>
    <m/>
    <s v="No"/>
    <m/>
    <s v="I've not made a purchase"/>
    <m/>
    <m/>
    <s v="King Puff"/>
    <m/>
    <s v="Is Cute"/>
    <m/>
    <s v="Bronze"/>
    <m/>
    <s v="5-25"/>
    <m/>
    <x v="190"/>
    <m/>
    <s v="Daily"/>
    <m/>
    <s v="Watch"/>
    <m/>
    <s v="Female"/>
    <m/>
    <s v="26-35"/>
    <m/>
    <x v="0"/>
    <m/>
    <s v="USA"/>
    <m/>
  </r>
  <r>
    <d v="2018-11-14T14:51:22"/>
    <s v="Gameplay"/>
    <s v="Solo, Duo, Draft, Expeditions"/>
    <s v="Arenas, Emotes, Avatars"/>
    <s v="No"/>
    <m/>
    <s v="I've not made a purchase"/>
    <m/>
    <m/>
    <s v="Stormbringer"/>
    <m/>
    <s v="Easier to play with, well-balanced and fits many decks"/>
    <m/>
    <s v="Silver"/>
    <m/>
    <s v="25-100"/>
    <m/>
    <x v="191"/>
    <m/>
    <s v="3-4 times a week"/>
    <m/>
    <s v="Watch"/>
    <m/>
    <s v="Male"/>
    <m/>
    <s v="14-18"/>
    <m/>
    <x v="1"/>
    <m/>
    <s v="Greece"/>
    <m/>
  </r>
  <r>
    <d v="2018-11-14T14:51:52"/>
    <s v="Gameplay, Collecting Cards/Masters"/>
    <s v="Solo, Premade Duo, Draft"/>
    <s v="Master Skins, Arenas, Avatars"/>
    <s v="Yes"/>
    <s v="Tokens, account upgrades, skins "/>
    <s v="Yes"/>
    <m/>
    <m/>
    <s v="King Puff"/>
    <m/>
    <m/>
    <m/>
    <s v="Master"/>
    <m/>
    <s v="5-25"/>
    <m/>
    <x v="4"/>
    <m/>
    <m/>
    <m/>
    <s v="Watch"/>
    <m/>
    <s v="Male"/>
    <m/>
    <s v="19-25"/>
    <m/>
    <x v="0"/>
    <m/>
    <s v="USA"/>
    <m/>
  </r>
  <r>
    <d v="2018-11-14T14:51:57"/>
    <s v="Gameplay, Collecting Cards/Masters, Competitions/Tournaments, the power token and etc."/>
    <s v="Premade Duo, Expeditions"/>
    <s v="Arenas"/>
    <s v="No"/>
    <m/>
    <s v="I've not made a purchase"/>
    <s v="Stun lancers, Harbinger, Blast mancer, Future past, Beam of doom"/>
    <m/>
    <s v="Mordar"/>
    <m/>
    <s v="Because the Tombstone sometimes is really helpful"/>
    <m/>
    <s v="Silver"/>
    <m/>
    <s v="5-25"/>
    <m/>
    <x v="192"/>
    <m/>
    <s v="3-4 times a week"/>
    <m/>
    <s v="Neither"/>
    <m/>
    <s v="Male"/>
    <m/>
    <s v="14-18"/>
    <m/>
    <x v="1"/>
    <m/>
    <s v="Indonesia"/>
    <m/>
  </r>
  <r>
    <d v="2018-11-14T14:53:06"/>
    <s v="Gameplay"/>
    <s v="Solo, Duo, Premade Duo, Draft"/>
    <s v="Master Skins, Arenas"/>
    <s v="Yes"/>
    <s v="Try to get the cards i need."/>
    <s v="No"/>
    <m/>
    <m/>
    <s v="Stormbringer"/>
    <m/>
    <m/>
    <m/>
    <s v="Diamond"/>
    <m/>
    <s v="100-200"/>
    <m/>
    <x v="193"/>
    <m/>
    <s v="5-6 times a week"/>
    <m/>
    <s v="Watch"/>
    <m/>
    <s v="Male"/>
    <m/>
    <s v="26-35"/>
    <m/>
    <x v="1"/>
    <m/>
    <s v="Denmark"/>
    <m/>
  </r>
  <r>
    <d v="2018-11-14T14:56:32"/>
    <s v="Graphics"/>
    <s v="Solo"/>
    <s v="Master Skins"/>
    <s v="No"/>
    <m/>
    <s v="I've not made a purchase"/>
    <m/>
    <m/>
    <s v="Milloween"/>
    <m/>
    <m/>
    <m/>
    <s v="Bronze"/>
    <m/>
    <s v="5-25"/>
    <m/>
    <x v="194"/>
    <m/>
    <s v="5-6 times a week"/>
    <m/>
    <s v="Watch"/>
    <m/>
    <s v="Male"/>
    <m/>
    <s v="14-18"/>
    <m/>
    <x v="1"/>
    <m/>
    <s v="I prefer not to say"/>
    <m/>
  </r>
  <r>
    <d v="2018-11-14T15:00:48"/>
    <s v="Gameplay, Competitions/Tournaments"/>
    <s v="Solo"/>
    <s v="Arenas"/>
    <s v="Yes"/>
    <s v="Variety (BPass, master skins, ptokens)"/>
    <s v="Yes"/>
    <m/>
    <m/>
    <s v="Milloween"/>
    <m/>
    <s v="Bridge Buddies, Snake Druid, Demon Warrior, Reboomer, Assassin"/>
    <m/>
    <s v="Gold"/>
    <m/>
    <s v="100-200"/>
    <m/>
    <x v="195"/>
    <m/>
    <s v="Daily"/>
    <m/>
    <s v="Watch, Stream"/>
    <m/>
    <s v="Male"/>
    <m/>
    <s v="26-35"/>
    <m/>
    <x v="1"/>
    <m/>
    <s v="Germany"/>
    <m/>
  </r>
  <r>
    <d v="2018-11-14T15:03:27"/>
    <s v="Collecting Cards/Masters"/>
    <s v="Duo, Premade Duo"/>
    <s v="Master Skins, Arenas"/>
    <s v="Yes"/>
    <s v="Battle Pass"/>
    <s v="Yes"/>
    <s v="That's difficult, Colossus, Cheese date, Mana Puff madness, Thelec, and scrat horde maybe?"/>
    <m/>
    <s v="Ratbo"/>
    <m/>
    <s v="Because I was going for an all scrat deck, which I still have, but I added a colossus, mana puff madness and blastmancer."/>
    <m/>
    <s v="Silver"/>
    <m/>
    <s v="5-25"/>
    <m/>
    <x v="196"/>
    <m/>
    <s v="3-4 times a week"/>
    <m/>
    <s v="Neither"/>
    <m/>
    <s v="Male"/>
    <m/>
    <s v="14-18"/>
    <m/>
    <x v="1"/>
    <m/>
    <s v="USA"/>
    <m/>
  </r>
  <r>
    <d v="2018-11-14T15:03:33"/>
    <s v="Gameplay, Graphics, Collecting Cards/Masters"/>
    <s v="Solo, Duo, Premade Duo, Draft, Mayhem Solo, Mayhem Duo"/>
    <s v="Arenas"/>
    <s v="Yes"/>
    <s v="Masters"/>
    <s v="Yes"/>
    <m/>
    <m/>
    <s v="Stormbringer"/>
    <m/>
    <s v="Global range"/>
    <m/>
    <s v="Silver"/>
    <m/>
    <s v="25-100"/>
    <m/>
    <x v="32"/>
    <m/>
    <s v="Daily"/>
    <m/>
    <s v="Neither"/>
    <m/>
    <s v="Male"/>
    <m/>
    <s v="19-25"/>
    <m/>
    <x v="0"/>
    <m/>
    <s v="USA"/>
    <m/>
  </r>
  <r>
    <d v="2018-11-14T15:04:21"/>
    <s v="Gameplay, Graphics"/>
    <s v="Solo, Premade Duo, Mayhem Solo"/>
    <s v="Master Skins, Emotes"/>
    <s v="No"/>
    <m/>
    <s v="I've not made a purchase"/>
    <s v="Tranquil Shi-Hou, Blackhole, Bounty Sniper, Hypnotize, Ravenous Swarmers"/>
    <m/>
    <s v="Volco"/>
    <m/>
    <s v="Because i like Volcos perks the most of all Masters"/>
    <m/>
    <s v="Grandmaster"/>
    <m/>
    <s v="200-1000"/>
    <m/>
    <x v="197"/>
    <m/>
    <s v="5-6 times a week"/>
    <m/>
    <s v="Watch"/>
    <m/>
    <s v="Male"/>
    <m/>
    <s v="14-18"/>
    <m/>
    <x v="1"/>
    <m/>
    <s v="Germany"/>
    <m/>
  </r>
  <r>
    <d v="2018-11-14T15:09:20"/>
    <s v="Gameplay, Graphics, Competitions/Tournaments"/>
    <s v="Solo, Premade Duo, Draft"/>
    <s v="Arenas, Emotes"/>
    <s v="No"/>
    <m/>
    <s v="I've not made a purchase"/>
    <s v="escorts, cursebearer, prowler, soul stealer, daggerfall"/>
    <m/>
    <s v="Stormbringer"/>
    <m/>
    <s v="I feel like his attack is the most useful considering he attacks the whole map not just my side."/>
    <m/>
    <s v="Diamond"/>
    <m/>
    <s v="100-200"/>
    <m/>
    <x v="198"/>
    <m/>
    <s v="Daily"/>
    <m/>
    <s v="Watch, Stream"/>
    <m/>
    <s v="Male"/>
    <m/>
    <s v="26-35"/>
    <m/>
    <x v="3"/>
    <m/>
    <s v="USA"/>
    <m/>
  </r>
  <r>
    <d v="2018-11-14T15:09:55"/>
    <s v="Gameplay"/>
    <s v="Solo, Premade Duo, Draft"/>
    <s v="Master Skins"/>
    <s v="Yes"/>
    <s v="Morgul bundle"/>
    <s v="Yes"/>
    <s v="Fire imp, assasin, succubus, incubus &amp; colossus"/>
    <m/>
    <s v="Mordar"/>
    <m/>
    <s v="Tombstones"/>
    <m/>
    <s v="Master"/>
    <m/>
    <s v="25-100"/>
    <m/>
    <x v="199"/>
    <m/>
    <s v="Daily"/>
    <m/>
    <s v="Neither"/>
    <m/>
    <s v="Male"/>
    <m/>
    <s v="26-35"/>
    <m/>
    <x v="0"/>
    <m/>
    <s v="United Kingdom"/>
    <m/>
  </r>
  <r>
    <d v="2018-11-14T15:10:21"/>
    <s v="Gameplay, Graphics, Collecting Cards/Masters, Competitions/Tournaments"/>
    <s v="Solo, Duo, Premade Duo, Draft"/>
    <s v="Master Skins, Arenas, Emotes"/>
    <s v="Yes"/>
    <s v="Pour le premium et pour debloque des skins"/>
    <s v="Yes"/>
    <s v="Guerrière collosus succube scott Dragon ball "/>
    <m/>
    <s v="Volco"/>
    <m/>
    <s v="Volco il est assez spécial a joué il faut beaucoup de controle au niveau des pont pour reussir avec et son gain de puissance est fort interressant au lvl 3 malheureusement la méta actuel le rend difficile a joué Mais il reste un de mes préfèrer"/>
    <m/>
    <s v="Grandmaster"/>
    <m/>
    <s v="200-1000"/>
    <m/>
    <x v="200"/>
    <m/>
    <s v="3-4 times a week"/>
    <m/>
    <s v="Watch"/>
    <m/>
    <s v="Male"/>
    <m/>
    <s v="26-35"/>
    <m/>
    <x v="0"/>
    <m/>
    <s v="Belgium"/>
    <m/>
  </r>
  <r>
    <d v="2018-11-14T15:14:05"/>
    <s v="Gameplay, Crafting system"/>
    <s v="Solo, Duo, Premade Duo, Mayhem Solo"/>
    <s v="Master Skins"/>
    <s v="No"/>
    <m/>
    <s v="I've not made a purchase"/>
    <s v="Black Hole, Hypnotize, Netherstep, Divine Warrior, Defenso Chopper"/>
    <m/>
    <s v="King Puff"/>
    <m/>
    <s v="Outplay potential is the highest"/>
    <m/>
    <s v="Master"/>
    <m/>
    <s v="200-1000"/>
    <m/>
    <x v="201"/>
    <m/>
    <s v="Daily"/>
    <m/>
    <s v="Watch"/>
    <m/>
    <s v="Male"/>
    <m/>
    <s v="over 36"/>
    <m/>
    <x v="0"/>
    <m/>
    <s v="Canada"/>
    <m/>
  </r>
  <r>
    <d v="2018-11-14T15:14:11"/>
    <s v="Collecting Cards/Masters"/>
    <s v="Premade Duo"/>
    <s v="Arenas"/>
    <s v="Yes"/>
    <m/>
    <s v="No"/>
    <m/>
    <m/>
    <s v="King Puff"/>
    <m/>
    <m/>
    <m/>
    <s v="Grandmaster"/>
    <m/>
    <s v="25-100"/>
    <m/>
    <x v="4"/>
    <m/>
    <s v="3-4 times a week"/>
    <m/>
    <s v="Watch"/>
    <m/>
    <s v="Male"/>
    <m/>
    <s v="26-35"/>
    <m/>
    <x v="3"/>
    <m/>
    <s v="Switzerland"/>
    <m/>
  </r>
  <r>
    <d v="2018-11-14T15:16:24"/>
    <s v="Gameplay"/>
    <s v="Premade Duo"/>
    <s v="Master Skins"/>
    <s v="Yes"/>
    <n v="30"/>
    <s v="Yes"/>
    <m/>
    <m/>
    <s v="Milloween"/>
    <m/>
    <s v="She is cute"/>
    <m/>
    <s v="Master"/>
    <m/>
    <s v="100-200"/>
    <m/>
    <x v="4"/>
    <m/>
    <s v="5-6 times a week"/>
    <m/>
    <s v="Watch, Stream"/>
    <m/>
    <s v="Male"/>
    <m/>
    <s v="26-35"/>
    <m/>
    <x v="2"/>
    <m/>
    <s v="France"/>
    <m/>
  </r>
  <r>
    <d v="2018-11-14T15:16:51"/>
    <s v="Gameplay, Graphics, Collecting Cards/Masters"/>
    <s v="Solo, Premade Duo"/>
    <s v="Arenas"/>
    <s v="No"/>
    <m/>
    <s v="I've not made a purchase"/>
    <s v="Crystal Archer, Crystal arcanist,Assasine,ground dragons,One man fighting drone"/>
    <m/>
    <s v="King Puff"/>
    <m/>
    <s v="Because he brings a lot of outplay potential"/>
    <m/>
    <s v="Silver"/>
    <m/>
    <s v="5-25"/>
    <m/>
    <x v="202"/>
    <m/>
    <s v="Daily"/>
    <m/>
    <s v="Watch"/>
    <m/>
    <s v="Male"/>
    <m/>
    <s v="14-18"/>
    <m/>
    <x v="1"/>
    <m/>
    <s v="Germany"/>
    <m/>
  </r>
  <r>
    <d v="2018-11-14T15:17:42"/>
    <s v="Gameplay"/>
    <s v="Duo, Premade Duo, Mayhem Duo"/>
    <s v="Master Skins, Arenas"/>
    <s v="No"/>
    <m/>
    <s v="I've not made a purchase"/>
    <m/>
    <m/>
    <s v="King Puff"/>
    <m/>
    <s v="his abilities are more layed out on manipulating the enemys attack than attacking the enemys units or master directly"/>
    <m/>
    <s v="Master"/>
    <m/>
    <s v="25-100"/>
    <m/>
    <x v="203"/>
    <m/>
    <s v="Daily"/>
    <m/>
    <s v="Watch"/>
    <m/>
    <s v="Male"/>
    <m/>
    <s v="14-18"/>
    <m/>
    <x v="1"/>
    <m/>
    <s v="Germany"/>
    <m/>
  </r>
  <r>
    <d v="2018-11-14T15:17:58"/>
    <s v="Gameplay"/>
    <s v="Premade Duo"/>
    <s v="Master Skins"/>
    <s v="No"/>
    <m/>
    <s v="I've not made a purchase"/>
    <m/>
    <m/>
    <s v="Mordar"/>
    <m/>
    <s v="He is by far the best master. At grandmaster we run double mortar and really aren’t stopped with it."/>
    <m/>
    <s v="Grandmaster"/>
    <m/>
    <s v="5-25"/>
    <m/>
    <x v="204"/>
    <m/>
    <s v="1-2 times a week"/>
    <m/>
    <m/>
    <m/>
    <s v="Male"/>
    <m/>
    <s v="19-25"/>
    <m/>
    <x v="1"/>
    <m/>
    <s v="USA"/>
    <m/>
  </r>
  <r>
    <d v="2018-11-14T15:19:47"/>
    <s v="Gameplay, Collecting Cards/Masters"/>
    <s v="Duo, Premade Duo"/>
    <s v="Master Skins"/>
    <s v="No"/>
    <m/>
    <s v="No"/>
    <m/>
    <m/>
    <s v="Mordar"/>
    <m/>
    <m/>
    <m/>
    <s v="Diamond"/>
    <m/>
    <s v="200-1000"/>
    <m/>
    <x v="4"/>
    <m/>
    <s v="Daily"/>
    <m/>
    <s v="Watch"/>
    <m/>
    <s v="Male"/>
    <m/>
    <s v="26-35"/>
    <m/>
    <x v="0"/>
    <m/>
    <s v="Germany"/>
    <m/>
  </r>
  <r>
    <d v="2018-11-14T15:20:37"/>
    <s v="Gameplay"/>
    <s v="Solo"/>
    <s v="Master Skins"/>
    <s v="No"/>
    <m/>
    <s v="I've not made a purchase"/>
    <m/>
    <m/>
    <s v="Apep"/>
    <m/>
    <m/>
    <m/>
    <s v="Stone"/>
    <m/>
    <s v="0-5"/>
    <m/>
    <x v="205"/>
    <m/>
    <s v="5-6 times a week"/>
    <m/>
    <s v="Watch"/>
    <m/>
    <s v="Male"/>
    <m/>
    <s v="19-25"/>
    <m/>
    <x v="1"/>
    <m/>
    <s v="USA"/>
    <m/>
  </r>
  <r>
    <d v="2018-11-14T15:20:42"/>
    <s v="Gameplay, Competitions/Tournaments"/>
    <s v="Solo, Draft"/>
    <s v="Avatars"/>
    <s v="No"/>
    <m/>
    <s v="I've not made a purchase"/>
    <m/>
    <m/>
    <s v="Stormbringer"/>
    <m/>
    <s v="OP"/>
    <m/>
    <s v="Bronze"/>
    <m/>
    <s v="5-25"/>
    <m/>
    <x v="206"/>
    <m/>
    <s v="Daily"/>
    <m/>
    <s v="Stream"/>
    <m/>
    <s v="I prefer not to say"/>
    <m/>
    <s v="26-35"/>
    <m/>
    <x v="0"/>
    <m/>
    <s v="Poland"/>
    <m/>
  </r>
  <r>
    <d v="2018-11-14T15:20:47"/>
    <s v="Gameplay"/>
    <s v="Premade Duo, Draft"/>
    <s v="Master Skins"/>
    <s v="No"/>
    <m/>
    <s v="I've not made a purchase"/>
    <s v="Harbinger "/>
    <m/>
    <s v="Ravager"/>
    <m/>
    <s v="Because eh attacks fast and doesnt afraid of anything"/>
    <m/>
    <s v="Platinum"/>
    <m/>
    <s v="5-25"/>
    <m/>
    <x v="207"/>
    <m/>
    <s v="5-6 times a week"/>
    <m/>
    <s v="Watch"/>
    <m/>
    <s v="I prefer not to say"/>
    <m/>
    <s v="26-35"/>
    <m/>
    <x v="2"/>
    <m/>
    <s v="USA"/>
    <m/>
  </r>
  <r>
    <d v="2018-11-14T15:21:44"/>
    <s v="Gameplay, Collecting Cards/Masters, Good strategy game"/>
    <s v="Duo"/>
    <s v="Master Skins"/>
    <s v="Yes"/>
    <s v="cards and *common* skins"/>
    <s v="Yes"/>
    <s v="scott the sensitive savage, morgurl the swarmers king, styxi, dragon nest, cleaver"/>
    <m/>
    <s v="Settsu"/>
    <m/>
    <s v="great for pushing, low mana-cost"/>
    <m/>
    <s v="Platinum"/>
    <m/>
    <s v="25-100"/>
    <m/>
    <x v="208"/>
    <m/>
    <s v="3-4 times a week"/>
    <m/>
    <s v="Neither"/>
    <m/>
    <s v="Male"/>
    <m/>
    <s v="14-18"/>
    <m/>
    <x v="1"/>
    <m/>
    <s v="Vietnam"/>
    <m/>
  </r>
  <r>
    <d v="2018-11-14T15:23:14"/>
    <s v="Gameplay"/>
    <s v="Solo, Duo"/>
    <m/>
    <s v="No"/>
    <m/>
    <s v="I've not made a purchase"/>
    <m/>
    <m/>
    <s v="Stormbringer"/>
    <m/>
    <s v="starter"/>
    <m/>
    <s v="Silver"/>
    <m/>
    <s v="5-25"/>
    <m/>
    <x v="4"/>
    <m/>
    <s v="Daily"/>
    <m/>
    <s v="Neither"/>
    <m/>
    <s v="Male"/>
    <m/>
    <s v="over 36"/>
    <m/>
    <x v="0"/>
    <m/>
    <s v="Spain"/>
    <m/>
  </r>
  <r>
    <d v="2018-11-14T15:25:09"/>
    <s v="Gameplay"/>
    <s v="Solo, Premade Duo"/>
    <s v="Arenas"/>
    <s v="Yes"/>
    <s v="to get the premium game"/>
    <s v="Yes"/>
    <s v="drone buzzer,tantrum throwers,plasma marines,fire imp and divine warrior "/>
    <m/>
    <s v="King Puff"/>
    <m/>
    <s v="is cute also powerfull"/>
    <m/>
    <s v="Platinum"/>
    <m/>
    <s v="25-100"/>
    <m/>
    <x v="209"/>
    <m/>
    <s v="Daily"/>
    <m/>
    <s v="Watch, Stream"/>
    <m/>
    <s v="Male"/>
    <m/>
    <s v="26-35"/>
    <m/>
    <x v="2"/>
    <m/>
    <s v="Greece"/>
    <m/>
  </r>
  <r>
    <d v="2018-11-14T15:25:24"/>
    <s v="Collecting Cards/Masters"/>
    <s v="Solo, Duo, Premade Duo, Draft, Expeditions, Mayhem Duo"/>
    <s v="Arenas, Emotes, Avatars"/>
    <s v="No"/>
    <m/>
    <s v="I've not made a purchase"/>
    <s v="I Present to you the top 5 cards that need to be buffed 1. Soul Stealer each stolen soul should increase his damage by Aprox. 50 2. Spiritmancer each kill should spawn Mini Colossus 3. Harbringer should do 1000 damage to towers 4. Rabid prowler should get Long's buffs 5. Guardian should have 2000 hp and cost 4 mana :angry emoji:"/>
    <m/>
    <s v="Ratbo"/>
    <m/>
    <s v="HURR DURR Scrats fool!"/>
    <m/>
    <s v="Diamond"/>
    <m/>
    <s v="25-100"/>
    <m/>
    <x v="210"/>
    <m/>
    <s v="Daily"/>
    <m/>
    <s v="Stream"/>
    <m/>
    <s v="Male"/>
    <m/>
    <s v="14-18"/>
    <m/>
    <x v="2"/>
    <m/>
    <s v="I prefer not to say"/>
    <m/>
  </r>
  <r>
    <d v="2018-11-14T15:26:01"/>
    <s v="Gameplay"/>
    <s v="Duo, Draft"/>
    <s v="Emotes, Avatars"/>
    <s v="No"/>
    <m/>
    <s v="I've not made a purchase"/>
    <s v="1.Scrat Horde 2.Spawn Totem 3.Blue golem 4.Stun lancers 5. Healing Fire ball"/>
    <m/>
    <s v="Stormbringer"/>
    <m/>
    <s v="I love the ability to attack minion cross map"/>
    <m/>
    <s v="Silver"/>
    <m/>
    <s v="5-25"/>
    <m/>
    <x v="211"/>
    <m/>
    <s v="Daily"/>
    <m/>
    <s v="Watch"/>
    <m/>
    <s v="Male"/>
    <m/>
    <s v="19-25"/>
    <m/>
    <x v="1"/>
    <m/>
    <s v="USA"/>
    <m/>
  </r>
  <r>
    <d v="2018-11-14T15:28:33"/>
    <s v="Gameplay"/>
    <s v="Duo, Premade Duo"/>
    <s v="Master Skins"/>
    <s v="Yes"/>
    <s v="battle pass"/>
    <s v="Yes"/>
    <s v="plasma marines, lord thelec, dragon whelp, fireball, scrat horde"/>
    <m/>
    <s v="Volco"/>
    <m/>
    <s v="I got him for free and everyone else is too expensive"/>
    <m/>
    <s v="Gold"/>
    <m/>
    <s v="25-100"/>
    <m/>
    <x v="212"/>
    <m/>
    <s v="Daily"/>
    <m/>
    <s v="Watch"/>
    <m/>
    <s v="Male"/>
    <m/>
    <s v="19-25"/>
    <m/>
    <x v="1"/>
    <m/>
    <s v="USA"/>
    <m/>
  </r>
  <r>
    <d v="2018-11-14T15:29:25"/>
    <s v="Gameplay"/>
    <s v="Premade Duo"/>
    <s v="Master Skins"/>
    <s v="Yes"/>
    <s v="Enough to get the battle pass"/>
    <s v="Yes"/>
    <s v="Sentry Escort, Dragon nest, Red Golem, Spiritmancer, fierce battle monkey"/>
    <m/>
    <s v="Milloween"/>
    <m/>
    <m/>
    <m/>
    <s v="Master"/>
    <m/>
    <s v="100-200"/>
    <m/>
    <x v="213"/>
    <m/>
    <s v="Daily"/>
    <m/>
    <s v="Watch"/>
    <m/>
    <s v="Male"/>
    <m/>
    <s v="19-25"/>
    <m/>
    <x v="1"/>
    <m/>
    <s v="Denmark"/>
    <m/>
  </r>
  <r>
    <d v="2018-11-14T15:29:42"/>
    <s v="Gameplay, Collecting Cards/Masters, Competitions/Tournaments"/>
    <s v="Solo, Duo"/>
    <s v="Master Skins, Emotes"/>
    <s v="Yes"/>
    <m/>
    <s v="Yes"/>
    <m/>
    <m/>
    <s v="Mordar"/>
    <m/>
    <m/>
    <m/>
    <s v="Diamond"/>
    <m/>
    <s v="200-1000"/>
    <m/>
    <x v="4"/>
    <m/>
    <s v="5-6 times a week"/>
    <m/>
    <s v="Watch"/>
    <m/>
    <s v="Male"/>
    <m/>
    <s v="over 36"/>
    <m/>
    <x v="2"/>
    <m/>
    <s v="Sweden"/>
    <m/>
  </r>
  <r>
    <d v="2018-11-14T15:29:42"/>
    <s v="Collecting Cards/Masters"/>
    <s v="Solo"/>
    <s v="Master Skins"/>
    <s v="No"/>
    <m/>
    <s v="I've not made a purchase"/>
    <m/>
    <m/>
    <s v="Stormbringer"/>
    <m/>
    <s v="It was my first"/>
    <m/>
    <s v="Wood"/>
    <m/>
    <s v="0-5"/>
    <m/>
    <x v="214"/>
    <m/>
    <s v="3-4 times a week"/>
    <m/>
    <s v="Watch"/>
    <m/>
    <s v="Male"/>
    <m/>
    <s v="14-18"/>
    <m/>
    <x v="1"/>
    <m/>
    <s v="Srilanka"/>
    <m/>
  </r>
  <r>
    <d v="2018-11-14T15:30:44"/>
    <s v="Collecting Cards/Masters"/>
    <s v="Draft"/>
    <s v="Master Skins"/>
    <s v="Yes"/>
    <s v="I've spent WAY too much on the store deals and for deluxe mayhem mode."/>
    <s v="Yes"/>
    <s v="Troubador, hypnotize, netherstep, scrat horde"/>
    <m/>
    <s v="Ravager"/>
    <m/>
    <s v="I love his abilities and the fact he can attack melee minions pretty fast"/>
    <m/>
    <s v="Gold"/>
    <m/>
    <s v="25-100"/>
    <m/>
    <x v="215"/>
    <m/>
    <s v="Daily"/>
    <m/>
    <s v="Neither"/>
    <m/>
    <s v="Male"/>
    <m/>
    <s v="19-25"/>
    <m/>
    <x v="0"/>
    <m/>
    <s v="USA"/>
    <m/>
  </r>
  <r>
    <d v="2018-11-14T15:31:05"/>
    <s v="Gameplay"/>
    <s v="Premade Duo"/>
    <s v="Arenas"/>
    <s v="No"/>
    <m/>
    <s v="I've not made a purchase"/>
    <s v="Kax the world bomb, Prowler, Ghost, Chain lightning and  Blind date."/>
    <m/>
    <s v="Apep"/>
    <m/>
    <s v="I find his powers to be really creative and fun."/>
    <m/>
    <s v="Diamond"/>
    <m/>
    <s v="25-100"/>
    <m/>
    <x v="216"/>
    <m/>
    <s v="Daily"/>
    <m/>
    <s v="Watch"/>
    <m/>
    <s v="Male"/>
    <m/>
    <s v="14-18"/>
    <m/>
    <x v="1"/>
    <m/>
    <s v="Denmark"/>
    <m/>
  </r>
  <r>
    <d v="2018-11-14T15:32:03"/>
    <s v="Gameplay"/>
    <s v="Duo"/>
    <s v="Master Skins"/>
    <s v="Yes"/>
    <s v="To buy stuff - I don't remember what"/>
    <s v="Yes"/>
    <s v="Spiritmancer, Defenso-Chopper, Cursebearer, Dragon Fireball, Xiao Long"/>
    <m/>
    <s v="Mordar"/>
    <m/>
    <s v="I like the tombstones which can be used for pushes OR as defense"/>
    <m/>
    <s v="Master"/>
    <m/>
    <s v="200-1000"/>
    <m/>
    <x v="217"/>
    <m/>
    <s v="Daily"/>
    <m/>
    <s v="Watch"/>
    <m/>
    <s v="Male"/>
    <m/>
    <s v="over 36"/>
    <m/>
    <x v="4"/>
    <m/>
    <s v="USA"/>
    <m/>
  </r>
  <r>
    <d v="2018-11-14T15:33:22"/>
    <s v="Gameplay, Graphics"/>
    <s v="Solo, Premade Duo"/>
    <s v="Master Skins, Avatars"/>
    <s v="No"/>
    <m/>
    <s v="I've not made a purchase"/>
    <m/>
    <m/>
    <s v="Stormbringer"/>
    <m/>
    <s v="As a new player he feels helpful"/>
    <m/>
    <s v="Silver"/>
    <m/>
    <s v="0-5"/>
    <m/>
    <x v="218"/>
    <m/>
    <s v="5-6 times a week"/>
    <m/>
    <s v="Neither"/>
    <m/>
    <s v="Male"/>
    <m/>
    <s v="19-25"/>
    <m/>
    <x v="1"/>
    <m/>
    <s v="Sudan"/>
    <m/>
  </r>
  <r>
    <d v="2018-11-14T15:33:24"/>
    <s v="Gameplay, Collecting Cards/Masters"/>
    <s v="Solo, Duo, Premade Duo"/>
    <m/>
    <s v="Yes"/>
    <s v="Battlepass"/>
    <s v="Yes"/>
    <s v="Rammer, Rammer, Rammer, Rammer, Morgul"/>
    <m/>
    <s v="King Puff"/>
    <m/>
    <s v="Looks Cool and its very strong"/>
    <m/>
    <s v="Master"/>
    <m/>
    <s v="5-25"/>
    <m/>
    <x v="18"/>
    <m/>
    <s v="Daily"/>
    <m/>
    <s v="Watch, Stream"/>
    <m/>
    <s v="Male"/>
    <m/>
    <s v="26-35"/>
    <m/>
    <x v="1"/>
    <m/>
    <s v="Germany"/>
    <m/>
  </r>
  <r>
    <d v="2018-11-14T15:35:06"/>
    <s v="Gameplay"/>
    <s v="Premade Duo"/>
    <s v="Master Skins"/>
    <s v="Yes"/>
    <s v="Bought them as account upgrade for battle pass"/>
    <s v="No"/>
    <s v="Divine Warrior (Shield), Black hole, Rage Prowler, Harbringer, atg drone"/>
    <m/>
    <s v="King Puff"/>
    <m/>
    <s v="Looks first, than the skillset especially for the shield rage combo"/>
    <m/>
    <s v="Master"/>
    <m/>
    <s v="5-25"/>
    <m/>
    <x v="219"/>
    <m/>
    <s v="Daily"/>
    <m/>
    <s v="Neither"/>
    <m/>
    <s v="Male"/>
    <m/>
    <s v="19-25"/>
    <m/>
    <x v="0"/>
    <m/>
    <s v="Germany"/>
    <m/>
  </r>
  <r>
    <d v="2018-11-14T15:35:16"/>
    <s v="Gameplay"/>
    <s v="Solo"/>
    <s v="Master Skins"/>
    <s v="Yes"/>
    <s v="Premium upgrade"/>
    <s v="Yes"/>
    <s v="Dragon ball, cursebearer, plasma marines, scrat pack, dragon whelp"/>
    <m/>
    <s v="Apep"/>
    <m/>
    <s v="Cause the random deck"/>
    <m/>
    <s v="Grandmaster"/>
    <m/>
    <s v="200-1000"/>
    <m/>
    <x v="220"/>
    <m/>
    <s v="Daily"/>
    <m/>
    <s v="Watch"/>
    <m/>
    <s v="Male"/>
    <m/>
    <s v="over 36"/>
    <m/>
    <x v="0"/>
    <m/>
    <s v="Spain"/>
    <m/>
  </r>
  <r>
    <d v="2018-11-14T15:35:18"/>
    <s v="Gameplay, Collecting Cards/Masters"/>
    <s v="Premade Duo, Mayhem Duo"/>
    <s v="Arenas"/>
    <s v="No"/>
    <m/>
    <s v="I've not made a purchase"/>
    <s v="Crystal Construct Crystal Arcanist Wizard Puff Cheese Date Assassin "/>
    <m/>
    <s v="Stormbringer"/>
    <m/>
    <s v="looks cool and has interesting abilities which can be used by 2 players + global range for interesting strategies"/>
    <m/>
    <s v="Platinum"/>
    <m/>
    <s v="25-100"/>
    <m/>
    <x v="221"/>
    <m/>
    <s v="Daily"/>
    <m/>
    <s v="Neither"/>
    <m/>
    <s v="Male"/>
    <m/>
    <s v="19-25"/>
    <m/>
    <x v="1"/>
    <m/>
    <s v="Germany"/>
    <m/>
  </r>
  <r>
    <d v="2018-11-14T15:36:21"/>
    <s v="Gameplay"/>
    <s v="Solo, Draft, Mayhem Solo"/>
    <s v="Master Skins, Arenas"/>
    <s v="No"/>
    <m/>
    <s v="I've not made a purchase"/>
    <m/>
    <m/>
    <s v="Ravager"/>
    <m/>
    <s v="I mainly play draft and his level up rewards are free early wins"/>
    <m/>
    <s v="Gold"/>
    <m/>
    <s v="25-100"/>
    <m/>
    <x v="222"/>
    <m/>
    <s v="Daily"/>
    <m/>
    <s v="Watch"/>
    <m/>
    <s v="Male"/>
    <m/>
    <s v="19-25"/>
    <m/>
    <x v="1"/>
    <m/>
    <s v="USA"/>
    <m/>
  </r>
  <r>
    <d v="2018-11-14T15:37:08"/>
    <s v="Gameplay, Collecting Cards/Masters"/>
    <s v="Solo, Duo"/>
    <s v="Master Skins"/>
    <s v="Yes"/>
    <s v="premium account"/>
    <s v="Yes"/>
    <s v="scrat tank, xin lao, propel horde, dragonball, "/>
    <m/>
    <s v="King Puff"/>
    <m/>
    <s v="his second perk is awesome"/>
    <m/>
    <s v="Platinum"/>
    <m/>
    <m/>
    <m/>
    <x v="4"/>
    <m/>
    <s v="Daily"/>
    <m/>
    <s v="Neither"/>
    <m/>
    <s v="Male"/>
    <m/>
    <s v="over 36"/>
    <m/>
    <x v="0"/>
    <m/>
    <s v="Poland"/>
    <m/>
  </r>
  <r>
    <d v="2018-11-14T15:38:14"/>
    <s v="Gameplay"/>
    <s v="Duo"/>
    <s v="Master Skins, Arenas"/>
    <s v="No"/>
    <s v="I intend to purchase rubies soon so that I can get the battle pass, though I wish I could get rubies in game a little easier."/>
    <s v="I've not made a purchase"/>
    <s v="Beam of DOOM!, Crossbow Guild, Crystal Archers, Arcane Bolt, Annihilator  "/>
    <m/>
    <s v="Milloween"/>
    <m/>
    <s v="I haven't experienced many Masters yet, but she's really fun in 2v2. Also, the Arcane Golem is an interesting and powerful minion."/>
    <m/>
    <s v="Bronze"/>
    <m/>
    <s v="5-25"/>
    <m/>
    <x v="223"/>
    <m/>
    <s v="Daily"/>
    <m/>
    <s v="Watch"/>
    <m/>
    <s v="I prefer not to say"/>
    <m/>
    <s v="26-35"/>
    <m/>
    <x v="0"/>
    <m/>
    <s v="USA"/>
    <m/>
  </r>
  <r>
    <d v="2018-11-14T15:38:53"/>
    <s v="Gameplay"/>
    <s v="Solo"/>
    <s v="Arenas"/>
    <s v="Yes"/>
    <s v="buying Apep"/>
    <s v="Yes"/>
    <s v="Defenso chopper, Plasma marines, STINT, Divine Warrior, Chainlightning"/>
    <m/>
    <s v="Apep"/>
    <m/>
    <s v="0 mana cost cards give you push advantage"/>
    <m/>
    <s v="Gold"/>
    <m/>
    <s v="5-25"/>
    <m/>
    <x v="224"/>
    <m/>
    <s v="Daily"/>
    <m/>
    <s v="Watch"/>
    <m/>
    <s v="Male"/>
    <m/>
    <s v="26-35"/>
    <m/>
    <x v="0"/>
    <m/>
    <s v="Sweden"/>
    <m/>
  </r>
  <r>
    <d v="2018-11-14T15:40:32"/>
    <s v="Gameplay, Graphics, Collecting Cards/Masters"/>
    <s v="Solo, Duo, Premade Duo, Draft, Expeditions"/>
    <s v="Emotes"/>
    <s v="Yes"/>
    <s v="packs mostly"/>
    <s v="Yes"/>
    <s v="Black hole,Shars Rakk twins"/>
    <m/>
    <s v="Milloween"/>
    <m/>
    <s v="she encourages you to build a deck in a suboptimal way(more spells than a normal deck)"/>
    <m/>
    <s v="Master"/>
    <m/>
    <s v="100-200"/>
    <m/>
    <x v="225"/>
    <m/>
    <s v="Daily"/>
    <m/>
    <s v="Watch"/>
    <m/>
    <s v="Male"/>
    <m/>
    <s v="19-25"/>
    <m/>
    <x v="1"/>
    <m/>
    <s v="Germany"/>
    <m/>
  </r>
  <r>
    <d v="2018-11-14T15:41:12"/>
    <s v="Gameplay, Collecting Cards/Masters"/>
    <s v="Solo, Draft, Expeditions"/>
    <s v="Master Skins"/>
    <s v="No"/>
    <m/>
    <s v="I've not made a purchase"/>
    <s v="Morgul, Cleaver, Soulstealer, Incubus and Marines"/>
    <m/>
    <s v="Apep"/>
    <m/>
    <s v="I like his perks and he has a nice attack animation."/>
    <m/>
    <s v="Silver"/>
    <m/>
    <s v="5-25"/>
    <m/>
    <x v="226"/>
    <m/>
    <s v="Daily"/>
    <m/>
    <s v="Watch"/>
    <m/>
    <s v="I prefer not to say"/>
    <m/>
    <s v="I prefer not to say"/>
    <m/>
    <x v="1"/>
    <m/>
    <s v="Sweden"/>
    <m/>
  </r>
  <r>
    <d v="2018-11-14T15:42:43"/>
    <s v="Gameplay"/>
    <s v="Solo, Premade Duo, Draft"/>
    <s v="Arenas"/>
    <s v="No"/>
    <m/>
    <s v="I've not made a purchase"/>
    <s v="Scrats n shit"/>
    <m/>
    <s v="Settsu"/>
    <m/>
    <s v="Zergs"/>
    <m/>
    <s v="Gold"/>
    <m/>
    <s v="5-25"/>
    <m/>
    <x v="227"/>
    <m/>
    <s v="Daily"/>
    <m/>
    <s v="Watch"/>
    <m/>
    <s v="Male"/>
    <m/>
    <s v="26-35"/>
    <m/>
    <x v="0"/>
    <m/>
    <s v="France"/>
    <m/>
  </r>
  <r>
    <d v="2018-11-14T15:43:10"/>
    <s v="Gameplay, Crafting system"/>
    <s v="Solo, Expeditions, Mayhem Solo"/>
    <s v="Master Skins, Arenas"/>
    <s v="Yes"/>
    <s v="Season pass"/>
    <s v="Yes"/>
    <s v="Arcane Golem, Future Past (or present, the 8 mana one), cleaver, cheese date and spiritmancer"/>
    <m/>
    <s v="Milloween"/>
    <m/>
    <s v="Its based around playing spells, which is my favourite thing in this game."/>
    <m/>
    <s v="Master"/>
    <m/>
    <s v="100-200"/>
    <m/>
    <x v="108"/>
    <m/>
    <s v="Daily"/>
    <m/>
    <s v="Watch"/>
    <m/>
    <s v="I prefer not to say"/>
    <m/>
    <s v="19-25"/>
    <m/>
    <x v="0"/>
    <m/>
    <s v="Spain"/>
    <m/>
  </r>
  <r>
    <d v="2018-11-14T15:43:15"/>
    <s v="Gameplay, Graphics"/>
    <s v="Duo"/>
    <s v="Master Skins, Avatars"/>
    <s v="Yes"/>
    <s v="Premium Upgrade - using rubies for valuable offers in shop"/>
    <s v="Yes"/>
    <s v="Assassin, Dragon Ball, Fire Imp, Stun Lancers, Harbinger"/>
    <m/>
    <s v="King Puff"/>
    <m/>
    <s v="Utility + strong tier 2"/>
    <m/>
    <s v="Platinum"/>
    <m/>
    <s v="25-100"/>
    <m/>
    <x v="228"/>
    <m/>
    <s v="Daily"/>
    <m/>
    <s v="Watch"/>
    <m/>
    <s v="Male"/>
    <m/>
    <s v="14-18"/>
    <m/>
    <x v="1"/>
    <m/>
    <s v="France"/>
    <m/>
  </r>
  <r>
    <d v="2018-11-14T15:43:53"/>
    <s v="Gameplay"/>
    <s v="Duo"/>
    <s v="Emotes"/>
    <s v="No"/>
    <m/>
    <s v="I've not made a purchase"/>
    <s v="Warrior , plasma Soldiers,magma canon, stun...troops,"/>
    <m/>
    <s v="Stormbringer"/>
    <m/>
    <s v="i like his abilitys , and he was free"/>
    <m/>
    <s v="Silver"/>
    <m/>
    <s v="5-25"/>
    <m/>
    <x v="4"/>
    <m/>
    <s v="Daily"/>
    <m/>
    <s v="Neither"/>
    <m/>
    <s v="Male"/>
    <m/>
    <s v="14-18"/>
    <m/>
    <x v="1"/>
    <m/>
    <s v="I prefer not to say"/>
    <m/>
  </r>
  <r>
    <d v="2018-11-14T15:44:25"/>
    <s v="Gameplay"/>
    <s v="Solo, Duo, Draft"/>
    <s v="Arenas"/>
    <s v="Yes"/>
    <s v="Battle Pass"/>
    <s v="Yes"/>
    <m/>
    <m/>
    <s v="Milloween"/>
    <m/>
    <s v="She so pretty"/>
    <m/>
    <s v="Diamond"/>
    <m/>
    <s v="25-100"/>
    <m/>
    <x v="229"/>
    <m/>
    <s v="Daily"/>
    <m/>
    <s v="Neither"/>
    <m/>
    <s v="Male"/>
    <m/>
    <s v="19-25"/>
    <m/>
    <x v="0"/>
    <m/>
    <s v="USA"/>
    <m/>
  </r>
  <r>
    <d v="2018-11-14T15:44:31"/>
    <s v="Gameplay"/>
    <s v="Duo"/>
    <s v="Master Skins, Avatars"/>
    <s v="No"/>
    <m/>
    <s v="I've not made a purchase"/>
    <m/>
    <m/>
    <s v="Milloween"/>
    <m/>
    <m/>
    <m/>
    <s v="Stone"/>
    <m/>
    <s v="5-25"/>
    <m/>
    <x v="4"/>
    <m/>
    <s v="Occasionally"/>
    <m/>
    <s v="Neither"/>
    <m/>
    <s v="Female"/>
    <m/>
    <s v="14-18"/>
    <m/>
    <x v="1"/>
    <m/>
    <s v="USA"/>
    <m/>
  </r>
  <r>
    <d v="2018-11-14T15:44:40"/>
    <s v="Gameplay"/>
    <s v="Premade Duo"/>
    <s v="Emotes"/>
    <s v="No"/>
    <m/>
    <s v="I've not made a purchase"/>
    <m/>
    <m/>
    <s v="King Puff"/>
    <m/>
    <m/>
    <m/>
    <s v="Silver"/>
    <m/>
    <s v="5-25"/>
    <m/>
    <x v="4"/>
    <m/>
    <s v="3-4 times a week"/>
    <m/>
    <s v="Watch"/>
    <m/>
    <s v="Male"/>
    <m/>
    <s v="19-25"/>
    <m/>
    <x v="0"/>
    <m/>
    <s v="Norway"/>
    <m/>
  </r>
  <r>
    <d v="2018-11-14T15:46:02"/>
    <s v="Gameplay, Graphics, Collecting Cards/Masters"/>
    <s v="Duo, Premade Duo, Draft"/>
    <s v="Arenas"/>
    <s v="No"/>
    <m/>
    <s v="I've not made a purchase"/>
    <s v="Chining light, dragon 3mana,  angry spearman, angry prowler, divinevwarrior"/>
    <m/>
    <s v="Stormbringer"/>
    <m/>
    <s v="Range"/>
    <m/>
    <s v="Master"/>
    <m/>
    <s v="100-200"/>
    <m/>
    <x v="230"/>
    <m/>
    <s v="Daily"/>
    <m/>
    <s v="Watch, Stream"/>
    <m/>
    <s v="Male"/>
    <m/>
    <s v="26-35"/>
    <m/>
    <x v="0"/>
    <m/>
    <s v="Russia"/>
    <m/>
  </r>
  <r>
    <d v="2018-11-14T15:46:27"/>
    <s v="Gameplay, Collecting Cards/Masters"/>
    <s v="Solo, Premade Duo"/>
    <s v="Emotes"/>
    <s v="No"/>
    <m/>
    <s v="I've not made a purchase"/>
    <s v="Defenso Chopper, Stun Lancers, Spiritmancer, Walking Blind Date, Elite Swarmer"/>
    <m/>
    <s v="Apep"/>
    <m/>
    <s v="He's very versatile. randomness of his powers makes games as him different every time and hes pretty fair imo"/>
    <m/>
    <s v="Diamond"/>
    <m/>
    <s v="25-100"/>
    <m/>
    <x v="231"/>
    <m/>
    <s v="5-6 times a week"/>
    <m/>
    <s v="Watch"/>
    <m/>
    <s v="Male"/>
    <m/>
    <s v="19-25"/>
    <m/>
    <x v="2"/>
    <m/>
    <s v="I prefer not to say"/>
    <m/>
  </r>
  <r>
    <d v="2018-11-14T15:47:44"/>
    <s v="Collecting Cards/Masters"/>
    <s v="Solo"/>
    <s v="Master Skins"/>
    <s v="No"/>
    <m/>
    <s v="I've not made a purchase"/>
    <m/>
    <m/>
    <s v="Milloween"/>
    <m/>
    <s v="She is cute "/>
    <m/>
    <s v="Bronze"/>
    <m/>
    <s v="5-25"/>
    <m/>
    <x v="232"/>
    <m/>
    <s v="5-6 times a week"/>
    <m/>
    <s v="Neither"/>
    <m/>
    <s v="Female"/>
    <m/>
    <s v="14-18"/>
    <m/>
    <x v="0"/>
    <m/>
    <s v="USA"/>
    <m/>
  </r>
  <r>
    <d v="2018-11-14T15:49:14"/>
    <s v="Gameplay, Graphics"/>
    <s v="Duo, Premade Duo"/>
    <s v="Arenas"/>
    <s v="No"/>
    <m/>
    <s v="I've not made a purchase"/>
    <m/>
    <m/>
    <s v="Mordar"/>
    <m/>
    <m/>
    <m/>
    <s v="Platinum"/>
    <m/>
    <s v="25-100"/>
    <m/>
    <x v="233"/>
    <m/>
    <s v="5-6 times a week"/>
    <m/>
    <s v="Stream"/>
    <m/>
    <s v="Male"/>
    <m/>
    <s v="26-35"/>
    <m/>
    <x v="3"/>
    <m/>
    <s v="Spain"/>
    <m/>
  </r>
  <r>
    <d v="2018-11-14T15:49:42"/>
    <s v="Gameplay"/>
    <s v="Duo, Premade Duo, Expeditions"/>
    <s v="Emotes"/>
    <s v="No"/>
    <m/>
    <s v="I've not made a purchase"/>
    <s v="Blastmancer, Reboomer, the Swarmer King Legendary, Crossbow Guild, and Beam of Doom"/>
    <m/>
    <s v="Volco"/>
    <m/>
    <s v="AoE basic Attack and Rage synergy in mid-game"/>
    <m/>
    <s v="Gold"/>
    <m/>
    <s v="25-100"/>
    <m/>
    <x v="234"/>
    <m/>
    <s v="Daily"/>
    <m/>
    <s v="Neither"/>
    <m/>
    <s v="Male"/>
    <m/>
    <s v="19-25"/>
    <m/>
    <x v="3"/>
    <m/>
    <s v="USA"/>
    <m/>
  </r>
  <r>
    <d v="2018-11-14T15:50:24"/>
    <s v="Gameplay, Collecting Cards/Masters"/>
    <s v="Solo, Premade Duo, Draft"/>
    <s v="Master Skins"/>
    <s v="No"/>
    <m/>
    <s v="I've not made a purchase"/>
    <s v="Cleaver, Mana puff madness, dragon ball, xiao, burn the bridges"/>
    <m/>
    <s v="Volco"/>
    <m/>
    <s v="easy to learn pros and cons and play with it"/>
    <m/>
    <s v="Grandmaster"/>
    <m/>
    <s v="200-1000"/>
    <m/>
    <x v="235"/>
    <m/>
    <s v="Daily"/>
    <m/>
    <s v="Watch"/>
    <m/>
    <s v="Male"/>
    <m/>
    <s v="26-35"/>
    <m/>
    <x v="0"/>
    <m/>
    <s v="Ukraine"/>
    <m/>
  </r>
  <r>
    <d v="2018-11-14T15:51:26"/>
    <s v="Gameplay, Collecting Cards/Masters, Competitions/Tournaments"/>
    <s v="Solo, Premade Duo, Draft, Mayhem Solo"/>
    <s v="Master Skins"/>
    <s v="Yes"/>
    <s v="Just the premium upgrade. :D"/>
    <s v="Yes"/>
    <s v="Rabid Prowler, Black hole, Wall"/>
    <m/>
    <s v="King Puff"/>
    <m/>
    <s v="Skills!"/>
    <m/>
    <s v="Grandmaster"/>
    <m/>
    <s v="100-200"/>
    <m/>
    <x v="236"/>
    <m/>
    <s v="Daily"/>
    <m/>
    <s v="Watch, Stream"/>
    <m/>
    <s v="Male"/>
    <m/>
    <s v="19-25"/>
    <m/>
    <x v="2"/>
    <m/>
    <s v="Germany"/>
    <m/>
  </r>
  <r>
    <d v="2018-11-14T15:52:14"/>
    <s v="Gameplay, The Ragdoll physics, just something about them was done Right."/>
    <s v="Duo, Premade Duo"/>
    <s v="Arenas"/>
    <s v="No"/>
    <m/>
    <s v="I've not made a purchase"/>
    <s v="Assassin, Prowler, Defenso Chopper, Annihilator, More Dakka!"/>
    <m/>
    <s v="Volco"/>
    <m/>
    <s v="Volco's First Perk, it gives me a chance to damage Masters while not being able to reach them."/>
    <m/>
    <s v="Platinum"/>
    <m/>
    <s v="200-1000"/>
    <m/>
    <x v="237"/>
    <m/>
    <s v="Daily"/>
    <m/>
    <s v="Neither"/>
    <m/>
    <s v="Male"/>
    <m/>
    <s v="19-25"/>
    <m/>
    <x v="3"/>
    <m/>
    <s v="USA"/>
    <m/>
  </r>
  <r>
    <d v="2018-11-14T15:52:52"/>
    <s v="Collecting Cards/Masters, F2P"/>
    <s v="Duo, Premade Duo, Expeditions"/>
    <s v="Master Skins"/>
    <s v="No"/>
    <m/>
    <m/>
    <s v="Divine Warrior.Healing Fireball,SpriteMancer,Fireimp,Spear Throwers"/>
    <m/>
    <s v="Apep"/>
    <m/>
    <s v="Free cheap card"/>
    <m/>
    <s v="Master"/>
    <m/>
    <s v="25-100"/>
    <m/>
    <x v="4"/>
    <m/>
    <s v="Daily"/>
    <m/>
    <s v="Stream"/>
    <m/>
    <s v="Male"/>
    <m/>
    <s v="14-18"/>
    <m/>
    <x v="1"/>
    <m/>
    <s v="Turkey"/>
    <m/>
  </r>
  <r>
    <d v="2018-11-14T15:53:12"/>
    <s v="Gameplay, Graphics, Collecting Cards/Masters"/>
    <s v="Duo"/>
    <s v="Master Skins, Emotes"/>
    <s v="Yes"/>
    <s v="Just cause"/>
    <s v="No"/>
    <s v="Nope got too many!"/>
    <m/>
    <s v="Ravager"/>
    <m/>
    <s v="He’s the Ravager duhhh"/>
    <m/>
    <s v="Platinum"/>
    <m/>
    <s v="5-25"/>
    <m/>
    <x v="238"/>
    <m/>
    <s v="5-6 times a week"/>
    <m/>
    <s v="Watch, Stream"/>
    <m/>
    <s v="Male"/>
    <m/>
    <s v="19-25"/>
    <m/>
    <x v="0"/>
    <m/>
    <s v="USA"/>
    <m/>
  </r>
  <r>
    <d v="2018-11-14T15:54:04"/>
    <s v="Gameplay"/>
    <s v="Duo"/>
    <s v="Arenas"/>
    <s v="Yes"/>
    <s v="buy a legedary card and a master"/>
    <s v="Yes"/>
    <s v="harbinger, colossus, the guy that stacks atack speed, bridge miners,chain lightning"/>
    <m/>
    <s v="Stormbringer"/>
    <m/>
    <s v="is the best all around"/>
    <m/>
    <s v="Grandmaster"/>
    <m/>
    <s v="25-100"/>
    <m/>
    <x v="239"/>
    <m/>
    <s v="5-6 times a week"/>
    <m/>
    <s v="Neither"/>
    <m/>
    <s v="Male"/>
    <m/>
    <s v="26-35"/>
    <m/>
    <x v="1"/>
    <m/>
    <s v="Portugal"/>
    <m/>
  </r>
  <r>
    <d v="2018-11-14T15:54:59"/>
    <s v="Gameplay, Graphics"/>
    <s v="Duo, Premade Duo, Mayhem Duo"/>
    <s v="Master Skins"/>
    <s v="No"/>
    <m/>
    <s v="I've not made a purchase"/>
    <m/>
    <m/>
    <s v="Mordar"/>
    <m/>
    <m/>
    <m/>
    <s v="Silver"/>
    <m/>
    <s v="0-5"/>
    <m/>
    <x v="240"/>
    <m/>
    <s v="3-4 times a week"/>
    <m/>
    <s v="Watch"/>
    <m/>
    <s v="Male"/>
    <m/>
    <s v="19-25"/>
    <m/>
    <x v="1"/>
    <m/>
    <s v="Russia"/>
    <m/>
  </r>
  <r>
    <d v="2018-11-14T15:59:51"/>
    <s v="Gameplay"/>
    <s v="Solo"/>
    <s v="Master Skins"/>
    <s v="No"/>
    <m/>
    <s v="I've not made a purchase"/>
    <s v="(In no order) Crystal Concstruct, Sniper squad, Musketeer, Stun Lancers, Fireball"/>
    <m/>
    <s v="Stormbringer"/>
    <m/>
    <s v="Only one I have 😂"/>
    <m/>
    <s v="Stone"/>
    <m/>
    <s v="5-25"/>
    <m/>
    <x v="179"/>
    <m/>
    <s v="Daily"/>
    <m/>
    <s v="Watch"/>
    <m/>
    <s v="Male"/>
    <m/>
    <s v="14-18"/>
    <m/>
    <x v="1"/>
    <m/>
    <s v="USA"/>
    <m/>
  </r>
  <r>
    <d v="2018-11-14T16:00:42"/>
    <s v="Gameplay, Graphics"/>
    <s v="Duo, Premade Duo"/>
    <s v="Emotes"/>
    <s v="No"/>
    <m/>
    <s v="I've not made a purchase"/>
    <m/>
    <m/>
    <s v="Stormbringer"/>
    <m/>
    <s v="consistent damage output with global range and increased attack speed."/>
    <m/>
    <s v="Gold"/>
    <m/>
    <s v="5-25"/>
    <m/>
    <x v="241"/>
    <m/>
    <s v="Daily"/>
    <m/>
    <s v="Neither"/>
    <m/>
    <s v="Male"/>
    <m/>
    <s v="19-25"/>
    <m/>
    <x v="1"/>
    <m/>
    <s v="USA"/>
    <m/>
  </r>
  <r>
    <d v="2018-11-14T16:01:49"/>
    <s v="Gameplay"/>
    <s v="Duo, Premade Duo, Expeditions"/>
    <s v="Arenas, Emotes"/>
    <s v="No"/>
    <m/>
    <s v="I've not made a purchase"/>
    <s v="Harbringer, Divine warrior, Future present/Future past, Fire imp, Wizard puff"/>
    <m/>
    <s v="Apep"/>
    <m/>
    <s v="Random stuff to make fun"/>
    <m/>
    <s v="Diamond"/>
    <m/>
    <s v="25-100"/>
    <m/>
    <x v="242"/>
    <m/>
    <s v="Daily"/>
    <m/>
    <s v="Watch"/>
    <m/>
    <s v="Male"/>
    <m/>
    <s v="26-35"/>
    <m/>
    <x v="0"/>
    <m/>
    <s v="Russia"/>
    <m/>
  </r>
  <r>
    <d v="2018-11-14T16:03:41"/>
    <s v="Gameplay, Graphics, Collecting Cards/Masters"/>
    <s v="Solo, Mayhem Solo"/>
    <s v="Emotes"/>
    <s v="No"/>
    <m/>
    <s v="Yes"/>
    <m/>
    <m/>
    <s v="Stormbringer"/>
    <m/>
    <m/>
    <m/>
    <m/>
    <m/>
    <s v="100-200"/>
    <m/>
    <x v="4"/>
    <m/>
    <s v="Daily"/>
    <m/>
    <s v="Watch, Stream"/>
    <m/>
    <s v="Male"/>
    <m/>
    <s v="26-35"/>
    <m/>
    <x v="2"/>
    <m/>
    <s v="South Korea"/>
    <m/>
  </r>
  <r>
    <d v="2018-11-14T16:04:26"/>
    <s v="Gameplay"/>
    <s v="Premade Duo"/>
    <s v="Master Skins"/>
    <s v="No"/>
    <m/>
    <s v="I've not made a purchase"/>
    <m/>
    <m/>
    <s v="Volco"/>
    <m/>
    <s v="He is hot"/>
    <m/>
    <s v="Master"/>
    <m/>
    <s v="100-200"/>
    <m/>
    <x v="121"/>
    <m/>
    <s v="Daily"/>
    <m/>
    <s v="Watch, Stream"/>
    <m/>
    <s v="Male"/>
    <m/>
    <s v="14-18"/>
    <m/>
    <x v="1"/>
    <m/>
    <s v="USA"/>
    <m/>
  </r>
  <r>
    <d v="2018-11-14T16:05:52"/>
    <s v="Gameplay, Collecting Cards/Masters"/>
    <s v="Solo, Premade Duo"/>
    <s v="Arenas"/>
    <s v="No"/>
    <m/>
    <s v="I've not made a purchase"/>
    <s v="Xp shrine, mana puff, cleaver, blood imp, red golem"/>
    <m/>
    <s v="Apep"/>
    <m/>
    <s v="Each game is unique and fun with the apep perk RNG"/>
    <m/>
    <s v="Master"/>
    <m/>
    <s v="25-100"/>
    <m/>
    <x v="4"/>
    <m/>
    <s v="Daily"/>
    <m/>
    <s v="Watch"/>
    <m/>
    <s v="Male"/>
    <m/>
    <s v="19-25"/>
    <m/>
    <x v="0"/>
    <m/>
    <s v="United Kingdom"/>
    <m/>
  </r>
  <r>
    <d v="2018-11-14T16:06:38"/>
    <s v="Gameplay, Collecting Cards/Masters"/>
    <s v="Solo, Premade Duo, Draft"/>
    <s v="Master Skins, Arenas"/>
    <s v="Yes"/>
    <s v="Master Skin"/>
    <s v="Yes"/>
    <m/>
    <m/>
    <s v="Milloween"/>
    <m/>
    <m/>
    <m/>
    <s v="Platinum"/>
    <m/>
    <s v="5-25"/>
    <m/>
    <x v="4"/>
    <m/>
    <s v="5-6 times a week"/>
    <m/>
    <s v="Watch"/>
    <m/>
    <s v="Male"/>
    <m/>
    <s v="26-35"/>
    <m/>
    <x v="0"/>
    <m/>
    <s v="I prefer not to say"/>
    <m/>
  </r>
  <r>
    <d v="2018-11-14T16:06:49"/>
    <s v="Gameplay, Collecting Cards/Masters, Competitions/Tournaments"/>
    <s v="Duo"/>
    <s v="Avatars"/>
    <s v="No"/>
    <m/>
    <s v="I've not made a purchase"/>
    <m/>
    <m/>
    <s v="Ravager"/>
    <m/>
    <s v="So cool"/>
    <m/>
    <s v="Silver"/>
    <m/>
    <s v="5-25"/>
    <m/>
    <x v="243"/>
    <m/>
    <s v="Daily"/>
    <m/>
    <s v="Neither"/>
    <m/>
    <s v="Male"/>
    <m/>
    <s v="14-18"/>
    <m/>
    <x v="1"/>
    <m/>
    <s v="Canada"/>
    <m/>
  </r>
  <r>
    <d v="2018-11-14T16:08:07"/>
    <s v="Gameplay, Graphics, Collecting Cards/Masters"/>
    <s v="Solo, Draft, Expeditions"/>
    <s v="Master Skins"/>
    <s v="No"/>
    <m/>
    <s v="I've not made a purchase"/>
    <m/>
    <m/>
    <s v="Stormbringer"/>
    <m/>
    <s v="AutoAttacks"/>
    <m/>
    <s v="Stone"/>
    <m/>
    <s v="0-5"/>
    <m/>
    <x v="4"/>
    <m/>
    <s v="Daily"/>
    <m/>
    <s v="Watch"/>
    <m/>
    <s v="Male"/>
    <m/>
    <s v="26-35"/>
    <m/>
    <x v="0"/>
    <m/>
    <s v="Germany"/>
    <m/>
  </r>
  <r>
    <d v="2018-11-14T16:09:14"/>
    <s v="Gameplay, Graphics, Crafting system"/>
    <s v="Solo, Duo, Expeditions"/>
    <s v="Master Skins, Arenas, Emotes, Avatars"/>
    <s v="No"/>
    <m/>
    <s v="I've not made a purchase"/>
    <s v="Crystal escort, shock lancers,succubus,cleaver (the one you get via tutorial) Big gun guy (Sci fi trooper thingamajig)"/>
    <m/>
    <s v="Stormbringer"/>
    <m/>
    <s v="He's a good allrounder, ability to attack globaly is kind of overpowered, letting people strike their foes beforehand and thinning their numbers back on the other side of the map."/>
    <m/>
    <s v="Bronze"/>
    <m/>
    <s v="5-25"/>
    <m/>
    <x v="4"/>
    <m/>
    <s v="Daily"/>
    <m/>
    <s v="Neither"/>
    <m/>
    <s v="Male"/>
    <m/>
    <s v="19-25"/>
    <m/>
    <x v="1"/>
    <m/>
    <s v="Poland"/>
    <m/>
  </r>
  <r>
    <d v="2018-11-14T16:10:52"/>
    <s v="Gameplay"/>
    <s v="Premade Duo, Mayhem Duo"/>
    <s v="Arenas, Emotes"/>
    <s v="No"/>
    <m/>
    <s v="I've not made a purchase"/>
    <s v="Ghost / Psychomancien / Armored Squad the spell / Fire Heal Ball / Rage Potion"/>
    <m/>
    <s v="Milloween"/>
    <m/>
    <s v="for casting spell ! "/>
    <m/>
    <s v="Gold"/>
    <m/>
    <s v="25-100"/>
    <m/>
    <x v="244"/>
    <m/>
    <s v="Daily"/>
    <m/>
    <s v="Neither"/>
    <m/>
    <s v="Male"/>
    <m/>
    <s v="19-25"/>
    <m/>
    <x v="0"/>
    <m/>
    <s v="France"/>
    <m/>
  </r>
  <r>
    <d v="2018-11-14T16:11:03"/>
    <s v="Collecting Cards/Masters"/>
    <s v="Solo, Premade Duo"/>
    <m/>
    <s v="No"/>
    <m/>
    <s v="I've not made a purchase"/>
    <s v="Colossus, xiao long, harbinger, crossbow dudes, prowler"/>
    <m/>
    <s v="Stormbringer"/>
    <m/>
    <s v="its free"/>
    <m/>
    <s v="Platinum"/>
    <m/>
    <s v="5-25"/>
    <m/>
    <x v="245"/>
    <m/>
    <s v="1-2 times a week"/>
    <m/>
    <s v="Stream"/>
    <m/>
    <s v="Male"/>
    <m/>
    <s v="19-25"/>
    <m/>
    <x v="1"/>
    <m/>
    <s v="USA"/>
    <m/>
  </r>
  <r>
    <d v="2018-11-14T16:11:07"/>
    <s v="Gameplay, Graphics, Collecting Cards/Masters"/>
    <s v="Duo, Premade Duo, Mayhem Solo, Mayhem Duo"/>
    <s v="Master Skins, Arenas, Avatars"/>
    <s v="Yes"/>
    <s v="Indirectly; got the premium upgrade which also gave me rubies. Those again I spent on the first battle pass season."/>
    <s v="Yes"/>
    <s v="Nether Step, Scott the Savage, Spiritmancer, Whirly Scrat, Plasma Marines"/>
    <m/>
    <s v="Stormbringer"/>
    <m/>
    <s v="Stormbringer has been the first master I achieved GM with iirc after 2 seasons of playing. I've enjoyed him a lot, even before he was initially buffed, as I got to play a style I liked in a for me efficient manner"/>
    <m/>
    <s v="Grandmaster"/>
    <m/>
    <s v="200-1000"/>
    <m/>
    <x v="246"/>
    <m/>
    <s v="Daily"/>
    <m/>
    <s v="Watch"/>
    <m/>
    <s v="Male"/>
    <m/>
    <s v="19-25"/>
    <m/>
    <x v="0"/>
    <m/>
    <s v="Germany"/>
    <m/>
  </r>
  <r>
    <d v="2018-11-14T16:14:12"/>
    <s v="Gameplay"/>
    <s v="Duo, Premade Duo"/>
    <s v="Arenas"/>
    <s v="No"/>
    <m/>
    <s v="I've not made a purchase"/>
    <m/>
    <m/>
    <s v="Stormbringer"/>
    <m/>
    <s v="Hes got the rang of the whole arena with his perk"/>
    <m/>
    <s v="Silver"/>
    <m/>
    <s v="0-5"/>
    <m/>
    <x v="156"/>
    <m/>
    <s v="Daily"/>
    <m/>
    <s v="Watch"/>
    <m/>
    <s v="Male"/>
    <m/>
    <s v="14-18"/>
    <m/>
    <x v="1"/>
    <m/>
    <s v="Poland"/>
    <m/>
  </r>
  <r>
    <d v="2018-11-14T16:14:26"/>
    <s v="Gameplay"/>
    <s v="Duo"/>
    <s v="Master Skins"/>
    <s v="Yes"/>
    <s v="I just bought the premium upgrade for the game, so i could get the battle pass and other cool stuff."/>
    <s v="Yes"/>
    <s v="Daggerfall, Musketeer, Morgul The Swarmer King, Spiritmancer, Screaming Scrat"/>
    <m/>
    <s v="King Puff"/>
    <m/>
    <s v="I like the playstyle of King Puff, trying to get to the second perk and get your spike there."/>
    <m/>
    <s v="Grandmaster"/>
    <m/>
    <s v="25-100"/>
    <m/>
    <x v="247"/>
    <m/>
    <s v="Daily"/>
    <m/>
    <s v="Watch"/>
    <m/>
    <s v="Male"/>
    <m/>
    <s v="14-18"/>
    <m/>
    <x v="3"/>
    <m/>
    <s v="Denmark"/>
    <m/>
  </r>
  <r>
    <d v="2018-11-14T16:14:49"/>
    <s v="Gameplay, Collecting Cards/Masters"/>
    <s v="Duo, Premade Duo"/>
    <s v="Master Skins, Arenas"/>
    <s v="Yes"/>
    <s v="Season pass"/>
    <s v="Yes"/>
    <s v="Havent memorised names yet lol"/>
    <m/>
    <s v="Settsu"/>
    <m/>
    <s v="Mostly the cosmetics. "/>
    <m/>
    <s v="Silver"/>
    <m/>
    <s v="5-25"/>
    <m/>
    <x v="248"/>
    <m/>
    <s v="Daily"/>
    <m/>
    <s v="Watch, Stream"/>
    <m/>
    <s v="Male"/>
    <m/>
    <s v="19-25"/>
    <m/>
    <x v="1"/>
    <m/>
    <s v="USA"/>
    <m/>
  </r>
  <r>
    <d v="2018-11-14T16:14:53"/>
    <s v="Gameplay, Competitions/Tournaments, id love a 5v5 mode. or a 3v3 "/>
    <s v="Premade Duo, Draft"/>
    <s v="Master Skins, Arenas, Emotes, Avatars"/>
    <s v="Yes"/>
    <s v="season pass. its a bitt to grindy doe for what i preffer "/>
    <s v="Yes"/>
    <s v="havent tried them all yet so wont be fair to review the cards. "/>
    <m/>
    <s v="Ratbo"/>
    <m/>
    <s v="he is funn. "/>
    <m/>
    <s v="Silver"/>
    <m/>
    <s v="5-25"/>
    <m/>
    <x v="249"/>
    <m/>
    <s v="Daily"/>
    <m/>
    <s v="Watch"/>
    <m/>
    <s v="Male"/>
    <m/>
    <s v="26-35"/>
    <m/>
    <x v="3"/>
    <m/>
    <s v="Norway"/>
    <m/>
  </r>
  <r>
    <d v="2018-11-14T16:18:25"/>
    <s v="Gameplay, Graphics, Collecting Cards/Masters"/>
    <s v="Duo, Premade Duo, Expeditions, Mayhem Duo"/>
    <s v="Arenas"/>
    <s v="No"/>
    <m/>
    <s v="I've not made a purchase"/>
    <s v="Fire Imp, Rammer, "/>
    <m/>
    <s v="Volco"/>
    <m/>
    <s v="Nice abilities. Fun to play. And he isn't OP like stormbringer.... I like use apep and milloween too."/>
    <m/>
    <s v="Master"/>
    <m/>
    <s v="100-200"/>
    <m/>
    <x v="250"/>
    <m/>
    <s v="Daily"/>
    <m/>
    <s v="Neither"/>
    <m/>
    <s v="Male"/>
    <m/>
    <s v="19-25"/>
    <m/>
    <x v="1"/>
    <m/>
    <s v="Italy"/>
    <m/>
  </r>
  <r>
    <d v="2018-11-14T16:18:34"/>
    <s v="Gameplay, Competitions/Tournaments"/>
    <s v="Solo, Premade Duo"/>
    <s v="Master Skins, Avatars"/>
    <s v="Yes"/>
    <s v="Skins"/>
    <s v="Yes"/>
    <s v="Cleaver, Sensitive Savage, Mana Puff, Plasma Marines and Crossbow Dudes  "/>
    <m/>
    <s v="King Puff"/>
    <m/>
    <s v="Love his exp traits"/>
    <m/>
    <s v="Platinum"/>
    <m/>
    <s v="200-1000"/>
    <m/>
    <x v="251"/>
    <m/>
    <s v="5-6 times a week"/>
    <m/>
    <s v="Neither"/>
    <m/>
    <s v="Male"/>
    <m/>
    <s v="19-25"/>
    <m/>
    <x v="1"/>
    <m/>
    <s v="USA"/>
    <m/>
  </r>
  <r>
    <d v="2018-11-14T16:19:17"/>
    <s v="Gameplay, Collecting Cards/Masters"/>
    <s v="Solo, Duo, Premade Duo, Draft, Expeditions, Mayhem Solo"/>
    <s v="Emotes"/>
    <s v="No"/>
    <m/>
    <s v="I've not made a purchase"/>
    <m/>
    <m/>
    <s v="Stormbringer"/>
    <m/>
    <m/>
    <m/>
    <s v="Silver"/>
    <m/>
    <s v="25-100"/>
    <m/>
    <x v="156"/>
    <m/>
    <s v="Daily"/>
    <m/>
    <s v="Watch, Stream"/>
    <m/>
    <s v="Male"/>
    <m/>
    <s v="26-35"/>
    <m/>
    <x v="3"/>
    <m/>
    <s v="Switzerland"/>
    <m/>
  </r>
  <r>
    <d v="2018-11-14T16:21:55"/>
    <s v="Gameplay, Collecting Cards/Masters, Crafting system"/>
    <s v="Duo, Premade Duo, Expeditions"/>
    <s v="Master Skins, Emotes"/>
    <s v="Yes"/>
    <s v="Masters/Cards"/>
    <s v="No"/>
    <m/>
    <m/>
    <s v="Milloween"/>
    <m/>
    <s v="Because i play a lot  of spells"/>
    <m/>
    <s v="Gold"/>
    <m/>
    <s v="25-100"/>
    <m/>
    <x v="4"/>
    <m/>
    <s v="Daily"/>
    <m/>
    <s v="Watch"/>
    <m/>
    <s v="Male"/>
    <m/>
    <s v="26-35"/>
    <m/>
    <x v="3"/>
    <m/>
    <s v="France"/>
    <m/>
  </r>
  <r>
    <d v="2018-11-14T16:22:13"/>
    <s v="Gameplay, Collecting Cards/Masters"/>
    <s v="Solo"/>
    <s v="Arenas, Avatars"/>
    <s v="No"/>
    <m/>
    <s v="I've not made a purchase"/>
    <s v="Dragon Ball,Disruptor Puffs,Blue Golem,Black Hole,Cursebearer"/>
    <m/>
    <s v="Mordar"/>
    <m/>
    <s v="Tombstone mechanics"/>
    <m/>
    <s v="Silver"/>
    <m/>
    <s v="5-25"/>
    <m/>
    <x v="156"/>
    <m/>
    <s v="Daily"/>
    <m/>
    <s v="Neither"/>
    <m/>
    <s v="Male"/>
    <m/>
    <s v="14-18"/>
    <m/>
    <x v="1"/>
    <m/>
    <s v="Serbia"/>
    <m/>
  </r>
  <r>
    <d v="2018-11-14T16:23:47"/>
    <s v="Gameplay"/>
    <s v="Duo, Premade Duo, Expeditions"/>
    <s v="Avatars"/>
    <s v="No"/>
    <m/>
    <s v="Yes"/>
    <s v="Divine Warrior, Crystal Construct, Scrat Horde, Plasma Marines, Daggerfall"/>
    <m/>
    <s v="Mordar"/>
    <m/>
    <s v="Tombsones"/>
    <m/>
    <s v="Diamond"/>
    <m/>
    <s v="25-100"/>
    <m/>
    <x v="252"/>
    <m/>
    <s v="Daily"/>
    <m/>
    <s v="Watch, Stream"/>
    <m/>
    <s v="Male"/>
    <m/>
    <s v="over 36"/>
    <m/>
    <x v="0"/>
    <m/>
    <s v="Germany"/>
    <m/>
  </r>
  <r>
    <d v="2018-11-14T16:26:23"/>
    <s v="Gameplay, Collecting Cards/Masters"/>
    <s v="Solo, Draft"/>
    <s v="Master Skins"/>
    <s v="No"/>
    <m/>
    <s v="I've not made a purchase"/>
    <s v="Shars'Rakk Twins, Scrat pack, Armored Escort, Defenso Chopper, and Cursebearer"/>
    <m/>
    <s v="Ravager"/>
    <m/>
    <s v="I like a lot of masters, but ravager beats the decks I hate the most."/>
    <m/>
    <s v="Grandmaster"/>
    <m/>
    <s v="200-1000"/>
    <m/>
    <x v="253"/>
    <m/>
    <s v="Daily"/>
    <m/>
    <s v="Neither"/>
    <m/>
    <s v="Male"/>
    <m/>
    <s v="19-25"/>
    <m/>
    <x v="1"/>
    <m/>
    <s v="USA"/>
    <m/>
  </r>
  <r>
    <d v="2018-11-14T16:26:37"/>
    <s v="Gameplay, Collecting Cards/Masters"/>
    <s v="Solo, Premade Duo, Draft"/>
    <s v="Avatars"/>
    <s v="No"/>
    <m/>
    <s v="I've not made a purchase"/>
    <s v="Harbinger, Cursebearer, Demon Warrior, Legionnaires, Shars'Rakk Twins"/>
    <m/>
    <s v="Ravager"/>
    <m/>
    <s v="Ravager's attack is very good for dealing with large groups of melee minions which some other masters struggle against. The frenzy on minions below half health is very beneficial to most minions. Brutus and Terror Brutus can be great distractions and absorb a lot of damage if the enemy master is not prepared."/>
    <m/>
    <s v="Platinum"/>
    <m/>
    <s v="5-25"/>
    <m/>
    <x v="254"/>
    <m/>
    <s v="5-6 times a week"/>
    <m/>
    <s v="Neither"/>
    <m/>
    <s v="Male"/>
    <m/>
    <s v="19-25"/>
    <m/>
    <x v="2"/>
    <m/>
    <s v="USA"/>
    <m/>
  </r>
  <r>
    <d v="2018-11-14T16:27:53"/>
    <s v="Gameplay, Collecting Cards/Masters"/>
    <s v="Solo, Duo"/>
    <s v="Arenas"/>
    <s v="No"/>
    <m/>
    <s v="I've not made a purchase"/>
    <s v="Troubadour, Wizard Puff, Bounty Sniper, Last Stand,Scrat Tank "/>
    <m/>
    <s v="Stormbringer"/>
    <m/>
    <s v="Because it is the starter and i got used to it."/>
    <m/>
    <s v="Gold"/>
    <m/>
    <s v="5-25"/>
    <m/>
    <x v="52"/>
    <m/>
    <s v="Daily"/>
    <m/>
    <s v="Watch"/>
    <m/>
    <s v="Male"/>
    <m/>
    <s v="26-35"/>
    <m/>
    <x v="1"/>
    <m/>
    <s v="Germany"/>
    <m/>
  </r>
  <r>
    <d v="2018-11-14T16:29:14"/>
    <s v="Gameplay, Competitions/Tournaments"/>
    <s v="Solo, Premade Duo"/>
    <m/>
    <s v="No"/>
    <m/>
    <s v="I've not made a purchase"/>
    <s v="Harbinger, annihilator, prowler, commander azali, morgrul the swarm king"/>
    <m/>
    <s v="Volco"/>
    <m/>
    <s v="Effective abilities "/>
    <m/>
    <s v="Master"/>
    <m/>
    <s v="5-25"/>
    <m/>
    <x v="255"/>
    <m/>
    <s v="Daily"/>
    <m/>
    <s v="Watch"/>
    <m/>
    <s v="Male"/>
    <m/>
    <s v="19-25"/>
    <m/>
    <x v="0"/>
    <m/>
    <s v="USA"/>
    <m/>
  </r>
  <r>
    <d v="2018-11-14T16:29:46"/>
    <s v="Competitions/Tournaments"/>
    <s v="Duo"/>
    <s v="Avatars"/>
    <s v="No"/>
    <m/>
    <s v="I've not made a purchase"/>
    <m/>
    <m/>
    <m/>
    <m/>
    <m/>
    <m/>
    <s v="Gold"/>
    <m/>
    <s v="5-25"/>
    <m/>
    <x v="4"/>
    <m/>
    <s v="1-2 times a week"/>
    <m/>
    <s v="Neither"/>
    <m/>
    <s v="Male"/>
    <m/>
    <s v="14-18"/>
    <m/>
    <x v="1"/>
    <m/>
    <s v="I prefer not to say"/>
    <m/>
  </r>
  <r>
    <d v="2018-11-14T16:30:45"/>
    <s v="Gameplay"/>
    <s v="Duo, Draft"/>
    <s v="Master Skins, Avatars"/>
    <s v="Yes"/>
    <s v="Permanent xp and gold boosts"/>
    <s v="Yes"/>
    <s v="Mana puff, heal puff, stormbringer, chain lightning, last stand"/>
    <m/>
    <s v="Mordar"/>
    <m/>
    <s v="Rewards thoughtful gameplay and deck design"/>
    <m/>
    <s v="Silver"/>
    <m/>
    <s v="5-25"/>
    <m/>
    <x v="256"/>
    <m/>
    <s v="Daily"/>
    <m/>
    <s v="Watch"/>
    <m/>
    <s v="Female"/>
    <m/>
    <s v="26-35"/>
    <m/>
    <x v="0"/>
    <m/>
    <s v="Canada"/>
    <m/>
  </r>
  <r>
    <d v="2018-11-14T16:31:01"/>
    <s v="Gameplay, Graphics, Collecting Cards/Masters"/>
    <s v="Solo, Duo, Mayhem Solo"/>
    <s v="Master Skins"/>
    <s v="No"/>
    <m/>
    <s v="I've not made a purchase"/>
    <s v="Crystall Archers, Soul Stealer, Daggerfall, Flightless Dragons, Divine Warrior"/>
    <m/>
    <s v="Stormbringer"/>
    <m/>
    <s v="Global Range &amp; Range Minion Buff"/>
    <m/>
    <s v="Platinum"/>
    <m/>
    <s v="5-25"/>
    <m/>
    <x v="257"/>
    <m/>
    <s v="Daily"/>
    <m/>
    <s v="Watch"/>
    <m/>
    <s v="Male"/>
    <m/>
    <s v="I prefer not to say"/>
    <m/>
    <x v="2"/>
    <m/>
    <s v="Germany"/>
    <m/>
  </r>
  <r>
    <d v="2018-11-14T16:32:04"/>
    <s v="Gameplay"/>
    <s v="Premade Duo"/>
    <s v="Arenas"/>
    <s v="No"/>
    <m/>
    <s v="I've not made a purchase"/>
    <s v="Harbinger, blind date, plasma soldiers, annhilator, fireball"/>
    <m/>
    <s v="Stormbringer"/>
    <m/>
    <s v="It supports versatility"/>
    <m/>
    <s v="Gold"/>
    <m/>
    <s v="5-25"/>
    <m/>
    <x v="258"/>
    <m/>
    <s v="3-4 times a week"/>
    <m/>
    <s v="Neither"/>
    <m/>
    <s v="Male"/>
    <m/>
    <s v="14-18"/>
    <m/>
    <x v="1"/>
    <m/>
    <s v="I prefer not to say"/>
    <m/>
  </r>
  <r>
    <d v="2018-11-14T16:32:30"/>
    <s v="Gameplay, Collecting Cards/Masters"/>
    <s v="Duo"/>
    <s v="Master Skins"/>
    <s v="No"/>
    <m/>
    <s v="I've not made a purchase"/>
    <m/>
    <m/>
    <s v="Ravager"/>
    <m/>
    <m/>
    <m/>
    <s v="Platinum"/>
    <m/>
    <s v="5-25"/>
    <m/>
    <x v="4"/>
    <m/>
    <s v="Daily"/>
    <m/>
    <s v="Watch"/>
    <m/>
    <s v="Male"/>
    <m/>
    <s v="19-25"/>
    <m/>
    <x v="1"/>
    <m/>
    <s v="Croatia"/>
    <m/>
  </r>
  <r>
    <d v="2018-11-14T16:32:42"/>
    <s v="Graphics"/>
    <s v="Premade Duo"/>
    <s v="Avatars"/>
    <s v="No"/>
    <m/>
    <s v="I've not made a purchase"/>
    <m/>
    <m/>
    <s v="Stormbringer"/>
    <m/>
    <s v="I like his ability to shoot across the entire map"/>
    <m/>
    <s v="Bronze"/>
    <m/>
    <s v="0-5"/>
    <m/>
    <x v="259"/>
    <m/>
    <s v="Daily"/>
    <m/>
    <s v="Neither"/>
    <m/>
    <s v="Male"/>
    <m/>
    <s v="14-18"/>
    <m/>
    <x v="1"/>
    <m/>
    <s v="United Kingdom"/>
    <m/>
  </r>
  <r>
    <d v="2018-11-14T16:33:12"/>
    <s v="Gameplay"/>
    <s v="Duo, Premade Duo, Draft, Mayhem Solo, Mayhem Duo"/>
    <s v="Emotes"/>
    <s v="Yes"/>
    <s v="premium"/>
    <s v="Yes"/>
    <s v="brawler, divine warrior, dragon ball, arrow 3 mana card, stun rock"/>
    <m/>
    <s v="Stormbringer"/>
    <m/>
    <s v="easy to play and understand"/>
    <m/>
    <s v="Grandmaster"/>
    <m/>
    <s v="25-100"/>
    <m/>
    <x v="260"/>
    <m/>
    <s v="3-4 times a week"/>
    <m/>
    <s v="Neither"/>
    <m/>
    <s v="Male"/>
    <m/>
    <s v="19-25"/>
    <m/>
    <x v="0"/>
    <m/>
    <s v="Austria"/>
    <m/>
  </r>
  <r>
    <d v="2018-11-14T16:34:15"/>
    <s v="Gameplay, Collecting Cards/Masters"/>
    <s v="Duo, Draft, Expeditions, Mayhem Duo"/>
    <s v="Master Skins, Emotes"/>
    <s v="No"/>
    <m/>
    <s v="I've not made a purchase"/>
    <m/>
    <m/>
    <s v="Milloween"/>
    <m/>
    <m/>
    <m/>
    <s v="Diamond"/>
    <m/>
    <s v="25-100"/>
    <m/>
    <x v="4"/>
    <m/>
    <s v="Daily"/>
    <m/>
    <s v="Neither"/>
    <m/>
    <s v="Male"/>
    <m/>
    <s v="26-35"/>
    <m/>
    <x v="1"/>
    <m/>
    <s v="Turkey"/>
    <m/>
  </r>
  <r>
    <d v="2018-11-14T16:34:44"/>
    <s v="Gameplay"/>
    <s v="Solo, Draft"/>
    <m/>
    <s v="No"/>
    <m/>
    <s v="I've not made a purchase"/>
    <s v="Screaming Scrat, Rammer, Spear Throwers , Future Present, Black Hole"/>
    <m/>
    <s v="King Puff"/>
    <m/>
    <s v="amazing perks (if used well) can deal with ground and air(+high damage) "/>
    <m/>
    <s v="Grandmaster"/>
    <m/>
    <s v="25-100"/>
    <m/>
    <x v="261"/>
    <m/>
    <s v="Daily"/>
    <m/>
    <s v="Watch"/>
    <m/>
    <s v="Male"/>
    <m/>
    <s v="14-18"/>
    <m/>
    <x v="1"/>
    <m/>
    <s v="United Kingdom"/>
    <m/>
  </r>
  <r>
    <d v="2018-11-14T16:36:47"/>
    <s v="Gameplay"/>
    <s v="Solo, Duo, Expeditions"/>
    <s v="Master Skins, Arenas, Emotes, Avatars"/>
    <s v="No"/>
    <m/>
    <s v="I've not made a purchase"/>
    <m/>
    <m/>
    <s v="Stormbringer"/>
    <m/>
    <s v="because it's one of the standard ones"/>
    <m/>
    <s v="Silver"/>
    <m/>
    <s v="5-25"/>
    <m/>
    <x v="262"/>
    <m/>
    <s v="1-2 times a week"/>
    <m/>
    <s v="Watch"/>
    <m/>
    <s v="Male"/>
    <m/>
    <s v="14-18"/>
    <m/>
    <x v="1"/>
    <m/>
    <s v="The Netherlands"/>
    <m/>
  </r>
  <r>
    <d v="2018-11-14T16:38:19"/>
    <s v="Competitions/Tournaments, More Multiplayer please"/>
    <s v="Duo, Draft, Expeditions, Mayhem Duo"/>
    <s v="Emotes"/>
    <s v="Yes"/>
    <s v="Getting that one card..."/>
    <s v="Yes"/>
    <s v="My top 5 are whatever works for now..."/>
    <m/>
    <s v="King Puff"/>
    <m/>
    <s v="his 4-5 buff is OP"/>
    <m/>
    <s v="Platinum"/>
    <m/>
    <s v="25-100"/>
    <m/>
    <x v="263"/>
    <m/>
    <s v="3-4 times a week"/>
    <m/>
    <s v="Watch"/>
    <m/>
    <s v="Male"/>
    <m/>
    <s v="over 36"/>
    <m/>
    <x v="0"/>
    <m/>
    <s v="USA"/>
    <m/>
  </r>
  <r>
    <d v="2018-11-14T16:43:25"/>
    <s v="Gameplay, Collecting Cards/Masters, Competitions/Tournaments, Player base"/>
    <s v="Solo, Premade Duo, Draft"/>
    <s v="Arenas, Emotes"/>
    <s v="No"/>
    <m/>
    <s v="I've not made a purchase"/>
    <s v="Escort, Azuri, Screaming Scrat, Flightless Dragon, Black Hole"/>
    <m/>
    <s v="King Puff"/>
    <m/>
    <s v="Synergy"/>
    <m/>
    <s v="Grandmaster"/>
    <m/>
    <s v="200-1000"/>
    <m/>
    <x v="264"/>
    <m/>
    <s v="5-6 times a week"/>
    <m/>
    <s v="Stream"/>
    <m/>
    <s v="Male"/>
    <m/>
    <s v="19-25"/>
    <m/>
    <x v="4"/>
    <m/>
    <s v="Philippines"/>
    <m/>
  </r>
  <r>
    <d v="2018-11-14T16:43:52"/>
    <s v="Gameplay"/>
    <s v="Solo"/>
    <s v="Master Skins"/>
    <s v="No"/>
    <m/>
    <s v="I've not made a purchase"/>
    <m/>
    <m/>
    <s v="Stormbringer"/>
    <m/>
    <s v="Started with, feels strong"/>
    <m/>
    <s v="Platinum"/>
    <m/>
    <s v="5-25"/>
    <m/>
    <x v="4"/>
    <m/>
    <s v="3-4 times a week"/>
    <m/>
    <s v="Watch"/>
    <m/>
    <s v="Male"/>
    <m/>
    <s v="26-35"/>
    <m/>
    <x v="0"/>
    <m/>
    <s v="USA"/>
    <m/>
  </r>
  <r>
    <d v="2018-11-14T16:45:57"/>
    <s v="Streamer interaction!"/>
    <s v="Duo"/>
    <s v="Emotes"/>
    <s v="No"/>
    <m/>
    <s v="I've not made a purchase"/>
    <s v="Morghul, Xian Lao (fairy dragon), Muskateer, Defenso Chooper, Heal/Fireball spell"/>
    <m/>
    <s v="King Puff"/>
    <m/>
    <s v="How do you beat his level 2 perk LUL"/>
    <m/>
    <s v="Grandmaster"/>
    <m/>
    <s v="25-100"/>
    <m/>
    <x v="265"/>
    <m/>
    <s v="Daily"/>
    <m/>
    <s v="Watch, Stream"/>
    <m/>
    <s v="Male"/>
    <m/>
    <s v="26-35"/>
    <m/>
    <x v="0"/>
    <m/>
    <s v="USA"/>
    <m/>
  </r>
  <r>
    <d v="2018-11-14T16:47:43"/>
    <s v="Gameplay, Graphics, Collecting Cards/Masters"/>
    <s v="Solo, Duo, Expeditions"/>
    <s v="Arenas, Emotes"/>
    <s v="No"/>
    <m/>
    <s v="I've not made a purchase"/>
    <s v="Prowler &gt; Annihilator &gt; Assassin &gt; Xiao Long &gt; Harbinger"/>
    <m/>
    <s v="Ravager"/>
    <m/>
    <s v="Cool summoning perks, very tanky, and great characteristic as well. "/>
    <m/>
    <s v="Silver"/>
    <m/>
    <s v="5-25"/>
    <m/>
    <x v="266"/>
    <m/>
    <s v="Daily"/>
    <m/>
    <s v="Watch"/>
    <m/>
    <s v="Male"/>
    <m/>
    <s v="19-25"/>
    <m/>
    <x v="2"/>
    <m/>
    <s v="United Arab Emirates"/>
    <m/>
  </r>
  <r>
    <d v="2018-11-14T16:49:06"/>
    <s v="Gameplay"/>
    <s v="Solo, Duo, Expeditions, Mayhem Duo"/>
    <s v="Master Skins, Arenas"/>
    <s v="No"/>
    <m/>
    <s v="I've not made a purchase"/>
    <s v="Schwertkriegerin, Elfenbogenschützen, Dragonball, Attentäter und den Drachen"/>
    <m/>
    <s v="Settsu"/>
    <m/>
    <s v="Stärkste Angriff und passt perfekt zu meinem Deck"/>
    <m/>
    <s v="Master"/>
    <m/>
    <s v="200-1000"/>
    <m/>
    <x v="267"/>
    <m/>
    <s v="5-6 times a week"/>
    <m/>
    <s v="Neither"/>
    <m/>
    <s v="Male"/>
    <m/>
    <s v="26-35"/>
    <m/>
    <x v="1"/>
    <m/>
    <s v="Germany"/>
    <m/>
  </r>
  <r>
    <d v="2018-11-14T16:49:11"/>
    <s v="Gameplay, Graphics, Collecting Cards/Masters"/>
    <s v="Solo, Duo, Premade Duo, Draft, Expeditions, Mayhem Solo"/>
    <s v="Emotes"/>
    <s v="Yes"/>
    <s v="getting cards"/>
    <s v="Yes"/>
    <s v="Divine Warrior, Combustion, Fire Imp, Magma Storm, Troubadur"/>
    <m/>
    <s v="Ravager"/>
    <m/>
    <s v="i like perks he have"/>
    <m/>
    <s v="Master"/>
    <m/>
    <s v="100-200"/>
    <m/>
    <x v="268"/>
    <m/>
    <s v="Daily"/>
    <m/>
    <s v="Watch"/>
    <m/>
    <s v="Male"/>
    <m/>
    <s v="26-35"/>
    <m/>
    <x v="0"/>
    <m/>
    <s v="Norway"/>
    <m/>
  </r>
  <r>
    <d v="2018-11-14T16:51:48"/>
    <s v="Gameplay, Graphics, Collecting Cards/Masters"/>
    <s v="Premade Duo"/>
    <s v="Master Skins, Arenas"/>
    <s v="Yes"/>
    <s v="Just to get me started "/>
    <s v="Yes"/>
    <s v="Harbinger, Cleaver, Succubus, Living statue, Crossbow guild"/>
    <m/>
    <s v="Stormbringer"/>
    <m/>
    <s v="The abilities mesh well with the cards i have"/>
    <m/>
    <s v="Silver"/>
    <m/>
    <s v="5-25"/>
    <m/>
    <x v="269"/>
    <m/>
    <s v="Daily"/>
    <m/>
    <s v="Stream"/>
    <m/>
    <s v="Male"/>
    <m/>
    <s v="19-25"/>
    <m/>
    <x v="1"/>
    <m/>
    <s v="United Kingdom"/>
    <m/>
  </r>
  <r>
    <d v="2018-11-14T16:52:25"/>
    <s v="Gameplay, Collecting Cards/Masters, Competitions/Tournaments"/>
    <s v="Duo, Premade Duo"/>
    <s v="Master Skins, Arenas, Emotes, Avatars"/>
    <s v="Yes"/>
    <s v="Beginner Pack and Skins / Masters"/>
    <s v="Yes"/>
    <m/>
    <m/>
    <s v="Milloween"/>
    <m/>
    <m/>
    <m/>
    <s v="Gold"/>
    <m/>
    <s v="5-25"/>
    <m/>
    <x v="4"/>
    <m/>
    <s v="5-6 times a week"/>
    <m/>
    <s v="Watch"/>
    <m/>
    <s v="Male"/>
    <m/>
    <s v="26-35"/>
    <m/>
    <x v="0"/>
    <m/>
    <s v="Germany"/>
    <m/>
  </r>
  <r>
    <d v="2018-11-14T16:52:28"/>
    <s v="All Of The Above"/>
    <s v="Solo, Premade Duo, Mayhem Solo"/>
    <s v="Arenas"/>
    <s v="No"/>
    <m/>
    <s v="I've not made a purchase"/>
    <s v="No, because I don’t have favourites"/>
    <m/>
    <s v="Volco"/>
    <m/>
    <s v="Burn The Bridges is really useful."/>
    <m/>
    <s v="Bronze"/>
    <m/>
    <s v="5-25"/>
    <m/>
    <x v="270"/>
    <m/>
    <s v="3-4 times a week"/>
    <m/>
    <s v="Watch"/>
    <m/>
    <s v="Male"/>
    <m/>
    <s v="I prefer not to say"/>
    <m/>
    <x v="1"/>
    <m/>
    <s v="USA"/>
    <m/>
  </r>
  <r>
    <d v="2018-11-14T16:52:35"/>
    <s v="All Of The Above"/>
    <s v="Solo, Premade Duo, Mayhem Solo"/>
    <s v="Arenas"/>
    <s v="No"/>
    <m/>
    <s v="I've not made a purchase"/>
    <s v="No, because I don’t have favourites"/>
    <m/>
    <s v="Volco"/>
    <m/>
    <s v="Burn The Bridges is really useful."/>
    <m/>
    <s v="Bronze"/>
    <m/>
    <s v="5-25"/>
    <m/>
    <x v="270"/>
    <m/>
    <s v="3-4 times a week"/>
    <m/>
    <s v="Watch"/>
    <m/>
    <s v="Male"/>
    <m/>
    <s v="I prefer not to say"/>
    <m/>
    <x v="1"/>
    <m/>
    <s v="USA"/>
    <m/>
  </r>
  <r>
    <d v="2018-11-14T16:53:32"/>
    <s v="Competitions/Tournaments"/>
    <s v="Duo"/>
    <s v="Arenas"/>
    <s v="Yes"/>
    <s v="Seasen pass and more..."/>
    <s v="No"/>
    <m/>
    <m/>
    <s v="Volco"/>
    <m/>
    <s v="He can defend him selves and attacks the tower of the Enemy."/>
    <m/>
    <s v="Platinum"/>
    <m/>
    <s v="5-25"/>
    <m/>
    <x v="4"/>
    <m/>
    <m/>
    <m/>
    <s v="Watch, Stream"/>
    <m/>
    <s v="Male"/>
    <m/>
    <s v="19-25"/>
    <m/>
    <x v="2"/>
    <m/>
    <s v="Germany"/>
    <m/>
  </r>
  <r>
    <d v="2018-11-14T16:54:05"/>
    <s v="Gameplay, Graphics, Collecting Cards/Masters"/>
    <s v="Solo, Duo"/>
    <s v="Master Skins"/>
    <s v="No"/>
    <m/>
    <s v="I've not made a purchase"/>
    <m/>
    <m/>
    <s v="Milloween"/>
    <m/>
    <s v="She’s the most feminine so most relatable"/>
    <m/>
    <s v="Stone"/>
    <m/>
    <s v="0-5"/>
    <m/>
    <x v="271"/>
    <m/>
    <s v="3-4 times a week"/>
    <m/>
    <s v="Watch"/>
    <m/>
    <s v="Female"/>
    <m/>
    <s v="14-18"/>
    <m/>
    <x v="1"/>
    <m/>
    <s v="United Kingdom"/>
    <m/>
  </r>
  <r>
    <d v="2018-11-14T16:55:38"/>
    <s v="Gameplay, Collecting Cards/Masters"/>
    <s v="Premade Duo, Expeditions"/>
    <s v="Arenas"/>
    <s v="No"/>
    <m/>
    <s v="I've not made a purchase"/>
    <m/>
    <m/>
    <s v="Milloween"/>
    <m/>
    <m/>
    <m/>
    <s v="Gold"/>
    <m/>
    <s v="5-25"/>
    <m/>
    <x v="4"/>
    <m/>
    <s v="Daily"/>
    <m/>
    <s v="Neither"/>
    <m/>
    <s v="Male"/>
    <m/>
    <s v="19-25"/>
    <m/>
    <x v="3"/>
    <m/>
    <s v="I prefer not to say"/>
    <m/>
  </r>
  <r>
    <d v="2018-11-14T16:55:47"/>
    <s v="Gameplay, Graphics, Collecting Cards/Masters"/>
    <s v="Solo, Premade Duo, Draft"/>
    <s v="Emotes"/>
    <s v="No"/>
    <m/>
    <s v="I've not made a purchase"/>
    <s v="Colossus, Infiltration, Shock Rock, Dragonball, Wizard Puff"/>
    <m/>
    <s v="Mordar"/>
    <m/>
    <s v="Good synergy with Colossus"/>
    <m/>
    <s v="Master"/>
    <m/>
    <s v="200-1000"/>
    <m/>
    <x v="272"/>
    <m/>
    <s v="Daily"/>
    <m/>
    <s v="Watch"/>
    <m/>
    <s v="Male"/>
    <m/>
    <s v="26-35"/>
    <m/>
    <x v="0"/>
    <m/>
    <s v="Estonia"/>
    <m/>
  </r>
  <r>
    <d v="2018-11-14T16:57:23"/>
    <s v="Gameplay, Collecting Cards/Masters"/>
    <s v="Solo, Premade Duo"/>
    <s v="Arenas"/>
    <s v="No"/>
    <m/>
    <s v="I've not made a purchase"/>
    <m/>
    <m/>
    <s v="Stormbringer"/>
    <m/>
    <m/>
    <m/>
    <m/>
    <m/>
    <s v="5-25"/>
    <m/>
    <x v="273"/>
    <m/>
    <s v="Daily"/>
    <m/>
    <s v="Watch"/>
    <m/>
    <s v="Male"/>
    <m/>
    <s v="19-25"/>
    <m/>
    <x v="0"/>
    <m/>
    <s v="USA"/>
    <m/>
  </r>
  <r>
    <d v="2018-11-14T16:57:53"/>
    <s v="Gameplay"/>
    <s v="Premade Duo"/>
    <m/>
    <s v="No"/>
    <m/>
    <s v="I've not made a purchase"/>
    <s v="1-Soirée fromage  2-rôdeur   3-horde à hélice  4-défenseur   5-rocher choquant"/>
    <m/>
    <s v="Ratbo"/>
    <m/>
    <s v="Scrat is life!"/>
    <m/>
    <s v="Bronze"/>
    <m/>
    <s v="5-25"/>
    <m/>
    <x v="274"/>
    <m/>
    <s v="Daily"/>
    <m/>
    <s v="Neither"/>
    <m/>
    <s v="Male"/>
    <m/>
    <s v="14-18"/>
    <m/>
    <x v="1"/>
    <m/>
    <s v="France"/>
    <m/>
  </r>
  <r>
    <d v="2018-11-14T16:58:15"/>
    <s v="Gameplay, Collecting Cards/Masters"/>
    <s v="Premade Duo, Expeditions"/>
    <s v="Avatars"/>
    <s v="No"/>
    <m/>
    <s v="I've not made a purchase"/>
    <m/>
    <m/>
    <s v="Apep"/>
    <m/>
    <m/>
    <m/>
    <s v="Gold"/>
    <m/>
    <s v="5-25"/>
    <m/>
    <x v="275"/>
    <m/>
    <s v="3-4 times a week"/>
    <m/>
    <s v="Watch"/>
    <m/>
    <s v="Male"/>
    <m/>
    <s v="19-25"/>
    <m/>
    <x v="0"/>
    <m/>
    <s v="Russia"/>
    <m/>
  </r>
  <r>
    <d v="2018-11-14T16:58:52"/>
    <s v="Gameplay"/>
    <s v="Premade Duo, Draft, Expeditions"/>
    <s v="Arenas"/>
    <s v="Yes"/>
    <s v="buying the season pass, looked like great value"/>
    <s v="Yes"/>
    <s v="Yes I can: 1) Harbinger 2) Plasma Marines 3) Chain Lighting 4) Sniper Squad 5) Swarmer Totem"/>
    <m/>
    <s v="Stormbringer"/>
    <m/>
    <s v="Because he synergizes well with ranged units. Also Stormbringer punishes passive playstyles by opponents, as he is pretty much a win-more master"/>
    <m/>
    <s v="Master"/>
    <m/>
    <s v="25-100"/>
    <m/>
    <x v="276"/>
    <m/>
    <s v="Daily"/>
    <m/>
    <s v="Neither"/>
    <m/>
    <s v="Male"/>
    <m/>
    <s v="19-25"/>
    <m/>
    <x v="0"/>
    <m/>
    <s v="Austria"/>
    <m/>
  </r>
  <r>
    <d v="2018-11-14T16:59:08"/>
    <s v="Gameplay"/>
    <s v="Duo, Premade Duo, Draft, Expeditions"/>
    <s v="Master Skins, Arenas, Emotes"/>
    <s v="Yes"/>
    <s v="Shop offer"/>
    <s v="Yes"/>
    <m/>
    <m/>
    <s v="Volco"/>
    <m/>
    <m/>
    <m/>
    <s v="Master"/>
    <m/>
    <s v="200-1000"/>
    <m/>
    <x v="277"/>
    <m/>
    <s v="5-6 times a week"/>
    <m/>
    <s v="Watch"/>
    <m/>
    <s v="Male"/>
    <m/>
    <s v="19-25"/>
    <m/>
    <x v="0"/>
    <m/>
    <s v="Denmark"/>
    <m/>
  </r>
  <r>
    <d v="2018-11-14T16:59:42"/>
    <s v="Gameplay"/>
    <s v="Duo"/>
    <s v="Emotes"/>
    <s v="No"/>
    <m/>
    <s v="I've not made a purchase"/>
    <s v="Not quite. All the snipers."/>
    <m/>
    <s v="Stormbringer"/>
    <m/>
    <s v="Snipers."/>
    <m/>
    <s v="Gold"/>
    <m/>
    <s v="25-100"/>
    <m/>
    <x v="278"/>
    <m/>
    <s v="Daily"/>
    <m/>
    <s v="Watch"/>
    <m/>
    <s v="Male"/>
    <m/>
    <s v="19-25"/>
    <m/>
    <x v="0"/>
    <m/>
    <s v="USA"/>
    <m/>
  </r>
  <r>
    <d v="2018-11-14T16:59:59"/>
    <s v="Gameplay"/>
    <s v="Premade Duo"/>
    <s v="Arenas"/>
    <s v="No"/>
    <m/>
    <s v="I've not made a purchase"/>
    <s v="dragon for 3, rambo, statue, sukubus, angle"/>
    <m/>
    <s v="Ravager"/>
    <m/>
    <s v="because of brutus"/>
    <m/>
    <s v="Diamond"/>
    <m/>
    <s v="5-25"/>
    <m/>
    <x v="279"/>
    <m/>
    <s v="5-6 times a week"/>
    <m/>
    <s v="Stream"/>
    <m/>
    <s v="Male"/>
    <m/>
    <s v="19-25"/>
    <m/>
    <x v="0"/>
    <m/>
    <s v="Austria"/>
    <m/>
  </r>
  <r>
    <d v="2018-11-14T17:00:29"/>
    <s v="Gameplay, Competitions/Tournaments"/>
    <s v="Duo"/>
    <s v="Master Skins"/>
    <s v="No"/>
    <m/>
    <s v="I've not made a purchase"/>
    <m/>
    <m/>
    <s v="King Puff"/>
    <m/>
    <m/>
    <m/>
    <s v="Platinum"/>
    <m/>
    <s v="25-100"/>
    <m/>
    <x v="4"/>
    <m/>
    <s v="5-6 times a week"/>
    <m/>
    <s v="Neither"/>
    <m/>
    <s v="Male"/>
    <m/>
    <s v="19-25"/>
    <m/>
    <x v="0"/>
    <m/>
    <s v="I prefer not to say"/>
    <m/>
  </r>
  <r>
    <d v="2018-11-14T17:02:49"/>
    <s v="Gameplay, Graphics, Collecting Cards/Masters"/>
    <s v="Solo, Duo"/>
    <s v="Master Skins, Arenas"/>
    <s v="No"/>
    <s v="I will spend probably, i just started this game"/>
    <s v="I've not made a purchase"/>
    <m/>
    <m/>
    <s v="Stormbringer"/>
    <m/>
    <s v="easy strat"/>
    <m/>
    <s v="Silver"/>
    <m/>
    <s v="0-5"/>
    <m/>
    <x v="280"/>
    <m/>
    <s v="5-6 times a week"/>
    <m/>
    <s v="Watch"/>
    <m/>
    <s v="Male"/>
    <m/>
    <s v="26-35"/>
    <m/>
    <x v="0"/>
    <m/>
    <s v="Lithuania"/>
    <m/>
  </r>
  <r>
    <d v="2018-11-14T17:03:15"/>
    <s v="Gameplay"/>
    <s v="Solo"/>
    <s v="Arenas"/>
    <s v="No"/>
    <m/>
    <s v="I've not made a purchase"/>
    <s v="Not really"/>
    <m/>
    <s v="Apep"/>
    <m/>
    <s v="Because his talents are good for both flooding and defending"/>
    <m/>
    <s v="Gold"/>
    <m/>
    <s v="5-25"/>
    <m/>
    <x v="281"/>
    <m/>
    <s v="3-4 times a week"/>
    <m/>
    <s v="Watch"/>
    <m/>
    <s v="Male"/>
    <m/>
    <s v="14-18"/>
    <m/>
    <x v="1"/>
    <m/>
    <s v="I prefer not to say"/>
    <m/>
  </r>
  <r>
    <d v="2018-11-14T17:06:37"/>
    <s v="Gameplay, Graphics, Collecting Cards/Masters, Meaningful Strategy/Tactics"/>
    <s v="Solo, Premade Duo"/>
    <s v="Master Skins, Arenas"/>
    <s v="No"/>
    <m/>
    <s v="I've not made a purchase"/>
    <s v="Scrat Tank, Defenso Chopper, Assassin, Undying Skeleton, Infiltration"/>
    <m/>
    <s v="Stormbringer"/>
    <m/>
    <s v="I value his full arena range."/>
    <m/>
    <s v="Silver"/>
    <m/>
    <s v="100-200"/>
    <m/>
    <x v="282"/>
    <m/>
    <s v="Daily"/>
    <m/>
    <s v="Neither"/>
    <m/>
    <s v="Male"/>
    <m/>
    <s v="over 36"/>
    <m/>
    <x v="2"/>
    <m/>
    <s v="USA"/>
    <m/>
  </r>
  <r>
    <d v="2018-11-14T17:08:03"/>
    <s v="Collecting Cards/Masters"/>
    <s v="Duo"/>
    <s v="Arenas"/>
    <s v="No"/>
    <m/>
    <s v="I've not made a purchase"/>
    <s v="Armored_Scrats Annihilator Scrat_Tank Cannon_Roller Prowler"/>
    <m/>
    <s v="Apep"/>
    <m/>
    <s v="I always had the bad habit of spending too much manna and then not being able to summon anything, this Master Helps me with that! :)"/>
    <m/>
    <s v="Gold"/>
    <m/>
    <s v="25-100"/>
    <m/>
    <x v="283"/>
    <m/>
    <s v="Daily"/>
    <m/>
    <s v="Neither"/>
    <m/>
    <s v="Male"/>
    <m/>
    <s v="14-18"/>
    <m/>
    <x v="1"/>
    <m/>
    <s v="Hungary"/>
    <m/>
  </r>
  <r>
    <d v="2018-11-14T17:08:38"/>
    <s v="Gameplay"/>
    <s v="Solo"/>
    <s v="Master Skins"/>
    <s v="No"/>
    <s v="Cards"/>
    <s v="I've not made a purchase"/>
    <m/>
    <m/>
    <s v="Stormbringer"/>
    <m/>
    <m/>
    <m/>
    <m/>
    <m/>
    <m/>
    <m/>
    <x v="4"/>
    <m/>
    <m/>
    <m/>
    <m/>
    <m/>
    <m/>
    <m/>
    <m/>
    <m/>
    <x v="2"/>
    <m/>
    <s v="I prefer not to say"/>
    <m/>
  </r>
  <r>
    <d v="2018-11-14T17:09:02"/>
    <s v="Gameplay, Graphics"/>
    <s v="Duo, Expeditions"/>
    <s v="Arenas"/>
    <s v="No"/>
    <m/>
    <s v="I've not made a purchase"/>
    <m/>
    <m/>
    <s v="Stormbringer"/>
    <m/>
    <s v="Anti-Air with global range"/>
    <m/>
    <s v="Gold"/>
    <m/>
    <s v="5-25"/>
    <m/>
    <x v="284"/>
    <m/>
    <s v="Daily"/>
    <m/>
    <s v="Watch, Stream"/>
    <m/>
    <s v="Male"/>
    <m/>
    <s v="14-18"/>
    <m/>
    <x v="1"/>
    <m/>
    <s v="Brazil"/>
    <m/>
  </r>
  <r>
    <d v="2018-11-14T17:10:16"/>
    <s v="Gameplay"/>
    <s v="Duo"/>
    <s v="Master Skins, Arenas"/>
    <s v="No"/>
    <m/>
    <s v="I've not made a purchase"/>
    <s v="Succubus, Scrat Horde, Swarmers, Undying Skeleton, Mana Puff Madness"/>
    <m/>
    <s v="Ravager"/>
    <m/>
    <s v="Because I like him the most."/>
    <m/>
    <s v="Master"/>
    <m/>
    <s v="200-1000"/>
    <m/>
    <x v="285"/>
    <m/>
    <s v="5-6 times a week"/>
    <m/>
    <s v="Watch"/>
    <m/>
    <s v="Male"/>
    <m/>
    <s v="over 36"/>
    <m/>
    <x v="3"/>
    <m/>
    <s v="USA"/>
    <m/>
  </r>
  <r>
    <d v="2018-11-14T17:10:32"/>
    <s v="Gameplay, puffs"/>
    <s v="Solo"/>
    <s v="Master Skins"/>
    <s v="No"/>
    <m/>
    <s v="I've not made a purchase"/>
    <s v="Bridge shrine, sniper scrat, mana puff, undying calcium boi, snake druid"/>
    <m/>
    <s v="Mordar"/>
    <m/>
    <s v="giant aoe op"/>
    <m/>
    <s v="Grandmaster"/>
    <m/>
    <s v="200-1000"/>
    <m/>
    <x v="286"/>
    <m/>
    <s v="Daily"/>
    <m/>
    <s v="Neither"/>
    <m/>
    <s v="Male"/>
    <m/>
    <s v="19-25"/>
    <m/>
    <x v="1"/>
    <m/>
    <s v="Lithuania"/>
    <m/>
  </r>
  <r>
    <d v="2018-11-14T17:11:16"/>
    <s v="Gameplay"/>
    <s v="Premade Duo"/>
    <s v="Master Skins"/>
    <s v="No"/>
    <m/>
    <s v="I've not made a purchase"/>
    <s v="no"/>
    <m/>
    <s v="King Puff"/>
    <m/>
    <m/>
    <m/>
    <s v="Master"/>
    <m/>
    <s v="100-200"/>
    <m/>
    <x v="4"/>
    <m/>
    <s v="5-6 times a week"/>
    <m/>
    <s v="Neither"/>
    <m/>
    <s v="I prefer not to say"/>
    <m/>
    <s v="I prefer not to say"/>
    <m/>
    <x v="1"/>
    <m/>
    <s v="I prefer not to say"/>
    <m/>
  </r>
  <r>
    <d v="2018-11-14T17:12:10"/>
    <s v="Gameplay, Collecting Cards/Masters"/>
    <s v="Solo, Premade Duo, Expeditions"/>
    <m/>
    <s v="Yes"/>
    <s v="Offers"/>
    <s v="Yes"/>
    <s v="Troubadour, Cleaver, Harbinger, Succubus, Wheel of Doom"/>
    <m/>
    <s v="Settsu"/>
    <m/>
    <s v="Mostly Aesthetic "/>
    <m/>
    <s v="Gold"/>
    <m/>
    <s v="5-25"/>
    <m/>
    <x v="287"/>
    <m/>
    <s v="3-4 times a week"/>
    <m/>
    <s v="Watch"/>
    <m/>
    <s v="Male"/>
    <m/>
    <s v="26-35"/>
    <m/>
    <x v="0"/>
    <m/>
    <s v="USA"/>
    <m/>
  </r>
  <r>
    <d v="2018-11-14T17:13:16"/>
    <s v="Gameplay, Graphics, Collecting Cards/Masters, Competitions/Tournaments, Crafting system"/>
    <s v="Duo"/>
    <s v="Master Skins"/>
    <s v="Yes"/>
    <s v="seson pass"/>
    <s v="Yes"/>
    <s v="not today ;v"/>
    <m/>
    <s v="Milloween"/>
    <m/>
    <s v="&quot;Milloween here&quot; XD"/>
    <m/>
    <s v="Gold"/>
    <m/>
    <s v="25-100"/>
    <m/>
    <x v="288"/>
    <m/>
    <s v="Daily"/>
    <m/>
    <s v="Neither"/>
    <m/>
    <s v="Male"/>
    <m/>
    <s v="19-25"/>
    <m/>
    <x v="0"/>
    <m/>
    <s v="Poland"/>
    <m/>
  </r>
  <r>
    <d v="2018-11-14T17:13:27"/>
    <s v="Gameplay, Graphics, Collecting Cards/Masters, community"/>
    <s v="Solo, Premade Duo"/>
    <s v="Master Skins, Arenas, Emotes"/>
    <s v="Yes"/>
    <s v="skins , battle pass"/>
    <s v="Yes"/>
    <s v="(sorry for bad spelling) commander azali , prowler , rabid prowler,  crystal construct , dragon ball"/>
    <m/>
    <s v="Ratbo"/>
    <m/>
    <s v="looked cool, but then i found he played well with my deck"/>
    <m/>
    <s v="Platinum"/>
    <m/>
    <s v="100-200"/>
    <m/>
    <x v="289"/>
    <m/>
    <s v="Daily"/>
    <m/>
    <s v="Watch, Stream"/>
    <m/>
    <s v="Male"/>
    <m/>
    <s v="14-18"/>
    <m/>
    <x v="1"/>
    <m/>
    <s v="United Kingdom"/>
    <m/>
  </r>
  <r>
    <d v="2018-11-14T17:13:45"/>
    <s v="Gameplay"/>
    <s v="Duo, Expeditions"/>
    <s v="Arenas"/>
    <s v="Yes"/>
    <s v="Begginers pack"/>
    <s v="Yes"/>
    <m/>
    <m/>
    <s v="Volco"/>
    <m/>
    <s v="Play style - rush units"/>
    <m/>
    <s v="Platinum"/>
    <m/>
    <s v="5-25"/>
    <m/>
    <x v="290"/>
    <m/>
    <s v="Daily"/>
    <m/>
    <s v="Neither"/>
    <m/>
    <s v="Male"/>
    <m/>
    <s v="26-35"/>
    <m/>
    <x v="0"/>
    <m/>
    <s v="Brazil"/>
    <m/>
  </r>
  <r>
    <d v="2018-11-14T17:13:46"/>
    <s v="Gameplay"/>
    <s v="Duo, Expeditions"/>
    <s v="Arenas, Avatars"/>
    <s v="No"/>
    <m/>
    <s v="I've not made a purchase"/>
    <m/>
    <m/>
    <s v="Stormbringer"/>
    <m/>
    <s v="His range"/>
    <m/>
    <s v="Stone"/>
    <m/>
    <s v="0-5"/>
    <m/>
    <x v="291"/>
    <m/>
    <s v="Daily"/>
    <m/>
    <s v="Watch"/>
    <m/>
    <s v="Female"/>
    <m/>
    <s v="14-18"/>
    <m/>
    <x v="2"/>
    <m/>
    <s v="USA"/>
    <m/>
  </r>
  <r>
    <d v="2018-11-14T17:14:22"/>
    <s v="Gameplay, Graphics, Collecting Cards/Masters"/>
    <s v="Solo, Duo, Premade Duo"/>
    <s v="Arenas"/>
    <s v="No"/>
    <m/>
    <s v="I've not made a purchase"/>
    <s v="Not really, but my favourite card is Last Stand(7) - it's just awesome."/>
    <m/>
    <s v="King Puff"/>
    <m/>
    <s v="It was free on weekly so I tried him and I got to like his abilities - Trick Swap is quite useful, if not sometimes gamechanging; the second ability(can't remember the name) bolsters troops up and the last ability can save you at desperate times."/>
    <m/>
    <s v="Silver"/>
    <m/>
    <s v="5-25"/>
    <m/>
    <x v="292"/>
    <m/>
    <s v="5-6 times a week"/>
    <m/>
    <s v="Watch"/>
    <m/>
    <s v="Male"/>
    <m/>
    <s v="14-18"/>
    <m/>
    <x v="1"/>
    <m/>
    <s v="Latvia"/>
    <m/>
  </r>
  <r>
    <d v="2018-11-14T17:14:50"/>
    <s v="Gameplay, Collecting Cards/Masters"/>
    <s v="Premade Duo"/>
    <s v="Master Skins, Arenas"/>
    <s v="Yes"/>
    <s v="Starter bundle to buy the battle pass :)"/>
    <s v="Yes"/>
    <s v="Lord-Sentinel Thelec (even tho he's bad), Ghost, Crystal Archers, Armored Escort and Assassin"/>
    <m/>
    <s v="Milloween"/>
    <m/>
    <s v="Playing with spells is fun. "/>
    <m/>
    <s v="Master"/>
    <m/>
    <s v="25-100"/>
    <m/>
    <x v="4"/>
    <m/>
    <s v="Daily"/>
    <m/>
    <s v="Watch"/>
    <m/>
    <s v="Male"/>
    <m/>
    <s v="19-25"/>
    <m/>
    <x v="2"/>
    <m/>
    <s v="Canada"/>
    <m/>
  </r>
  <r>
    <d v="2018-11-14T17:17:26"/>
    <s v="Gameplay"/>
    <s v="Premade Duo"/>
    <s v="Master Skins"/>
    <s v="No"/>
    <m/>
    <s v="I've not made a purchase"/>
    <s v="crossbow dudes"/>
    <m/>
    <s v="Stormbringer"/>
    <m/>
    <s v="he op"/>
    <m/>
    <s v="Silver"/>
    <m/>
    <s v="5-25"/>
    <m/>
    <x v="293"/>
    <m/>
    <s v="5-6 times a week"/>
    <m/>
    <s v="Watch"/>
    <m/>
    <s v="Male"/>
    <m/>
    <s v="26-35"/>
    <m/>
    <x v="0"/>
    <m/>
    <s v="USA"/>
    <m/>
  </r>
  <r>
    <d v="2018-11-14T17:18:15"/>
    <s v="Gameplay, Collecting Cards/Masters, Skins and other aesthetics"/>
    <s v="Solo"/>
    <s v="Master Skins"/>
    <s v="No"/>
    <m/>
    <s v="I've not made a purchase"/>
    <m/>
    <m/>
    <s v="Milloween"/>
    <m/>
    <s v="Really like Arcane Golem"/>
    <m/>
    <s v="Gold"/>
    <m/>
    <s v="100-200"/>
    <m/>
    <x v="294"/>
    <m/>
    <s v="3-4 times a week"/>
    <m/>
    <s v="Neither"/>
    <m/>
    <s v="Male"/>
    <m/>
    <s v="26-35"/>
    <m/>
    <x v="1"/>
    <m/>
    <s v="Italy"/>
    <m/>
  </r>
  <r>
    <d v="2018-11-14T17:19:53"/>
    <s v="Gameplay, Collecting Cards/Masters"/>
    <s v="Premade Duo, Draft, Mayhem Duo"/>
    <s v="Master Skins, Emotes, Avatars"/>
    <s v="Yes"/>
    <s v="To buy a battlepass "/>
    <s v="No"/>
    <s v="(OLD HARBRINGER) StunBlast, Stun Lancers, Colassus, Spirit Mancer, Spirit Infusion"/>
    <m/>
    <s v="Mordar"/>
    <m/>
    <s v="OG "/>
    <m/>
    <s v="Grandmaster"/>
    <m/>
    <s v="200-1000"/>
    <m/>
    <x v="295"/>
    <m/>
    <s v="Daily"/>
    <m/>
    <s v="Watch, Stream"/>
    <m/>
    <s v="Male"/>
    <m/>
    <s v="19-25"/>
    <m/>
    <x v="1"/>
    <m/>
    <s v="USA"/>
    <m/>
  </r>
  <r>
    <d v="2018-11-14T17:21:29"/>
    <s v="Gameplay"/>
    <s v="Premade Duo"/>
    <m/>
    <s v="No"/>
    <m/>
    <s v="I've not made a purchase"/>
    <m/>
    <m/>
    <m/>
    <m/>
    <m/>
    <m/>
    <s v="Gold"/>
    <m/>
    <s v="0-5"/>
    <m/>
    <x v="296"/>
    <m/>
    <s v="Daily"/>
    <m/>
    <s v="Neither"/>
    <m/>
    <s v="Male"/>
    <m/>
    <s v="19-25"/>
    <m/>
    <x v="1"/>
    <m/>
    <s v="France"/>
    <m/>
  </r>
  <r>
    <d v="2018-11-14T17:22:15"/>
    <s v="Gameplay"/>
    <s v="Duo"/>
    <s v="Master Skins, Arenas"/>
    <s v="No"/>
    <m/>
    <s v="I've not made a purchase"/>
    <m/>
    <m/>
    <s v="Apep"/>
    <m/>
    <s v="generates free minions"/>
    <m/>
    <s v="Gold"/>
    <m/>
    <s v="5-25"/>
    <m/>
    <x v="297"/>
    <m/>
    <s v="Daily"/>
    <m/>
    <s v="Watch, Stream"/>
    <m/>
    <s v="Male"/>
    <m/>
    <s v="19-25"/>
    <m/>
    <x v="1"/>
    <m/>
    <s v="USA"/>
    <m/>
  </r>
  <r>
    <d v="2018-11-14T17:23:16"/>
    <s v="Gameplay"/>
    <s v="Draft, Mayhem Solo"/>
    <s v="Master Skins, Arenas"/>
    <s v="Yes"/>
    <s v="Skins/Arenas/Battlepass "/>
    <s v="Yes"/>
    <s v="Succubus, Priestess, Dragon Ball, Blastmancer and Undying Skeleton"/>
    <m/>
    <s v="Mordar"/>
    <m/>
    <s v="I love the Tombstone/Undying Skeleton combo. Worked great with ReBoomer too until you nerfed it XD "/>
    <m/>
    <s v="Diamond"/>
    <m/>
    <s v="200-1000"/>
    <m/>
    <x v="298"/>
    <m/>
    <s v="Daily"/>
    <m/>
    <s v="Neither"/>
    <m/>
    <s v="Male"/>
    <m/>
    <s v="over 36"/>
    <m/>
    <x v="3"/>
    <m/>
    <s v="United Kingdom"/>
    <m/>
  </r>
  <r>
    <d v="2018-11-14T17:23:34"/>
    <s v="Gameplay, Graphics, Collecting Cards/Masters, Crafting system, Multiplayer"/>
    <s v="Duo, Premade Duo, Expeditions, Mayhem Duo"/>
    <s v="Arenas, Emotes, Avatars"/>
    <s v="No"/>
    <m/>
    <s v="I've not made a purchase"/>
    <s v="Cheese Date, Swarmer Totem, Crossbow Guild, Beam of Doom, Scott the Sensitive Savage"/>
    <m/>
    <s v="Ravager"/>
    <m/>
    <s v="Because he summons Brutus, which is a great time to push."/>
    <m/>
    <s v="Gold"/>
    <m/>
    <s v="25-100"/>
    <m/>
    <x v="299"/>
    <m/>
    <s v="Daily"/>
    <m/>
    <s v="Watch, Stream"/>
    <m/>
    <s v="Male"/>
    <m/>
    <s v="19-25"/>
    <m/>
    <x v="0"/>
    <m/>
    <s v="USA"/>
    <m/>
  </r>
  <r>
    <d v="2018-11-14T17:24:13"/>
    <s v="Gameplay"/>
    <s v="Premade Duo"/>
    <s v="Arenas"/>
    <s v="Yes"/>
    <s v="TO BUY MORE PACKS"/>
    <s v="Yes"/>
    <m/>
    <m/>
    <s v="King Puff"/>
    <m/>
    <m/>
    <m/>
    <s v="Platinum"/>
    <m/>
    <s v="25-100"/>
    <m/>
    <x v="16"/>
    <m/>
    <s v="1-2 times a week"/>
    <m/>
    <s v="Neither"/>
    <m/>
    <s v="Male"/>
    <m/>
    <s v="19-25"/>
    <m/>
    <x v="3"/>
    <m/>
    <s v="Denmark"/>
    <m/>
  </r>
  <r>
    <d v="2018-11-14T17:24:24"/>
    <s v="Gameplay, Collecting Cards/Masters"/>
    <s v="Solo, Duo"/>
    <s v="Master Skins"/>
    <s v="Yes"/>
    <s v="To buy skins, few masters and some deals."/>
    <s v="Yes"/>
    <s v="Soul Stealer, Defenso Chopper, Rammer, Xiao Long, Divine Warrior."/>
    <m/>
    <s v="King Puff"/>
    <m/>
    <s v="Cute design, interesting perks."/>
    <m/>
    <s v="Platinum"/>
    <m/>
    <s v="25-100"/>
    <m/>
    <x v="300"/>
    <m/>
    <s v="Daily"/>
    <m/>
    <s v="Watch"/>
    <m/>
    <s v="Male"/>
    <m/>
    <s v="26-35"/>
    <m/>
    <x v="0"/>
    <m/>
    <s v="France"/>
    <m/>
  </r>
  <r>
    <d v="2018-11-14T17:24:44"/>
    <s v="Gameplay"/>
    <s v="Duo"/>
    <m/>
    <s v="No"/>
    <m/>
    <s v="Yes"/>
    <m/>
    <m/>
    <s v="Ratbo"/>
    <m/>
    <m/>
    <m/>
    <s v="Grandmaster"/>
    <m/>
    <s v="200-1000"/>
    <m/>
    <x v="4"/>
    <m/>
    <s v="5-6 times a week"/>
    <m/>
    <s v="Watch"/>
    <m/>
    <m/>
    <m/>
    <s v="26-35"/>
    <m/>
    <x v="2"/>
    <m/>
    <s v="I prefer not to say"/>
    <m/>
  </r>
  <r>
    <d v="2018-11-14T17:25:25"/>
    <s v="Gameplay"/>
    <s v="Duo, Premade Duo, Draft"/>
    <s v="Emotes"/>
    <s v="Yes"/>
    <s v="I purchased premium so I guess that counts as buying rubies"/>
    <s v="Yes"/>
    <s v="Colossus, Cursebearer, Blackhole, Shock rock, Fire imp"/>
    <m/>
    <s v="Apep"/>
    <m/>
    <s v="He has great card cycle and immunity whenever you want it"/>
    <m/>
    <s v="Grandmaster"/>
    <m/>
    <s v="200-1000"/>
    <m/>
    <x v="301"/>
    <m/>
    <s v="Daily"/>
    <m/>
    <s v="Watch, Stream"/>
    <m/>
    <s v="Male"/>
    <m/>
    <s v="26-35"/>
    <m/>
    <x v="0"/>
    <m/>
    <s v="USA"/>
    <m/>
  </r>
  <r>
    <d v="2018-11-14T17:25:42"/>
    <s v="Gameplay"/>
    <s v="Duo, Premade Duo, Expeditions"/>
    <s v="Emotes"/>
    <s v="No"/>
    <m/>
    <s v="I've not made a purchase"/>
    <s v="Banner Man, Mana Surge cards, Musketeer, Incubus, daggers"/>
    <m/>
    <s v="Volco"/>
    <m/>
    <s v="Cause it feels like I have additional control and objectives throughout the match, unlike a fixed master such as Stormbringer."/>
    <m/>
    <s v="Diamond"/>
    <m/>
    <s v="25-100"/>
    <m/>
    <x v="302"/>
    <m/>
    <s v="Daily"/>
    <m/>
    <s v="Watch"/>
    <m/>
    <s v="Male"/>
    <m/>
    <s v="19-25"/>
    <m/>
    <x v="1"/>
    <m/>
    <s v="The Netherlands"/>
    <m/>
  </r>
  <r>
    <d v="2018-11-14T17:27:23"/>
    <s v="Gameplay, Competitions/Tournaments"/>
    <s v="Duo, Premade Duo, Draft"/>
    <s v="Arenas"/>
    <s v="No"/>
    <m/>
    <s v="I've not made a purchase"/>
    <s v="Propeller scrats - Cannon Roller - Prowler - Crystal Arcanist - Incubus"/>
    <m/>
    <s v="King Puff"/>
    <m/>
    <s v="Was the starter and I like how well rounded his attack is - I don't have to compensate with cards. Gives me more freedom in deck building I feel."/>
    <m/>
    <s v="Diamond"/>
    <m/>
    <s v="25-100"/>
    <m/>
    <x v="303"/>
    <m/>
    <s v="Daily"/>
    <m/>
    <s v="Watch"/>
    <m/>
    <s v="Male"/>
    <m/>
    <s v="26-35"/>
    <m/>
    <x v="2"/>
    <m/>
    <s v="USA"/>
    <m/>
  </r>
  <r>
    <d v="2018-11-14T17:31:53"/>
    <s v="Gameplay"/>
    <s v="Duo"/>
    <s v="Master Skins"/>
    <s v="No"/>
    <m/>
    <s v="I've not made a purchase"/>
    <s v="gemeos sharsrakk,esfera do dragao, mosqueteiro, thelec, comandante azali"/>
    <m/>
    <s v="Ravager"/>
    <m/>
    <s v="the passive frenesi affects allies in 2x2 too"/>
    <m/>
    <s v="Diamond"/>
    <m/>
    <s v="25-100"/>
    <m/>
    <x v="304"/>
    <m/>
    <s v="Daily"/>
    <m/>
    <s v="Watch"/>
    <m/>
    <s v="Male"/>
    <m/>
    <s v="19-25"/>
    <m/>
    <x v="3"/>
    <m/>
    <s v="Brazil"/>
    <m/>
  </r>
  <r>
    <d v="2018-11-14T17:32:35"/>
    <s v="Gameplay"/>
    <s v="Premade Duo"/>
    <s v="Arenas"/>
    <s v="No"/>
    <m/>
    <s v="I've not made a purchase"/>
    <s v="flightless dragons, scott the sensitive savage, incubus, succubus, cleaver"/>
    <m/>
    <s v="Ravager"/>
    <m/>
    <s v="Fun and intuitive"/>
    <m/>
    <s v="Platinum"/>
    <m/>
    <s v="5-25"/>
    <m/>
    <x v="305"/>
    <m/>
    <s v="Daily"/>
    <m/>
    <s v="Watch"/>
    <m/>
    <s v="Male"/>
    <m/>
    <s v="14-18"/>
    <m/>
    <x v="1"/>
    <m/>
    <s v="United Kingdom"/>
    <m/>
  </r>
  <r>
    <d v="2018-11-14T17:34:24"/>
    <s v="Gameplay"/>
    <s v="Solo, Premade Duo, Mayhem Solo, Mayhem Duo"/>
    <s v="Arenas"/>
    <s v="Yes"/>
    <s v="To buy more masters and battlepass"/>
    <s v="Yes"/>
    <s v="Xiao Long, Soulstealer, Fire Imp, Prowler, Chain Lightning"/>
    <m/>
    <s v="Volco"/>
    <m/>
    <s v="It fits my playstyle"/>
    <m/>
    <s v="Platinum"/>
    <m/>
    <s v="25-100"/>
    <m/>
    <x v="306"/>
    <m/>
    <s v="5-6 times a week"/>
    <m/>
    <s v="Neither"/>
    <m/>
    <s v="Male"/>
    <m/>
    <s v="19-25"/>
    <m/>
    <x v="0"/>
    <m/>
    <s v="Sweden"/>
    <m/>
  </r>
  <r>
    <d v="2018-11-14T17:34:31"/>
    <s v="Gameplay, Collecting Cards/Masters, Crafting system"/>
    <s v="Duo, Premade Duo"/>
    <s v="Avatars"/>
    <s v="Yes"/>
    <s v="battle pass"/>
    <s v="Yes"/>
    <s v="cleaver, dragon whelp, whirly scrat, brutish betrayer and incubus"/>
    <m/>
    <s v="Ravager"/>
    <m/>
    <s v="best buds"/>
    <m/>
    <s v="Gold"/>
    <m/>
    <s v="25-100"/>
    <m/>
    <x v="307"/>
    <m/>
    <s v="3-4 times a week"/>
    <m/>
    <s v="Watch, Stream"/>
    <m/>
    <s v="Male"/>
    <m/>
    <s v="19-25"/>
    <m/>
    <x v="1"/>
    <m/>
    <s v="United Kingdom"/>
    <m/>
  </r>
  <r>
    <d v="2018-11-14T17:36:03"/>
    <s v="Gameplay, Competitions/Tournaments, Play with my girlfriend"/>
    <s v="Premade Duo"/>
    <s v="Emotes"/>
    <s v="No"/>
    <m/>
    <s v="I've not made a purchase"/>
    <s v="scrat pack, fite imp, blastmancer, divine warrior, tantrum throwers"/>
    <m/>
    <s v="Milloween"/>
    <m/>
    <s v="possibility of tactics"/>
    <m/>
    <s v="Diamond"/>
    <m/>
    <s v="5-25"/>
    <m/>
    <x v="308"/>
    <m/>
    <s v="Daily"/>
    <m/>
    <s v="Watch, Stream"/>
    <m/>
    <s v="Male"/>
    <m/>
    <s v="19-25"/>
    <m/>
    <x v="3"/>
    <m/>
    <s v="France"/>
    <m/>
  </r>
  <r>
    <d v="2018-11-14T17:38:57"/>
    <s v="Gameplay"/>
    <s v="Solo, Duo, Draft"/>
    <s v="Master Skins"/>
    <s v="Yes"/>
    <s v="battle pass"/>
    <s v="Yes"/>
    <s v="sniper squad, crossbow guild, infiltration, undying skeleton, commander azali"/>
    <m/>
    <s v="Stormbringer"/>
    <m/>
    <s v="permanent autoattack is oppressive in gameplay (though brutallus op) "/>
    <m/>
    <s v="Silver"/>
    <m/>
    <s v="5-25"/>
    <m/>
    <x v="309"/>
    <m/>
    <s v="Daily"/>
    <m/>
    <s v="Watch, Stream"/>
    <m/>
    <s v="Male"/>
    <m/>
    <s v="19-25"/>
    <m/>
    <x v="0"/>
    <m/>
    <s v="United Kingdom"/>
    <m/>
  </r>
  <r>
    <d v="2018-11-14T17:40:53"/>
    <s v="Graphics, Collecting Cards/Masters, Competitions/Tournaments"/>
    <s v="Solo, Premade Duo"/>
    <s v="Arenas"/>
    <s v="No"/>
    <m/>
    <s v="I've not made a purchase"/>
    <m/>
    <m/>
    <s v="Settsu"/>
    <m/>
    <s v="very strong"/>
    <m/>
    <s v="Silver"/>
    <m/>
    <s v="25-100"/>
    <m/>
    <x v="156"/>
    <m/>
    <s v="Daily"/>
    <m/>
    <s v="Watch"/>
    <m/>
    <s v="Male"/>
    <m/>
    <s v="26-35"/>
    <m/>
    <x v="3"/>
    <m/>
    <s v="Italy"/>
    <m/>
  </r>
  <r>
    <d v="2018-11-14T17:41:16"/>
    <s v="Gameplay"/>
    <s v="Solo, Premade Duo"/>
    <s v="Master Skins, Arenas, Emotes"/>
    <s v="Yes"/>
    <s v="Buy skins/arenas"/>
    <s v="Yes"/>
    <s v="Whirly Scrat, Crystal Archers, Armored Escort, Dragonball, Screaming Scrat"/>
    <m/>
    <s v="Stormbringer"/>
    <m/>
    <s v="free"/>
    <m/>
    <s v="Master"/>
    <m/>
    <s v="5-25"/>
    <m/>
    <x v="310"/>
    <m/>
    <s v="5-6 times a week"/>
    <m/>
    <s v="Watch"/>
    <m/>
    <s v="Male"/>
    <m/>
    <s v="26-35"/>
    <m/>
    <x v="0"/>
    <m/>
    <s v="USA"/>
    <m/>
  </r>
  <r>
    <d v="2018-11-14T17:42:27"/>
    <s v="Gameplay, Competitions/Tournaments"/>
    <s v="Duo, Mayhem Solo, Mayhem Duo"/>
    <s v="Master Skins, Arenas"/>
    <s v="No"/>
    <m/>
    <s v="I've not made a purchase"/>
    <s v="Xiao Long, Divine Warrior, Blastmancer, Spiritmancer "/>
    <m/>
    <s v="Ravager"/>
    <m/>
    <s v="Looks cool and has good perks."/>
    <m/>
    <s v="Diamond"/>
    <m/>
    <s v="100-200"/>
    <m/>
    <x v="311"/>
    <m/>
    <s v="Daily"/>
    <m/>
    <s v="Neither"/>
    <m/>
    <s v="Male"/>
    <m/>
    <s v="26-35"/>
    <m/>
    <x v="3"/>
    <m/>
    <s v="Portugal"/>
    <m/>
  </r>
  <r>
    <d v="2018-11-14T17:42:34"/>
    <s v="Gameplay"/>
    <s v="Premade Duo, Mayhem Duo"/>
    <m/>
    <s v="No"/>
    <m/>
    <s v="No"/>
    <m/>
    <m/>
    <s v="Stormbringer"/>
    <m/>
    <s v="got the tools to fight every others"/>
    <m/>
    <s v="Master"/>
    <m/>
    <s v="25-100"/>
    <m/>
    <x v="312"/>
    <m/>
    <s v="Daily"/>
    <m/>
    <s v="Watch"/>
    <m/>
    <s v="Male"/>
    <m/>
    <s v="19-25"/>
    <m/>
    <x v="1"/>
    <m/>
    <s v="France"/>
    <m/>
  </r>
  <r>
    <d v="2018-11-14T17:42:50"/>
    <s v="Gameplay, Collecting Cards/Masters"/>
    <s v="Premade Duo, Draft"/>
    <s v="Master Skins"/>
    <s v="No"/>
    <m/>
    <s v="I've not made a purchase"/>
    <s v="Flightless Dragons, Morgrul, Defense Chopper, Divine Warrior. Rabid Prowler"/>
    <m/>
    <s v="King Puff"/>
    <m/>
    <s v="I like his perks the most."/>
    <m/>
    <s v="Grandmaster"/>
    <m/>
    <s v="25-100"/>
    <m/>
    <x v="313"/>
    <m/>
    <s v="Daily"/>
    <m/>
    <s v="Watch"/>
    <m/>
    <s v="Male"/>
    <m/>
    <s v="26-35"/>
    <m/>
    <x v="0"/>
    <m/>
    <s v="Germany"/>
    <m/>
  </r>
  <r>
    <d v="2018-11-14T17:43:29"/>
    <s v="Collecting Cards/Masters, Crafting system"/>
    <s v="Duo, Premade Duo"/>
    <s v="Arenas"/>
    <s v="Yes"/>
    <s v="Collecting more cards"/>
    <s v="Yes"/>
    <s v="that 3* fire drake, 9*Coloss, 4* healer, 4* guy that only attacks base, Hypnose"/>
    <m/>
    <s v="Apep"/>
    <m/>
    <s v="Random cards are AWESOME"/>
    <m/>
    <s v="Diamond"/>
    <m/>
    <s v="25-100"/>
    <m/>
    <x v="314"/>
    <m/>
    <s v="5-6 times a week"/>
    <m/>
    <s v="Neither"/>
    <m/>
    <s v="Male"/>
    <m/>
    <s v="19-25"/>
    <m/>
    <x v="1"/>
    <m/>
    <s v="Germany"/>
    <m/>
  </r>
  <r>
    <d v="2018-11-14T17:44:29"/>
    <s v="Gameplay"/>
    <s v="Solo, Duo, Expeditions"/>
    <s v="Master Skins, Arenas, Avatars"/>
    <s v="Yes"/>
    <s v="To buy masters / Power Tokens / Bundle packs"/>
    <s v="Yes"/>
    <s v="Wheel of Doom / crystal Archers / Defenso choper/ Xiao Long / Harbinger"/>
    <m/>
    <s v="Stormbringer"/>
    <m/>
    <s v="I've always like being more range focused in games but im still just a new guy ;P"/>
    <m/>
    <s v="Silver"/>
    <m/>
    <s v="5-25"/>
    <m/>
    <x v="315"/>
    <m/>
    <s v="Daily"/>
    <m/>
    <s v="Watch"/>
    <m/>
    <s v="Male"/>
    <m/>
    <s v="19-25"/>
    <m/>
    <x v="3"/>
    <m/>
    <s v="United Kingdom"/>
    <m/>
  </r>
  <r>
    <d v="2018-11-14T17:45:43"/>
    <s v="Gameplay, Graphics, Collecting Cards/Masters"/>
    <s v="Solo, Premade Duo, Draft"/>
    <s v="Master Skins"/>
    <s v="No"/>
    <m/>
    <s v="I've not made a purchase"/>
    <s v="Daggerfall, Dragon whelp, Tantrum throwers, Xiao Long, Morgul the swarmer king"/>
    <m/>
    <s v="Ravager"/>
    <m/>
    <s v="because I like the frenzy he gives to minions, because it's like the only way to get frenzy, on top of that the brutus minions he spawns are troublesome to deal with."/>
    <m/>
    <s v="Master"/>
    <m/>
    <s v="25-100"/>
    <m/>
    <x v="316"/>
    <m/>
    <s v="Daily"/>
    <m/>
    <s v="Neither"/>
    <m/>
    <s v="Male"/>
    <m/>
    <s v="14-18"/>
    <m/>
    <x v="1"/>
    <m/>
    <s v="Poland"/>
    <m/>
  </r>
  <r>
    <d v="2018-11-14T17:45:47"/>
    <s v="Gameplay, Collecting Cards/Masters, Competitions/Tournaments"/>
    <s v="Premade Duo"/>
    <s v="Arenas"/>
    <s v="No"/>
    <m/>
    <s v="I've not made a purchase"/>
    <m/>
    <m/>
    <s v="Stormbringer"/>
    <m/>
    <m/>
    <m/>
    <s v="Silver"/>
    <m/>
    <s v="5-25"/>
    <m/>
    <x v="4"/>
    <m/>
    <s v="Occasionally"/>
    <m/>
    <s v="Neither"/>
    <m/>
    <s v="Male"/>
    <m/>
    <s v="14-18"/>
    <m/>
    <x v="2"/>
    <m/>
    <s v="I prefer not to say"/>
    <m/>
  </r>
  <r>
    <d v="2018-11-14T17:47:08"/>
    <s v="Gameplay"/>
    <s v="Solo, Duo, Premade Duo"/>
    <s v="Arenas, Avatars"/>
    <s v="Yes"/>
    <s v="skins and cards "/>
    <s v="Yes"/>
    <s v="xiao long, Setsu's perk 1, and spear throwers are really strong"/>
    <m/>
    <s v="Settsu"/>
    <m/>
    <s v="she's really cool and fun but not very good Puff is the best tho"/>
    <m/>
    <s v="Gold"/>
    <m/>
    <s v="25-100"/>
    <m/>
    <x v="186"/>
    <m/>
    <s v="Daily"/>
    <m/>
    <s v="Watch"/>
    <m/>
    <s v="Male"/>
    <m/>
    <s v="26-35"/>
    <m/>
    <x v="0"/>
    <m/>
    <s v="USA"/>
    <m/>
  </r>
  <r>
    <d v="2018-11-14T17:47:15"/>
    <s v="Gameplay"/>
    <s v="Duo, Premade Duo"/>
    <s v="Master Skins"/>
    <s v="Yes"/>
    <s v="back when i started settsu was new and incredibly op so i bought her with rubies becuase thats how i thought i would be able to win any games then, i wouldnt do that again."/>
    <s v="No"/>
    <s v="Scott, Plasmas, Daggerfall, Xiao (pre-rework was NOT broken),  cursebearer"/>
    <m/>
    <s v="Settsu"/>
    <m/>
    <s v="Because its the one where you can actually interact with whats happening on the field."/>
    <m/>
    <s v="Grandmaster"/>
    <m/>
    <s v="200-1000"/>
    <m/>
    <x v="317"/>
    <m/>
    <s v="5-6 times a week"/>
    <m/>
    <s v="Neither"/>
    <m/>
    <s v="Male"/>
    <m/>
    <s v="19-25"/>
    <m/>
    <x v="1"/>
    <m/>
    <s v="Austria"/>
    <m/>
  </r>
  <r>
    <d v="2018-11-14T17:49:13"/>
    <s v="Gameplay, Graphics, Collecting Cards/Masters"/>
    <s v="Solo, Duo, Premade Duo, Draft, Expeditions, Mayhem Solo, Mayhem Duo"/>
    <s v="Master Skins, Arenas, Avatars"/>
    <s v="Yes"/>
    <s v="battle pass"/>
    <s v="Yes"/>
    <m/>
    <m/>
    <s v="Mordar"/>
    <m/>
    <s v="graves :) "/>
    <m/>
    <s v="Master"/>
    <m/>
    <s v="200-1000"/>
    <m/>
    <x v="318"/>
    <m/>
    <s v="Daily"/>
    <m/>
    <s v="Stream"/>
    <m/>
    <s v="Male"/>
    <m/>
    <s v="over 36"/>
    <m/>
    <x v="3"/>
    <m/>
    <s v="France"/>
    <m/>
  </r>
  <r>
    <d v="2018-11-14T17:51:25"/>
    <s v="Gameplay"/>
    <s v="Premade Duo"/>
    <s v="Arenas"/>
    <s v="No"/>
    <m/>
    <s v="I've not made a purchase"/>
    <s v="basically all legendaries"/>
    <m/>
    <s v="Stormbringer"/>
    <m/>
    <s v="Best passives"/>
    <m/>
    <s v="Gold"/>
    <m/>
    <s v="0-5"/>
    <m/>
    <x v="319"/>
    <m/>
    <s v="5-6 times a week"/>
    <m/>
    <s v="Neither"/>
    <m/>
    <s v="Male"/>
    <m/>
    <s v="19-25"/>
    <m/>
    <x v="1"/>
    <m/>
    <s v="Russia"/>
    <m/>
  </r>
  <r>
    <d v="2018-11-14T17:52:30"/>
    <s v="Gameplay"/>
    <s v="Solo, Duo"/>
    <s v="Master Skins"/>
    <s v="No"/>
    <m/>
    <s v="I've not made a purchase"/>
    <s v="Swarmers/Dagger Fall/Hypnotize/Xiao Long/Defensochopper"/>
    <m/>
    <s v="Milloween"/>
    <m/>
    <s v="I suck at spells, but like to cast them. I also like how her perks synergise. Also, apparently you nerfed her, and I think she deserves some love..."/>
    <m/>
    <s v="Platinum"/>
    <m/>
    <s v="100-200"/>
    <m/>
    <x v="320"/>
    <m/>
    <s v="Daily"/>
    <m/>
    <s v="Neither"/>
    <m/>
    <s v="Male"/>
    <m/>
    <s v="I prefer not to say"/>
    <m/>
    <x v="2"/>
    <m/>
    <s v="The Netherlands"/>
    <m/>
  </r>
  <r>
    <d v="2018-11-14T17:53:51"/>
    <s v="Gameplay, Games are simple, self contained, never more than ~10 minutes"/>
    <s v="Premade Duo"/>
    <s v="Arenas, Emotes"/>
    <s v="Yes"/>
    <s v="Premium upgrade cause it was on sale"/>
    <s v="Yes"/>
    <s v="Harbinger, Demon Warrior, Succubus, Fire Imp, maybe Screaming Scrat?"/>
    <m/>
    <s v="Ravager"/>
    <m/>
    <s v="I haven't played them in a while, but I LOVE facerush decks"/>
    <m/>
    <s v="Master"/>
    <m/>
    <s v="100-200"/>
    <m/>
    <x v="321"/>
    <m/>
    <s v="Daily"/>
    <m/>
    <s v="Neither"/>
    <m/>
    <s v="Male"/>
    <m/>
    <s v="19-25"/>
    <m/>
    <x v="0"/>
    <m/>
    <s v="USA"/>
    <m/>
  </r>
  <r>
    <d v="2018-11-14T17:54:09"/>
    <s v="Gameplay"/>
    <s v="Premade Duo"/>
    <s v="Arenas"/>
    <s v="No"/>
    <m/>
    <s v="I've not made a purchase"/>
    <s v="Divine warrior, Armoured Scrats, Chain Lightning, Annihilator, Living Statue"/>
    <m/>
    <s v="Volco"/>
    <m/>
    <s v="I like all his abilities"/>
    <m/>
    <s v="Gold"/>
    <m/>
    <s v="5-25"/>
    <m/>
    <x v="322"/>
    <m/>
    <s v="5-6 times a week"/>
    <m/>
    <s v="Neither"/>
    <m/>
    <s v="Male"/>
    <m/>
    <s v="19-25"/>
    <m/>
    <x v="0"/>
    <m/>
    <s v="United Kingdom"/>
    <m/>
  </r>
  <r>
    <d v="2018-11-14T17:54:41"/>
    <s v="Gameplay"/>
    <s v="Premade Duo"/>
    <s v="Master Skins"/>
    <s v="No"/>
    <m/>
    <s v="Yes"/>
    <s v="Cleaver, Prowler. Scrat Horde, Succubus, Flame Imp"/>
    <m/>
    <s v="Volco"/>
    <m/>
    <s v="Good perks, fair but not broken"/>
    <m/>
    <s v="Master"/>
    <m/>
    <s v="100-200"/>
    <m/>
    <x v="323"/>
    <m/>
    <s v="Daily"/>
    <m/>
    <s v="Watch"/>
    <m/>
    <s v="Male"/>
    <m/>
    <s v="19-25"/>
    <m/>
    <x v="3"/>
    <m/>
    <s v="USA"/>
    <m/>
  </r>
  <r>
    <d v="2018-11-14T17:55:40"/>
    <s v="Gameplay"/>
    <s v="Solo, Premade Duo"/>
    <m/>
    <s v="Yes"/>
    <s v="New masters, rubies were from starter pack."/>
    <s v="Yes"/>
    <s v="Blood imp, Guardian, Gax the world bomb,healing fireball, and re-boomer "/>
    <m/>
    <s v="Mordar"/>
    <m/>
    <s v="Reviving Boomers/Guardians"/>
    <m/>
    <s v="Gold"/>
    <m/>
    <s v="5-25"/>
    <m/>
    <x v="324"/>
    <m/>
    <s v="Daily"/>
    <m/>
    <s v="Watch"/>
    <m/>
    <s v="Male"/>
    <m/>
    <s v="14-18"/>
    <m/>
    <x v="1"/>
    <m/>
    <s v="USA"/>
    <m/>
  </r>
  <r>
    <d v="2018-11-14T17:56:22"/>
    <s v="Gameplay, Collecting Cards/Masters"/>
    <s v="Duo"/>
    <s v="Master Skins"/>
    <s v="No"/>
    <m/>
    <s v="I've not made a purchase"/>
    <m/>
    <m/>
    <s v="King Puff"/>
    <m/>
    <s v="Dont need extra expensive cards for him. "/>
    <m/>
    <s v="Diamond"/>
    <m/>
    <s v="5-25"/>
    <m/>
    <x v="325"/>
    <m/>
    <s v="Daily"/>
    <m/>
    <s v="Watch"/>
    <m/>
    <s v="Male"/>
    <m/>
    <s v="19-25"/>
    <m/>
    <x v="1"/>
    <m/>
    <s v="Ukraine"/>
    <m/>
  </r>
  <r>
    <d v="2018-11-14T17:56:30"/>
    <s v="Gameplay"/>
    <s v="Solo"/>
    <s v="Master Skins"/>
    <s v="Yes"/>
    <s v="masters skins and some offers"/>
    <s v="Yes"/>
    <s v="sharns twins/assassin/fireimp/xiaolong/morgul"/>
    <m/>
    <s v="Ravager"/>
    <m/>
    <s v="he is aggresive like me"/>
    <m/>
    <s v="Grandmaster"/>
    <m/>
    <s v="200-1000"/>
    <m/>
    <x v="4"/>
    <m/>
    <s v="Daily"/>
    <m/>
    <s v="Watch"/>
    <m/>
    <s v="Male"/>
    <m/>
    <s v="26-35"/>
    <m/>
    <x v="0"/>
    <m/>
    <s v="Egypt"/>
    <m/>
  </r>
  <r>
    <d v="2018-11-14T17:56:43"/>
    <s v="Gameplay, Graphics"/>
    <s v="Duo"/>
    <s v="Master Skins, Arenas"/>
    <s v="Yes"/>
    <s v="Niggers"/>
    <s v="Yes"/>
    <s v="Nigger, Nigger, Nigger, Nigger, Nigger"/>
    <m/>
    <s v="Stormbringer"/>
    <m/>
    <s v="Nigger"/>
    <m/>
    <s v="Grandmaster"/>
    <m/>
    <s v="1000+"/>
    <m/>
    <x v="326"/>
    <m/>
    <s v="Occasionally"/>
    <m/>
    <s v="Watch"/>
    <m/>
    <s v="Male"/>
    <m/>
    <s v="19-25"/>
    <m/>
    <x v="1"/>
    <m/>
    <s v="I prefer not to say"/>
    <m/>
  </r>
  <r>
    <d v="2018-11-14T17:58:35"/>
    <s v="Collecting Cards/Masters"/>
    <s v="Premade Duo"/>
    <s v="Arenas"/>
    <s v="No"/>
    <m/>
    <s v="I've not made a purchase"/>
    <s v="Crystal Construct, Blind Date, Plasma Marines, Spirit Infusion, Undying Skeleton "/>
    <m/>
    <s v="Apep"/>
    <m/>
    <s v="I like RNG in my decks, "/>
    <m/>
    <s v="Gold"/>
    <m/>
    <s v="5-25"/>
    <m/>
    <x v="327"/>
    <m/>
    <s v="5-6 times a week"/>
    <m/>
    <s v="Watch"/>
    <m/>
    <s v="Male"/>
    <m/>
    <s v="14-18"/>
    <m/>
    <x v="1"/>
    <m/>
    <s v="France"/>
    <m/>
  </r>
  <r>
    <d v="2018-11-14T17:59:50"/>
    <s v="Gameplay"/>
    <s v="Premade Duo"/>
    <s v="Arenas"/>
    <s v="No"/>
    <m/>
    <s v="I've not made a purchase"/>
    <s v="-"/>
    <m/>
    <s v="Stormbringer"/>
    <m/>
    <s v="¯\_(ツ)_/¯"/>
    <m/>
    <s v="Bronze"/>
    <m/>
    <s v="0-5"/>
    <m/>
    <x v="4"/>
    <m/>
    <s v="5-6 times a week"/>
    <m/>
    <s v="Neither"/>
    <m/>
    <s v="Male"/>
    <m/>
    <s v="14-18"/>
    <m/>
    <x v="1"/>
    <m/>
    <s v="I prefer not to say"/>
    <m/>
  </r>
  <r>
    <d v="2018-11-14T17:59:54"/>
    <s v="Gameplay, Collecting Cards/Masters"/>
    <s v="Duo, Premade Duo, Draft"/>
    <s v="Master Skins, Arenas"/>
    <s v="No"/>
    <m/>
    <s v="I've not made a purchase"/>
    <s v="crystal archer, xia long, blast mancer, whirly scrat, warrior"/>
    <m/>
    <s v="Apep"/>
    <m/>
    <s v="I like the randomness and the 3 extra free cards but I usually use stormbringer instead as he's better with higher mana cost builds where you have a good portion ranged units"/>
    <m/>
    <s v="Master"/>
    <m/>
    <s v="100-200"/>
    <m/>
    <x v="328"/>
    <m/>
    <s v="Daily"/>
    <m/>
    <s v="Neither"/>
    <m/>
    <s v="Male"/>
    <m/>
    <s v="19-25"/>
    <m/>
    <x v="1"/>
    <m/>
    <s v="Norway"/>
    <m/>
  </r>
  <r>
    <d v="2018-11-14T18:00:51"/>
    <s v="Gameplay, Graphics, Collecting Cards/Masters"/>
    <s v="Solo, Duo, Premade Duo"/>
    <s v="Master Skins, Emotes"/>
    <s v="No"/>
    <m/>
    <s v="I've not made a purchase"/>
    <m/>
    <m/>
    <s v="Milloween"/>
    <m/>
    <s v="card lvl 1"/>
    <m/>
    <s v="Platinum"/>
    <m/>
    <s v="25-100"/>
    <m/>
    <x v="329"/>
    <m/>
    <s v="Daily"/>
    <m/>
    <s v="Watch, Stream"/>
    <m/>
    <s v="Male"/>
    <m/>
    <s v="19-25"/>
    <m/>
    <x v="1"/>
    <m/>
    <s v="Spain"/>
    <m/>
  </r>
  <r>
    <d v="2018-11-14T18:01:53"/>
    <s v="Gameplay"/>
    <s v="Premade Duo"/>
    <s v="Master Skins"/>
    <s v="No"/>
    <m/>
    <s v="I've not made a purchase"/>
    <s v="Thelec (the big 10 mana dude), divine warrior, the monkey guy who heals himself, assassin, sniper"/>
    <m/>
    <s v="Volco"/>
    <m/>
    <s v="Looks and plays great"/>
    <m/>
    <s v="Gold"/>
    <m/>
    <s v="0-5"/>
    <m/>
    <x v="330"/>
    <m/>
    <s v="1-2 times a week"/>
    <m/>
    <s v="Watch"/>
    <m/>
    <s v="Male"/>
    <m/>
    <s v="19-25"/>
    <m/>
    <x v="1"/>
    <m/>
    <s v="Croatia"/>
    <m/>
  </r>
  <r>
    <d v="2018-11-14T18:02:12"/>
    <s v="Gameplay"/>
    <s v="Solo, Duo"/>
    <s v="Master Skins, Arenas, Emotes"/>
    <s v="No"/>
    <s v="While I have not made a purchase yet, I plan to, at least for the battle pass. "/>
    <s v="I've not made a purchase"/>
    <s v="The swarmer king, the ufo death beam, the mana golem"/>
    <m/>
    <s v="Ravager"/>
    <m/>
    <s v="He looked cool and I like his play style "/>
    <m/>
    <s v="Platinum"/>
    <m/>
    <s v="25-100"/>
    <m/>
    <x v="331"/>
    <m/>
    <s v="Daily"/>
    <m/>
    <s v="Watch, Stream"/>
    <m/>
    <s v="Male"/>
    <m/>
    <s v="26-35"/>
    <m/>
    <x v="2"/>
    <m/>
    <s v="USA"/>
    <m/>
  </r>
  <r>
    <d v="2018-11-14T18:02:27"/>
    <s v="Gameplay, Graphics, Collecting Cards/Masters"/>
    <s v="Solo, Duo, Premade Duo, Draft, Expeditions"/>
    <s v="Master Skins, Avatars"/>
    <s v="No"/>
    <m/>
    <s v="Yes"/>
    <s v="Harbinger, Xiao Long, Stun Lancers, Cursebearer, Wall"/>
    <m/>
    <s v="Stormbringer"/>
    <m/>
    <s v="Versatile, newbie-friendly"/>
    <m/>
    <s v="Platinum"/>
    <m/>
    <s v="25-100"/>
    <m/>
    <x v="332"/>
    <m/>
    <s v="Daily"/>
    <m/>
    <s v="Watch"/>
    <m/>
    <s v="Male"/>
    <m/>
    <s v="over 36"/>
    <m/>
    <x v="4"/>
    <m/>
    <s v="Malaysia"/>
    <m/>
  </r>
  <r>
    <d v="2018-11-14T18:04:23"/>
    <s v="Gameplay, Collecting Cards/Masters"/>
    <s v="Duo"/>
    <s v="Master Skins"/>
    <s v="No"/>
    <m/>
    <s v="I've not made a purchase"/>
    <m/>
    <m/>
    <s v="Stormbringer"/>
    <m/>
    <s v="I enjoy his long ranged attacks"/>
    <m/>
    <s v="Wood"/>
    <m/>
    <s v="0-5"/>
    <m/>
    <x v="333"/>
    <m/>
    <s v="Occasionally"/>
    <m/>
    <s v="Neither"/>
    <m/>
    <s v="Male"/>
    <m/>
    <s v="14-18"/>
    <m/>
    <x v="1"/>
    <m/>
    <s v="Poland"/>
    <m/>
  </r>
  <r>
    <d v="2018-11-14T18:07:25"/>
    <s v="Gameplay"/>
    <s v="Premade Duo"/>
    <s v="Master Skins"/>
    <s v="No"/>
    <m/>
    <s v="I've not made a purchase"/>
    <s v="musketeer, plasma marines, harbinger, dragonball, morgrul the swarmer king"/>
    <m/>
    <s v="Stormbringer"/>
    <m/>
    <s v="I only play this with my girlfriend and strombringer + volco is a good 2vs2 combo"/>
    <m/>
    <s v="Diamond"/>
    <m/>
    <s v="5-25"/>
    <m/>
    <x v="334"/>
    <m/>
    <s v="Daily"/>
    <m/>
    <s v="Neither"/>
    <m/>
    <s v="Male"/>
    <m/>
    <s v="14-18"/>
    <m/>
    <x v="1"/>
    <m/>
    <s v="USA"/>
    <m/>
  </r>
  <r>
    <d v="2018-11-14T18:09:28"/>
    <s v="Gameplay"/>
    <s v="Duo"/>
    <s v="Emotes"/>
    <s v="Yes"/>
    <s v="to buy the battle pass"/>
    <s v="Yes"/>
    <s v="the mana surge cards "/>
    <m/>
    <s v="Stormbringer"/>
    <m/>
    <s v="well... i start with him... and the mana surge stuff is mostly ranged"/>
    <m/>
    <s v="Gold"/>
    <m/>
    <s v="25-100"/>
    <m/>
    <x v="335"/>
    <m/>
    <s v="Daily"/>
    <m/>
    <s v="Watch"/>
    <m/>
    <s v="Female"/>
    <m/>
    <s v="19-25"/>
    <m/>
    <x v="3"/>
    <m/>
    <s v="Canada"/>
    <m/>
  </r>
  <r>
    <d v="2018-11-14T18:10:33"/>
    <s v="Gameplay"/>
    <s v="Premade Duo, Draft"/>
    <s v="Arenas"/>
    <s v="No"/>
    <m/>
    <s v="I've not made a purchase"/>
    <m/>
    <m/>
    <s v="Stormbringer"/>
    <m/>
    <s v="infinite Range damage"/>
    <m/>
    <s v="Gold"/>
    <m/>
    <s v="5-25"/>
    <m/>
    <x v="336"/>
    <m/>
    <s v="Daily"/>
    <m/>
    <s v="Stream"/>
    <m/>
    <s v="Male"/>
    <m/>
    <s v="26-35"/>
    <m/>
    <x v="2"/>
    <m/>
    <s v="Italy"/>
    <m/>
  </r>
  <r>
    <d v="2018-11-14T18:11:14"/>
    <s v="Gameplay, Graphics, Collecting Cards/Masters"/>
    <s v="Solo, Duo, Premade Duo, Draft, Mayhem Solo"/>
    <s v="Arenas"/>
    <s v="No"/>
    <m/>
    <s v="I've not made a purchase"/>
    <m/>
    <m/>
    <s v="Settsu"/>
    <m/>
    <s v="Nicknamed, Wrecksu."/>
    <m/>
    <s v="Grandmaster"/>
    <m/>
    <s v="1000+"/>
    <m/>
    <x v="337"/>
    <m/>
    <s v="5-6 times a week"/>
    <m/>
    <s v="Watch"/>
    <m/>
    <s v="Male"/>
    <m/>
    <s v="26-35"/>
    <m/>
    <x v="0"/>
    <m/>
    <s v="USA"/>
    <m/>
  </r>
  <r>
    <d v="2018-11-14T18:13:05"/>
    <s v="Gameplay"/>
    <s v="Solo, Duo, Premade Duo"/>
    <s v="Emotes"/>
    <s v="No"/>
    <m/>
    <s v="I've not made a purchase"/>
    <s v="Colossus Last Stand Gax Crystal Construct and Harbringer"/>
    <m/>
    <s v="Apep"/>
    <m/>
    <s v="Couse he is ssssneaky bassssstard, and gives 0 cost cards"/>
    <m/>
    <s v="Silver"/>
    <m/>
    <s v="25-100"/>
    <m/>
    <x v="338"/>
    <m/>
    <s v="Daily"/>
    <m/>
    <s v="Neither"/>
    <m/>
    <s v="Male"/>
    <m/>
    <s v="14-18"/>
    <m/>
    <x v="1"/>
    <m/>
    <s v="Poland"/>
    <m/>
  </r>
  <r>
    <d v="2018-11-14T18:14:39"/>
    <s v="Gameplay, Graphics, Crafting system, anti-pay to win, es lindo jugar un juego donde no dependes de la plata para mejorar"/>
    <s v="Duo, Draft"/>
    <s v="Arenas, Avatars"/>
    <s v="No"/>
    <m/>
    <s v="I've not made a purchase"/>
    <m/>
    <m/>
    <s v="King Puff"/>
    <m/>
    <s v="me parecio gracioso."/>
    <m/>
    <s v="Diamond"/>
    <m/>
    <s v="5-25"/>
    <m/>
    <x v="339"/>
    <m/>
    <s v="Daily"/>
    <m/>
    <s v="Stream"/>
    <m/>
    <s v="Male"/>
    <m/>
    <s v="19-25"/>
    <m/>
    <x v="2"/>
    <m/>
    <s v="Argentina"/>
    <m/>
  </r>
  <r>
    <d v="2018-11-14T18:15:23"/>
    <s v="Gameplay"/>
    <s v="Duo, Premade Duo"/>
    <s v="Master Skins, Avatars"/>
    <s v="Yes"/>
    <s v="Master skins"/>
    <s v="Yes"/>
    <s v="The random event cards such as Cheese date and blind date"/>
    <m/>
    <s v="Milloween"/>
    <m/>
    <s v="Spell spam is hilarious and fun"/>
    <m/>
    <s v="Gold"/>
    <m/>
    <s v="25-100"/>
    <m/>
    <x v="340"/>
    <m/>
    <s v="Daily"/>
    <m/>
    <s v="Watch"/>
    <m/>
    <s v="Male"/>
    <m/>
    <s v="19-25"/>
    <m/>
    <x v="0"/>
    <m/>
    <s v="USA"/>
    <m/>
  </r>
  <r>
    <d v="2018-11-14T18:16:15"/>
    <s v="Gameplay, Collecting Cards/Masters"/>
    <s v="Duo"/>
    <s v="Arenas, Emotes, Avatars"/>
    <s v="Yes"/>
    <s v="Skins"/>
    <s v="Yes"/>
    <s v="Spiritmancer, Crossbow Guild, Undying Skeleton, Divine Warrior, Xiao Long "/>
    <m/>
    <s v="Milloween"/>
    <m/>
    <s v="Spells looks fun"/>
    <m/>
    <s v="Platinum"/>
    <m/>
    <s v="200-1000"/>
    <m/>
    <x v="341"/>
    <m/>
    <s v="Daily"/>
    <m/>
    <s v="Watch"/>
    <m/>
    <s v="Male"/>
    <m/>
    <s v="19-25"/>
    <m/>
    <x v="0"/>
    <m/>
    <s v="Russia"/>
    <m/>
  </r>
  <r>
    <d v="2018-11-14T18:18:00"/>
    <s v="Gameplay, Collecting Cards/Masters"/>
    <s v="Premade Duo, Expeditions"/>
    <s v="Master Skins"/>
    <s v="Yes"/>
    <m/>
    <s v="Yes"/>
    <m/>
    <m/>
    <s v="Stormbringer"/>
    <m/>
    <m/>
    <m/>
    <s v="Gold"/>
    <m/>
    <s v="25-100"/>
    <m/>
    <x v="4"/>
    <m/>
    <s v="Daily"/>
    <m/>
    <s v="Watch"/>
    <m/>
    <s v="Male"/>
    <m/>
    <s v="26-35"/>
    <m/>
    <x v="0"/>
    <m/>
    <s v="I prefer not to say"/>
    <m/>
  </r>
  <r>
    <d v="2018-11-14T18:18:56"/>
    <s v="Gameplay, Graphics"/>
    <s v="Premade Duo"/>
    <s v="Master Skins, Avatars"/>
    <s v="Yes"/>
    <s v="To buy the battle pass"/>
    <s v="Yes"/>
    <s v="Crystal Archers, Rabid Prowler, Shars'Rakk Twins, Morgrul The Swarmer King, Dragonball"/>
    <m/>
    <s v="Milloween"/>
    <m/>
    <s v="I love the way she looks, love spells, cute voice, elves are the best"/>
    <m/>
    <s v="Master"/>
    <m/>
    <s v="25-100"/>
    <m/>
    <x v="342"/>
    <m/>
    <s v="Daily"/>
    <m/>
    <s v="Watch, Stream"/>
    <m/>
    <s v="Female"/>
    <m/>
    <s v="26-35"/>
    <m/>
    <x v="4"/>
    <m/>
    <s v="USA"/>
    <m/>
  </r>
  <r>
    <d v="2018-11-14T18:19:16"/>
    <s v="Gameplay"/>
    <s v="Premade Duo"/>
    <s v="Avatars"/>
    <s v="No"/>
    <m/>
    <s v="I've not made a purchase"/>
    <m/>
    <m/>
    <s v="Stormbringer"/>
    <m/>
    <s v="Strategy in premade duo"/>
    <m/>
    <s v="Silver"/>
    <m/>
    <s v="5-25"/>
    <m/>
    <x v="343"/>
    <m/>
    <s v="Daily"/>
    <m/>
    <s v="Watch"/>
    <m/>
    <s v="Male"/>
    <m/>
    <s v="19-25"/>
    <m/>
    <x v="1"/>
    <m/>
    <s v="Germany"/>
    <m/>
  </r>
  <r>
    <d v="2018-11-14T18:19:55"/>
    <s v="Gameplay, Collecting Cards/Masters"/>
    <s v="Solo, Duo"/>
    <s v="Avatars"/>
    <s v="No"/>
    <m/>
    <s v="I've not made a purchase"/>
    <s v="combustion, netherstep, beam of doom, dragonball, scott the sensitive,  "/>
    <m/>
    <s v="King Puff"/>
    <m/>
    <s v="tier 2 perk is op"/>
    <m/>
    <s v="Master"/>
    <m/>
    <s v="100-200"/>
    <m/>
    <x v="344"/>
    <m/>
    <s v="3-4 times a week"/>
    <m/>
    <s v="Watch"/>
    <m/>
    <s v="Male"/>
    <m/>
    <s v="26-35"/>
    <m/>
    <x v="0"/>
    <m/>
    <s v="Hungary"/>
    <m/>
  </r>
  <r>
    <d v="2018-11-14T18:21:53"/>
    <s v="Gameplay, Collecting Cards/Masters, Competitions/Tournaments"/>
    <s v="Solo, Expeditions, Mayhem Solo"/>
    <s v="Arenas, Avatars"/>
    <s v="No"/>
    <m/>
    <s v="I've not made a purchase"/>
    <m/>
    <m/>
    <s v="Ratbo"/>
    <m/>
    <s v="cuz of the mini gun"/>
    <m/>
    <s v="Silver"/>
    <m/>
    <s v="5-25"/>
    <m/>
    <x v="345"/>
    <m/>
    <s v="3-4 times a week"/>
    <m/>
    <s v="Watch"/>
    <m/>
    <s v="Male"/>
    <m/>
    <s v="14-18"/>
    <m/>
    <x v="1"/>
    <m/>
    <s v="USA"/>
    <m/>
  </r>
  <r>
    <d v="2018-11-14T18:22:33"/>
    <s v="Gameplay"/>
    <s v="Solo, Duo"/>
    <s v="Arenas"/>
    <s v="Yes"/>
    <s v="Battle Pass"/>
    <s v="Yes"/>
    <s v="Divine Warrior, Fire Imp, Scott, Xiao and Hypnotize"/>
    <m/>
    <s v="King Puff"/>
    <m/>
    <s v="Because it allow me switch bridge messing with enemies big cards with healers."/>
    <m/>
    <s v="Grandmaster"/>
    <m/>
    <s v="1000+"/>
    <m/>
    <x v="346"/>
    <m/>
    <s v="Daily"/>
    <m/>
    <s v="Watch"/>
    <m/>
    <s v="Male"/>
    <m/>
    <s v="26-35"/>
    <m/>
    <x v="1"/>
    <m/>
    <s v="Brazil"/>
    <m/>
  </r>
  <r>
    <d v="2018-11-14T18:22:54"/>
    <s v="Gameplay, Collecting Cards/Masters, Competitions/Tournaments"/>
    <s v="Solo, Premade Duo, Draft"/>
    <s v="Arenas"/>
    <s v="Yes"/>
    <s v="Battle Pass"/>
    <s v="Yes"/>
    <s v="Hard to say, it depends on deck build, but combo card are in favor"/>
    <m/>
    <s v="Ravager"/>
    <m/>
    <s v="strong early push with his minion, but Stormbringer is my 2nd favorite"/>
    <m/>
    <s v="Platinum"/>
    <m/>
    <s v="25-100"/>
    <m/>
    <x v="347"/>
    <m/>
    <s v="5-6 times a week"/>
    <m/>
    <m/>
    <m/>
    <s v="Male"/>
    <m/>
    <s v="over 36"/>
    <m/>
    <x v="4"/>
    <m/>
    <s v="Belgium"/>
    <m/>
  </r>
  <r>
    <d v="2018-11-14T18:23:25"/>
    <s v="Gameplay"/>
    <s v="Solo, Duo, Premade Duo, Draft"/>
    <s v="Master Skins, Arenas, Emotes"/>
    <s v="Yes"/>
    <s v="season pass"/>
    <s v="Yes"/>
    <s v="mana puff madness, scrat tank, styxi, dragon nest, daggers"/>
    <m/>
    <s v="Milloween"/>
    <m/>
    <s v="DRAGON NEST"/>
    <m/>
    <s v="Grandmaster"/>
    <m/>
    <s v="200-1000"/>
    <m/>
    <x v="348"/>
    <m/>
    <s v="Daily"/>
    <m/>
    <s v="Watch"/>
    <m/>
    <s v="Male"/>
    <m/>
    <s v="26-35"/>
    <m/>
    <x v="0"/>
    <m/>
    <s v="United Kingdom"/>
    <m/>
  </r>
  <r>
    <d v="2018-11-14T18:23:27"/>
    <s v="Gameplay"/>
    <s v="Solo"/>
    <s v="Arenas"/>
    <s v="No"/>
    <m/>
    <s v="I've not made a purchase"/>
    <s v="Not sure yet"/>
    <m/>
    <s v="King Puff"/>
    <m/>
    <s v="I like his level 2"/>
    <m/>
    <s v="Gold"/>
    <m/>
    <s v="5-25"/>
    <m/>
    <x v="349"/>
    <m/>
    <s v="5-6 times a week"/>
    <m/>
    <s v="Watch, Stream"/>
    <m/>
    <s v="Male"/>
    <m/>
    <s v="14-18"/>
    <m/>
    <x v="1"/>
    <m/>
    <s v="Canada"/>
    <m/>
  </r>
  <r>
    <d v="2018-11-14T18:23:57"/>
    <s v="Competitions/Tournaments"/>
    <s v="Duo, Draft"/>
    <s v="Master Skins"/>
    <s v="Yes"/>
    <s v="To get Masters"/>
    <s v="Yes"/>
    <s v="Scrat Pack, Crossbow dudes, Legionnaires, Living Statue, Laser Turret"/>
    <m/>
    <s v="Apep"/>
    <m/>
    <s v="He kills Minion really fast"/>
    <m/>
    <s v="Bronze"/>
    <m/>
    <s v="25-100"/>
    <m/>
    <x v="4"/>
    <m/>
    <s v="Daily"/>
    <m/>
    <s v="Watch, Stream"/>
    <m/>
    <s v="Female"/>
    <m/>
    <s v="over 36"/>
    <m/>
    <x v="5"/>
    <m/>
    <s v="USA"/>
    <m/>
  </r>
  <r>
    <d v="2018-11-14T18:24:33"/>
    <s v="Gameplay, Graphics, Collecting Cards/Masters"/>
    <s v="Solo, Duo, Mayhem Solo"/>
    <s v="Arenas"/>
    <s v="No"/>
    <m/>
    <s v="Yes"/>
    <s v="black hole prowler quiet Shi Hou soul stealer healing shrine"/>
    <m/>
    <s v="King Puff"/>
    <m/>
    <s v="Nice buff and bridge change skill"/>
    <m/>
    <s v="Grandmaster"/>
    <m/>
    <s v="200-1000"/>
    <m/>
    <x v="4"/>
    <m/>
    <s v="Daily"/>
    <m/>
    <s v="Neither"/>
    <m/>
    <s v="Male"/>
    <m/>
    <s v="19-25"/>
    <m/>
    <x v="1"/>
    <m/>
    <s v="Germany"/>
    <m/>
  </r>
  <r>
    <d v="2018-11-14T18:24:45"/>
    <s v="Collecting Cards/Masters, Competitions/Tournaments"/>
    <s v="Solo, Duo"/>
    <s v="Emotes, Avatars"/>
    <s v="No"/>
    <m/>
    <s v="I've not made a purchase"/>
    <m/>
    <m/>
    <s v="Milloween"/>
    <m/>
    <s v="Free and it's achievement to use current weeks master"/>
    <m/>
    <s v="Stone"/>
    <m/>
    <s v="5-25"/>
    <m/>
    <x v="350"/>
    <m/>
    <s v="Daily"/>
    <m/>
    <s v="Neither"/>
    <m/>
    <s v="Female"/>
    <m/>
    <s v="26-35"/>
    <m/>
    <x v="1"/>
    <m/>
    <s v="USA"/>
    <m/>
  </r>
  <r>
    <d v="2018-11-14T18:24:54"/>
    <s v="Gameplay"/>
    <s v="Solo"/>
    <s v="Master Skins"/>
    <s v="Yes"/>
    <s v="Buy season pass, have many left"/>
    <s v="Yes"/>
    <m/>
    <m/>
    <s v="King Puff"/>
    <m/>
    <s v="Mechanics for being immune at 3"/>
    <m/>
    <s v="Gold"/>
    <m/>
    <s v="5-25"/>
    <m/>
    <x v="351"/>
    <m/>
    <s v="Daily"/>
    <m/>
    <s v="Watch"/>
    <m/>
    <s v="Male"/>
    <m/>
    <s v="26-35"/>
    <m/>
    <x v="0"/>
    <m/>
    <s v="United Kingdom"/>
    <m/>
  </r>
  <r>
    <d v="2018-11-14T18:27:38"/>
    <s v="Gameplay, Collecting Cards/Masters"/>
    <s v="Duo, Expeditions"/>
    <s v="Master Skins, Arenas, Emotes, Avatars"/>
    <s v="No"/>
    <m/>
    <s v="I've not made a purchase"/>
    <m/>
    <m/>
    <s v="Volco"/>
    <m/>
    <m/>
    <m/>
    <s v="Gold"/>
    <m/>
    <s v="5-25"/>
    <m/>
    <x v="352"/>
    <m/>
    <s v="Daily"/>
    <m/>
    <s v="Watch, Stream"/>
    <m/>
    <s v="Female"/>
    <m/>
    <s v="19-25"/>
    <m/>
    <x v="3"/>
    <m/>
    <s v="USA"/>
    <m/>
  </r>
  <r>
    <d v="2018-11-14T18:29:10"/>
    <s v="Gameplay, Collecting Cards/Masters"/>
    <s v="Solo, Premade Duo"/>
    <s v="Master Skins"/>
    <s v="Yes"/>
    <s v="the battle pass"/>
    <s v="Yes"/>
    <s v="Thelec, Magma storm, Daggerfall, Gambler's ball, Mana puff "/>
    <m/>
    <s v="Milloween"/>
    <m/>
    <s v="spells are fun, yo"/>
    <m/>
    <s v="Bronze"/>
    <m/>
    <s v="0-5"/>
    <m/>
    <x v="156"/>
    <m/>
    <s v="5-6 times a week"/>
    <m/>
    <s v="Watch"/>
    <m/>
    <s v="Male"/>
    <m/>
    <s v="19-25"/>
    <m/>
    <x v="1"/>
    <m/>
    <s v="USA"/>
    <m/>
  </r>
  <r>
    <d v="2018-11-14T18:30:11"/>
    <s v="Gameplay"/>
    <s v="Solo"/>
    <s v="Emotes"/>
    <s v="No"/>
    <m/>
    <s v="I've not made a purchase"/>
    <m/>
    <m/>
    <s v="Stormbringer"/>
    <m/>
    <s v="Default"/>
    <m/>
    <s v="Platinum"/>
    <m/>
    <s v="5-25"/>
    <m/>
    <x v="156"/>
    <m/>
    <s v="1-2 times a week"/>
    <m/>
    <s v="Watch"/>
    <m/>
    <s v="Male"/>
    <m/>
    <s v="26-35"/>
    <m/>
    <x v="0"/>
    <m/>
    <s v="Canada"/>
    <m/>
  </r>
  <r>
    <d v="2018-11-14T18:31:35"/>
    <s v="Gameplay, Collecting Cards/Masters"/>
    <s v="Premade Duo, Expeditions"/>
    <s v="Arenas"/>
    <s v="Yes"/>
    <s v="Powertoken and bundles "/>
    <s v="Yes"/>
    <s v="1. Xiao long 2. Hypnotize 3. Morgul 4. Drone Force One 5. Assasin"/>
    <m/>
    <s v="Apep"/>
    <m/>
    <s v="His randomness makes every game more interesting! "/>
    <m/>
    <s v="Diamond"/>
    <m/>
    <s v="5-25"/>
    <m/>
    <x v="353"/>
    <m/>
    <s v="5-6 times a week"/>
    <m/>
    <s v="Watch"/>
    <m/>
    <s v="Male"/>
    <m/>
    <s v="19-25"/>
    <m/>
    <x v="0"/>
    <m/>
    <s v="Germany"/>
    <m/>
  </r>
  <r>
    <d v="2018-11-14T18:31:41"/>
    <s v="Gameplay, Collecting Cards/Masters, Different game modes"/>
    <s v="Solo, Premade Duo, Draft, Mayhem Solo, Mayhem Duo"/>
    <s v="Master Skins, Arenas, Emotes"/>
    <s v="Yes"/>
    <s v="Skins"/>
    <s v="Yes"/>
    <s v="Black hole, troubadour, blood imp, spear throwers, priestess"/>
    <m/>
    <s v="Settsu"/>
    <m/>
    <s v="Face strat"/>
    <m/>
    <s v="Grandmaster"/>
    <m/>
    <s v="1000+"/>
    <m/>
    <x v="354"/>
    <m/>
    <s v="Daily"/>
    <m/>
    <s v="Watch"/>
    <m/>
    <s v="Male"/>
    <m/>
    <s v="19-25"/>
    <m/>
    <x v="1"/>
    <m/>
    <s v="USA"/>
    <m/>
  </r>
  <r>
    <d v="2018-11-14T18:33:11"/>
    <s v="Gameplay"/>
    <s v="Duo"/>
    <s v="Master Skins, Arenas"/>
    <s v="Yes"/>
    <s v="battlepass"/>
    <s v="No"/>
    <m/>
    <m/>
    <s v="Mordar"/>
    <m/>
    <s v="the graves"/>
    <m/>
    <s v="Platinum"/>
    <m/>
    <s v="25-100"/>
    <m/>
    <x v="4"/>
    <m/>
    <s v="Daily"/>
    <m/>
    <s v="Watch, Stream"/>
    <m/>
    <s v="Male"/>
    <m/>
    <s v="26-35"/>
    <m/>
    <x v="0"/>
    <m/>
    <s v="I prefer not to say"/>
    <m/>
  </r>
  <r>
    <d v="2018-11-14T18:33:39"/>
    <s v="Gameplay"/>
    <s v="Duo"/>
    <s v="Master Skins"/>
    <s v="Yes"/>
    <s v="Indirectly via premium upgrade, and once for the very first battle pass"/>
    <s v="Yes"/>
    <s v="Plasma Marines, Arcane Golem, Assassin, Mana Puff Madness, Infiltration"/>
    <m/>
    <s v="Milloween"/>
    <m/>
    <s v="Going all in with spells to level the golem is great fun"/>
    <m/>
    <s v="Platinum"/>
    <m/>
    <s v="100-200"/>
    <m/>
    <x v="355"/>
    <m/>
    <s v="3-4 times a week"/>
    <m/>
    <s v="Neither"/>
    <m/>
    <s v="Male"/>
    <m/>
    <s v="19-25"/>
    <m/>
    <x v="1"/>
    <m/>
    <s v="The Netherlands"/>
    <m/>
  </r>
  <r>
    <d v="2018-11-14T18:38:16"/>
    <s v="Gameplay, Graphics, Collecting Cards/Masters, Crafting system"/>
    <s v="Duo, Premade Duo"/>
    <s v="Master Skins, Arenas"/>
    <s v="Yes"/>
    <s v="Battle Pass"/>
    <s v="Yes"/>
    <s v="Incubus, Boomer, Dragon Nest, Gax the World Bomb, Wizard Puff"/>
    <m/>
    <s v="Mordar"/>
    <m/>
    <s v="The Tombstones add a really interesting level of gameplay"/>
    <m/>
    <s v="Gold"/>
    <m/>
    <s v="25-100"/>
    <m/>
    <x v="356"/>
    <m/>
    <s v="Daily"/>
    <m/>
    <s v="Watch"/>
    <m/>
    <s v="Male"/>
    <m/>
    <s v="19-25"/>
    <m/>
    <x v="1"/>
    <m/>
    <s v="Canada"/>
    <m/>
  </r>
  <r>
    <d v="2018-11-14T18:39:48"/>
    <s v="Gameplay, Graphics, Collecting Cards/Masters, Competitions/Tournaments, Crafting system"/>
    <s v="Solo, Duo, Premade Duo, Expeditions, Mayhem Solo, Mayhem Duo"/>
    <s v="Arenas"/>
    <s v="No"/>
    <m/>
    <s v="I've not made a purchase"/>
    <m/>
    <m/>
    <s v="Stormbringer"/>
    <m/>
    <s v="he shot along the arena and fast "/>
    <m/>
    <s v="Platinum"/>
    <m/>
    <s v="100-200"/>
    <m/>
    <x v="119"/>
    <m/>
    <s v="Daily"/>
    <m/>
    <s v="Neither"/>
    <m/>
    <s v="Male"/>
    <m/>
    <s v="26-35"/>
    <m/>
    <x v="0"/>
    <m/>
    <s v="Egypt"/>
    <m/>
  </r>
  <r>
    <d v="2018-11-14T18:45:41"/>
    <s v="Gameplay, Collecting Cards/Masters"/>
    <s v="Duo, Premade Duo, Draft"/>
    <s v="Arenas"/>
    <s v="No"/>
    <m/>
    <s v="I've not made a purchase"/>
    <m/>
    <m/>
    <s v="Apep"/>
    <m/>
    <s v="Its just fun using him and the other random minion cards. Like blind date and all that"/>
    <m/>
    <s v="Platinum"/>
    <m/>
    <s v="25-100"/>
    <m/>
    <x v="357"/>
    <m/>
    <s v="Daily"/>
    <m/>
    <s v="Watch"/>
    <m/>
    <s v="Male"/>
    <m/>
    <s v="19-25"/>
    <m/>
    <x v="2"/>
    <m/>
    <s v="USA"/>
    <m/>
  </r>
  <r>
    <d v="2018-11-14T18:45:45"/>
    <s v="Competitions/Tournaments"/>
    <s v="Solo, Duo, Draft, Expeditions, Mayhem Solo"/>
    <s v="Master Skins, Arenas"/>
    <s v="No"/>
    <m/>
    <s v="I've not made a purchase"/>
    <m/>
    <m/>
    <s v="Stormbringer"/>
    <m/>
    <m/>
    <m/>
    <s v="Platinum"/>
    <m/>
    <s v="25-100"/>
    <m/>
    <x v="4"/>
    <m/>
    <s v="1-2 times a week"/>
    <m/>
    <s v="Neither"/>
    <m/>
    <s v="Male"/>
    <m/>
    <s v="26-35"/>
    <m/>
    <x v="0"/>
    <m/>
    <s v="I prefer not to say"/>
    <m/>
  </r>
  <r>
    <d v="2018-11-14T18:46:53"/>
    <s v="Gameplay"/>
    <s v="Duo, Premade Duo"/>
    <s v="Master Skins"/>
    <s v="No"/>
    <m/>
    <s v="I've not made a purchase"/>
    <m/>
    <m/>
    <s v="Settsu"/>
    <m/>
    <m/>
    <m/>
    <s v="Grandmaster"/>
    <m/>
    <s v="100-200"/>
    <m/>
    <x v="358"/>
    <m/>
    <s v="Daily"/>
    <m/>
    <s v="Neither"/>
    <m/>
    <s v="Male"/>
    <m/>
    <s v="19-25"/>
    <m/>
    <x v="3"/>
    <m/>
    <s v="France"/>
    <m/>
  </r>
  <r>
    <d v="2018-11-14T18:47:00"/>
    <s v="Gameplay, Collecting Cards/Masters"/>
    <s v="Duo, Premade Duo"/>
    <s v="Emotes, Avatars"/>
    <s v="No"/>
    <m/>
    <s v="I've not made a purchase"/>
    <s v="Xiao Long (broken, but fun), Crystal Archers(simple, elegant, powerfull), spiritmancer, commander azali, incubus"/>
    <m/>
    <s v="Apep"/>
    <m/>
    <s v="I think his abilities are fun"/>
    <m/>
    <s v="Diamond"/>
    <m/>
    <s v="25-100"/>
    <m/>
    <x v="359"/>
    <m/>
    <s v="Daily"/>
    <m/>
    <s v="Watch"/>
    <m/>
    <s v="Male"/>
    <m/>
    <s v="19-25"/>
    <m/>
    <x v="0"/>
    <m/>
    <s v="Russia"/>
    <m/>
  </r>
  <r>
    <d v="2018-11-14T18:48:12"/>
    <s v="Gameplay, Graphics, Collecting Cards/Masters, Competitions/Tournaments, Crafting system"/>
    <s v="Solo"/>
    <s v="Master Skins, Arenas, Avatars"/>
    <s v="No"/>
    <m/>
    <s v="I've not made a purchase"/>
    <s v="all"/>
    <m/>
    <s v="Stormbringer"/>
    <m/>
    <s v="free"/>
    <m/>
    <s v="Gold"/>
    <m/>
    <s v="200-1000"/>
    <m/>
    <x v="4"/>
    <m/>
    <s v="Daily"/>
    <m/>
    <s v="Neither"/>
    <m/>
    <s v="Male"/>
    <m/>
    <s v="over 36"/>
    <m/>
    <x v="0"/>
    <m/>
    <s v="New Zealand"/>
    <m/>
  </r>
  <r>
    <d v="2018-11-14T18:48:15"/>
    <s v="Gameplay, Collecting Cards/Masters"/>
    <s v="Solo, Duo, Draft, Expeditions, Mayhem Solo"/>
    <m/>
    <s v="No"/>
    <m/>
    <s v="I've not made a purchase"/>
    <s v="Daggerfall, Dragon Whelp, Assassin, Succubus, Whirly Scrat "/>
    <m/>
    <s v="Milloween"/>
    <m/>
    <s v="Arcane Missiles is a fun card"/>
    <m/>
    <s v="Silver"/>
    <m/>
    <s v="5-25"/>
    <m/>
    <x v="360"/>
    <m/>
    <s v="Daily"/>
    <m/>
    <s v="Watch"/>
    <m/>
    <s v="Male"/>
    <m/>
    <s v="19-25"/>
    <m/>
    <x v="1"/>
    <m/>
    <s v="USA"/>
    <m/>
  </r>
  <r>
    <d v="2018-11-14T18:49:41"/>
    <s v="Collecting Cards/Masters"/>
    <s v="Solo"/>
    <s v="Avatars"/>
    <s v="No"/>
    <m/>
    <s v="I've not made a purchase"/>
    <m/>
    <m/>
    <s v="Stormbringer"/>
    <m/>
    <m/>
    <m/>
    <s v="Silver"/>
    <m/>
    <s v="25-100"/>
    <m/>
    <x v="4"/>
    <m/>
    <s v="Daily"/>
    <m/>
    <s v="Neither"/>
    <m/>
    <s v="Male"/>
    <m/>
    <s v="14-18"/>
    <m/>
    <x v="1"/>
    <m/>
    <s v="I prefer not to say"/>
    <m/>
  </r>
  <r>
    <d v="2018-11-14T18:52:16"/>
    <s v="Gameplay"/>
    <s v="Duo"/>
    <s v="Arenas"/>
    <s v="No"/>
    <m/>
    <s v="I've not made a purchase"/>
    <m/>
    <m/>
    <s v="Stormbringer"/>
    <m/>
    <m/>
    <m/>
    <s v="Diamond"/>
    <m/>
    <s v="0-5"/>
    <m/>
    <x v="361"/>
    <m/>
    <s v="Daily"/>
    <m/>
    <s v="Neither"/>
    <m/>
    <s v="Male"/>
    <m/>
    <s v="19-25"/>
    <m/>
    <x v="3"/>
    <m/>
    <s v="Guatemala"/>
    <m/>
  </r>
  <r>
    <d v="2018-11-14T18:52:55"/>
    <s v="Graphics"/>
    <s v="Duo, Expeditions"/>
    <s v="Master Skins, Arenas, Emotes, Avatars"/>
    <s v="No"/>
    <m/>
    <s v="I've not made a purchase"/>
    <s v="Styxi,Blue Golem,Stun Lancers,Mana Puff Madness,Beam of Doom"/>
    <m/>
    <s v="Volco"/>
    <m/>
    <s v="Because he is badass"/>
    <m/>
    <s v="Stone"/>
    <m/>
    <s v="0-5"/>
    <m/>
    <x v="362"/>
    <m/>
    <s v="3-4 times a week"/>
    <m/>
    <s v="Watch"/>
    <m/>
    <s v="Male"/>
    <m/>
    <s v="14-18"/>
    <m/>
    <x v="1"/>
    <m/>
    <s v="Romania"/>
    <m/>
  </r>
  <r>
    <d v="2018-11-14T18:54:06"/>
    <s v="Gameplay, Collecting Cards/Masters"/>
    <s v="Solo, Premade Duo, Draft, Mayhem Solo"/>
    <s v="Arenas"/>
    <s v="No"/>
    <m/>
    <s v="I've not made a purchase"/>
    <s v="Harbringer, Troubadour, Future Presen, Blind Date &amp; Prowler."/>
    <m/>
    <s v="Milloween"/>
    <m/>
    <s v="Waifu, of course."/>
    <m/>
    <s v="Master"/>
    <m/>
    <s v="25-100"/>
    <m/>
    <x v="363"/>
    <m/>
    <s v="Daily"/>
    <m/>
    <s v="Watch, Stream"/>
    <m/>
    <s v="Male"/>
    <m/>
    <s v="19-25"/>
    <m/>
    <x v="3"/>
    <m/>
    <s v="Chile"/>
    <m/>
  </r>
  <r>
    <d v="2018-11-14T18:56:13"/>
    <s v="Gameplay"/>
    <s v="Duo, Premade Duo, Draft, Mayhem Duo"/>
    <s v="Master Skins"/>
    <s v="Yes"/>
    <s v="getting more cards or sometimes for a skins"/>
    <s v="Yes"/>
    <s v="Scrat Pack, Plasma Marines, Prowler, Musketeer, Colossus"/>
    <m/>
    <s v="Apep"/>
    <m/>
    <s v="because of his abilities that gives you 2 cards for free mana :)"/>
    <m/>
    <s v="Diamond"/>
    <m/>
    <s v="25-100"/>
    <m/>
    <x v="364"/>
    <m/>
    <s v="Daily"/>
    <m/>
    <s v="Stream"/>
    <m/>
    <s v="Male"/>
    <m/>
    <s v="14-18"/>
    <m/>
    <x v="1"/>
    <m/>
    <s v="Czech Republic"/>
    <m/>
  </r>
  <r>
    <d v="2018-11-14T19:00:04"/>
    <s v="Gameplay"/>
    <s v="Solo, Draft"/>
    <s v="Avatars"/>
    <s v="No"/>
    <m/>
    <s v="I've not made a purchase"/>
    <s v="Scrat Pack, Re-Boomer, Wheel of Doom, AtG Drone X8, Beam of Doom"/>
    <m/>
    <s v="Stormbringer"/>
    <m/>
    <s v="It fits my slow and ranged minion based playstyle"/>
    <m/>
    <s v="Grandmaster"/>
    <m/>
    <s v="200-1000"/>
    <m/>
    <x v="4"/>
    <m/>
    <s v="5-6 times a week"/>
    <m/>
    <s v="Neither"/>
    <m/>
    <s v="Male"/>
    <m/>
    <s v="19-25"/>
    <m/>
    <x v="1"/>
    <m/>
    <s v="Brazil"/>
    <m/>
  </r>
  <r>
    <d v="2018-11-14T19:00:21"/>
    <s v="Gameplay, Graphics, Collecting Cards/Masters, Crafting system"/>
    <s v="Duo, Premade Duo"/>
    <s v="Master Skins, Arenas"/>
    <s v="No"/>
    <m/>
    <s v="I've not made a purchase"/>
    <s v="swarmers, prowler, sniper mana, mana puff madness, curse bearer"/>
    <m/>
    <s v="King Puff"/>
    <m/>
    <s v="i love his skins, and i like the swap bridge mechanics"/>
    <m/>
    <s v="Grandmaster"/>
    <m/>
    <s v="200-1000"/>
    <m/>
    <x v="365"/>
    <m/>
    <s v="Daily"/>
    <m/>
    <s v="Watch"/>
    <m/>
    <s v="Male"/>
    <m/>
    <s v="14-18"/>
    <m/>
    <x v="3"/>
    <m/>
    <s v="France"/>
    <m/>
  </r>
  <r>
    <d v="2018-11-14T19:02:32"/>
    <s v="Gameplay, Collecting Cards/Masters"/>
    <s v="Duo, Mayhem Solo, Mayhem Duo"/>
    <s v="Avatars"/>
    <s v="No"/>
    <m/>
    <s v="I've not made a purchase"/>
    <s v=" no"/>
    <m/>
    <s v="Ravager"/>
    <m/>
    <m/>
    <m/>
    <s v="Gold"/>
    <m/>
    <s v="5-25"/>
    <m/>
    <x v="4"/>
    <m/>
    <s v="3-4 times a week"/>
    <m/>
    <s v="Neither"/>
    <m/>
    <s v="Male"/>
    <m/>
    <s v="19-25"/>
    <m/>
    <x v="1"/>
    <m/>
    <s v="I prefer not to say"/>
    <m/>
  </r>
  <r>
    <d v="2018-11-14T19:02:48"/>
    <s v="Gameplay, Collecting Cards/Masters"/>
    <s v="Solo, Duo"/>
    <s v="Emotes"/>
    <s v="Yes"/>
    <s v="Battle Pass"/>
    <s v="Yes"/>
    <s v="Daggerfall, Wall, Divine Warrior, Musketeer, Rocket Scrat/Scrat Launcher"/>
    <m/>
    <s v="Apep"/>
    <m/>
    <s v="I have a playstyel that focuses on efficiently counter enemy units then using the surplus mana I gained by doing so to mount a push against the enemy, Apep allows both stalling an efficient pushes with his Shield Totem and Gift of the Snake God effects. His psuedo randomness also allows me to counter some decks I otherwise might not be able too, and prevent me getting cycled upon (A cycle is the 10 cards in your deck and the order you play them in, if by chance you play a succubus and the opponent plays a Cleaver to kill her, you know that by the time she gets in your hand again the changes are exceedingly high that the enemy Cleaver has made its way back into the opponents hand just waiting to counter the Succubus. CYCLED means that you can keep countering opponets cards in the same order they play them over, and over as you keep drawing the same 10 cards over and over. Apep's psudeo randomness allows me to outright avoid that, or throw enough of a wrench into the mix to allow me to overcome it.)"/>
    <m/>
    <s v="Grandmaster"/>
    <m/>
    <s v="200-1000"/>
    <m/>
    <x v="366"/>
    <m/>
    <s v="Daily"/>
    <m/>
    <s v="Neither"/>
    <m/>
    <s v="Male"/>
    <m/>
    <s v="19-25"/>
    <m/>
    <x v="3"/>
    <m/>
    <s v="USA"/>
    <m/>
  </r>
  <r>
    <d v="2018-11-14T19:03:29"/>
    <s v="Gameplay"/>
    <s v="Premade Duo"/>
    <s v="Master Skins"/>
    <s v="Yes"/>
    <s v="Get battle pass"/>
    <s v="Yes"/>
    <s v="Xiao Long"/>
    <m/>
    <s v="Stormbringer"/>
    <m/>
    <s v="Abilities are nuts"/>
    <m/>
    <s v="Gold"/>
    <m/>
    <s v="5-25"/>
    <m/>
    <x v="4"/>
    <m/>
    <s v="Daily"/>
    <m/>
    <s v="Watch"/>
    <m/>
    <s v="Male"/>
    <m/>
    <s v="26-35"/>
    <m/>
    <x v="3"/>
    <m/>
    <s v="I prefer not to say"/>
    <m/>
  </r>
  <r>
    <d v="2018-11-14T19:04:38"/>
    <s v="Graphics, Collecting Cards/Masters"/>
    <s v="Duo, Draft"/>
    <s v="Master Skins, Arenas"/>
    <s v="Yes"/>
    <s v="For the battle pass"/>
    <s v="Yes"/>
    <m/>
    <m/>
    <s v="Mordar"/>
    <m/>
    <s v="I don't test all Masters, Mordar is my main for the moment because i love the resurection mecanic"/>
    <m/>
    <s v="Platinum"/>
    <m/>
    <s v="25-100"/>
    <m/>
    <x v="367"/>
    <m/>
    <s v="Daily"/>
    <m/>
    <s v="Watch"/>
    <m/>
    <s v="Male"/>
    <m/>
    <s v="19-25"/>
    <m/>
    <x v="3"/>
    <m/>
    <s v="France"/>
    <m/>
  </r>
  <r>
    <d v="2018-11-14T19:04:48"/>
    <s v="Gameplay"/>
    <s v="Solo, Premade Duo"/>
    <s v="Emotes"/>
    <s v="Yes"/>
    <s v="For the premium account and the battlepass"/>
    <s v="Yes"/>
    <s v="Colossus, plasma marines, harbringer, xiao long and Drone buzzers"/>
    <m/>
    <s v="King Puff"/>
    <m/>
    <s v="Because of his second perk &quot;Buff dealer&quot;"/>
    <m/>
    <s v="Master"/>
    <m/>
    <s v="25-100"/>
    <m/>
    <x v="368"/>
    <m/>
    <s v="Daily"/>
    <m/>
    <s v="Stream"/>
    <m/>
    <s v="Male"/>
    <m/>
    <s v="19-25"/>
    <m/>
    <x v="0"/>
    <m/>
    <s v="The Netherlands"/>
    <m/>
  </r>
  <r>
    <d v="2018-11-14T19:06:15"/>
    <s v="Gameplay"/>
    <s v="Premade Duo"/>
    <s v="Arenas"/>
    <s v="Yes"/>
    <s v="Skins, Cards, Power Tokens"/>
    <s v="Yes"/>
    <s v="Scrat Pack, Crystal Archer, Crystal Golem, Fireball, Mana Puff"/>
    <m/>
    <s v="Ravager"/>
    <m/>
    <s v="The perks"/>
    <m/>
    <s v="Platinum"/>
    <m/>
    <s v="100-200"/>
    <m/>
    <x v="369"/>
    <m/>
    <s v="Daily"/>
    <m/>
    <s v="Watch"/>
    <m/>
    <s v="Male"/>
    <m/>
    <s v="19-25"/>
    <m/>
    <x v="1"/>
    <m/>
    <s v="USA"/>
    <m/>
  </r>
  <r>
    <d v="2018-11-14T19:06:23"/>
    <s v="Gameplay, Collecting Cards/Masters, It feels like fighting game mixed with CCG. Like Sirlin's Yomi but real-time."/>
    <s v="Solo, Duo, Premade Duo"/>
    <s v="Master Skins"/>
    <s v="Yes"/>
    <s v="To get strong options"/>
    <s v="Yes"/>
    <s v="Nothing particular. I like strong cards with multiple purposes but not braindead OP."/>
    <m/>
    <s v="Volco"/>
    <m/>
    <s v="I'm playing around week and half. Seems strong for me and not overcomplicated. And not disgusting like Ratbo."/>
    <m/>
    <s v="Diamond"/>
    <m/>
    <s v="25-100"/>
    <m/>
    <x v="370"/>
    <m/>
    <s v="Daily"/>
    <m/>
    <s v="Watch"/>
    <m/>
    <s v="Male"/>
    <m/>
    <s v="26-35"/>
    <m/>
    <x v="0"/>
    <m/>
    <s v="Russia"/>
    <m/>
  </r>
  <r>
    <d v="2018-11-14T19:06:24"/>
    <s v="Competitions/Tournaments"/>
    <s v="Solo, Draft"/>
    <s v="Avatars"/>
    <s v="No"/>
    <m/>
    <s v="I've not made a purchase"/>
    <s v="Mana Puff, Xiao Long, Cleaver, Plasma Marines, Succubus"/>
    <m/>
    <s v="Volco"/>
    <m/>
    <s v="I liked his designe"/>
    <m/>
    <s v="Silver"/>
    <m/>
    <s v="5-25"/>
    <m/>
    <x v="371"/>
    <m/>
    <s v="Daily"/>
    <m/>
    <s v="Watch"/>
    <m/>
    <s v="Male"/>
    <m/>
    <s v="19-25"/>
    <m/>
    <x v="0"/>
    <m/>
    <s v="Germany"/>
    <m/>
  </r>
  <r>
    <d v="2018-11-14T19:06:36"/>
    <s v="Gameplay"/>
    <s v="Solo"/>
    <s v="Master Skins"/>
    <s v="No"/>
    <m/>
    <s v="Yes"/>
    <s v="no"/>
    <m/>
    <m/>
    <m/>
    <m/>
    <m/>
    <m/>
    <m/>
    <s v="0-5"/>
    <m/>
    <x v="372"/>
    <m/>
    <s v="5-6 times a week"/>
    <m/>
    <s v="Neither"/>
    <m/>
    <s v="Male"/>
    <m/>
    <s v="26-35"/>
    <m/>
    <x v="0"/>
    <m/>
    <s v="New Zealand"/>
    <m/>
  </r>
  <r>
    <d v="2018-11-14T19:06:58"/>
    <s v="Gameplay, Collecting Cards/Masters"/>
    <s v="Duo, Premade Duo"/>
    <s v="Master Skins, Avatars"/>
    <s v="No"/>
    <m/>
    <s v="Yes"/>
    <s v="Plasma Marines, Scott, Xiao Long, "/>
    <m/>
    <s v="Stormbringer"/>
    <m/>
    <s v="I like to have more range"/>
    <m/>
    <s v="Diamond"/>
    <m/>
    <s v="100-200"/>
    <m/>
    <x v="4"/>
    <m/>
    <s v="Daily"/>
    <m/>
    <s v="Watch"/>
    <m/>
    <s v="Male"/>
    <m/>
    <s v="26-35"/>
    <m/>
    <x v="0"/>
    <m/>
    <s v="Germany"/>
    <m/>
  </r>
  <r>
    <d v="2018-11-14T19:08:28"/>
    <s v="Gameplay"/>
    <s v="Solo, Premade Duo"/>
    <s v="Arenas"/>
    <s v="No"/>
    <m/>
    <s v="I've not made a purchase"/>
    <s v="tranquil shi-hou, swarmers, plasma marines, sniper scrat and harbinger."/>
    <m/>
    <s v="Ratbo"/>
    <m/>
    <m/>
    <m/>
    <s v="Gold"/>
    <m/>
    <s v="5-25"/>
    <m/>
    <x v="373"/>
    <m/>
    <s v="5-6 times a week"/>
    <m/>
    <s v="Watch"/>
    <m/>
    <s v="Male"/>
    <m/>
    <s v="19-25"/>
    <m/>
    <x v="1"/>
    <m/>
    <s v="The Netherlands"/>
    <m/>
  </r>
  <r>
    <d v="2018-11-14T19:08:51"/>
    <s v="Gameplay, Collecting Cards/Masters, Competitions/Tournaments"/>
    <s v="Solo, Premade Duo, Mayhem Solo, Mayhem Duo"/>
    <s v="Master Skins"/>
    <s v="Yes"/>
    <s v="Buying a 1950 ruby item set with 5 troubadours last week"/>
    <s v="Yes"/>
    <s v="Troubadour, chain lightning, Mordor's tombstone, Annihilator, daggerfall"/>
    <m/>
    <s v="Mordar"/>
    <m/>
    <s v="I enjoy the counter play and ability to get massive tempo off of playing a card correctly. I like running small minions in my mordor deck and still getting revives on troubadour/annihlator/xiao long"/>
    <m/>
    <s v="Gold"/>
    <m/>
    <s v="25-100"/>
    <m/>
    <x v="374"/>
    <m/>
    <s v="Daily"/>
    <m/>
    <s v="Watch, Stream"/>
    <m/>
    <s v="Male"/>
    <m/>
    <s v="26-35"/>
    <m/>
    <x v="0"/>
    <m/>
    <s v="USA"/>
    <m/>
  </r>
  <r>
    <d v="2018-11-14T19:12:50"/>
    <s v="Gameplay"/>
    <s v="Solo, Duo, Premade Duo, Expeditions"/>
    <s v="Master Skins, Arenas, Emotes, Avatars"/>
    <s v="No"/>
    <m/>
    <s v="Yes"/>
    <s v="all that can rush"/>
    <m/>
    <s v="Volco"/>
    <m/>
    <s v="op"/>
    <m/>
    <s v="Diamond"/>
    <m/>
    <s v="100-200"/>
    <m/>
    <x v="375"/>
    <m/>
    <s v="Daily"/>
    <m/>
    <s v="Neither"/>
    <m/>
    <s v="Male"/>
    <m/>
    <s v="26-35"/>
    <m/>
    <x v="2"/>
    <m/>
    <s v="Germany"/>
    <m/>
  </r>
  <r>
    <d v="2018-11-14T19:13:54"/>
    <s v="Gameplay"/>
    <s v="Solo, Duo, Expeditions"/>
    <s v="Arenas, Avatars"/>
    <s v="No"/>
    <m/>
    <s v="I've not made a purchase"/>
    <s v="Morclur The Swarmer King, Cursebearer, Cleaver, Propeller Horse, Last Stand"/>
    <m/>
    <s v="Mordar"/>
    <m/>
    <s v="I like his Tombstones and AoE basic attacks."/>
    <m/>
    <s v="Platinum"/>
    <m/>
    <s v="25-100"/>
    <m/>
    <x v="376"/>
    <m/>
    <s v="Daily"/>
    <m/>
    <s v="Watch"/>
    <m/>
    <s v="Male"/>
    <m/>
    <s v="26-35"/>
    <m/>
    <x v="3"/>
    <m/>
    <s v="Argentina"/>
    <m/>
  </r>
  <r>
    <d v="2018-11-14T19:14:29"/>
    <s v="Gameplay"/>
    <s v="Premade Duo"/>
    <s v="Master Skins"/>
    <s v="Yes"/>
    <s v="Account upgrade"/>
    <s v="Yes"/>
    <s v="Wheel of doom, Plasma marines, Prowler, Harbinger, Cleaver"/>
    <m/>
    <s v="Settsu"/>
    <m/>
    <s v="First obtained champion"/>
    <m/>
    <s v="Platinum"/>
    <m/>
    <s v="25-100"/>
    <m/>
    <x v="377"/>
    <m/>
    <s v="Daily"/>
    <m/>
    <s v="Watch"/>
    <m/>
    <s v="Male"/>
    <m/>
    <s v="26-35"/>
    <m/>
    <x v="0"/>
    <m/>
    <s v="Canada"/>
    <m/>
  </r>
  <r>
    <d v="2018-11-14T19:14:56"/>
    <s v="Gameplay"/>
    <s v="Solo, Premade Duo"/>
    <s v="Master Skins"/>
    <s v="Yes"/>
    <s v="season pass and power tokens"/>
    <s v="No"/>
    <s v="colossus, azali, gorrakk sacrifice, spiritmancer, blood imps"/>
    <m/>
    <s v="Mordar"/>
    <m/>
    <s v="free minions"/>
    <m/>
    <s v="Master"/>
    <m/>
    <s v="200-1000"/>
    <m/>
    <x v="378"/>
    <m/>
    <s v="Daily"/>
    <m/>
    <s v="Watch"/>
    <m/>
    <s v="Male"/>
    <m/>
    <s v="26-35"/>
    <m/>
    <x v="0"/>
    <m/>
    <s v="Germany"/>
    <m/>
  </r>
  <r>
    <d v="2018-11-14T19:15:09"/>
    <s v="Gameplay"/>
    <s v="Duo, Premade Duo, Draft"/>
    <s v="Emotes"/>
    <s v="Yes"/>
    <m/>
    <s v="Yes"/>
    <m/>
    <m/>
    <s v="Apep"/>
    <m/>
    <m/>
    <m/>
    <s v="Diamond"/>
    <m/>
    <s v="200-1000"/>
    <m/>
    <x v="379"/>
    <m/>
    <s v="Daily"/>
    <m/>
    <s v="Watch"/>
    <m/>
    <s v="Male"/>
    <m/>
    <s v="26-35"/>
    <m/>
    <x v="0"/>
    <m/>
    <s v="I prefer not to say"/>
    <m/>
  </r>
  <r>
    <d v="2018-11-14T19:15:20"/>
    <s v="Gameplay, Collecting Cards/Masters"/>
    <s v="Duo, Premade Duo"/>
    <s v="Master Skins, Emotes"/>
    <s v="No"/>
    <m/>
    <s v="I've not made a purchase"/>
    <m/>
    <m/>
    <s v="Apep"/>
    <m/>
    <s v="Randomness"/>
    <m/>
    <s v="Gold"/>
    <m/>
    <s v="25-100"/>
    <m/>
    <x v="380"/>
    <m/>
    <s v="3-4 times a week"/>
    <m/>
    <s v="Watch"/>
    <m/>
    <s v="Male"/>
    <m/>
    <s v="26-35"/>
    <m/>
    <x v="0"/>
    <m/>
    <s v="Germany "/>
    <m/>
  </r>
  <r>
    <d v="2018-11-14T19:16:07"/>
    <s v="Gameplay, Graphics, Collecting Cards/Masters, This is a better version of hearthstone in my opinion. Took the idea of Masters to a new level which is balanced and fun!"/>
    <s v="Solo, Duo, Draft, Expeditions"/>
    <s v="Master Skins, Arenas"/>
    <s v="Yes"/>
    <s v="Master and arena skins"/>
    <s v="Yes"/>
    <s v="Xiao Long, Crystal Sentry, Annihilator, Soul Stealer, Crystal Construct"/>
    <m/>
    <s v="Milloween"/>
    <m/>
    <s v="She works the best with the deck I’m going for. Gives a ranged tank card and a free spell card to use."/>
    <m/>
    <s v="Silver"/>
    <m/>
    <s v="25-100"/>
    <m/>
    <x v="381"/>
    <m/>
    <s v="Daily"/>
    <m/>
    <s v="Watch"/>
    <m/>
    <s v="Male"/>
    <m/>
    <s v="19-25"/>
    <m/>
    <x v="0"/>
    <m/>
    <s v="USA"/>
    <m/>
  </r>
  <r>
    <d v="2018-11-14T19:17:03"/>
    <s v="Gameplay, Collecting Cards/Masters, Competitions/Tournaments"/>
    <s v="Solo, Premade Duo, Draft"/>
    <s v="Master Skins"/>
    <s v="Yes"/>
    <s v="I'm a sucker"/>
    <s v="Yes"/>
    <s v="Armored Escort, Musketeer, Colossus, Blood Imps, Combustion"/>
    <m/>
    <s v="King Puff"/>
    <m/>
    <s v="OP...cough cough i mean fun and engaging"/>
    <m/>
    <s v="Master"/>
    <m/>
    <s v="100-200"/>
    <m/>
    <x v="382"/>
    <m/>
    <s v="Daily"/>
    <m/>
    <s v="Watch, Stream"/>
    <m/>
    <s v="Male"/>
    <m/>
    <s v="19-25"/>
    <m/>
    <x v="0"/>
    <m/>
    <s v="USA"/>
    <m/>
  </r>
  <r>
    <d v="2018-11-14T19:20:13"/>
    <s v="Gameplay"/>
    <s v="Solo"/>
    <s v="Arenas"/>
    <s v="No"/>
    <m/>
    <s v="I've not made a purchase"/>
    <s v="Stun Lanchers, Sniper scrat,  Demon warrior, shi hou, divine warrior "/>
    <m/>
    <s v="Stormbringer"/>
    <m/>
    <s v="Not tried any of the othere yet"/>
    <m/>
    <s v="Wood"/>
    <m/>
    <s v="0-5"/>
    <m/>
    <x v="383"/>
    <m/>
    <s v="3-4 times a week"/>
    <m/>
    <s v="Watch"/>
    <m/>
    <s v="Male"/>
    <m/>
    <s v="26-35"/>
    <m/>
    <x v="0"/>
    <m/>
    <s v="France"/>
    <m/>
  </r>
  <r>
    <d v="2018-11-14T19:22:47"/>
    <s v="Gameplay"/>
    <s v="Premade Duo, Mayhem Duo"/>
    <s v="Master Skins"/>
    <s v="Yes"/>
    <s v="Premium account"/>
    <s v="Yes"/>
    <s v="Soulstealer, defenso choper, xiao long, stun blast, walking blind date"/>
    <m/>
    <s v="Apep"/>
    <m/>
    <s v="Random cards give some juice to stereotype... Make you think on the go... Shortly, every game is little different..."/>
    <m/>
    <s v="Master"/>
    <m/>
    <s v="200-1000"/>
    <m/>
    <x v="384"/>
    <m/>
    <s v="Daily"/>
    <m/>
    <s v="Neither"/>
    <m/>
    <s v="Male"/>
    <m/>
    <s v="26-35"/>
    <m/>
    <x v="1"/>
    <m/>
    <s v="Czech Republic"/>
    <m/>
  </r>
  <r>
    <d v="2018-11-14T19:24:57"/>
    <s v="Gameplay, Collecting Cards/Masters"/>
    <s v="Solo, Duo, Draft"/>
    <s v="Master Skins, Arenas"/>
    <s v="No"/>
    <m/>
    <s v="I've not made a purchase"/>
    <s v="Black Hole, Hypnotize, Succubus, Combustion, Dragonball"/>
    <m/>
    <s v="Ravager"/>
    <m/>
    <s v="Very well rounded and fun to play."/>
    <m/>
    <s v="Grandmaster"/>
    <m/>
    <s v="1000+"/>
    <m/>
    <x v="385"/>
    <m/>
    <s v="Daily"/>
    <m/>
    <s v="Neither"/>
    <m/>
    <s v="Male"/>
    <m/>
    <s v="26-35"/>
    <m/>
    <x v="3"/>
    <m/>
    <s v="The Netherlands"/>
    <m/>
  </r>
  <r>
    <d v="2018-11-14T19:26:25"/>
    <s v="Gameplay, Graphics, Collecting Cards/Masters, Competitions/Tournaments, Crafting system"/>
    <s v="Premade Duo, Expeditions, Mayhem Duo"/>
    <s v="Emotes"/>
    <s v="Yes"/>
    <s v="better acount"/>
    <s v="Yes"/>
    <s v="soulstealer, spiritmancer, stunlancers, assassin, xialong"/>
    <m/>
    <s v="Ravager"/>
    <m/>
    <s v="big minions :D"/>
    <m/>
    <s v="Master"/>
    <m/>
    <s v="200-1000"/>
    <m/>
    <x v="386"/>
    <m/>
    <s v="5-6 times a week"/>
    <m/>
    <s v="Neither"/>
    <m/>
    <s v="Female"/>
    <m/>
    <s v="26-35"/>
    <m/>
    <x v="0"/>
    <m/>
    <s v="Czech Republic"/>
    <m/>
  </r>
  <r>
    <d v="2018-11-14T19:27:43"/>
    <s v="Gameplay, Collecting Cards/Masters"/>
    <s v="Solo, Duo, Draft"/>
    <s v="Emotes"/>
    <s v="Yes"/>
    <s v="For the premium upgrade"/>
    <s v="Yes"/>
    <s v="Scrat Pack / Black Hole / Dragon Ball / Defenso Chopper / Divine Warrior"/>
    <m/>
    <s v="King Puff"/>
    <m/>
    <s v="Because Puffs are cute"/>
    <m/>
    <s v="Grandmaster"/>
    <m/>
    <s v="200-1000"/>
    <m/>
    <x v="387"/>
    <m/>
    <s v="Daily"/>
    <m/>
    <s v="Watch"/>
    <m/>
    <s v="Male"/>
    <m/>
    <s v="over 36"/>
    <m/>
    <x v="3"/>
    <m/>
    <s v="France"/>
    <m/>
  </r>
  <r>
    <d v="2018-11-14T19:28:13"/>
    <s v="Gameplay, Collecting Cards/Masters"/>
    <s v="Duo, Premade Duo"/>
    <s v="Master Skins, Arenas"/>
    <s v="Yes"/>
    <s v="Battle pass"/>
    <s v="Yes"/>
    <s v="Ajax world destroyer, chain lightning, mini puff madness, cleaver, flying dude that gains attack speed on kills"/>
    <m/>
    <s v="Milloween"/>
    <m/>
    <s v="Fun spellcaster"/>
    <m/>
    <s v="Gold"/>
    <m/>
    <s v="5-25"/>
    <m/>
    <x v="388"/>
    <m/>
    <s v="Daily"/>
    <m/>
    <s v="Watch"/>
    <m/>
    <s v="Male"/>
    <m/>
    <s v="19-25"/>
    <m/>
    <x v="0"/>
    <m/>
    <s v="USA"/>
    <m/>
  </r>
  <r>
    <d v="2018-11-14T19:28:19"/>
    <s v="Gameplay, Collecting Cards/Masters"/>
    <s v="Premade Duo"/>
    <s v="Master Skins"/>
    <s v="No"/>
    <m/>
    <s v="I've not made a purchase"/>
    <s v="Elven Archers, Fiery Dragons, Turret, Stun Lancers, Avatar"/>
    <m/>
    <s v="Ravager"/>
    <m/>
    <s v="His minions from leveling allow different card combonations than normal"/>
    <m/>
    <s v="Silver"/>
    <m/>
    <s v="5-25"/>
    <m/>
    <x v="389"/>
    <m/>
    <s v="Daily"/>
    <m/>
    <s v="Watch"/>
    <m/>
    <s v="Male"/>
    <m/>
    <s v="26-35"/>
    <m/>
    <x v="3"/>
    <m/>
    <s v="USA"/>
    <m/>
  </r>
  <r>
    <d v="2018-11-14T19:28:31"/>
    <s v="Gameplay, Graphics, Collecting Cards/Masters"/>
    <s v="Duo, Premade Duo"/>
    <s v="Master Skins"/>
    <s v="No"/>
    <m/>
    <s v="I've not made a purchase"/>
    <s v="Chain lightning, Priestess, Scrat horde, Drone buzzers, Raging Reinforcements"/>
    <m/>
    <s v="Milloween"/>
    <m/>
    <s v="She was the only master I liked from the ones that were f2p when I started playing."/>
    <m/>
    <s v="Gold"/>
    <m/>
    <s v="25-100"/>
    <m/>
    <x v="390"/>
    <m/>
    <s v="Daily"/>
    <m/>
    <s v="Watch"/>
    <m/>
    <s v="Male"/>
    <m/>
    <s v="19-25"/>
    <m/>
    <x v="1"/>
    <m/>
    <s v="The Netherlands"/>
    <m/>
  </r>
  <r>
    <d v="2018-11-14T19:31:12"/>
    <s v="Gameplay, Graphics, Collecting Cards/Masters"/>
    <s v="Solo"/>
    <s v="Arenas"/>
    <s v="Yes"/>
    <s v="Battle Pass, Masters"/>
    <s v="Yes"/>
    <m/>
    <m/>
    <s v="Milloween"/>
    <m/>
    <s v="I like spell rotation"/>
    <m/>
    <s v="Master"/>
    <m/>
    <s v="100-200"/>
    <m/>
    <x v="391"/>
    <m/>
    <s v="Occasionally"/>
    <m/>
    <s v="Watch"/>
    <m/>
    <s v="Male"/>
    <m/>
    <s v="19-25"/>
    <m/>
    <x v="1"/>
    <m/>
    <s v="USA"/>
    <m/>
  </r>
  <r>
    <d v="2018-11-14T19:32:25"/>
    <s v="Gameplay, Graphics"/>
    <s v="Solo, Duo, Expeditions, Mayhem Solo"/>
    <s v="Master Skins, Avatars"/>
    <s v="No"/>
    <m/>
    <s v="No"/>
    <m/>
    <m/>
    <s v="Milloween"/>
    <m/>
    <m/>
    <m/>
    <m/>
    <m/>
    <s v="5-25"/>
    <m/>
    <x v="4"/>
    <m/>
    <s v="Occasionally"/>
    <m/>
    <s v="Neither"/>
    <m/>
    <s v="Male"/>
    <m/>
    <s v="26-35"/>
    <m/>
    <x v="3"/>
    <m/>
    <s v="France"/>
    <m/>
  </r>
  <r>
    <d v="2018-11-14T19:34:10"/>
    <s v="Gameplay"/>
    <s v="Duo, Premade Duo"/>
    <s v="Arenas, Emotes"/>
    <s v="No"/>
    <m/>
    <m/>
    <m/>
    <m/>
    <s v="Ravager"/>
    <m/>
    <s v="Brutus is fun! Frenzy is fun! Master himself has good attack Speeds for Defense. "/>
    <m/>
    <s v="Gold"/>
    <m/>
    <s v="5-25"/>
    <m/>
    <x v="392"/>
    <m/>
    <s v="Daily"/>
    <m/>
    <s v="Watch, Stream"/>
    <m/>
    <s v="Male"/>
    <m/>
    <s v="26-35"/>
    <m/>
    <x v="2"/>
    <m/>
    <s v="USA"/>
    <m/>
  </r>
  <r>
    <d v="2018-11-14T19:37:54"/>
    <s v="Gameplay, Graphics, Collecting Cards/Masters"/>
    <s v="Solo, Duo, Draft, Expeditions, Mayhem Solo, Mayhem Duo"/>
    <s v="Master Skins"/>
    <s v="No"/>
    <m/>
    <s v="I've not made a purchase"/>
    <m/>
    <m/>
    <s v="Volco"/>
    <m/>
    <s v="his abilities are my favorite to work with"/>
    <m/>
    <s v="Silver"/>
    <m/>
    <s v="25-100"/>
    <m/>
    <x v="393"/>
    <m/>
    <s v="3-4 times a week"/>
    <m/>
    <s v="Watch"/>
    <m/>
    <s v="Male"/>
    <m/>
    <s v="19-25"/>
    <m/>
    <x v="3"/>
    <m/>
    <s v="USA"/>
    <m/>
  </r>
  <r>
    <d v="2018-11-14T19:40:42"/>
    <s v="Gameplay"/>
    <s v="Solo, Duo, Premade Duo"/>
    <s v="Master Skins"/>
    <s v="No"/>
    <m/>
    <s v="I've not made a purchase"/>
    <s v="-"/>
    <m/>
    <s v="Settsu"/>
    <m/>
    <m/>
    <m/>
    <s v="Master"/>
    <m/>
    <s v="200-1000"/>
    <m/>
    <x v="394"/>
    <m/>
    <s v="Occasionally"/>
    <m/>
    <s v="Neither"/>
    <m/>
    <s v="I prefer not to say"/>
    <m/>
    <s v="26-35"/>
    <m/>
    <x v="0"/>
    <m/>
    <s v="Russia"/>
    <m/>
  </r>
  <r>
    <d v="2018-11-14T19:41:52"/>
    <s v="Gameplay"/>
    <s v="Draft"/>
    <s v="Master Skins, Arenas"/>
    <s v="No"/>
    <m/>
    <s v="Yes"/>
    <s v="Snake  Druid,  Harbringer, Wizard Puff, Styxi,  Re-Boomer"/>
    <m/>
    <s v="King Puff"/>
    <m/>
    <s v="I used to  absolutely love his stalling playstyle after winning  my first  arena run with this sort of deck, then  climbing  to a very high rank  and almost beating the #1 player with it. I  enjoy the idea  of  4  and 5  power  minions being buffed too,  but  it's not the  same any more a nd he doesn't feel quite right -  nonetheless, I still  enjoy his playstyle a  lot!"/>
    <m/>
    <s v="Platinum"/>
    <m/>
    <s v="200-1000"/>
    <m/>
    <x v="395"/>
    <m/>
    <s v="Daily"/>
    <m/>
    <s v="Neither"/>
    <m/>
    <s v="Male"/>
    <m/>
    <s v="19-25"/>
    <m/>
    <x v="1"/>
    <m/>
    <s v="Poland"/>
    <m/>
  </r>
  <r>
    <d v="2018-11-14T19:42:18"/>
    <s v="Gameplay"/>
    <s v="Solo, Duo, Premade Duo, Draft, Expeditions, Mayhem Solo, Mayhem Duo"/>
    <s v="Master Skins, Arenas, Emotes, Avatars"/>
    <s v="No"/>
    <s v="I have no money"/>
    <s v="Yes"/>
    <m/>
    <m/>
    <s v="Ravager"/>
    <m/>
    <m/>
    <m/>
    <m/>
    <m/>
    <s v="5-25"/>
    <m/>
    <x v="4"/>
    <m/>
    <s v="3-4 times a week"/>
    <m/>
    <m/>
    <m/>
    <s v="Male"/>
    <m/>
    <s v="19-25"/>
    <m/>
    <x v="2"/>
    <m/>
    <s v="I prefer not to say"/>
    <m/>
  </r>
  <r>
    <d v="2018-11-14T19:45:40"/>
    <s v="Gameplay"/>
    <s v="Solo, Premade Duo"/>
    <s v="Emotes"/>
    <s v="No"/>
    <m/>
    <s v="I've not made a purchase"/>
    <s v="1. Assassin 2. Flame Imp 3. Magma Storm 4. Succubus 5. Morgrul the Swarmer King "/>
    <m/>
    <s v="King Puff"/>
    <m/>
    <s v="Bridge swap is a high skill ceiling spell that feels really satisfying and mentally intensive to use to its fullest potential. Puff's 2nd perk creates interesting deckbuilding choices and interesting opportunities to reach new damage thresholds with rage units or improve matchups against certain things e.g. cleaver with shielded units. The 3rd perk is somewhat uninteresting but feels strong and satisfying to make use of. "/>
    <m/>
    <s v="Diamond"/>
    <m/>
    <s v="25-100"/>
    <m/>
    <x v="396"/>
    <m/>
    <s v="Daily"/>
    <m/>
    <s v="Watch"/>
    <m/>
    <s v="Male"/>
    <m/>
    <s v="19-25"/>
    <m/>
    <x v="1"/>
    <m/>
    <s v="USA"/>
    <m/>
  </r>
  <r>
    <d v="2018-11-14T19:45:52"/>
    <s v="Gameplay, Graphics"/>
    <s v="Premade Duo, Expeditions"/>
    <s v="Master Skins"/>
    <s v="Yes"/>
    <s v="Because paying for a well made free to play game, that has a fair business model, feels like giving the money to the right people, that do not only want to make money, but also a good game"/>
    <s v="Yes"/>
    <m/>
    <m/>
    <s v="Apep"/>
    <m/>
    <s v="Fun abilities"/>
    <m/>
    <s v="Gold"/>
    <m/>
    <s v="25-100"/>
    <m/>
    <x v="4"/>
    <m/>
    <s v="Daily"/>
    <m/>
    <s v="Watch"/>
    <m/>
    <s v="Male"/>
    <m/>
    <s v="26-35"/>
    <m/>
    <x v="0"/>
    <m/>
    <s v="Germany"/>
    <m/>
  </r>
  <r>
    <d v="2018-11-14T19:45:54"/>
    <s v="Gameplay, Graphics, Collecting Cards/Masters"/>
    <s v="Solo, Duo, Draft"/>
    <s v="Master Skins, Arenas"/>
    <s v="No"/>
    <m/>
    <s v="I've not made a purchase"/>
    <m/>
    <m/>
    <s v="Milloween"/>
    <m/>
    <s v="I like spells "/>
    <m/>
    <s v="Silver"/>
    <m/>
    <s v="5-25"/>
    <m/>
    <x v="156"/>
    <m/>
    <s v="Occasionally"/>
    <m/>
    <s v="Watch"/>
    <m/>
    <s v="Male"/>
    <m/>
    <s v="14-18"/>
    <m/>
    <x v="1"/>
    <m/>
    <s v="North America"/>
    <m/>
  </r>
  <r>
    <d v="2018-11-14T19:48:32"/>
    <s v="Gameplay, Competitions/Tournaments"/>
    <s v="Solo, Duo"/>
    <s v="Arenas"/>
    <s v="No"/>
    <m/>
    <s v="Yes"/>
    <s v="Legionnaires, Dragon Ball, Whirly Scrat, Rammer, Shock Rock"/>
    <m/>
    <s v="Apep"/>
    <m/>
    <s v="Every time you play him, you play with a new deck and have to use different tactics"/>
    <m/>
    <s v="Grandmaster"/>
    <m/>
    <s v="1000+"/>
    <m/>
    <x v="397"/>
    <m/>
    <s v="1-2 times a week"/>
    <m/>
    <s v="Watch"/>
    <m/>
    <s v="Male"/>
    <m/>
    <s v="26-35"/>
    <m/>
    <x v="4"/>
    <m/>
    <s v="USA"/>
    <m/>
  </r>
  <r>
    <d v="2018-11-14T19:52:26"/>
    <s v="Gameplay"/>
    <s v="Solo, Premade Duo, Mayhem Duo"/>
    <s v="Master Skins"/>
    <s v="No"/>
    <m/>
    <s v="Yes"/>
    <s v="colossus"/>
    <m/>
    <s v="Ravager"/>
    <m/>
    <m/>
    <m/>
    <s v="Platinum"/>
    <m/>
    <s v="5-25"/>
    <m/>
    <x v="4"/>
    <m/>
    <s v="5-6 times a week"/>
    <m/>
    <s v="Stream"/>
    <m/>
    <s v="Male"/>
    <m/>
    <s v="19-25"/>
    <m/>
    <x v="1"/>
    <m/>
    <s v="Thailand"/>
    <m/>
  </r>
  <r>
    <d v="2018-11-14T19:53:18"/>
    <s v="Gameplay, Graphics, Collecting Cards/Masters, Competitions/Tournaments"/>
    <s v="Solo, Duo"/>
    <s v="Master Skins"/>
    <s v="Yes"/>
    <s v="Master skins"/>
    <s v="Yes"/>
    <s v="Im not at my computer so i dont remember their names "/>
    <m/>
    <s v="Settsu"/>
    <m/>
    <s v="She got a strong range attack, her ability to enter the battlefield is very good and her third perk stuns and do more damage"/>
    <m/>
    <s v="Silver"/>
    <m/>
    <s v="5-25"/>
    <m/>
    <x v="398"/>
    <m/>
    <s v="Daily"/>
    <m/>
    <s v="Watch, Stream"/>
    <m/>
    <s v="Male"/>
    <m/>
    <s v="26-35"/>
    <m/>
    <x v="0"/>
    <m/>
    <s v="Sweden"/>
    <m/>
  </r>
  <r>
    <d v="2018-11-14T19:53:41"/>
    <s v="Gameplay"/>
    <s v="Premade Duo"/>
    <s v="Emotes"/>
    <s v="Yes"/>
    <s v="Battle pass"/>
    <s v="No"/>
    <s v="Portopoddy storm lancer "/>
    <m/>
    <s v="Stormbringer"/>
    <m/>
    <s v="Best ability solo"/>
    <m/>
    <s v="Silver"/>
    <m/>
    <s v="5-25"/>
    <m/>
    <x v="399"/>
    <m/>
    <s v="Daily"/>
    <m/>
    <s v="Neither"/>
    <m/>
    <s v="Male"/>
    <m/>
    <s v="19-25"/>
    <m/>
    <x v="0"/>
    <m/>
    <s v="USA"/>
    <m/>
  </r>
  <r>
    <d v="2018-11-14T19:54:05"/>
    <s v="Gameplay, Graphics, Collecting Cards/Masters, Competitions/Tournaments, Crafting system"/>
    <s v="Premade Duo"/>
    <s v="Master Skins, Arenas"/>
    <s v="Yes"/>
    <s v="Bundled with premium upgrade"/>
    <s v="Yes"/>
    <s v="Assassin, Divine Warrior, Harbinger, Scrat Tank, and Commander Azali "/>
    <m/>
    <s v="Mordar"/>
    <m/>
    <s v="Tombstones"/>
    <m/>
    <s v="Gold"/>
    <m/>
    <s v="25-100"/>
    <m/>
    <x v="400"/>
    <m/>
    <s v="5-6 times a week"/>
    <m/>
    <s v="Watch, Stream"/>
    <m/>
    <s v="Male"/>
    <m/>
    <s v="26-35"/>
    <m/>
    <x v="4"/>
    <m/>
    <s v="USA"/>
    <m/>
  </r>
  <r>
    <d v="2018-11-14T19:54:25"/>
    <s v="Gameplay"/>
    <s v="Duo, Premade Duo"/>
    <s v="Arenas"/>
    <s v="No"/>
    <m/>
    <s v="I've not made a purchase"/>
    <m/>
    <m/>
    <s v="Volco"/>
    <m/>
    <s v="i like big melee weapons "/>
    <m/>
    <s v="Platinum"/>
    <m/>
    <s v="5-25"/>
    <m/>
    <x v="401"/>
    <m/>
    <s v="Daily"/>
    <m/>
    <s v="Watch"/>
    <m/>
    <s v="Male"/>
    <m/>
    <s v="19-25"/>
    <m/>
    <x v="0"/>
    <m/>
    <s v="USA"/>
    <m/>
  </r>
  <r>
    <d v="2018-11-14T19:56:33"/>
    <s v="Gameplay, Collecting Cards/Masters"/>
    <s v="Solo, Premade Duo, Draft, Expeditions"/>
    <s v="Master Skins, Arenas, Avatars"/>
    <s v="No"/>
    <s v="i know i don't need to write here if i answered &quot;no&quot;, but if i had spent money on it, it would be for the battle pass."/>
    <s v="I've not made a purchase"/>
    <s v="Empowered Soul Stealer, Future Past, Future Present, Heal Puff and Scrat Horde"/>
    <m/>
    <s v="Volco"/>
    <m/>
    <s v="i've played with it when it was on free rotation, then i got it from the MMVOLCO code and ever since the fist game i played with it i liked it a lot. so i ended playing with it always"/>
    <m/>
    <s v="Gold"/>
    <m/>
    <s v="25-100"/>
    <m/>
    <x v="402"/>
    <m/>
    <s v="Daily"/>
    <m/>
    <s v="Watch, Stream"/>
    <m/>
    <s v="Male"/>
    <m/>
    <s v="14-18"/>
    <m/>
    <x v="3"/>
    <m/>
    <s v="Brazil"/>
    <m/>
  </r>
  <r>
    <d v="2018-11-14T19:58:35"/>
    <s v="Gameplay, Graphics, Collecting Cards/Masters, Competitions/Tournaments"/>
    <s v="Solo, Duo, Premade Duo, Draft, Expeditions, Mayhem Solo, Mayhem Duo"/>
    <s v="Master Skins, Arenas"/>
    <s v="Yes"/>
    <s v="master and cards"/>
    <s v="Yes"/>
    <m/>
    <m/>
    <s v="Milloween"/>
    <m/>
    <s v="i love magic"/>
    <m/>
    <s v="Platinum"/>
    <m/>
    <s v="25-100"/>
    <m/>
    <x v="403"/>
    <m/>
    <s v="Daily"/>
    <m/>
    <s v="Watch, Stream"/>
    <m/>
    <s v="Male"/>
    <m/>
    <s v="over 36"/>
    <m/>
    <x v="0"/>
    <m/>
    <s v="Italy"/>
    <m/>
  </r>
  <r>
    <d v="2018-11-14T19:59:56"/>
    <s v="Gameplay"/>
    <s v="Solo, Draft"/>
    <s v="Master Skins"/>
    <s v="Yes"/>
    <s v="season pass"/>
    <s v="Yes"/>
    <s v="puff mania, morgrul, undying skelly, demon warrior and Blind date"/>
    <m/>
    <s v="Milloween"/>
    <m/>
    <s v="she has  very neat way of playing that the other masters just dont have.  her third perk is a little bland as it could be like one mana off 4+ mana spells"/>
    <m/>
    <s v="Grandmaster"/>
    <m/>
    <s v="200-1000"/>
    <m/>
    <x v="404"/>
    <m/>
    <s v="5-6 times a week"/>
    <m/>
    <s v="Watch"/>
    <m/>
    <s v="Male"/>
    <m/>
    <s v="19-25"/>
    <m/>
    <x v="1"/>
    <m/>
    <s v="USA"/>
    <m/>
  </r>
  <r>
    <d v="2018-11-14T20:01:13"/>
    <s v="Gameplay"/>
    <s v="Duo, Premade Duo, Draft, Mayhem Duo"/>
    <s v="Emotes"/>
    <s v="No"/>
    <m/>
    <s v="I've not made a purchase"/>
    <s v="shock rock wall dragon ball assassin infiltration "/>
    <m/>
    <s v="Milloween"/>
    <m/>
    <s v="個性的なデッキを作りやすいから"/>
    <m/>
    <s v="Master"/>
    <m/>
    <s v="100-200"/>
    <m/>
    <x v="4"/>
    <m/>
    <s v="Daily"/>
    <m/>
    <s v="Neither"/>
    <m/>
    <s v="I prefer not to say"/>
    <m/>
    <s v="26-35"/>
    <m/>
    <x v="2"/>
    <m/>
    <s v="Japan"/>
    <m/>
  </r>
  <r>
    <d v="2018-11-14T20:03:07"/>
    <s v="Gameplay, Collecting Cards/Masters, Crafting system"/>
    <s v="Solo, Duo, Expeditions"/>
    <s v="Master Skins, Arenas"/>
    <s v="Yes"/>
    <s v="i bought the premier pack (for the account upgrades) and used the rubies to purchase the battle pass. Keep up the great work guys!"/>
    <s v="No"/>
    <s v="harbinger, daggerfalll, divine warrior, stun lancers, living statue"/>
    <m/>
    <s v="Stormbringer"/>
    <m/>
    <s v="mostly for his ranged attacks, but also synergy with ranged minions"/>
    <m/>
    <s v="Gold"/>
    <m/>
    <s v="25-100"/>
    <m/>
    <x v="405"/>
    <m/>
    <s v="Daily"/>
    <m/>
    <s v="Watch"/>
    <m/>
    <s v="Male"/>
    <m/>
    <s v="19-25"/>
    <m/>
    <x v="0"/>
    <m/>
    <s v="USA"/>
    <m/>
  </r>
  <r>
    <d v="2018-11-14T20:04:39"/>
    <s v="Gameplay"/>
    <s v="Premade Duo"/>
    <s v="Master Skins"/>
    <s v="Yes"/>
    <s v="I bought premium acc update to support your game, while dont actually need rubies or other stuff from it"/>
    <s v="Yes"/>
    <s v="Fire Imp, Morgul, Rabid Prowler, Living Statue, Plasma Marines"/>
    <m/>
    <s v="Ravager"/>
    <m/>
    <s v="all masters are great, I just play ravager for most time now"/>
    <m/>
    <s v="Platinum"/>
    <m/>
    <s v="25-100"/>
    <m/>
    <x v="406"/>
    <m/>
    <s v="Daily"/>
    <m/>
    <s v="Neither"/>
    <m/>
    <s v="Male"/>
    <m/>
    <s v="19-25"/>
    <m/>
    <x v="0"/>
    <m/>
    <s v="Russia"/>
    <m/>
  </r>
  <r>
    <d v="2018-11-14T20:04:54"/>
    <s v="Gameplay, Collecting Cards/Masters, Deck strategy"/>
    <s v="Solo, Duo, Mayhem Solo"/>
    <s v="Master Skins, Emotes"/>
    <s v="No"/>
    <m/>
    <s v="I've not made a purchase"/>
    <s v="Styxi, rammer, spiritmancer, colosus, screaming scrat"/>
    <m/>
    <s v="Mordar"/>
    <m/>
    <s v="It was really tough, but the res value is very satisfying"/>
    <m/>
    <s v="Grandmaster"/>
    <m/>
    <s v="200-1000"/>
    <m/>
    <x v="407"/>
    <m/>
    <s v="Daily"/>
    <m/>
    <s v="Watch, Stream"/>
    <m/>
    <s v="Male"/>
    <m/>
    <s v="26-35"/>
    <m/>
    <x v="3"/>
    <m/>
    <s v="USA"/>
    <m/>
  </r>
  <r>
    <d v="2018-11-14T20:05:30"/>
    <s v="Gameplay, Graphics"/>
    <s v="Solo, Duo, Draft, Expeditions"/>
    <s v="Master Skins"/>
    <s v="No"/>
    <m/>
    <s v="I've not made a purchase"/>
    <m/>
    <m/>
    <s v="Stormbringer"/>
    <m/>
    <s v="he is free"/>
    <m/>
    <s v="Silver"/>
    <m/>
    <s v="5-25"/>
    <m/>
    <x v="408"/>
    <m/>
    <s v="1-2 times a week"/>
    <m/>
    <s v="Watch"/>
    <m/>
    <s v="Male"/>
    <m/>
    <s v="19-25"/>
    <m/>
    <x v="1"/>
    <m/>
    <s v="Czech Republic"/>
    <m/>
  </r>
  <r>
    <d v="2018-11-14T20:06:28"/>
    <s v="Gameplay"/>
    <s v="Premade Duo"/>
    <s v="Master Skins"/>
    <s v="Yes"/>
    <s v="First starting to build collection and then buying the founder's pack"/>
    <s v="Yes"/>
    <s v="Flame Imp, Spiritmancer, Styxi, Sniper Squad, Cleaver"/>
    <m/>
    <s v="Ravager"/>
    <m/>
    <s v="I find his Brutus to be a really fun mechanic"/>
    <m/>
    <s v="Grandmaster"/>
    <m/>
    <s v="100-200"/>
    <m/>
    <x v="409"/>
    <m/>
    <s v="Daily"/>
    <m/>
    <s v="Watch"/>
    <m/>
    <s v="Male"/>
    <m/>
    <s v="26-35"/>
    <m/>
    <x v="0"/>
    <m/>
    <s v="USA"/>
    <m/>
  </r>
  <r>
    <d v="2018-11-14T20:11:20"/>
    <s v="Gameplay"/>
    <s v="Duo, Expeditions"/>
    <m/>
    <s v="No"/>
    <m/>
    <s v="I've not made a purchase"/>
    <s v="blastmancer-spiritmancer-shock rock-unddying skeleton-divine warrior."/>
    <m/>
    <s v="Mordar"/>
    <m/>
    <s v="let dead die for u :D"/>
    <m/>
    <s v="Master"/>
    <m/>
    <s v="25-100"/>
    <m/>
    <x v="410"/>
    <m/>
    <s v="Daily"/>
    <m/>
    <s v="Watch"/>
    <m/>
    <s v="Male"/>
    <m/>
    <s v="19-25"/>
    <m/>
    <x v="3"/>
    <m/>
    <s v="I prefer not to say"/>
    <m/>
  </r>
  <r>
    <d v="2018-11-14T20:12:48"/>
    <s v="Gameplay, Competitions/Tournaments"/>
    <s v="Solo"/>
    <s v="Emotes, Avatars"/>
    <s v="No"/>
    <m/>
    <s v="I've not made a purchase"/>
    <s v="Red Golem, Dragon Whelp, Warrior, Fireball, Hypnotize"/>
    <m/>
    <s v="Ratbo"/>
    <m/>
    <s v="Fun Spam"/>
    <m/>
    <s v="Grandmaster"/>
    <m/>
    <s v="1000+"/>
    <m/>
    <x v="411"/>
    <m/>
    <s v="5-6 times a week"/>
    <m/>
    <s v="Watch"/>
    <m/>
    <s v="Male"/>
    <m/>
    <s v="14-18"/>
    <m/>
    <x v="1"/>
    <m/>
    <s v="Germany"/>
    <m/>
  </r>
  <r>
    <d v="2018-11-14T20:13:37"/>
    <s v="Gameplay, Collecting Cards/Masters, Constructing decks"/>
    <s v="Solo, Premade Duo, Mayhem Solo, Mayhem Duo"/>
    <s v="Arenas"/>
    <s v="Yes"/>
    <s v="Battle Pass and some other stuff in daily offers"/>
    <s v="Yes"/>
    <m/>
    <m/>
    <s v="King Puff"/>
    <m/>
    <s v="Great mechanic, skill needed"/>
    <m/>
    <s v="Diamond"/>
    <m/>
    <s v="100-200"/>
    <m/>
    <x v="412"/>
    <m/>
    <s v="5-6 times a week"/>
    <m/>
    <s v="Watch"/>
    <m/>
    <s v="Male"/>
    <m/>
    <s v="19-25"/>
    <m/>
    <x v="0"/>
    <m/>
    <s v="Russia"/>
    <m/>
  </r>
  <r>
    <d v="2018-11-14T20:20:27"/>
    <s v="Gameplay, Collecting Cards/Masters, Competitions/Tournaments, Crafting system"/>
    <s v="Duo, Draft, Mayhem Solo"/>
    <s v="Master Skins, Arenas"/>
    <s v="No"/>
    <m/>
    <s v="I've not made a purchase"/>
    <s v="divine warrior should nerfed (may be 7 second)"/>
    <m/>
    <s v="Stormbringer"/>
    <m/>
    <m/>
    <m/>
    <s v="Grandmaster"/>
    <m/>
    <s v="200-1000"/>
    <m/>
    <x v="413"/>
    <m/>
    <s v="Daily"/>
    <m/>
    <s v="Watch, Stream"/>
    <m/>
    <s v="Male"/>
    <m/>
    <s v="26-35"/>
    <m/>
    <x v="3"/>
    <m/>
    <s v="Russia"/>
    <m/>
  </r>
  <r>
    <d v="2018-11-14T20:22:52"/>
    <s v="Gameplay, Collecting Cards/Masters, Competitions/Tournaments"/>
    <s v="Solo, Premade Duo"/>
    <s v="Master Skins, Arenas, Emotes"/>
    <s v="No"/>
    <m/>
    <s v="I've not made a purchase"/>
    <s v="Sucubuss, Blastmancer, ghost, beam of doom, black hole "/>
    <m/>
    <s v="Mordar"/>
    <m/>
    <s v="tombstones"/>
    <m/>
    <s v="Diamond"/>
    <m/>
    <s v="100-200"/>
    <m/>
    <x v="121"/>
    <m/>
    <s v="Daily"/>
    <m/>
    <s v="Neither"/>
    <m/>
    <s v="Male"/>
    <m/>
    <s v="26-35"/>
    <m/>
    <x v="2"/>
    <m/>
    <s v="Czech Republic"/>
    <m/>
  </r>
  <r>
    <d v="2018-11-14T20:25:41"/>
    <s v="Gameplay"/>
    <s v="Duo, Premade Duo"/>
    <m/>
    <s v="No"/>
    <m/>
    <s v="I've not made a purchase"/>
    <m/>
    <m/>
    <s v="Milloween"/>
    <m/>
    <s v="Look of the master but i think they all look too generic. "/>
    <m/>
    <s v="Gold"/>
    <m/>
    <s v="25-100"/>
    <m/>
    <x v="414"/>
    <m/>
    <s v="5-6 times a week"/>
    <m/>
    <s v="Neither"/>
    <m/>
    <s v="I prefer not to say"/>
    <m/>
    <s v="26-35"/>
    <m/>
    <x v="2"/>
    <m/>
    <s v="I prefer not to say"/>
    <m/>
  </r>
  <r>
    <d v="2018-11-14T20:30:24"/>
    <s v="Collecting Cards/Masters"/>
    <s v="Solo, Duo, Premade Duo"/>
    <s v="Arenas"/>
    <s v="Yes"/>
    <s v="to get permanent bonuses"/>
    <s v="Yes"/>
    <s v="assassin, blastermancer, morgrul the swarmer king, whirly scrat, armored escort"/>
    <m/>
    <s v="Stormbringer"/>
    <m/>
    <s v="i like to play with ranged minions"/>
    <m/>
    <s v="Diamond"/>
    <m/>
    <s v="25-100"/>
    <m/>
    <x v="415"/>
    <m/>
    <s v="Daily"/>
    <m/>
    <s v="Neither"/>
    <m/>
    <s v="Male"/>
    <m/>
    <s v="over 36"/>
    <m/>
    <x v="2"/>
    <m/>
    <s v="Sweden"/>
    <m/>
  </r>
  <r>
    <d v="2018-11-14T20:31:51"/>
    <s v="Gameplay, Collecting Cards/Masters"/>
    <s v="Solo, Premade Duo, Draft, Expeditions"/>
    <s v="Master Skins, Avatars"/>
    <s v="No"/>
    <m/>
    <s v="I've not made a purchase"/>
    <m/>
    <m/>
    <s v="King Puff"/>
    <m/>
    <m/>
    <m/>
    <s v="Silver"/>
    <m/>
    <s v="5-25"/>
    <m/>
    <x v="4"/>
    <m/>
    <s v="Daily"/>
    <m/>
    <s v="Neither"/>
    <m/>
    <s v="Male"/>
    <m/>
    <s v="over 36"/>
    <m/>
    <x v="0"/>
    <m/>
    <s v="Italy"/>
    <m/>
  </r>
  <r>
    <d v="2018-11-14T20:33:41"/>
    <s v="Gameplay, Graphics"/>
    <s v="Solo, Duo, Draft"/>
    <s v="Master Skins, Arenas"/>
    <s v="Yes"/>
    <s v="Season Pass"/>
    <s v="Yes"/>
    <s v="Sucubus, Incubus, Prowler, Tranquil Shi-Hou, Musketeer"/>
    <m/>
    <s v="Milloween"/>
    <m/>
    <s v="Before the last update, she was the hardest master to play with and she's stylish and I like her perks"/>
    <m/>
    <s v="Master"/>
    <m/>
    <s v="100-200"/>
    <m/>
    <x v="416"/>
    <m/>
    <s v="Occasionally"/>
    <m/>
    <s v="Watch"/>
    <m/>
    <s v="Male"/>
    <m/>
    <s v="19-25"/>
    <m/>
    <x v="0"/>
    <m/>
    <s v="Europe"/>
    <m/>
  </r>
  <r>
    <d v="2018-11-14T20:34:26"/>
    <s v="Gameplay, Collecting Cards/Masters"/>
    <s v="Solo, Premade Duo, Mayhem Solo"/>
    <s v="Master Skins, Arenas, Emotes"/>
    <s v="Yes"/>
    <s v="Premium upgrade only (mainly did it for the rubies)"/>
    <s v="Yes"/>
    <s v="Troubadour, Wheel of Doom, Dragon Whelp, Armored Escort, Netherstep"/>
    <m/>
    <s v="Milloween"/>
    <m/>
    <s v="I like spellcasting, and she has nice skins."/>
    <m/>
    <s v="Grandmaster"/>
    <m/>
    <s v="200-1000"/>
    <m/>
    <x v="417"/>
    <m/>
    <s v="Daily"/>
    <m/>
    <s v="Watch"/>
    <m/>
    <s v="Male"/>
    <m/>
    <s v="26-35"/>
    <m/>
    <x v="3"/>
    <m/>
    <s v="Canada"/>
    <m/>
  </r>
  <r>
    <d v="2018-11-14T20:35:38"/>
    <s v="Gameplay, Collecting Cards/Masters"/>
    <s v="Solo, Duo, Expeditions, Mayhem Solo"/>
    <s v="Master Skins, Arenas"/>
    <s v="Yes"/>
    <s v="Battlepass and Skins"/>
    <s v="No"/>
    <m/>
    <m/>
    <s v="King Puff"/>
    <m/>
    <s v="Bridge swapping is fun!"/>
    <m/>
    <s v="Master"/>
    <m/>
    <s v="1000+"/>
    <m/>
    <x v="418"/>
    <m/>
    <s v="Daily"/>
    <m/>
    <s v="Watch"/>
    <m/>
    <s v="Male"/>
    <m/>
    <s v="over 36"/>
    <m/>
    <x v="0"/>
    <m/>
    <s v="United Kingdom"/>
    <m/>
  </r>
  <r>
    <d v="2018-11-14T20:37:01"/>
    <s v="Gameplay, Collecting Cards/Masters, Competitions/Tournaments"/>
    <s v="Solo"/>
    <s v="Master Skins, Arenas"/>
    <s v="Yes"/>
    <s v="battle pass"/>
    <s v="Yes"/>
    <s v="to soon"/>
    <m/>
    <s v="Stormbringer"/>
    <m/>
    <s v="good for range units pwnage"/>
    <m/>
    <s v="Stone"/>
    <m/>
    <s v="0-5"/>
    <m/>
    <x v="419"/>
    <m/>
    <s v="Daily"/>
    <m/>
    <s v="Watch"/>
    <m/>
    <s v="Male"/>
    <m/>
    <s v="26-35"/>
    <m/>
    <x v="0"/>
    <m/>
    <s v="Estonia"/>
    <m/>
  </r>
  <r>
    <d v="2018-11-14T20:39:17"/>
    <s v="Competitions/Tournaments"/>
    <s v="Solo, Premade Duo"/>
    <m/>
    <s v="No"/>
    <m/>
    <s v="I've not made a purchase"/>
    <s v="Don't know the names in english"/>
    <m/>
    <s v="King Puff"/>
    <m/>
    <s v="Game breaking abilities"/>
    <m/>
    <s v="Master"/>
    <m/>
    <s v="25-100"/>
    <m/>
    <x v="420"/>
    <m/>
    <s v="3-4 times a week"/>
    <m/>
    <s v="Watch"/>
    <m/>
    <s v="Male"/>
    <m/>
    <s v="19-25"/>
    <m/>
    <x v="0"/>
    <m/>
    <s v="Switzerland"/>
    <m/>
  </r>
  <r>
    <d v="2018-11-14T20:39:26"/>
    <s v="Gameplay"/>
    <s v="Solo, Duo, Premade Duo"/>
    <s v="Avatars"/>
    <s v="No"/>
    <m/>
    <s v="I've not made a purchase"/>
    <s v="cursebearer, blastmancer, colossus, prowler, rabid prowler"/>
    <m/>
    <s v="Mordar"/>
    <m/>
    <s v="it's fits my style of play"/>
    <m/>
    <s v="Gold"/>
    <m/>
    <s v="0-5"/>
    <m/>
    <x v="421"/>
    <m/>
    <s v="Daily"/>
    <m/>
    <s v="Watch"/>
    <m/>
    <s v="Male"/>
    <m/>
    <s v="19-25"/>
    <m/>
    <x v="2"/>
    <m/>
    <s v="USA"/>
    <m/>
  </r>
  <r>
    <d v="2018-11-14T20:39:37"/>
    <s v="Gameplay"/>
    <s v="Premade Duo"/>
    <s v="Arenas"/>
    <s v="No"/>
    <m/>
    <s v="I've not made a purchase"/>
    <s v="Fire imp; cheese date; black hole; snake druid; assassin"/>
    <m/>
    <s v="King Puff"/>
    <m/>
    <s v="he looks funny and his swap spell"/>
    <m/>
    <s v="Master"/>
    <m/>
    <s v="25-100"/>
    <m/>
    <x v="422"/>
    <m/>
    <s v="5-6 times a week"/>
    <m/>
    <s v="Neither"/>
    <m/>
    <s v="Male"/>
    <m/>
    <s v="26-35"/>
    <m/>
    <x v="0"/>
    <m/>
    <s v="Sweden"/>
    <m/>
  </r>
  <r>
    <d v="2018-11-14T20:41:32"/>
    <s v="Gameplay, Competitions/Tournaments, achievements, fast matches"/>
    <s v="Duo, Expeditions"/>
    <s v="Master Skins"/>
    <s v="No"/>
    <m/>
    <s v="I've not made a purchase"/>
    <s v="stone golem, succubus, spell that makes enemies your allies, stream of doom, crossbow dudes guild"/>
    <m/>
    <s v="Milloween"/>
    <m/>
    <s v="mana surge cards"/>
    <m/>
    <s v="Silver"/>
    <m/>
    <s v="5-25"/>
    <m/>
    <x v="423"/>
    <m/>
    <s v="1-2 times a week"/>
    <m/>
    <s v="Neither"/>
    <m/>
    <s v="Male"/>
    <m/>
    <s v="19-25"/>
    <m/>
    <x v="0"/>
    <m/>
    <s v="Poland"/>
    <m/>
  </r>
  <r>
    <d v="2018-11-14T20:42:36"/>
    <s v="Gameplay, Graphics"/>
    <s v="Solo, Premade Duo, Expeditions"/>
    <s v="Master Skins, Arenas"/>
    <s v="Yes"/>
    <s v="Battle pass"/>
    <s v="No"/>
    <s v="Succubus, Last Stand, Infiltration, Scott, Whirly Scrat "/>
    <m/>
    <s v="Stormbringer"/>
    <m/>
    <s v="Perks and Overall Design"/>
    <m/>
    <s v="Silver"/>
    <m/>
    <s v="5-25"/>
    <m/>
    <x v="424"/>
    <m/>
    <s v="Daily"/>
    <m/>
    <s v="Watch"/>
    <m/>
    <s v="Female"/>
    <m/>
    <s v="19-25"/>
    <m/>
    <x v="0"/>
    <m/>
    <s v="USA"/>
    <m/>
  </r>
  <r>
    <d v="2018-11-14T20:48:04"/>
    <s v="Gameplay, Collecting Cards/Masters"/>
    <s v="Solo, Duo, Expeditions"/>
    <s v="Arenas"/>
    <s v="Yes"/>
    <s v="Battlepass and I bought the premium edition bout a year ago"/>
    <s v="Yes"/>
    <s v="Future Present, Crystal construct, thelec, xiao long, musketeer "/>
    <m/>
    <s v="Settsu"/>
    <m/>
    <s v="Liked the look and also a lot of cool plays you can do"/>
    <m/>
    <s v="Master"/>
    <m/>
    <s v="100-200"/>
    <m/>
    <x v="425"/>
    <m/>
    <s v="Daily"/>
    <m/>
    <s v="Watch"/>
    <m/>
    <s v="Male"/>
    <m/>
    <s v="19-25"/>
    <m/>
    <x v="1"/>
    <m/>
    <s v="Canada"/>
    <m/>
  </r>
  <r>
    <d v="2018-11-14T20:48:57"/>
    <s v="Gameplay"/>
    <s v="Solo, Premade Duo"/>
    <s v="Master Skins"/>
    <s v="No"/>
    <m/>
    <s v="I've not made a purchase"/>
    <s v="cleaver, elf archers, snipers, healing ball, priest"/>
    <m/>
    <s v="Volco"/>
    <m/>
    <s v="control"/>
    <m/>
    <s v="Platinum"/>
    <m/>
    <s v="25-100"/>
    <m/>
    <x v="426"/>
    <m/>
    <s v="5-6 times a week"/>
    <m/>
    <s v="Watch"/>
    <m/>
    <s v="Male"/>
    <m/>
    <s v="26-35"/>
    <m/>
    <x v="0"/>
    <m/>
    <s v="Italy"/>
    <m/>
  </r>
  <r>
    <d v="2018-11-14T20:55:17"/>
    <s v="Gameplay, Collecting Cards/Masters"/>
    <s v="Duo, Mayhem Duo"/>
    <s v="Master Skins"/>
    <s v="No"/>
    <m/>
    <s v="I've not made a purchase"/>
    <s v="Gor'Rakk Brutes, Stun lancers, Dragon Pack, Cheese Date, and Sniper Squad."/>
    <m/>
    <s v="Settsu"/>
    <m/>
    <s v="because  shes fun to use"/>
    <m/>
    <s v="Silver"/>
    <m/>
    <s v="5-25"/>
    <m/>
    <x v="427"/>
    <m/>
    <s v="Daily"/>
    <m/>
    <s v="Neither"/>
    <m/>
    <s v="Male"/>
    <m/>
    <s v="14-18"/>
    <m/>
    <x v="1"/>
    <m/>
    <s v="USA"/>
    <m/>
  </r>
  <r>
    <d v="2018-11-14T20:56:25"/>
    <s v="Collecting Cards/Masters"/>
    <s v="Duo, Expeditions, Mayhem Solo"/>
    <s v="Arenas"/>
    <s v="No"/>
    <m/>
    <s v="I've not made a purchase"/>
    <m/>
    <m/>
    <s v="Mordar"/>
    <m/>
    <s v="Necromancers are the best! ;)"/>
    <m/>
    <s v="Master"/>
    <m/>
    <s v="200-1000"/>
    <m/>
    <x v="428"/>
    <m/>
    <s v="Daily"/>
    <m/>
    <s v="Watch, Stream"/>
    <m/>
    <s v="Male"/>
    <m/>
    <s v="over 36"/>
    <m/>
    <x v="0"/>
    <m/>
    <s v="USA"/>
    <m/>
  </r>
  <r>
    <d v="2018-11-14T20:57:20"/>
    <s v="Collecting Cards/Masters"/>
    <s v="Duo, Mayhem Solo"/>
    <s v="Emotes"/>
    <s v="No"/>
    <m/>
    <s v="I've not made a purchase"/>
    <s v="Cursebringer, Drone Walker, Scott The Sensitive Savage, ATG Drone, Spiritmancer"/>
    <m/>
    <s v="Mordar"/>
    <m/>
    <s v="Reviving value minions feels great."/>
    <m/>
    <s v="Master"/>
    <m/>
    <s v="25-100"/>
    <m/>
    <x v="429"/>
    <m/>
    <s v="Daily"/>
    <m/>
    <s v="Neither"/>
    <m/>
    <s v="Male"/>
    <m/>
    <s v="19-25"/>
    <m/>
    <x v="3"/>
    <m/>
    <s v="USA"/>
    <m/>
  </r>
  <r>
    <d v="2018-11-14T21:02:12"/>
    <s v="Gameplay"/>
    <s v="Solo"/>
    <s v="Master Skins, Arenas"/>
    <s v="No"/>
    <m/>
    <s v="I've not made a purchase"/>
    <s v="Baby Dragon, Crossbow Guild, Magma Launcher, ST Int, Eradicator"/>
    <m/>
    <s v="Stormbringer"/>
    <m/>
    <s v="I have tons of range-based cards, and ranged hits nearly everything in this game."/>
    <m/>
    <s v="Bronze"/>
    <m/>
    <s v="5-25"/>
    <m/>
    <x v="430"/>
    <m/>
    <s v="Daily"/>
    <m/>
    <s v="Watch, Stream"/>
    <m/>
    <s v="Male"/>
    <m/>
    <s v="14-18"/>
    <m/>
    <x v="1"/>
    <m/>
    <s v="USA"/>
    <m/>
  </r>
  <r>
    <d v="2018-11-14T21:04:05"/>
    <s v="Graphics, Collecting Cards/Masters"/>
    <s v="Solo, Premade Duo, Draft"/>
    <s v="Master Skins, Arenas"/>
    <s v="Yes"/>
    <s v="Shop/masters"/>
    <s v="Yes"/>
    <s v="Arcane Construct, Magic Missile, fireball, daggerfall, Inflitration"/>
    <m/>
    <s v="Milloween"/>
    <m/>
    <s v="I like spell based decks"/>
    <m/>
    <s v="Diamond"/>
    <m/>
    <s v="100-200"/>
    <m/>
    <x v="431"/>
    <m/>
    <s v="Daily"/>
    <m/>
    <s v="Neither"/>
    <m/>
    <s v="I prefer not to say"/>
    <m/>
    <s v="19-25"/>
    <m/>
    <x v="1"/>
    <m/>
    <s v="USA"/>
    <m/>
  </r>
  <r>
    <d v="2018-11-14T21:06:29"/>
    <s v="Gameplay, Graphics, Collecting Cards/Masters, Competitions/Tournaments"/>
    <s v="Solo, Duo, Draft"/>
    <s v="Master Skins, Arenas"/>
    <s v="No"/>
    <m/>
    <s v="I've not made a purchase"/>
    <s v="Probably the crystal archers, gorrakks sacrifice, Blue golem, crystal anarchist, grenadier"/>
    <m/>
    <s v="Stormbringer"/>
    <m/>
    <s v="His marksmanship on ranged units is so nice."/>
    <m/>
    <s v="Gold"/>
    <m/>
    <s v="0-5"/>
    <m/>
    <x v="432"/>
    <m/>
    <s v="Daily"/>
    <m/>
    <s v="Watch"/>
    <m/>
    <s v="Male"/>
    <m/>
    <s v="14-18"/>
    <m/>
    <x v="1"/>
    <m/>
    <s v="USA"/>
    <m/>
  </r>
  <r>
    <d v="2018-11-14T21:08:06"/>
    <s v="Gameplay, Collecting Cards/Masters"/>
    <s v="Solo, Draft, Expeditions"/>
    <s v="Master Skins, Arenas"/>
    <s v="Yes"/>
    <s v="to buy the battle pass (rubies were in cluded in the premium upgrade)"/>
    <s v="Yes"/>
    <s v="Cursebearer,asassin,drone buzzers, spear throwers and Harbinger"/>
    <m/>
    <s v="King Puff"/>
    <m/>
    <s v="Because his perks are good for control, and his damage to cards is also decent."/>
    <m/>
    <s v="Silver"/>
    <m/>
    <s v="5-25"/>
    <m/>
    <x v="433"/>
    <m/>
    <s v="Daily"/>
    <m/>
    <s v="Neither"/>
    <m/>
    <s v="Male"/>
    <m/>
    <s v="14-18"/>
    <m/>
    <x v="1"/>
    <m/>
    <s v="Germany"/>
    <m/>
  </r>
  <r>
    <d v="2018-11-14T21:09:05"/>
    <s v="Gameplay"/>
    <s v="Solo"/>
    <s v="Avatars"/>
    <s v="No"/>
    <m/>
    <s v="Yes"/>
    <s v="New to the game. Dont know alot of cards as yet"/>
    <m/>
    <s v="Stormbringer"/>
    <m/>
    <m/>
    <m/>
    <s v="Wood"/>
    <m/>
    <s v="0-5"/>
    <m/>
    <x v="434"/>
    <m/>
    <s v="5-6 times a week"/>
    <m/>
    <s v="Neither"/>
    <m/>
    <s v="Male"/>
    <m/>
    <s v="over 36"/>
    <m/>
    <x v="3"/>
    <m/>
    <s v="USA"/>
    <m/>
  </r>
  <r>
    <d v="2018-11-14T21:12:34"/>
    <s v="Gameplay"/>
    <s v="Solo"/>
    <s v="Master Skins"/>
    <s v="No"/>
    <m/>
    <m/>
    <s v="Stun Lancers, Infiltration, Shars'rakk Twins, Fire Ball, Swarmers"/>
    <m/>
    <s v="Stormbringer"/>
    <m/>
    <s v="Abilities to ranged troops, nice design, nice voicelines, nice skins. "/>
    <m/>
    <s v="Master"/>
    <m/>
    <s v="100-200"/>
    <m/>
    <x v="435"/>
    <m/>
    <s v="Daily"/>
    <m/>
    <s v="Watch, Stream"/>
    <m/>
    <s v="Male"/>
    <m/>
    <s v="19-25"/>
    <m/>
    <x v="3"/>
    <m/>
    <s v="USA"/>
    <m/>
  </r>
  <r>
    <d v="2018-11-14T21:15:05"/>
    <s v="Gameplay"/>
    <s v="Duo, Premade Duo"/>
    <s v="Arenas"/>
    <s v="No"/>
    <m/>
    <s v="I've not made a purchase"/>
    <s v="1. Harbinger, 2. Arcane Golem, 3. Guardian, 4. Lightning Bolt, 5. Future past"/>
    <m/>
    <s v="Milloween"/>
    <m/>
    <s v="I prefer to play duo.. And that leads to me really enjoying a kind of support build that works great with 5-6 spells wich Milloween prefers!"/>
    <m/>
    <s v="Master"/>
    <m/>
    <s v="25-100"/>
    <m/>
    <x v="436"/>
    <m/>
    <s v="Daily"/>
    <m/>
    <s v="Watch"/>
    <m/>
    <s v="Male"/>
    <m/>
    <s v="19-25"/>
    <m/>
    <x v="3"/>
    <m/>
    <s v="Denmark"/>
    <m/>
  </r>
  <r>
    <d v="2018-11-14T21:16:39"/>
    <s v="I win a lot. I just started playing, so I'm not bored yet. I like the graphics, make Milloween's panties HD. And give me more sexy and cute stuff lol. More stuff to do besides ranked games and draft would be nice."/>
    <s v="Solo, Duo, Premade Duo, Expeditions"/>
    <s v="Master Skins, Arenas"/>
    <s v="No"/>
    <m/>
    <s v="I've not made a purchase"/>
    <s v="No! I've only unlocked about 35. I like the female elves, for obvious reasons. I don't like cards that work only in specific decks. Making niche cards more versatile is healthy for the game. This problem mostly occurred to me in draft, where my cards might not work together at all."/>
    <m/>
    <s v="Milloween"/>
    <m/>
    <s v="I can see her panties. No, seriously. And she has boob physics. Her special skins aren't sexy enough though."/>
    <m/>
    <s v="Gold"/>
    <m/>
    <s v="5-25"/>
    <m/>
    <x v="437"/>
    <m/>
    <s v="Daily"/>
    <m/>
    <s v="Watch"/>
    <m/>
    <s v="Male"/>
    <m/>
    <s v="26-35"/>
    <m/>
    <x v="1"/>
    <m/>
    <s v="Canada"/>
    <m/>
  </r>
  <r>
    <d v="2018-11-14T21:16:55"/>
    <s v="Gameplay, Collecting Cards/Masters"/>
    <s v="Duo"/>
    <s v="Master Skins"/>
    <s v="No"/>
    <m/>
    <s v="I've not made a purchase"/>
    <s v="Musketeer, Gaurdian, Mana puff, Banner Man, Rammer."/>
    <m/>
    <s v="Apep"/>
    <m/>
    <s v="The Free 2 and 4 mana cards and tower defense structure."/>
    <m/>
    <s v="Silver"/>
    <m/>
    <s v="5-25"/>
    <m/>
    <x v="438"/>
    <m/>
    <s v="5-6 times a week"/>
    <m/>
    <s v="Watch"/>
    <m/>
    <s v="Male"/>
    <m/>
    <s v="14-18"/>
    <m/>
    <x v="1"/>
    <m/>
    <s v="USA"/>
    <m/>
  </r>
  <r>
    <d v="2018-11-14T21:17:01"/>
    <s v="Gameplay"/>
    <s v="Solo"/>
    <s v="Arenas"/>
    <s v="No"/>
    <m/>
    <s v="I've not made a purchase"/>
    <s v="sniper "/>
    <m/>
    <s v="King Puff"/>
    <m/>
    <s v="because he is good at overfloing"/>
    <m/>
    <s v="Bronze"/>
    <m/>
    <s v="0-5"/>
    <m/>
    <x v="32"/>
    <m/>
    <s v="Daily"/>
    <m/>
    <s v="Neither"/>
    <m/>
    <s v="Male"/>
    <m/>
    <s v="14-18"/>
    <m/>
    <x v="1"/>
    <m/>
    <s v="USA"/>
    <m/>
  </r>
  <r>
    <d v="2018-11-14T21:19:56"/>
    <s v="Gameplay"/>
    <s v="Solo, Draft"/>
    <s v="Arenas"/>
    <s v="No"/>
    <m/>
    <s v="I've not made a purchase"/>
    <s v="Annihilator, Prowler, Tranquil shi-hou, lightning bolt"/>
    <m/>
    <s v="Ravager"/>
    <m/>
    <s v="Free big minions"/>
    <m/>
    <s v="Gold"/>
    <m/>
    <s v="25-100"/>
    <m/>
    <x v="439"/>
    <m/>
    <s v="3-4 times a week"/>
    <m/>
    <s v="Watch"/>
    <m/>
    <s v="Male"/>
    <m/>
    <s v="26-35"/>
    <m/>
    <x v="1"/>
    <m/>
    <s v="Denmark"/>
    <m/>
  </r>
  <r>
    <d v="2018-11-14T21:21:07"/>
    <s v="Gameplay"/>
    <s v="Solo, Premade Duo"/>
    <m/>
    <s v="Yes"/>
    <s v="Season pass"/>
    <s v="Yes"/>
    <m/>
    <m/>
    <s v="Settsu"/>
    <m/>
    <s v="Feels so cool dropping her in"/>
    <m/>
    <s v="Platinum"/>
    <m/>
    <s v="25-100"/>
    <m/>
    <x v="440"/>
    <m/>
    <s v="Daily"/>
    <m/>
    <s v="Watch, Stream"/>
    <m/>
    <s v="Male"/>
    <m/>
    <s v="19-25"/>
    <m/>
    <x v="0"/>
    <m/>
    <s v="USA"/>
    <m/>
  </r>
  <r>
    <d v="2018-11-14T21:21:49"/>
    <s v="Gameplay, Collecting Cards/Masters, Theory Crafting decks and finding interesting card interactions"/>
    <s v="Solo, Duo, Premade Duo, Expeditions, Mayhem Solo"/>
    <s v="Master Skins, Arenas"/>
    <s v="Yes"/>
    <s v="To gain access to the game"/>
    <s v="Yes"/>
    <s v="Combustion re-boomer propeller-hoard gor'rak-sacrifice tranquil-shi-sho"/>
    <m/>
    <s v="Settsu"/>
    <m/>
    <s v="Combination of play style and asthetic.  I similarly enjoy King Puff and Milloween's play styles.  This masters tend to have more complex card interactions and more active play styles."/>
    <m/>
    <s v="Grandmaster"/>
    <m/>
    <s v="200-1000"/>
    <m/>
    <x v="441"/>
    <m/>
    <s v="Daily"/>
    <m/>
    <s v="Neither"/>
    <m/>
    <s v="I prefer not to say"/>
    <m/>
    <s v="26-35"/>
    <m/>
    <x v="2"/>
    <m/>
    <s v="I prefer not to say"/>
    <m/>
  </r>
  <r>
    <d v="2018-11-14T21:23:48"/>
    <s v="Collecting Cards/Masters"/>
    <s v="Duo"/>
    <s v="Avatars"/>
    <s v="Yes"/>
    <m/>
    <s v="Yes"/>
    <s v="Golem,Golem rouge, fantome,succube,lanceurs etourdissants"/>
    <m/>
    <s v="Mordar"/>
    <m/>
    <s v="revive the cards"/>
    <m/>
    <s v="Silver"/>
    <m/>
    <s v="5-25"/>
    <m/>
    <x v="442"/>
    <m/>
    <s v="5-6 times a week"/>
    <m/>
    <s v="Neither"/>
    <m/>
    <s v="Male"/>
    <m/>
    <s v="26-35"/>
    <m/>
    <x v="0"/>
    <m/>
    <s v="France"/>
    <m/>
  </r>
  <r>
    <d v="2018-11-14T21:32:31"/>
    <s v="Gameplay, Graphics, Collecting Cards/Masters, The ability to teamplay, or play against,  a friend, or a group of friends"/>
    <s v="Solo, Duo, Premade Duo, Draft, Mayhem Solo, Mayhem Duo"/>
    <s v="Master Skins, Arenas, Emotes"/>
    <s v="Yes"/>
    <s v="Activating the full season pass"/>
    <s v="Yes"/>
    <s v="Guerrier Divin, Mirage Drone, Éclair, Psychomancien, Colosse"/>
    <m/>
    <s v="Mordar"/>
    <m/>
    <s v="The ability to ressurect a minion for no mana is one of the strongest Total Mana-on-the-map champion, and can flood an oppenent if well used"/>
    <m/>
    <s v="Diamond"/>
    <m/>
    <s v="5-25"/>
    <m/>
    <x v="4"/>
    <m/>
    <s v="5-6 times a week"/>
    <m/>
    <s v="Watch"/>
    <m/>
    <s v="Male"/>
    <m/>
    <s v="19-25"/>
    <m/>
    <x v="3"/>
    <m/>
    <s v="Canada"/>
    <m/>
  </r>
  <r>
    <d v="2018-11-14T21:33:19"/>
    <s v="Gameplay"/>
    <s v="Solo, Duo, Premade Duo"/>
    <s v="Master Skins, Emotes"/>
    <s v="Yes"/>
    <s v="Master Skins -- TOO EXPENSIVE!"/>
    <s v="No"/>
    <s v="Defenso chopper, Scrat Pack, Assassin, legionaries "/>
    <m/>
    <s v="King Puff"/>
    <m/>
    <s v="Perk 2 for solo's"/>
    <m/>
    <s v="Grandmaster"/>
    <m/>
    <s v="200-1000"/>
    <m/>
    <x v="443"/>
    <m/>
    <s v="Daily"/>
    <m/>
    <s v="Watch"/>
    <m/>
    <s v="Male"/>
    <m/>
    <s v="26-35"/>
    <m/>
    <x v="2"/>
    <m/>
    <s v="Canada"/>
    <m/>
  </r>
  <r>
    <d v="2018-11-14T21:34:24"/>
    <s v="Gameplay, Crafting system"/>
    <s v="Duo, Premade Duo, Draft"/>
    <s v="Master Skins"/>
    <s v="No"/>
    <m/>
    <s v="I've not made a purchase"/>
    <s v="Blue Golem, Living Statue, Swarmers, Gnat Army, Netherstep"/>
    <m/>
    <s v="Ratbo"/>
    <m/>
    <s v="I love spamming things like gnats during the game"/>
    <m/>
    <s v="Silver"/>
    <m/>
    <s v="5-25"/>
    <m/>
    <x v="444"/>
    <m/>
    <s v="Daily"/>
    <m/>
    <s v="Neither"/>
    <m/>
    <s v="Male"/>
    <m/>
    <s v="I prefer not to say"/>
    <m/>
    <x v="2"/>
    <m/>
    <s v="USA"/>
    <m/>
  </r>
  <r>
    <d v="2018-11-14T21:39:24"/>
    <s v="Competitions/Tournaments"/>
    <s v="Duo, Expeditions"/>
    <s v="Master Skins"/>
    <s v="No"/>
    <m/>
    <s v="I've not made a purchase"/>
    <m/>
    <m/>
    <s v="Ravager"/>
    <m/>
    <s v="quick wins"/>
    <m/>
    <s v="Platinum"/>
    <m/>
    <s v="200-1000"/>
    <m/>
    <x v="4"/>
    <m/>
    <s v="Daily"/>
    <m/>
    <s v="Neither"/>
    <m/>
    <s v="Male"/>
    <m/>
    <s v="over 36"/>
    <m/>
    <x v="0"/>
    <m/>
    <s v="Greece"/>
    <m/>
  </r>
  <r>
    <d v="2018-11-14T21:39:25"/>
    <s v="Gameplay, Collecting Cards/Masters"/>
    <s v="Duo, Premade Duo"/>
    <s v="Master Skins, Arenas"/>
    <s v="No"/>
    <s v="I have no job, because i don't have enough money."/>
    <s v="Yes"/>
    <s v="Demon Warrior, Blind Date, Stun Lances, Annihilator, Sniper Scrat "/>
    <m/>
    <s v="Volco"/>
    <m/>
    <s v="Because it's a real time card game."/>
    <m/>
    <s v="Silver"/>
    <m/>
    <s v="25-100"/>
    <m/>
    <x v="445"/>
    <m/>
    <s v="3-4 times a week"/>
    <m/>
    <s v="Neither"/>
    <m/>
    <s v="Male"/>
    <m/>
    <s v="19-25"/>
    <m/>
    <x v="1"/>
    <m/>
    <s v="Hungary"/>
    <m/>
  </r>
  <r>
    <d v="2018-11-14T21:39:51"/>
    <s v="Gameplay, Collecting Cards/Masters"/>
    <s v="Duo"/>
    <s v="Arenas"/>
    <s v="No"/>
    <m/>
    <s v="I've not made a purchase"/>
    <s v="The Twins, The Demon guy(can't remember name), The Archer building, any 0 cost cards really, the fireball one that summons a whelp"/>
    <m/>
    <s v="Stormbringer"/>
    <m/>
    <s v="The overall balance and long range he gets late game"/>
    <m/>
    <s v="Silver"/>
    <m/>
    <s v="5-25"/>
    <m/>
    <x v="446"/>
    <m/>
    <s v="5-6 times a week"/>
    <m/>
    <s v="Watch"/>
    <m/>
    <s v="Male"/>
    <m/>
    <s v="26-35"/>
    <m/>
    <x v="3"/>
    <m/>
    <s v="Canada"/>
    <m/>
  </r>
  <r>
    <d v="2018-11-14T21:41:52"/>
    <s v="Gameplay"/>
    <s v="Premade Duo"/>
    <s v="Master Skins"/>
    <s v="No"/>
    <m/>
    <s v="I've not made a purchase"/>
    <m/>
    <m/>
    <s v="Stormbringer"/>
    <m/>
    <m/>
    <m/>
    <s v="Grandmaster"/>
    <m/>
    <s v="25-100"/>
    <m/>
    <x v="447"/>
    <m/>
    <s v="Daily"/>
    <m/>
    <s v="Neither"/>
    <m/>
    <s v="Male"/>
    <m/>
    <s v="26-35"/>
    <m/>
    <x v="0"/>
    <m/>
    <s v="United Kingdom"/>
    <m/>
  </r>
  <r>
    <d v="2018-11-14T21:41:59"/>
    <s v="Gameplay, Graphics, Collecting Cards/Masters"/>
    <s v="Solo, Duo, Premade Duo, Draft"/>
    <s v="Master Skins, Arenas"/>
    <s v="No"/>
    <m/>
    <s v="I've not made a purchase"/>
    <s v="swarmers, stint, morgrul, flightless dragons, magma storm"/>
    <m/>
    <s v="Settsu"/>
    <m/>
    <s v="Fun to play, balanced"/>
    <m/>
    <s v="Gold"/>
    <m/>
    <s v="25-100"/>
    <m/>
    <x v="4"/>
    <m/>
    <s v="5-6 times a week"/>
    <m/>
    <s v="Watch"/>
    <m/>
    <s v="Female"/>
    <m/>
    <s v="14-18"/>
    <m/>
    <x v="1"/>
    <m/>
    <s v="USA"/>
    <m/>
  </r>
  <r>
    <d v="2018-11-14T21:43:13"/>
    <s v="Gameplay, Collecting Cards/Masters"/>
    <s v="Solo, Expeditions"/>
    <s v="Master Skins, Arenas"/>
    <s v="No"/>
    <m/>
    <s v="I've not made a purchase"/>
    <m/>
    <m/>
    <s v="Stormbringer"/>
    <m/>
    <m/>
    <m/>
    <s v="Stone"/>
    <m/>
    <s v="0-5"/>
    <m/>
    <x v="4"/>
    <m/>
    <s v="Daily"/>
    <m/>
    <s v="Watch"/>
    <m/>
    <s v="Male"/>
    <m/>
    <s v="over 36"/>
    <m/>
    <x v="0"/>
    <m/>
    <s v="I prefer not to say"/>
    <m/>
  </r>
  <r>
    <d v="2018-11-14T21:44:32"/>
    <s v="Gameplay, Graphics, Collecting Cards/Masters"/>
    <s v="Solo, Duo"/>
    <s v="Master Skins, Arenas"/>
    <s v="Yes"/>
    <s v="if upgrading account counts."/>
    <s v="Yes"/>
    <s v="was rabid prowler till nerf. collosus, scrat horde, dragonball, beam, divine warrior"/>
    <m/>
    <s v="Stormbringer"/>
    <m/>
    <s v="really good in 2v2, balanced master"/>
    <m/>
    <s v="Grandmaster"/>
    <m/>
    <s v="200-1000"/>
    <m/>
    <x v="448"/>
    <m/>
    <s v="Daily"/>
    <m/>
    <s v="Watch"/>
    <m/>
    <s v="Male"/>
    <m/>
    <s v="26-35"/>
    <m/>
    <x v="3"/>
    <m/>
    <s v="USA"/>
    <m/>
  </r>
  <r>
    <d v="2018-11-14T21:46:31"/>
    <s v="Collecting Cards/Masters, Playing with friends"/>
    <s v="Premade Duo"/>
    <s v="Arenas, Emotes, Avatars"/>
    <s v="No"/>
    <m/>
    <s v="I've not made a purchase"/>
    <s v="Cheese!!, Outhouses"/>
    <m/>
    <s v="Milloween"/>
    <m/>
    <s v="I haven't experienced the other masters yet"/>
    <m/>
    <s v="Silver"/>
    <m/>
    <s v="5-25"/>
    <m/>
    <x v="449"/>
    <m/>
    <s v="Daily"/>
    <m/>
    <s v="Neither"/>
    <m/>
    <s v="Female"/>
    <m/>
    <s v="26-35"/>
    <m/>
    <x v="2"/>
    <m/>
    <s v="USA"/>
    <m/>
  </r>
  <r>
    <d v="2018-11-14T21:48:39"/>
    <s v="Competitions/Tournaments"/>
    <s v="Duo, Premade Duo"/>
    <s v="Emotes"/>
    <s v="No"/>
    <m/>
    <s v="I've not made a purchase"/>
    <s v="Dragon Ball, Defenso Chopper, Whirly Scrat, Xiao Long, Divine Warrior, Crystal Archers"/>
    <m/>
    <s v="Ravager"/>
    <m/>
    <s v="Good Tempo Pushes"/>
    <m/>
    <s v="Grandmaster"/>
    <m/>
    <s v="25-100"/>
    <m/>
    <x v="450"/>
    <m/>
    <s v="Daily"/>
    <m/>
    <s v="Watch, Stream"/>
    <m/>
    <s v="Male"/>
    <m/>
    <s v="26-35"/>
    <m/>
    <x v="0"/>
    <m/>
    <s v="USA"/>
    <m/>
  </r>
  <r>
    <d v="2018-11-14T21:48:55"/>
    <s v="Gameplay, Collecting Cards/Masters"/>
    <s v="Duo, Premade Duo"/>
    <s v="Master Skins, Avatars"/>
    <s v="No"/>
    <m/>
    <s v="I've not made a purchase"/>
    <s v="Re-Boomer, Blind Date, Future Present, Incubus, and Succubus "/>
    <m/>
    <s v="Volco"/>
    <m/>
    <s v="I just played him once (via code) and he just stuck with me."/>
    <m/>
    <s v="Silver"/>
    <m/>
    <s v="25-100"/>
    <m/>
    <x v="451"/>
    <m/>
    <s v="Daily"/>
    <m/>
    <s v="Watch, Stream"/>
    <m/>
    <s v="Male"/>
    <m/>
    <s v="14-18"/>
    <m/>
    <x v="1"/>
    <m/>
    <s v="USA"/>
    <m/>
  </r>
  <r>
    <d v="2018-11-14T21:51:54"/>
    <s v="Gameplay"/>
    <s v="Solo"/>
    <s v="Avatars"/>
    <s v="No"/>
    <m/>
    <s v="I've not made a purchase"/>
    <m/>
    <m/>
    <s v="Mordar"/>
    <m/>
    <s v="I'm new to the game and trying stuff out."/>
    <m/>
    <s v="Wood"/>
    <m/>
    <s v="0-5"/>
    <m/>
    <x v="452"/>
    <m/>
    <s v="Daily"/>
    <m/>
    <s v="Watch"/>
    <m/>
    <s v="Male"/>
    <m/>
    <s v="I prefer not to say"/>
    <m/>
    <x v="1"/>
    <m/>
    <s v="USA"/>
    <m/>
  </r>
  <r>
    <d v="2018-11-14T21:54:01"/>
    <s v="Gameplay"/>
    <s v="Premade Duo"/>
    <s v="Master Skins"/>
    <s v="Yes"/>
    <s v="Because of the premium pack"/>
    <s v="Yes"/>
    <m/>
    <m/>
    <s v="Volco"/>
    <m/>
    <s v="I love mid-ranged playstyles"/>
    <m/>
    <s v="Gold"/>
    <m/>
    <s v="5-25"/>
    <m/>
    <x v="453"/>
    <m/>
    <s v="Daily"/>
    <m/>
    <s v="Neither"/>
    <m/>
    <s v="Male"/>
    <m/>
    <s v="14-18"/>
    <m/>
    <x v="1"/>
    <m/>
    <s v="USA"/>
    <m/>
  </r>
  <r>
    <d v="2018-11-14T21:54:10"/>
    <s v="Crafting system"/>
    <s v="Expeditions"/>
    <s v="Master Skins"/>
    <s v="No"/>
    <m/>
    <s v="I've not made a purchase"/>
    <s v="Lanceiros atordoantes, encontro às cegas, Styxi, predador e encontro às cegas ambulante"/>
    <m/>
    <s v="Settsu"/>
    <m/>
    <s v="Por causa de suas habilidades "/>
    <m/>
    <s v="Silver"/>
    <m/>
    <s v="25-100"/>
    <m/>
    <x v="454"/>
    <m/>
    <s v="Daily"/>
    <m/>
    <s v="Watch"/>
    <m/>
    <s v="Male"/>
    <m/>
    <s v="14-18"/>
    <m/>
    <x v="1"/>
    <m/>
    <s v="Brasil"/>
    <m/>
  </r>
  <r>
    <d v="2018-11-14T21:55:40"/>
    <s v="Graphics"/>
    <s v="Duo"/>
    <s v="Avatars"/>
    <s v="Yes"/>
    <s v="New, legendary or epic cards. And for the ultimate package"/>
    <s v="No"/>
    <m/>
    <m/>
    <s v="Milloween"/>
    <m/>
    <s v="The Golem gets really strong with 3rd buff. Also the free spell - 2. skill, is quite decent."/>
    <m/>
    <s v="Gold"/>
    <m/>
    <s v="5-25"/>
    <m/>
    <x v="455"/>
    <m/>
    <s v="3-4 times a week"/>
    <m/>
    <s v="Neither"/>
    <m/>
    <s v="Male"/>
    <m/>
    <s v="19-25"/>
    <m/>
    <x v="1"/>
    <m/>
    <s v="Germany"/>
    <m/>
  </r>
  <r>
    <d v="2018-11-14T21:56:25"/>
    <s v="Gameplay"/>
    <s v="Solo, Duo"/>
    <s v="Master Skins"/>
    <s v="No"/>
    <m/>
    <s v="I've not made a purchase"/>
    <m/>
    <m/>
    <s v="Stormbringer"/>
    <m/>
    <s v="Easy for me as a new player"/>
    <m/>
    <s v="Silver"/>
    <m/>
    <s v="5-25"/>
    <m/>
    <x v="456"/>
    <m/>
    <s v="5-6 times a week"/>
    <m/>
    <s v="Watch"/>
    <m/>
    <s v="Male"/>
    <m/>
    <s v="19-25"/>
    <m/>
    <x v="3"/>
    <m/>
    <s v="USA"/>
    <m/>
  </r>
  <r>
    <d v="2018-11-14T21:56:46"/>
    <s v="Gameplay"/>
    <s v="Duo, Premade Duo, Expeditions"/>
    <s v="Master Skins"/>
    <s v="Yes"/>
    <s v="Skins and shop deals"/>
    <s v="Yes"/>
    <s v="Harbinger, Xao, Whirley Scrat, Rabid Prowler,  "/>
    <m/>
    <s v="Ravager"/>
    <m/>
    <s v="Brutus is a great tank for a final push"/>
    <m/>
    <s v="Diamond"/>
    <m/>
    <s v="100-200"/>
    <m/>
    <x v="457"/>
    <m/>
    <s v="Daily"/>
    <m/>
    <s v="Watch"/>
    <m/>
    <s v="Male"/>
    <m/>
    <s v="26-35"/>
    <m/>
    <x v="0"/>
    <m/>
    <s v="USA"/>
    <m/>
  </r>
  <r>
    <d v="2018-11-14T21:58:09"/>
    <s v="Gameplay, Collecting Cards/Masters, Competitions/Tournaments"/>
    <s v="Solo, Duo"/>
    <s v="Master Skins"/>
    <s v="No"/>
    <s v="New Cards"/>
    <s v="I've not made a purchase"/>
    <m/>
    <m/>
    <s v="Stormbringer"/>
    <m/>
    <m/>
    <m/>
    <s v="Silver"/>
    <m/>
    <s v="5-25"/>
    <m/>
    <x v="458"/>
    <m/>
    <s v="3-4 times a week"/>
    <m/>
    <s v="Neither"/>
    <m/>
    <s v="Male"/>
    <m/>
    <s v="over 36"/>
    <m/>
    <x v="0"/>
    <m/>
    <s v="Germany"/>
    <m/>
  </r>
  <r>
    <d v="2018-11-14T21:59:07"/>
    <s v="Gameplay, Collecting Cards/Masters"/>
    <s v="Solo"/>
    <m/>
    <s v="Yes"/>
    <m/>
    <s v="Yes"/>
    <m/>
    <m/>
    <s v="Mordar"/>
    <m/>
    <m/>
    <m/>
    <s v="Master"/>
    <m/>
    <s v="100-200"/>
    <m/>
    <x v="4"/>
    <m/>
    <s v="Daily"/>
    <m/>
    <s v="Neither"/>
    <m/>
    <s v="Male"/>
    <m/>
    <s v="26-35"/>
    <m/>
    <x v="0"/>
    <m/>
    <s v="USA"/>
    <m/>
  </r>
  <r>
    <d v="2018-11-14T21:59:53"/>
    <s v="Gameplay"/>
    <s v="Solo, Duo, Draft, Mayhem Solo"/>
    <s v="Arenas"/>
    <s v="No"/>
    <m/>
    <s v="I've not made a purchase"/>
    <s v="das lezte gefecht; Trittbrett; himmelskriegerin"/>
    <m/>
    <s v="Settsu"/>
    <m/>
    <s v="versatile"/>
    <m/>
    <s v="Diamond"/>
    <m/>
    <s v="5-25"/>
    <m/>
    <x v="459"/>
    <m/>
    <s v="5-6 times a week"/>
    <m/>
    <s v="Neither"/>
    <m/>
    <s v="Male"/>
    <m/>
    <s v="19-25"/>
    <m/>
    <x v="0"/>
    <m/>
    <s v="Germany"/>
    <m/>
  </r>
  <r>
    <d v="2018-11-14T22:00:01"/>
    <s v="Gameplay, Collecting Cards/Masters, Crafting system"/>
    <s v="Solo, Duo"/>
    <s v="Master Skins, Arenas, Emotes"/>
    <s v="Yes"/>
    <s v="Getting some stuff :D not sure what it was tbh. should be a bit of everything"/>
    <s v="Yes"/>
    <s v="Morgul, Prowler, Xiao, Plasma Marines &amp; Healing Fireball"/>
    <m/>
    <s v="Mordar"/>
    <m/>
    <s v="I like his ability and his look"/>
    <m/>
    <s v="Master"/>
    <m/>
    <s v="25-100"/>
    <m/>
    <x v="460"/>
    <m/>
    <s v="Daily"/>
    <m/>
    <s v="Watch"/>
    <m/>
    <s v="Male"/>
    <m/>
    <s v="19-25"/>
    <m/>
    <x v="1"/>
    <m/>
    <s v="Germany"/>
    <m/>
  </r>
  <r>
    <d v="2018-11-14T22:00:14"/>
    <s v="Collecting Cards/Masters"/>
    <s v="Draft"/>
    <s v="Master Skins, Arenas"/>
    <s v="No"/>
    <m/>
    <s v="I've not made a purchase"/>
    <s v="Blind Date, Fire Imp, Chain Lightning, Colossus and enpowered soul stealer"/>
    <m/>
    <s v="Volco"/>
    <m/>
    <s v="I like the look and play style"/>
    <m/>
    <s v="Gold"/>
    <m/>
    <s v="5-25"/>
    <m/>
    <x v="31"/>
    <m/>
    <s v="Daily"/>
    <m/>
    <s v="Neither"/>
    <m/>
    <s v="Male"/>
    <m/>
    <s v="14-18"/>
    <m/>
    <x v="1"/>
    <m/>
    <s v="Australia"/>
    <m/>
  </r>
  <r>
    <d v="2018-11-14T22:05:15"/>
    <s v="Gameplay, Graphics, Competitions/Tournaments"/>
    <s v="Duo, Draft, Expeditions"/>
    <s v="Arenas"/>
    <s v="No"/>
    <m/>
    <s v="I've not made a purchase"/>
    <s v="Mana puff, heal puff, wizard puff (i like the puffs, they are cute), colossus, fire imp"/>
    <m/>
    <s v="King Puff"/>
    <m/>
    <s v="The stun across bridge, capture both bridges with, ITS A PUFF"/>
    <m/>
    <s v="Diamond"/>
    <m/>
    <s v="25-100"/>
    <m/>
    <x v="461"/>
    <m/>
    <s v="Daily"/>
    <m/>
    <s v="Watch"/>
    <m/>
    <s v="Male"/>
    <m/>
    <s v="14-18"/>
    <m/>
    <x v="1"/>
    <m/>
    <s v="USA"/>
    <m/>
  </r>
  <r>
    <d v="2018-11-14T22:05:29"/>
    <s v="Gameplay"/>
    <s v="Duo"/>
    <s v="Arenas"/>
    <s v="No"/>
    <m/>
    <s v="I've not made a purchase"/>
    <s v="crystal archer, harbinger, jade dragon, arcane golem, beam of doom"/>
    <m/>
    <s v="Milloween"/>
    <m/>
    <s v="like the looks and the perks, think stormbringer and king puff seem stronger though"/>
    <m/>
    <s v="Master"/>
    <m/>
    <s v="25-100"/>
    <m/>
    <x v="462"/>
    <m/>
    <s v="3-4 times a week"/>
    <m/>
    <s v="Neither"/>
    <m/>
    <s v="Male"/>
    <m/>
    <s v="26-35"/>
    <m/>
    <x v="2"/>
    <m/>
    <s v="United Kingdom"/>
    <m/>
  </r>
  <r>
    <d v="2018-11-14T22:07:16"/>
    <s v="Gameplay"/>
    <m/>
    <s v="Master Skins"/>
    <s v="No"/>
    <m/>
    <s v="I've not made a purchase"/>
    <m/>
    <m/>
    <s v="Stormbringer"/>
    <m/>
    <s v="Started with him but like the long range attack"/>
    <m/>
    <s v="Bronze"/>
    <m/>
    <s v="5-25"/>
    <m/>
    <x v="463"/>
    <m/>
    <s v="5-6 times a week"/>
    <m/>
    <s v="Watch"/>
    <m/>
    <s v="Male"/>
    <m/>
    <s v="26-35"/>
    <m/>
    <x v="0"/>
    <m/>
    <s v="USA"/>
    <m/>
  </r>
  <r>
    <d v="2018-11-14T22:08:21"/>
    <s v="Gameplay, Graphics, Collecting Cards/Masters"/>
    <s v="Solo"/>
    <s v="Master Skins, Arenas"/>
    <s v="Yes"/>
    <s v="Battle Pass, Shop"/>
    <s v="Yes"/>
    <s v="Succubus, Succubus, Succubus, Succubus, Succubus"/>
    <m/>
    <s v="Mordar"/>
    <m/>
    <s v="He's a spooky skeleton with ghost fire, why wouldn't I choose him."/>
    <m/>
    <s v="Platinum"/>
    <m/>
    <s v="25-100"/>
    <m/>
    <x v="464"/>
    <m/>
    <s v="5-6 times a week"/>
    <m/>
    <s v="Watch"/>
    <m/>
    <s v="Male"/>
    <m/>
    <s v="19-25"/>
    <m/>
    <x v="1"/>
    <m/>
    <s v="USA"/>
    <m/>
  </r>
  <r>
    <d v="2018-11-14T22:09:36"/>
    <s v="Gameplay"/>
    <s v="Duo, Premade Duo"/>
    <s v="Master Skins"/>
    <s v="Yes"/>
    <s v="master skins"/>
    <s v="Yes"/>
    <m/>
    <m/>
    <s v="King Puff"/>
    <m/>
    <s v="skill"/>
    <m/>
    <s v="Platinum"/>
    <m/>
    <s v="25-100"/>
    <m/>
    <x v="4"/>
    <m/>
    <s v="Daily"/>
    <m/>
    <s v="Neither"/>
    <m/>
    <s v="Male"/>
    <m/>
    <s v="26-35"/>
    <m/>
    <x v="0"/>
    <m/>
    <s v="France"/>
    <m/>
  </r>
  <r>
    <d v="2018-11-14T22:14:06"/>
    <s v="Gameplay"/>
    <s v="Solo, Premade Duo"/>
    <s v="Master Skins, Arenas, Emotes"/>
    <s v="Yes"/>
    <s v="Get Stuff"/>
    <s v="Yes"/>
    <m/>
    <m/>
    <s v="Ravager"/>
    <m/>
    <s v="I like his powers"/>
    <m/>
    <s v="Master"/>
    <m/>
    <s v="200-1000"/>
    <m/>
    <x v="4"/>
    <m/>
    <s v="Daily"/>
    <m/>
    <s v="Watch"/>
    <m/>
    <s v="Male"/>
    <m/>
    <s v="over 36"/>
    <m/>
    <x v="0"/>
    <m/>
    <s v="USA"/>
    <m/>
  </r>
  <r>
    <d v="2018-11-14T22:14:22"/>
    <s v="Gameplay, Graphics, Collecting Cards/Masters, Competitions/Tournaments"/>
    <s v="Duo, Premade Duo"/>
    <s v="Master Skins"/>
    <s v="Yes"/>
    <s v="Battle pass and Skins"/>
    <s v="Yes"/>
    <s v="Cursebearer, Rammer, Morgul, Chain lightening"/>
    <m/>
    <s v="Mordar"/>
    <m/>
    <s v="The resurrect "/>
    <m/>
    <s v="Platinum"/>
    <m/>
    <s v="25-100"/>
    <m/>
    <x v="465"/>
    <m/>
    <s v="3-4 times a week"/>
    <m/>
    <s v="Neither"/>
    <m/>
    <s v="Male"/>
    <m/>
    <s v="14-18"/>
    <m/>
    <x v="1"/>
    <m/>
    <s v="USA"/>
    <m/>
  </r>
  <r>
    <d v="2018-11-14T22:16:21"/>
    <s v="Gameplay"/>
    <s v="Solo"/>
    <s v="Arenas, Emotes"/>
    <s v="No"/>
    <m/>
    <s v="I've not made a purchase"/>
    <m/>
    <m/>
    <s v="Stormbringer"/>
    <m/>
    <s v="I love it that he gets the unlimited range and better range for his minions."/>
    <m/>
    <s v="Platinum"/>
    <m/>
    <s v="25-100"/>
    <m/>
    <x v="4"/>
    <m/>
    <s v="5-6 times a week"/>
    <m/>
    <s v="Stream"/>
    <m/>
    <s v="Male"/>
    <m/>
    <s v="14-18"/>
    <m/>
    <x v="1"/>
    <m/>
    <s v="Germany"/>
    <m/>
  </r>
  <r>
    <d v="2018-11-14T22:16:59"/>
    <s v="Gameplay, Competitions/Tournaments"/>
    <s v="Duo, Expeditions"/>
    <s v="Master Skins, Arenas, Avatars"/>
    <s v="No"/>
    <m/>
    <s v="I've not made a purchase"/>
    <m/>
    <m/>
    <s v="Stormbringer"/>
    <m/>
    <m/>
    <m/>
    <s v="Stone"/>
    <m/>
    <s v="0-5"/>
    <m/>
    <x v="466"/>
    <m/>
    <s v="5-6 times a week"/>
    <m/>
    <s v="Neither"/>
    <m/>
    <s v="Male"/>
    <m/>
    <s v="19-25"/>
    <m/>
    <x v="0"/>
    <m/>
    <s v="USA"/>
    <m/>
  </r>
  <r>
    <d v="2018-11-14T22:20:27"/>
    <s v="Gameplay"/>
    <s v="Duo, Premade Duo, Expeditions"/>
    <s v="Master Skins, Arenas"/>
    <s v="No"/>
    <m/>
    <s v="Yes"/>
    <s v="Divine Warrior, Incubus, Blind Date, Whirly Scrat, Assassin"/>
    <m/>
    <s v="King Puff"/>
    <m/>
    <s v="Perks"/>
    <m/>
    <s v="Gold"/>
    <m/>
    <s v="25-100"/>
    <m/>
    <x v="467"/>
    <m/>
    <s v="Daily"/>
    <m/>
    <s v="Watch"/>
    <m/>
    <s v="Female"/>
    <m/>
    <s v="26-35"/>
    <m/>
    <x v="2"/>
    <m/>
    <s v="USA"/>
    <m/>
  </r>
  <r>
    <d v="2018-11-14T22:23:24"/>
    <s v="Gameplay, Collecting Cards/Masters, Crafting system"/>
    <s v="Duo, Premade Duo"/>
    <s v="Master Skins, Emotes"/>
    <s v="Yes"/>
    <s v="Support the development of a game I really enjoy."/>
    <s v="Yes"/>
    <s v="Black Hole, Scott, Curse Bearer, Wheel of Doom, Prowler"/>
    <m/>
    <s v="King Puff"/>
    <m/>
    <s v="King Puff influences both how you build your deck and how you play. In addition the small randomness allows each cycle through your deck to feel different."/>
    <m/>
    <s v="Grandmaster"/>
    <m/>
    <s v="200-1000"/>
    <m/>
    <x v="468"/>
    <m/>
    <s v="5-6 times a week"/>
    <m/>
    <s v="Watch"/>
    <m/>
    <s v="Male"/>
    <m/>
    <s v="26-35"/>
    <m/>
    <x v="0"/>
    <m/>
    <s v="USA"/>
    <m/>
  </r>
  <r>
    <d v="2018-11-14T22:24:41"/>
    <s v="Gameplay, Graphics, Collecting Cards/Masters, Competitions/Tournaments, Crafting system"/>
    <s v="Solo, Duo, Premade Duo, Draft, Expeditions, Mayhem Solo, Mayhem Duo"/>
    <s v="Arenas, Avatars"/>
    <s v="Yes"/>
    <s v="battle pass"/>
    <s v="Yes"/>
    <s v="musketeer, prowler future past,future present, blastmancer"/>
    <m/>
    <s v="Apep"/>
    <m/>
    <s v="free cards"/>
    <m/>
    <s v="Gold"/>
    <m/>
    <s v="5-25"/>
    <m/>
    <x v="469"/>
    <m/>
    <s v="Daily"/>
    <m/>
    <s v="Watch"/>
    <m/>
    <s v="Male"/>
    <m/>
    <s v="14-18"/>
    <m/>
    <x v="0"/>
    <m/>
    <s v="USA"/>
    <m/>
  </r>
  <r>
    <d v="2018-11-14T22:26:30"/>
    <s v="Gameplay"/>
    <s v="Duo, Premade Duo, Expeditions"/>
    <s v="Master Skins, Arenas, Emotes"/>
    <s v="Yes"/>
    <s v="Battlepass"/>
    <s v="Yes"/>
    <s v="Mana puff, spiritmancer, commander azali, priestess"/>
    <m/>
    <s v="King Puff"/>
    <m/>
    <s v="He is adorable, and I like how he messes with arena"/>
    <m/>
    <s v="Grandmaster"/>
    <m/>
    <s v="200-1000"/>
    <m/>
    <x v="470"/>
    <m/>
    <s v="Daily"/>
    <m/>
    <s v="Watch"/>
    <m/>
    <s v="Male"/>
    <m/>
    <s v="26-35"/>
    <m/>
    <x v="0"/>
    <m/>
    <s v="USA"/>
    <m/>
  </r>
  <r>
    <d v="2018-11-14T22:27:43"/>
    <m/>
    <s v="Duo"/>
    <s v="Master Skins"/>
    <s v="Yes"/>
    <s v="Buy the Pass"/>
    <s v="Yes"/>
    <s v="1-Xiao Long. 2-Morgrul. 3-Scrat Horde 4-Propeller Horde 5-Rammer"/>
    <m/>
    <s v="Volco"/>
    <m/>
    <s v="A lot of poke potential"/>
    <m/>
    <s v="Diamond"/>
    <m/>
    <s v="25-100"/>
    <m/>
    <x v="471"/>
    <m/>
    <s v="Daily"/>
    <m/>
    <s v="Stream"/>
    <m/>
    <s v="Male"/>
    <m/>
    <s v="26-35"/>
    <m/>
    <x v="4"/>
    <m/>
    <s v="Argentina"/>
    <m/>
  </r>
  <r>
    <d v="2018-11-14T22:30:23"/>
    <s v="Gameplay, Competitions/Tournaments"/>
    <s v="Solo, Draft"/>
    <s v="Master Skins"/>
    <s v="Yes"/>
    <s v="for the upgrade, thing, just so I can progress faster"/>
    <s v="Yes"/>
    <s v="screaming scrat, "/>
    <m/>
    <s v="Mordar"/>
    <m/>
    <s v="Mordar has a high skill cap, I'm bad at him but whatever"/>
    <m/>
    <s v="Grandmaster"/>
    <m/>
    <s v="100-200"/>
    <m/>
    <x v="4"/>
    <m/>
    <s v="Daily"/>
    <m/>
    <s v="Watch"/>
    <m/>
    <s v="Male"/>
    <m/>
    <s v="14-18"/>
    <m/>
    <x v="1"/>
    <m/>
    <s v="USA"/>
    <m/>
  </r>
  <r>
    <d v="2018-11-14T22:37:36"/>
    <s v="Graphics, Collecting Cards/Masters"/>
    <s v="Premade Duo, Expeditions"/>
    <s v="Arenas"/>
    <s v="Yes"/>
    <s v="Just for Premium."/>
    <s v="Yes"/>
    <s v="Scheinhackebeil, Kommandantin Azali, Zeppelin-Bomber, Mana-Hauch-Wahnsinn, Schreiender Scrat"/>
    <m/>
    <s v="Volco"/>
    <m/>
    <s v="Because I like spam."/>
    <m/>
    <s v="Grandmaster"/>
    <m/>
    <s v="100-200"/>
    <m/>
    <x v="472"/>
    <m/>
    <s v="Daily"/>
    <m/>
    <s v="Watch, Stream"/>
    <m/>
    <s v="I prefer not to say"/>
    <m/>
    <s v="19-25"/>
    <m/>
    <x v="2"/>
    <m/>
    <s v="Germany"/>
    <m/>
  </r>
  <r>
    <d v="2018-11-14T22:38:37"/>
    <s v="Gameplay, Graphics, Collecting Cards/Masters"/>
    <s v="Solo, Premade Duo, Expeditions, Mayhem Solo, Mayhem Duo"/>
    <s v="Master Skins"/>
    <s v="Yes"/>
    <s v="BP"/>
    <s v="Yes"/>
    <s v="Harbinger, &quot;Stuntank&quot;, Annihilator, Guardian, Fire-Imp"/>
    <m/>
    <s v="Stormbringer"/>
    <m/>
    <s v="Shoots whole map"/>
    <m/>
    <s v="Platinum"/>
    <m/>
    <s v="5-25"/>
    <m/>
    <x v="473"/>
    <m/>
    <s v="5-6 times a week"/>
    <m/>
    <s v="Watch"/>
    <m/>
    <s v="Male"/>
    <m/>
    <s v="26-35"/>
    <m/>
    <x v="2"/>
    <m/>
    <s v="Germany"/>
    <m/>
  </r>
  <r>
    <d v="2018-11-14T22:40:09"/>
    <s v="Graphics, Collecting Cards/Masters"/>
    <s v="Premade Duo, Expeditions"/>
    <s v="Master Skins, Arenas"/>
    <s v="Yes"/>
    <s v="Just for premium"/>
    <s v="Yes"/>
    <s v="Xiao Long, Morgrul, Schreiender Scrat, Dämonenkrieger, Störhauch"/>
    <m/>
    <s v="Apep"/>
    <m/>
    <s v="Nützliches Schild und gute Karten"/>
    <m/>
    <s v="Diamond"/>
    <m/>
    <s v="100-200"/>
    <m/>
    <x v="474"/>
    <m/>
    <s v="Daily"/>
    <m/>
    <s v="Neither"/>
    <m/>
    <s v="I prefer not to say"/>
    <m/>
    <s v="19-25"/>
    <m/>
    <x v="0"/>
    <m/>
    <s v="Germany"/>
    <m/>
  </r>
  <r>
    <d v="2018-11-14T22:43:27"/>
    <s v="Gameplay"/>
    <s v="Duo, Premade Duo, Draft, Mayhem Solo, Mayhem Duo"/>
    <m/>
    <s v="Yes"/>
    <s v="Premium Edition/Battle Pass"/>
    <s v="Yes"/>
    <m/>
    <m/>
    <s v="Milloween"/>
    <m/>
    <s v="Unique Gameplay"/>
    <m/>
    <s v="Platinum"/>
    <m/>
    <s v="5-25"/>
    <m/>
    <x v="475"/>
    <m/>
    <s v="5-6 times a week"/>
    <m/>
    <s v="Watch"/>
    <m/>
    <s v="Male"/>
    <m/>
    <s v="26-35"/>
    <m/>
    <x v="0"/>
    <m/>
    <s v="USA"/>
    <m/>
  </r>
  <r>
    <d v="2018-11-14T22:45:54"/>
    <s v="Gameplay, Graphics, Collecting Cards/Masters"/>
    <s v="Solo, Premade Duo"/>
    <s v="Master Skins"/>
    <s v="No"/>
    <m/>
    <s v="I've not made a purchase"/>
    <s v="Blastmancer, Scott the Sensitive Savage, Mana Puff Madness, Skrat Horde, Commander Azali"/>
    <m/>
    <s v="Ravager"/>
    <m/>
    <s v="Ravager can make or break a rush if you time his Brutus perks with heavy-hitters like Scott, Living Statue, Cleaver, etc."/>
    <m/>
    <s v="Gold"/>
    <m/>
    <s v="5-25"/>
    <m/>
    <x v="476"/>
    <m/>
    <s v="Daily"/>
    <m/>
    <s v="Neither"/>
    <m/>
    <s v="Female"/>
    <m/>
    <s v="19-25"/>
    <m/>
    <x v="1"/>
    <m/>
    <s v="USA"/>
    <m/>
  </r>
  <r>
    <d v="2018-11-14T22:46:43"/>
    <s v="Gameplay, Graphics, Collecting Cards/Masters"/>
    <s v="Solo, Premade Duo, Draft, Expeditions"/>
    <s v="Master Skins, Arenas"/>
    <s v="No"/>
    <m/>
    <s v="I've not made a purchase"/>
    <s v="Beam of DOOM, Fire imp, Disruptor puffs, Raging reinforcements, Scrat launcher"/>
    <m/>
    <s v="King Puff"/>
    <m/>
    <s v="In most games I play I always choose to play the characters that differ the most from others, and especially those with a high skill ceiling."/>
    <m/>
    <s v="Gold"/>
    <m/>
    <s v="25-100"/>
    <m/>
    <x v="477"/>
    <m/>
    <s v="Daily"/>
    <m/>
    <s v="Watch"/>
    <m/>
    <s v="Male"/>
    <m/>
    <s v="19-25"/>
    <m/>
    <x v="3"/>
    <m/>
    <s v="Sweden"/>
    <m/>
  </r>
  <r>
    <d v="2018-11-14T22:46:57"/>
    <s v="Gameplay"/>
    <s v="Solo, Premade Duo, Draft, Mayhem Solo"/>
    <s v="Master Skins, Arenas"/>
    <s v="No"/>
    <m/>
    <s v="Yes"/>
    <s v="Black Hole, Nether Step, Drone Force One (Harbringer), Priestess, Guardian"/>
    <m/>
    <s v="Mordar"/>
    <m/>
    <m/>
    <m/>
    <s v="Master"/>
    <m/>
    <s v="200-1000"/>
    <m/>
    <x v="478"/>
    <m/>
    <s v="3-4 times a week"/>
    <m/>
    <s v="Neither"/>
    <m/>
    <s v="I prefer not to say"/>
    <m/>
    <s v="19-25"/>
    <m/>
    <x v="1"/>
    <m/>
    <s v="Germany"/>
    <m/>
  </r>
  <r>
    <d v="2018-11-14T22:48:29"/>
    <s v="Gameplay"/>
    <s v="Duo"/>
    <s v="Arenas"/>
    <s v="Yes"/>
    <s v="Battlepass"/>
    <s v="Yes"/>
    <m/>
    <m/>
    <s v="Stormbringer"/>
    <m/>
    <m/>
    <m/>
    <s v="Gold"/>
    <m/>
    <s v="5-25"/>
    <m/>
    <x v="4"/>
    <m/>
    <s v="Daily"/>
    <m/>
    <s v="Neither"/>
    <m/>
    <s v="I prefer not to say"/>
    <m/>
    <s v="19-25"/>
    <m/>
    <x v="1"/>
    <m/>
    <s v="I prefer not to say"/>
    <m/>
  </r>
  <r>
    <d v="2018-11-14T22:51:10"/>
    <s v="TDvsTD"/>
    <s v="Duo, Premade Duo, Mayhem Duo"/>
    <m/>
    <s v="Yes"/>
    <s v="support devs"/>
    <s v="Yes"/>
    <s v="screaming rat, dragons, bcs of value - change every patch, need more funny/hot cards"/>
    <m/>
    <s v="Stormbringer"/>
    <m/>
    <s v="easy to play, need sexy Masters"/>
    <m/>
    <s v="Grandmaster"/>
    <m/>
    <s v="200-1000"/>
    <m/>
    <x v="479"/>
    <m/>
    <s v="Daily"/>
    <m/>
    <s v="Watch, Stream"/>
    <m/>
    <s v="Male"/>
    <m/>
    <s v="26-35"/>
    <m/>
    <x v="4"/>
    <m/>
    <s v="Germany"/>
    <m/>
  </r>
  <r>
    <d v="2018-11-14T22:52:49"/>
    <s v="Gameplay"/>
    <s v="Solo, Premade Duo"/>
    <s v="Emotes"/>
    <s v="Yes"/>
    <s v="battlepass"/>
    <s v="Yes"/>
    <s v="scrat horde, 5 mana fireball that summons dragon, 7 mana card that summons incubus/succubus, tank guy with lid, rammer"/>
    <m/>
    <s v="Ravager"/>
    <m/>
    <s v="i like the obvious strengths he has with equally as obvious weaknesses, gives me something to build my deck around. ie pushing on 1st and 3rd perk and air defense"/>
    <m/>
    <s v="Diamond"/>
    <m/>
    <s v="25-100"/>
    <m/>
    <x v="480"/>
    <m/>
    <s v="Daily"/>
    <m/>
    <s v="Watch"/>
    <m/>
    <s v="Male"/>
    <m/>
    <s v="26-35"/>
    <m/>
    <x v="0"/>
    <m/>
    <s v="USA"/>
    <m/>
  </r>
  <r>
    <d v="2018-11-14T22:53:46"/>
    <s v="Gameplay, Deckbuilding"/>
    <s v="Duo, Premade Duo"/>
    <s v="Master Skins, Arenas"/>
    <s v="Yes"/>
    <s v="To support the developers of the game"/>
    <s v="Yes"/>
    <s v="Blastmancer, Lightning Bolt, Re-Boomer, Arcane Golem, Harbinger. However for art, I love Gor'Rakk Sacrifice"/>
    <m/>
    <s v="Milloween"/>
    <m/>
    <s v="I like supporting the Arcane Golem, as well as its inevitability late game"/>
    <m/>
    <s v="Gold"/>
    <m/>
    <s v="25-100"/>
    <m/>
    <x v="481"/>
    <m/>
    <s v="Daily"/>
    <m/>
    <s v="Neither"/>
    <m/>
    <s v="Male"/>
    <m/>
    <s v="19-25"/>
    <m/>
    <x v="1"/>
    <m/>
    <s v="Canada"/>
    <m/>
  </r>
  <r>
    <d v="2018-11-14T22:54:01"/>
    <s v="Gameplay, Collecting Cards/Masters, Competitions/Tournaments"/>
    <s v="Duo"/>
    <s v="Arenas"/>
    <s v="No"/>
    <m/>
    <s v="I've not made a purchase"/>
    <m/>
    <m/>
    <s v="Stormbringer"/>
    <m/>
    <m/>
    <m/>
    <s v="Silver"/>
    <m/>
    <s v="0-5"/>
    <m/>
    <x v="426"/>
    <m/>
    <s v="1-2 times a week"/>
    <m/>
    <s v="Watch, Stream"/>
    <m/>
    <s v="Male"/>
    <m/>
    <s v="26-35"/>
    <m/>
    <x v="0"/>
    <m/>
    <s v="I prefer not to say"/>
    <m/>
  </r>
  <r>
    <d v="2018-11-14T22:54:07"/>
    <s v="Gameplay"/>
    <s v="Duo"/>
    <s v="Master Skins"/>
    <s v="No"/>
    <m/>
    <s v="I've not made a purchase"/>
    <m/>
    <m/>
    <s v="Stormbringer"/>
    <m/>
    <m/>
    <m/>
    <s v="Silver"/>
    <m/>
    <s v="0-5"/>
    <m/>
    <x v="4"/>
    <m/>
    <s v="Daily"/>
    <m/>
    <s v="Watch"/>
    <m/>
    <s v="Male"/>
    <m/>
    <s v="26-35"/>
    <m/>
    <x v="0"/>
    <m/>
    <s v="United Kingdom"/>
    <m/>
  </r>
  <r>
    <d v="2018-11-14T22:54:33"/>
    <s v="Gameplay, Collecting Cards/Masters, Competitions/Tournaments"/>
    <s v="Duo"/>
    <s v="Avatars"/>
    <s v="No"/>
    <m/>
    <s v="I've not made a purchase"/>
    <m/>
    <m/>
    <s v="Stormbringer"/>
    <m/>
    <s v="nice-looking, powerful"/>
    <m/>
    <s v="Stone"/>
    <m/>
    <s v="0-5"/>
    <m/>
    <x v="77"/>
    <m/>
    <s v="3-4 times a week"/>
    <m/>
    <s v="Watch"/>
    <m/>
    <s v="I prefer not to say"/>
    <m/>
    <s v="I prefer not to say"/>
    <m/>
    <x v="1"/>
    <m/>
    <s v="USA"/>
    <m/>
  </r>
  <r>
    <d v="2018-11-14T22:59:43"/>
    <s v="Gameplay"/>
    <s v="Duo"/>
    <s v="Master Skins"/>
    <s v="No"/>
    <m/>
    <s v="I've not made a purchase"/>
    <m/>
    <m/>
    <s v="Ravager"/>
    <m/>
    <s v="because it looks cool."/>
    <m/>
    <s v="Bronze"/>
    <m/>
    <s v="5-25"/>
    <m/>
    <x v="77"/>
    <m/>
    <s v="Daily"/>
    <m/>
    <s v="Watch"/>
    <m/>
    <s v="Male"/>
    <m/>
    <s v="14-18"/>
    <m/>
    <x v="1"/>
    <m/>
    <s v="Canada"/>
    <m/>
  </r>
  <r>
    <d v="2018-11-14T23:07:24"/>
    <s v="Gameplay"/>
    <s v="Solo"/>
    <s v="Arenas"/>
    <s v="No"/>
    <m/>
    <s v="I've not made a purchase"/>
    <s v="None that I can bring to mind"/>
    <m/>
    <s v="King Puff"/>
    <m/>
    <s v="For deck synergy"/>
    <m/>
    <s v="Diamond"/>
    <m/>
    <s v="5-25"/>
    <m/>
    <x v="482"/>
    <m/>
    <s v="Daily"/>
    <m/>
    <s v="Neither"/>
    <m/>
    <s v="Male"/>
    <m/>
    <s v="19-25"/>
    <m/>
    <x v="0"/>
    <m/>
    <s v="Australia"/>
    <m/>
  </r>
  <r>
    <d v="2018-11-14T23:07:49"/>
    <s v="Gameplay, Graphics, Collecting Cards/Masters"/>
    <s v="Duo"/>
    <s v="Avatars"/>
    <s v="Yes"/>
    <s v="Battle Pass"/>
    <s v="Yes"/>
    <s v="Meteor Storm, Colossus, Guardian, Annihilator, &amp; Last Stand"/>
    <m/>
    <s v="Stormbringer"/>
    <m/>
    <s v="Marksmanship"/>
    <m/>
    <s v="Gold"/>
    <m/>
    <s v="25-100"/>
    <m/>
    <x v="483"/>
    <m/>
    <s v="Occasionally"/>
    <m/>
    <s v="Neither"/>
    <m/>
    <s v="Male"/>
    <m/>
    <s v="19-25"/>
    <m/>
    <x v="2"/>
    <m/>
    <s v="USA"/>
    <m/>
  </r>
  <r>
    <d v="2018-11-14T23:10:20"/>
    <s v="Collecting Cards/Masters"/>
    <s v="Premade Duo"/>
    <m/>
    <s v="Yes"/>
    <s v="vuy cards / characters"/>
    <s v="Yes"/>
    <s v="(in german) Attentäter,styxi,explosionsbeschwörer,scharfschützen scrat,kopfgeldschütze"/>
    <m/>
    <s v="King Puff"/>
    <m/>
    <s v="his second skill is absolute aweome"/>
    <m/>
    <s v="Platinum"/>
    <m/>
    <s v="5-25"/>
    <m/>
    <x v="4"/>
    <m/>
    <s v="Daily"/>
    <m/>
    <s v="Watch, Stream"/>
    <m/>
    <s v="Male"/>
    <m/>
    <s v="26-35"/>
    <m/>
    <x v="2"/>
    <m/>
    <s v="Germany"/>
    <m/>
  </r>
  <r>
    <d v="2018-11-14T23:11:20"/>
    <s v="Collecting Cards/Masters"/>
    <s v="Duo"/>
    <s v="Arenas"/>
    <s v="No"/>
    <m/>
    <s v="I've not made a purchase"/>
    <m/>
    <m/>
    <s v="Milloween"/>
    <m/>
    <s v="i like her spells "/>
    <m/>
    <s v="Gold"/>
    <m/>
    <s v="25-100"/>
    <m/>
    <x v="484"/>
    <m/>
    <s v="Daily"/>
    <m/>
    <s v="Watch"/>
    <m/>
    <s v="Male"/>
    <m/>
    <s v="19-25"/>
    <m/>
    <x v="2"/>
    <m/>
    <s v="USA"/>
    <m/>
  </r>
  <r>
    <d v="2018-11-14T23:15:40"/>
    <s v="Collecting Cards/Masters"/>
    <s v="Premade Duo"/>
    <s v="Master Skins"/>
    <s v="No"/>
    <m/>
    <s v="I've not made a purchase"/>
    <m/>
    <m/>
    <s v="Volco"/>
    <m/>
    <s v="his abilities"/>
    <m/>
    <s v="Silver"/>
    <m/>
    <s v="5-25"/>
    <m/>
    <x v="485"/>
    <m/>
    <s v="Daily"/>
    <m/>
    <s v="Watch"/>
    <m/>
    <s v="Male"/>
    <m/>
    <s v="14-18"/>
    <m/>
    <x v="1"/>
    <m/>
    <s v="USA"/>
    <m/>
  </r>
  <r>
    <d v="2018-11-14T23:15:41"/>
    <s v="Gameplay, Graphics"/>
    <s v="Solo, Expeditions"/>
    <s v="Master Skins"/>
    <s v="No"/>
    <m/>
    <s v="I've not made a purchase"/>
    <m/>
    <m/>
    <s v="King Puff"/>
    <m/>
    <s v="it’s character design is so cute "/>
    <m/>
    <s v="Stone"/>
    <m/>
    <s v="0-5"/>
    <m/>
    <x v="486"/>
    <m/>
    <s v="3-4 times a week"/>
    <m/>
    <s v="Watch"/>
    <m/>
    <s v="Female"/>
    <m/>
    <s v="14-18"/>
    <m/>
    <x v="1"/>
    <m/>
    <s v="USA"/>
    <m/>
  </r>
  <r>
    <d v="2018-11-14T23:16:22"/>
    <s v="Gameplay"/>
    <s v="Duo"/>
    <m/>
    <s v="Yes"/>
    <s v="Battle Pass"/>
    <s v="Yes"/>
    <s v="Stun Lancers, Annihilator, Crossbow Guild, Harbinger, Cheese Date"/>
    <m/>
    <s v="Ravager"/>
    <m/>
    <s v="Perks"/>
    <m/>
    <s v="Silver"/>
    <m/>
    <s v="5-25"/>
    <m/>
    <x v="487"/>
    <m/>
    <s v="5-6 times a week"/>
    <m/>
    <s v="Watch"/>
    <m/>
    <s v="Male"/>
    <m/>
    <s v="26-35"/>
    <m/>
    <x v="0"/>
    <m/>
    <s v="USA"/>
    <m/>
  </r>
  <r>
    <d v="2018-11-14T23:19:27"/>
    <s v="Gameplay"/>
    <s v="Duo"/>
    <s v="Avatars"/>
    <s v="No"/>
    <m/>
    <s v="I've not made a purchase"/>
    <m/>
    <m/>
    <s v="Ratbo"/>
    <m/>
    <s v="he is good"/>
    <m/>
    <s v="Silver"/>
    <m/>
    <s v="5-25"/>
    <m/>
    <x v="488"/>
    <m/>
    <s v="Daily"/>
    <m/>
    <s v="Watch"/>
    <m/>
    <s v="Female"/>
    <m/>
    <s v="26-35"/>
    <m/>
    <x v="2"/>
    <m/>
    <s v="Canada"/>
    <m/>
  </r>
  <r>
    <d v="2018-11-14T23:24:56"/>
    <s v="Gameplay, Collecting Cards/Masters"/>
    <s v="Duo, Draft, Expeditions, Mayhem Duo"/>
    <s v="Master Skins"/>
    <s v="No"/>
    <m/>
    <s v="I've not made a purchase"/>
    <s v="Annihilator"/>
    <m/>
    <s v="Milloween"/>
    <m/>
    <s v="I like spell cards"/>
    <m/>
    <s v="Platinum"/>
    <m/>
    <s v="100-200"/>
    <m/>
    <x v="121"/>
    <m/>
    <s v="Occasionally"/>
    <m/>
    <s v="Neither"/>
    <m/>
    <s v="Male"/>
    <m/>
    <s v="26-35"/>
    <m/>
    <x v="2"/>
    <m/>
    <s v="I prefer not to say"/>
    <m/>
  </r>
  <r>
    <d v="2018-11-14T23:28:03"/>
    <s v="Gameplay, Graphics"/>
    <s v="Solo, Duo, Premade Duo"/>
    <s v="Arenas"/>
    <s v="No"/>
    <m/>
    <s v="I've not made a purchase"/>
    <m/>
    <m/>
    <s v="Volco"/>
    <m/>
    <m/>
    <m/>
    <s v="Silver"/>
    <m/>
    <s v="5-25"/>
    <m/>
    <x v="489"/>
    <m/>
    <s v="Daily"/>
    <m/>
    <s v="Watch"/>
    <m/>
    <s v="Male"/>
    <m/>
    <s v="14-18"/>
    <m/>
    <x v="1"/>
    <m/>
    <s v="Chile"/>
    <m/>
  </r>
  <r>
    <d v="2018-11-14T23:29:21"/>
    <s v="Gameplay, Collecting Cards/Masters"/>
    <s v="Duo, Expeditions, Mayhem Duo"/>
    <s v="Master Skins"/>
    <s v="Yes"/>
    <s v="sales at the market"/>
    <s v="Yes"/>
    <s v="Scrats!"/>
    <m/>
    <s v="Stormbringer"/>
    <m/>
    <s v="passive"/>
    <m/>
    <s v="Gold"/>
    <m/>
    <s v="100-200"/>
    <m/>
    <x v="490"/>
    <m/>
    <s v="Daily"/>
    <m/>
    <s v="Stream"/>
    <m/>
    <s v="Male"/>
    <m/>
    <s v="26-35"/>
    <m/>
    <x v="0"/>
    <m/>
    <s v="Spain"/>
    <m/>
  </r>
  <r>
    <d v="2018-11-14T23:31:22"/>
    <s v="Gameplay, Collecting Cards/Masters"/>
    <s v="Solo, Duo"/>
    <m/>
    <s v="No"/>
    <m/>
    <s v="I've not made a purchase"/>
    <s v="Idk the exact english names: But the random cards are great"/>
    <m/>
    <s v="Apep"/>
    <m/>
    <s v="RANDOMIZE"/>
    <m/>
    <s v="Platinum"/>
    <m/>
    <s v="25-100"/>
    <m/>
    <x v="491"/>
    <m/>
    <s v="Daily"/>
    <m/>
    <s v="Watch, Stream"/>
    <m/>
    <s v="Male"/>
    <m/>
    <s v="19-25"/>
    <m/>
    <x v="0"/>
    <m/>
    <s v="Germany"/>
    <m/>
  </r>
  <r>
    <d v="2018-11-14T23:34:09"/>
    <s v="Gameplay, Collecting Cards/Masters"/>
    <s v="Solo, Mayhem Solo"/>
    <s v="Arenas, Avatars"/>
    <s v="No"/>
    <m/>
    <s v="I've not made a purchase"/>
    <s v="Lancers and basicly anything scrat ^^"/>
    <m/>
    <s v="Ratbo"/>
    <m/>
    <s v="He was fun and unique"/>
    <m/>
    <s v="Gold"/>
    <m/>
    <s v="5-25"/>
    <m/>
    <x v="4"/>
    <m/>
    <s v="Occasionally"/>
    <m/>
    <s v="Neither"/>
    <m/>
    <s v="Male"/>
    <m/>
    <s v="26-35"/>
    <m/>
    <x v="0"/>
    <m/>
    <s v="USA"/>
    <m/>
  </r>
  <r>
    <d v="2018-11-14T23:48:24"/>
    <s v="Gameplay, Graphics, Collecting Cards/Masters, Competitions/Tournaments, Crafting system"/>
    <s v="Solo, Duo"/>
    <s v="Master Skins, Arenas, Emotes, Avatars"/>
    <s v="No"/>
    <m/>
    <s v="I've not made a purchase"/>
    <s v="They are all  awesome!"/>
    <m/>
    <s v="King Puff"/>
    <m/>
    <s v="He just looks awesome!"/>
    <m/>
    <s v="Silver"/>
    <m/>
    <s v="5-25"/>
    <m/>
    <x v="492"/>
    <m/>
    <s v="Daily"/>
    <m/>
    <s v="Watch, Stream"/>
    <m/>
    <s v="Male"/>
    <m/>
    <s v="14-18"/>
    <m/>
    <x v="1"/>
    <m/>
    <s v="USA"/>
    <m/>
  </r>
  <r>
    <d v="2018-11-14T23:49:15"/>
    <s v="Collecting Cards/Masters, Competitions/Tournaments"/>
    <s v="Solo, Duo, Expeditions"/>
    <s v="Master Skins"/>
    <s v="No"/>
    <m/>
    <s v="I've not made a purchase"/>
    <m/>
    <m/>
    <s v="Ratbo"/>
    <m/>
    <m/>
    <m/>
    <s v="Gold"/>
    <m/>
    <s v="0-5"/>
    <m/>
    <x v="493"/>
    <m/>
    <s v="Daily"/>
    <m/>
    <s v="Neither"/>
    <m/>
    <s v="Male"/>
    <m/>
    <s v="26-35"/>
    <m/>
    <x v="1"/>
    <m/>
    <s v="Chile"/>
    <m/>
  </r>
  <r>
    <d v="2018-11-14T23:50:32"/>
    <s v="Collecting Cards/Masters"/>
    <s v="Solo, Expeditions"/>
    <s v="Avatars"/>
    <s v="No"/>
    <m/>
    <s v="I've not made a purchase"/>
    <m/>
    <m/>
    <m/>
    <m/>
    <m/>
    <m/>
    <s v="Bronze"/>
    <m/>
    <s v="0-5"/>
    <m/>
    <x v="494"/>
    <m/>
    <s v="Daily"/>
    <m/>
    <s v="Watch"/>
    <m/>
    <s v="Female"/>
    <m/>
    <s v="26-35"/>
    <m/>
    <x v="0"/>
    <m/>
    <s v="I prefer not to say"/>
    <m/>
  </r>
  <r>
    <d v="2018-11-14T23:56:42"/>
    <s v="Gameplay, Graphics"/>
    <s v="Duo"/>
    <s v="Arenas, Emotes"/>
    <s v="Yes"/>
    <s v="Season Pass"/>
    <s v="Yes"/>
    <s v="Crystal Arcanist, Lord-Sentinel Thelec, Crystal Archers, Crystal Construct and Crystal Sentry "/>
    <m/>
    <s v="Ravager"/>
    <m/>
    <s v="Extra Minions that Spawn"/>
    <m/>
    <s v="Platinum"/>
    <m/>
    <s v="25-100"/>
    <m/>
    <x v="495"/>
    <m/>
    <s v="Daily"/>
    <m/>
    <s v="Watch"/>
    <m/>
    <s v="Male"/>
    <m/>
    <s v="26-35"/>
    <m/>
    <x v="0"/>
    <m/>
    <s v="USA"/>
    <m/>
  </r>
  <r>
    <d v="2018-11-14T23:57:29"/>
    <s v="Gameplay, Graphics, Collecting Cards/Masters, Crafting system"/>
    <s v="Duo, Premade Duo, Expeditions, Mayhem Duo"/>
    <s v="Arenas"/>
    <s v="No"/>
    <m/>
    <s v="I've not made a purchase"/>
    <s v="divine warrior, harbinger, priestess, statue, musketeer "/>
    <m/>
    <s v="Volco"/>
    <m/>
    <s v="60 dps per spell"/>
    <m/>
    <s v="Platinum"/>
    <m/>
    <s v="100-200"/>
    <m/>
    <x v="496"/>
    <m/>
    <s v="Daily"/>
    <m/>
    <s v="Neither"/>
    <m/>
    <s v="Male"/>
    <m/>
    <s v="26-35"/>
    <m/>
    <x v="0"/>
    <m/>
    <s v="USA"/>
    <m/>
  </r>
  <r>
    <d v="2018-11-14T23:59:17"/>
    <s v="Gameplay, Graphics"/>
    <s v="Solo, Duo"/>
    <s v="Master Skins"/>
    <s v="No"/>
    <s v="no"/>
    <s v="I've not made a purchase"/>
    <s v="no"/>
    <m/>
    <s v="Ratbo"/>
    <m/>
    <s v="he kyoot"/>
    <m/>
    <s v="Wood"/>
    <m/>
    <s v="0-5"/>
    <m/>
    <x v="497"/>
    <m/>
    <s v="Daily"/>
    <m/>
    <s v="Watch, Stream"/>
    <m/>
    <s v="I prefer not to say"/>
    <m/>
    <s v="14-18"/>
    <m/>
    <x v="1"/>
    <m/>
    <s v="I prefer not to say"/>
    <m/>
  </r>
  <r>
    <d v="2018-11-14T23:59:25"/>
    <s v="Gameplay, Collecting Cards/Masters"/>
    <s v="Solo, Duo, Premade Duo"/>
    <s v="Master Skins, Arenas"/>
    <s v="No"/>
    <m/>
    <s v="I've not made a purchase"/>
    <s v="Blind Date, Crystal Construct, Divine Warrior, Rampage, and Harbinger "/>
    <m/>
    <s v="King Puff"/>
    <m/>
    <s v="The 2nd and 3rd buff really can help turn the tide of the battle."/>
    <m/>
    <s v="Gold"/>
    <m/>
    <s v="5-25"/>
    <m/>
    <x v="498"/>
    <m/>
    <s v="Daily"/>
    <m/>
    <s v="Watch"/>
    <m/>
    <s v="Male"/>
    <m/>
    <s v="19-25"/>
    <m/>
    <x v="1"/>
    <m/>
    <s v="Canada"/>
    <m/>
  </r>
  <r>
    <d v="2018-11-15T00:03:30"/>
    <s v="Gameplay, Collecting Cards/Masters"/>
    <s v="Premade Duo"/>
    <s v="Master Skins"/>
    <s v="No"/>
    <m/>
    <s v="I've not made a purchase"/>
    <s v="all scrats cards are my favourite"/>
    <m/>
    <s v="Volco"/>
    <m/>
    <s v="cose of his kit"/>
    <m/>
    <s v="Gold"/>
    <m/>
    <s v="25-100"/>
    <m/>
    <x v="499"/>
    <m/>
    <s v="3-4 times a week"/>
    <m/>
    <s v="Watch"/>
    <m/>
    <s v="Male"/>
    <m/>
    <s v="26-35"/>
    <m/>
    <x v="1"/>
    <m/>
    <s v="Macedonia"/>
    <m/>
  </r>
  <r>
    <d v="2018-11-15T00:04:18"/>
    <s v="Gameplay"/>
    <s v="Premade Duo"/>
    <s v="Master Skins"/>
    <s v="Yes"/>
    <s v="battle pass"/>
    <s v="Yes"/>
    <s v="bazooka scrat, bazooka scrat, bazooka scrat, bazooka scrat, bazooka scrat"/>
    <m/>
    <s v="Stormbringer"/>
    <m/>
    <s v="very easy to build a deck around"/>
    <m/>
    <s v="Platinum"/>
    <m/>
    <s v="5-25"/>
    <m/>
    <x v="500"/>
    <m/>
    <s v="Daily"/>
    <m/>
    <s v="Watch"/>
    <m/>
    <s v="Male"/>
    <m/>
    <s v="14-18"/>
    <m/>
    <x v="1"/>
    <m/>
    <s v="USA"/>
    <m/>
  </r>
  <r>
    <d v="2018-11-15T00:04:58"/>
    <s v="Gameplay"/>
    <s v="Solo, Duo"/>
    <s v="Master Skins"/>
    <s v="Yes"/>
    <s v="card"/>
    <s v="Yes"/>
    <m/>
    <m/>
    <s v="Stormbringer"/>
    <m/>
    <s v="cool"/>
    <m/>
    <s v="Master"/>
    <m/>
    <s v="0-5"/>
    <m/>
    <x v="4"/>
    <m/>
    <s v="3-4 times a week"/>
    <m/>
    <s v="Watch"/>
    <m/>
    <s v="Male"/>
    <m/>
    <s v="19-25"/>
    <m/>
    <x v="2"/>
    <m/>
    <s v="Taiwan"/>
    <m/>
  </r>
  <r>
    <d v="2018-11-15T00:14:52"/>
    <s v="Gameplay"/>
    <s v="Duo, Premade Duo, Draft, Mayhem Solo"/>
    <s v="Emotes"/>
    <s v="No"/>
    <m/>
    <s v="I've not made a purchase"/>
    <s v="Yes"/>
    <m/>
    <s v="King Puff"/>
    <m/>
    <s v="Balanced"/>
    <m/>
    <s v="Diamond"/>
    <m/>
    <s v="25-100"/>
    <m/>
    <x v="501"/>
    <m/>
    <s v="Daily"/>
    <m/>
    <s v="Neither"/>
    <m/>
    <s v="Male"/>
    <m/>
    <s v="26-35"/>
    <m/>
    <x v="0"/>
    <m/>
    <s v="Chile"/>
    <m/>
  </r>
  <r>
    <d v="2018-11-15T00:14:52"/>
    <s v="Gameplay"/>
    <s v="Premade Duo"/>
    <s v="Master Skins"/>
    <s v="Yes"/>
    <s v="Master purchase"/>
    <s v="Yes"/>
    <m/>
    <m/>
    <s v="Milloween"/>
    <m/>
    <s v="Interesting playstyle"/>
    <m/>
    <s v="Silver"/>
    <m/>
    <s v="25-100"/>
    <m/>
    <x v="4"/>
    <m/>
    <s v="Daily"/>
    <m/>
    <s v="Watch"/>
    <m/>
    <s v="Male"/>
    <m/>
    <s v="14-18"/>
    <m/>
    <x v="1"/>
    <m/>
    <s v="Canada"/>
    <m/>
  </r>
  <r>
    <d v="2018-11-15T00:24:18"/>
    <s v="Gameplay, Graphics, Competitions/Tournaments"/>
    <s v="Solo, Duo, Premade Duo"/>
    <s v="Arenas"/>
    <s v="No"/>
    <m/>
    <s v="I've not made a purchase"/>
    <m/>
    <m/>
    <s v="Ravager"/>
    <m/>
    <s v="Free tank, can be easily supported if time well. Good close range defence agaisnt multiple enemies. I can choose to tank a minion that I normaly would spend mana on"/>
    <m/>
    <s v="Diamond"/>
    <m/>
    <s v="25-100"/>
    <m/>
    <x v="4"/>
    <m/>
    <s v="3-4 times a week"/>
    <m/>
    <s v="Neither"/>
    <m/>
    <s v="Male"/>
    <m/>
    <s v="26-35"/>
    <m/>
    <x v="0"/>
    <m/>
    <s v="Canada"/>
    <m/>
  </r>
  <r>
    <d v="2018-11-15T00:31:50"/>
    <s v="Competitions/Tournaments"/>
    <s v="Solo, Duo, Expeditions"/>
    <s v="Avatars"/>
    <s v="No"/>
    <m/>
    <s v="I've not made a purchase"/>
    <m/>
    <m/>
    <s v="Stormbringer"/>
    <m/>
    <s v="Can hit enemies anywhere on the board."/>
    <m/>
    <s v="Platinum"/>
    <m/>
    <s v="25-100"/>
    <m/>
    <x v="502"/>
    <m/>
    <s v="Daily"/>
    <m/>
    <s v="Watch"/>
    <m/>
    <s v="Male"/>
    <m/>
    <s v="over 36"/>
    <m/>
    <x v="0"/>
    <m/>
    <s v="USA"/>
    <m/>
  </r>
  <r>
    <d v="2018-11-15T00:33:05"/>
    <s v="Gameplay"/>
    <s v="Duo, Premade Duo, Mayhem Duo"/>
    <s v="Emotes"/>
    <s v="Yes"/>
    <s v="get starter pass and battle pass"/>
    <s v="Yes"/>
    <s v="bounty sniper,  defenso chopper, scrit hord, Morgrul, Grenadier"/>
    <m/>
    <s v="Stormbringer"/>
    <m/>
    <s v="marksmen buff"/>
    <m/>
    <s v="Platinum"/>
    <m/>
    <s v="25-100"/>
    <m/>
    <x v="4"/>
    <m/>
    <s v="5-6 times a week"/>
    <m/>
    <s v="Neither"/>
    <m/>
    <s v="Male"/>
    <m/>
    <s v="26-35"/>
    <m/>
    <x v="1"/>
    <m/>
    <s v="USA"/>
    <m/>
  </r>
  <r>
    <d v="2018-11-15T00:37:48"/>
    <s v="Gameplay"/>
    <s v="Solo, Duo, Premade Duo, Draft"/>
    <s v="Arenas, Avatars"/>
    <s v="No"/>
    <m/>
    <s v="I've not made a purchase"/>
    <m/>
    <m/>
    <s v="Ravager"/>
    <m/>
    <s v="he is very different from others"/>
    <m/>
    <s v="Diamond"/>
    <m/>
    <s v="25-100"/>
    <m/>
    <x v="503"/>
    <m/>
    <s v="Daily"/>
    <m/>
    <s v="Watch"/>
    <m/>
    <s v="Male"/>
    <m/>
    <s v="19-25"/>
    <m/>
    <x v="1"/>
    <m/>
    <s v="Czech Republic"/>
    <m/>
  </r>
  <r>
    <d v="2018-11-15T00:39:44"/>
    <s v="Gameplay, Graphics, Collecting Cards/Masters, Competitions/Tournaments"/>
    <s v="Solo, Duo, Premade Duo, Draft, Mayhem Solo"/>
    <s v="Master Skins, Arenas, Emotes"/>
    <s v="No"/>
    <m/>
    <s v="I've not made a purchase"/>
    <s v="Marines, Warrior, Drone Walker, Defenso-Chopper, Boomer"/>
    <m/>
    <s v="Ratbo"/>
    <m/>
    <s v="I like the Idea of winning using Minions instead of spells"/>
    <m/>
    <s v="Grandmaster"/>
    <m/>
    <s v="25-100"/>
    <m/>
    <x v="504"/>
    <m/>
    <s v="Daily"/>
    <m/>
    <s v="Watch, Stream"/>
    <m/>
    <s v="Male"/>
    <m/>
    <s v="19-25"/>
    <m/>
    <x v="1"/>
    <m/>
    <s v="USA"/>
    <m/>
  </r>
  <r>
    <d v="2018-11-15T00:46:33"/>
    <s v="Gameplay, Collecting Cards/Masters"/>
    <s v="Solo"/>
    <m/>
    <s v="Yes"/>
    <s v="Buying masters"/>
    <s v="Yes"/>
    <m/>
    <m/>
    <s v="King Puff"/>
    <m/>
    <m/>
    <m/>
    <s v="Master"/>
    <m/>
    <s v="200-1000"/>
    <m/>
    <x v="4"/>
    <m/>
    <s v="Daily"/>
    <m/>
    <s v="Neither"/>
    <m/>
    <s v="Male"/>
    <m/>
    <s v="over 36"/>
    <m/>
    <x v="4"/>
    <m/>
    <s v="Germany"/>
    <m/>
  </r>
  <r>
    <d v="2018-11-15T00:46:50"/>
    <s v="Gameplay, Collecting Cards/Masters, Competitions/Tournaments"/>
    <s v="Solo, Duo"/>
    <s v="Master Skins, Avatars"/>
    <s v="Yes"/>
    <s v="powertokens and cards"/>
    <s v="No"/>
    <s v="colosus , twins , musketeer , assasin , infiltration"/>
    <m/>
    <s v="Ravager"/>
    <m/>
    <s v="suits my playstile"/>
    <m/>
    <s v="Grandmaster"/>
    <m/>
    <s v="200-1000"/>
    <m/>
    <x v="505"/>
    <m/>
    <s v="Daily"/>
    <m/>
    <s v="Watch, Stream"/>
    <m/>
    <s v="Male"/>
    <m/>
    <s v="26-35"/>
    <m/>
    <x v="3"/>
    <m/>
    <s v="Romania"/>
    <m/>
  </r>
  <r>
    <d v="2018-11-15T00:48:02"/>
    <s v="Gameplay, Graphics"/>
    <s v="Premade Duo, Expeditions"/>
    <s v="Arenas"/>
    <s v="No"/>
    <m/>
    <s v="I've not made a purchase"/>
    <s v="Annihilator, Cleaver, Rammer, Colossus and Rampage"/>
    <m/>
    <s v="Ravager"/>
    <m/>
    <s v="I love to focus on getting some BIG hits with big minions. This one works more than well in that matter."/>
    <m/>
    <s v="Gold"/>
    <m/>
    <s v="5-25"/>
    <m/>
    <x v="506"/>
    <m/>
    <s v="Daily"/>
    <m/>
    <s v="Watch"/>
    <m/>
    <s v="Male"/>
    <m/>
    <s v="19-25"/>
    <m/>
    <x v="1"/>
    <m/>
    <s v="Czech Republic"/>
    <m/>
  </r>
  <r>
    <d v="2018-11-15T00:49:11"/>
    <s v="Gameplay"/>
    <s v="Premade Duo"/>
    <m/>
    <s v="No"/>
    <m/>
    <s v="I've not made a purchase"/>
    <m/>
    <m/>
    <s v="Stormbringer"/>
    <m/>
    <m/>
    <m/>
    <s v="Gold"/>
    <m/>
    <s v="5-25"/>
    <m/>
    <x v="4"/>
    <m/>
    <s v="Daily"/>
    <m/>
    <s v="Watch"/>
    <m/>
    <s v="Male"/>
    <m/>
    <s v="14-18"/>
    <m/>
    <x v="1"/>
    <m/>
    <s v="I prefer not to say"/>
    <m/>
  </r>
  <r>
    <d v="2018-11-15T00:49:21"/>
    <s v="Gameplay, Competitions/Tournaments"/>
    <s v="Solo, Premade Duo, Draft"/>
    <s v="Master Skins, Arenas, Emotes"/>
    <s v="Yes"/>
    <s v="to buy the upgrade and season pass"/>
    <s v="Yes"/>
    <s v="Black hole, netherstep, Shock rock, Arcane golem,  defenso chopper"/>
    <m/>
    <s v="Milloween"/>
    <m/>
    <s v="I like her kit, and the spell based concept, i really like KP also."/>
    <m/>
    <s v="Grandmaster"/>
    <m/>
    <s v="100-200"/>
    <m/>
    <x v="507"/>
    <m/>
    <s v="Daily"/>
    <m/>
    <s v="Watch, Stream"/>
    <m/>
    <s v="I prefer not to say"/>
    <m/>
    <s v="26-35"/>
    <m/>
    <x v="4"/>
    <m/>
    <s v="USA"/>
    <m/>
  </r>
  <r>
    <d v="2018-11-15T00:50:07"/>
    <s v="Gameplay, Graphics"/>
    <s v="Solo, Premade Duo, Draft"/>
    <s v="Arenas"/>
    <s v="Yes"/>
    <s v="premium battlepass"/>
    <s v="Yes"/>
    <s v="Cleaver, Divine Warrior, Dagger Fall, Burn the Bridges and Succubus"/>
    <m/>
    <s v="Stormbringer"/>
    <m/>
    <s v="For his polyvalent use : after first lvl you'll get a permanent pressure on the ennemy master, forcing him to play card to not die slowly, and then you can easlily counter him and take the tempo. Also, he can OS most os small minions, attack air units and is still uselefull against heavy soldier if you can reduce their movement."/>
    <m/>
    <s v="Diamond"/>
    <m/>
    <s v="25-100"/>
    <m/>
    <x v="508"/>
    <m/>
    <s v="Daily"/>
    <m/>
    <s v="Watch"/>
    <m/>
    <s v="Male"/>
    <m/>
    <s v="19-25"/>
    <m/>
    <x v="1"/>
    <m/>
    <s v="France"/>
    <m/>
  </r>
  <r>
    <d v="2018-11-15T00:56:18"/>
    <s v="Gameplay, Collecting Cards/Masters"/>
    <s v="Duo, Draft"/>
    <s v="Master Skins, Emotes"/>
    <s v="No"/>
    <m/>
    <s v="I've not made a purchase"/>
    <m/>
    <m/>
    <s v="Stormbringer"/>
    <m/>
    <s v="1st one i played and i liked him"/>
    <m/>
    <s v="Silver"/>
    <m/>
    <s v="5-25"/>
    <m/>
    <x v="509"/>
    <m/>
    <s v="Daily"/>
    <m/>
    <s v="Watch"/>
    <m/>
    <s v="Male"/>
    <m/>
    <s v="19-25"/>
    <m/>
    <x v="1"/>
    <m/>
    <s v="USA"/>
    <m/>
  </r>
  <r>
    <d v="2018-11-15T00:58:24"/>
    <s v="Gameplay"/>
    <s v="Solo, Duo"/>
    <s v="Arenas"/>
    <s v="No"/>
    <m/>
    <s v="I've not made a purchase"/>
    <m/>
    <m/>
    <s v="Ravager"/>
    <m/>
    <s v="His skillset"/>
    <m/>
    <s v="Gold"/>
    <m/>
    <s v="5-25"/>
    <m/>
    <x v="4"/>
    <m/>
    <s v="Occasionally"/>
    <m/>
    <s v="Neither"/>
    <m/>
    <s v="Male"/>
    <m/>
    <s v="14-18"/>
    <m/>
    <x v="1"/>
    <m/>
    <s v="Brazil"/>
    <m/>
  </r>
  <r>
    <d v="2018-11-15T00:59:02"/>
    <s v="Gameplay"/>
    <s v="Solo, Premade Duo, Expeditions"/>
    <m/>
    <s v="Yes"/>
    <s v="Jump start my collection and if a bundle catches my eye"/>
    <s v="Yes"/>
    <s v="Musketeer, Cleaver, Blind Date, Dagger fall, and Stun Lancers in no particular order."/>
    <m/>
    <s v="Apep"/>
    <m/>
    <s v="Love the rando power he brings to the table. It can make a match or just be a distraction to your current deck strategy."/>
    <m/>
    <s v="Gold"/>
    <m/>
    <s v="25-100"/>
    <m/>
    <x v="510"/>
    <m/>
    <s v="Daily"/>
    <m/>
    <s v="Neither"/>
    <m/>
    <s v="Male"/>
    <m/>
    <s v="26-35"/>
    <m/>
    <x v="0"/>
    <m/>
    <s v="USA"/>
    <m/>
  </r>
  <r>
    <d v="2018-11-15T00:59:21"/>
    <s v="Gameplay, Graphics, Collecting Cards/Masters"/>
    <s v="Solo, Duo"/>
    <s v="Master Skins, Arenas"/>
    <s v="Yes"/>
    <s v="Battle Pass"/>
    <s v="Yes"/>
    <s v="Styxi, Walking Statue, Empowered Soul Stealer, Undying Skeleton, and Stun Lancers"/>
    <m/>
    <s v="Volco"/>
    <m/>
    <s v="I like the area damage that it does"/>
    <m/>
    <s v="Gold"/>
    <m/>
    <s v="25-100"/>
    <m/>
    <x v="511"/>
    <m/>
    <s v="Daily"/>
    <m/>
    <s v="Watch"/>
    <m/>
    <s v="Male"/>
    <m/>
    <s v="19-25"/>
    <m/>
    <x v="1"/>
    <m/>
    <s v="USA"/>
    <m/>
  </r>
  <r>
    <d v="2018-11-15T01:00:53"/>
    <s v="Collecting Cards/Masters"/>
    <s v="Duo, Premade Duo"/>
    <m/>
    <s v="Yes"/>
    <s v="cards for a pay to win system"/>
    <s v="No"/>
    <m/>
    <m/>
    <s v="Settsu"/>
    <m/>
    <s v="her play styel"/>
    <m/>
    <s v="Gold"/>
    <m/>
    <s v="25-100"/>
    <m/>
    <x v="4"/>
    <m/>
    <s v="Daily"/>
    <m/>
    <s v="Neither"/>
    <m/>
    <s v="Male"/>
    <m/>
    <s v="I prefer not to say"/>
    <m/>
    <x v="0"/>
    <m/>
    <s v="USA"/>
    <m/>
  </r>
  <r>
    <d v="2018-11-15T01:03:49"/>
    <s v="Gameplay"/>
    <s v="Solo, Premade Duo"/>
    <s v="Master Skins"/>
    <s v="Yes"/>
    <s v="To purchase the 1st Battle Pass"/>
    <s v="Yes"/>
    <s v="Divine Warrior, Dragonball, Fire Imp, Scrat Horde, Succubus"/>
    <m/>
    <s v="King Puff"/>
    <m/>
    <s v="Nice outplay potential with the bridge swap, as well as powering up your 4/5 mana cards to give you the edge."/>
    <m/>
    <s v="Master"/>
    <m/>
    <s v="25-100"/>
    <m/>
    <x v="512"/>
    <m/>
    <s v="Daily"/>
    <m/>
    <s v="Neither"/>
    <m/>
    <s v="Male"/>
    <m/>
    <s v="26-35"/>
    <m/>
    <x v="1"/>
    <m/>
    <s v="The Netherlands"/>
    <m/>
  </r>
  <r>
    <d v="2018-11-15T01:04:21"/>
    <s v="Gameplay, Graphics, Collecting Cards/Masters, Competitions/Tournaments, Crafting system"/>
    <s v="Duo, Premade Duo, Draft, Expeditions"/>
    <s v="Master Skins, Emotes, Avatars"/>
    <s v="No"/>
    <m/>
    <s v="I've not made a purchase"/>
    <s v="Stun guards marines living statue burn the bridges and shadow step"/>
    <m/>
    <s v="Settsu"/>
    <m/>
    <s v="I like the design and the feel of the master"/>
    <m/>
    <s v="Stone"/>
    <m/>
    <s v="5-25"/>
    <m/>
    <x v="513"/>
    <m/>
    <s v="Daily"/>
    <m/>
    <s v="Neither"/>
    <m/>
    <s v="Male"/>
    <m/>
    <s v="14-18"/>
    <m/>
    <x v="1"/>
    <m/>
    <s v="USA"/>
    <m/>
  </r>
  <r>
    <d v="2018-11-15T01:05:24"/>
    <s v="Gameplay"/>
    <s v="Expeditions"/>
    <s v="Master Skins"/>
    <s v="No"/>
    <m/>
    <s v="I've not made a purchase"/>
    <s v="annihilator, scrat horde, stun lancers, crystal archers, fireball"/>
    <m/>
    <s v="Milloween"/>
    <m/>
    <s v="i just seem to have an easier time winning while playing as her"/>
    <m/>
    <s v="Bronze"/>
    <m/>
    <s v="5-25"/>
    <m/>
    <x v="154"/>
    <m/>
    <s v="5-6 times a week"/>
    <m/>
    <s v="Neither"/>
    <m/>
    <s v="Male"/>
    <m/>
    <s v="19-25"/>
    <m/>
    <x v="0"/>
    <m/>
    <s v="USA"/>
    <m/>
  </r>
  <r>
    <d v="2018-11-15T01:10:50"/>
    <s v="Gameplay, Graphics, Collecting Cards/Masters, Competitions/Tournaments, Crafting system"/>
    <s v="Solo, Duo, Expeditions, Mayhem Solo"/>
    <s v="Master Skins, Arenas, Emotes, Avatars"/>
    <s v="No"/>
    <m/>
    <s v="I've not made a purchase"/>
    <s v="Battle Shi-Hou, Fireball, Stun Lancers, Cleavers, Living Statures"/>
    <m/>
    <s v="Stormbringer"/>
    <m/>
    <s v="With his Excellent Range I take down many encroching enemies"/>
    <m/>
    <s v="Wood"/>
    <m/>
    <s v="0-5"/>
    <m/>
    <x v="514"/>
    <m/>
    <s v="Daily"/>
    <m/>
    <s v="Watch"/>
    <m/>
    <s v="Male"/>
    <m/>
    <s v="26-35"/>
    <m/>
    <x v="2"/>
    <m/>
    <s v="Nigeria"/>
    <m/>
  </r>
  <r>
    <d v="2018-11-15T01:21:27"/>
    <s v="Gameplay"/>
    <s v="Duo, Premade Duo"/>
    <s v="Master Skins"/>
    <s v="Yes"/>
    <s v="Battle pass and a skin... that isn't available yet (that's way more annoying than useful, I'm sure)"/>
    <s v="Yes"/>
    <s v="Armed Escort, Blastmancer, Defenso Chopper, Wizard Puff &amp; Commander Azali (Can we get a Sun Wu Kong? Pleeease?!)"/>
    <m/>
    <s v="Mordar"/>
    <m/>
    <s v="The way he's balanced is interesting and reviving effective cards is really satisfying. Needs more skins tho!"/>
    <m/>
    <s v="Silver"/>
    <m/>
    <s v="25-100"/>
    <m/>
    <x v="515"/>
    <m/>
    <s v="5-6 times a week"/>
    <m/>
    <s v="Neither"/>
    <m/>
    <s v="Male"/>
    <m/>
    <s v="26-35"/>
    <m/>
    <x v="1"/>
    <m/>
    <s v="USA"/>
    <m/>
  </r>
  <r>
    <d v="2018-11-15T01:23:58"/>
    <s v="Gameplay, Competitions/Tournaments"/>
    <s v="Duo, Premade Duo, Expeditions"/>
    <s v="Master Skins"/>
    <s v="Yes"/>
    <s v="Battle Pass"/>
    <s v="Yes"/>
    <s v="sniper , marines, Harbringer"/>
    <m/>
    <s v="Stormbringer"/>
    <m/>
    <m/>
    <m/>
    <s v="Platinum"/>
    <m/>
    <s v="25-100"/>
    <m/>
    <x v="4"/>
    <m/>
    <s v="5-6 times a week"/>
    <m/>
    <s v="Neither"/>
    <m/>
    <s v="Male"/>
    <m/>
    <s v="over 36"/>
    <m/>
    <x v="0"/>
    <m/>
    <s v="New Zealand"/>
    <m/>
  </r>
  <r>
    <d v="2018-11-15T01:25:02"/>
    <s v="Gameplay"/>
    <s v="Expeditions"/>
    <s v="Arenas"/>
    <s v="No"/>
    <m/>
    <s v="I've not made a purchase"/>
    <s v="Mana Puff, Crystal Archers, Chain Lightning,Crystal Construct, Divine Warrior"/>
    <m/>
    <s v="Stormbringer"/>
    <m/>
    <s v="Enhances Ranged Units"/>
    <m/>
    <s v="Bronze"/>
    <m/>
    <s v="5-25"/>
    <m/>
    <x v="516"/>
    <m/>
    <s v="Daily"/>
    <m/>
    <s v="Neither"/>
    <m/>
    <s v="Male"/>
    <m/>
    <s v="over 36"/>
    <m/>
    <x v="4"/>
    <m/>
    <s v="Turkey"/>
    <m/>
  </r>
  <r>
    <d v="2018-11-15T01:27:20"/>
    <s v="Gameplay, Graphics, Collecting Cards/Masters, Competitions/Tournaments"/>
    <s v="Duo, Premade Duo"/>
    <s v="Arenas, Emotes"/>
    <s v="Yes"/>
    <s v="SKINS MAKE MORE"/>
    <s v="Yes"/>
    <s v="CRYSTAL ARCHERS &amp; DEATH LAZER LOL"/>
    <m/>
    <s v="Stormbringer"/>
    <m/>
    <s v="OP"/>
    <m/>
    <s v="Diamond"/>
    <m/>
    <s v="25-100"/>
    <m/>
    <x v="279"/>
    <m/>
    <s v="Daily"/>
    <m/>
    <s v="Watch"/>
    <m/>
    <s v="Male"/>
    <m/>
    <s v="26-35"/>
    <m/>
    <x v="0"/>
    <m/>
    <s v="Ireland"/>
    <m/>
  </r>
  <r>
    <d v="2018-11-15T01:28:06"/>
    <s v="Gameplay, THe fun charm the game has"/>
    <s v="Duo, Expeditions"/>
    <s v="Master Skins, Arenas"/>
    <s v="No"/>
    <m/>
    <s v="I've not made a purchase"/>
    <m/>
    <m/>
    <s v="Settsu"/>
    <m/>
    <s v="Its fun being able to call yourself into battle"/>
    <m/>
    <s v="Silver"/>
    <m/>
    <s v="5-25"/>
    <m/>
    <x v="517"/>
    <m/>
    <s v="Daily"/>
    <m/>
    <s v="Neither"/>
    <m/>
    <s v="Male"/>
    <m/>
    <s v="I prefer not to say"/>
    <m/>
    <x v="1"/>
    <m/>
    <s v="USA"/>
    <m/>
  </r>
  <r>
    <d v="2018-11-15T01:40:13"/>
    <s v="Gameplay, Deck building"/>
    <s v="Solo, Duo, Premade Duo, Mayhem Solo, Mayhem Duo"/>
    <s v="Master Skins"/>
    <s v="Yes"/>
    <s v="general use"/>
    <s v="Yes"/>
    <s v="situational"/>
    <m/>
    <m/>
    <m/>
    <m/>
    <m/>
    <s v="Master"/>
    <m/>
    <s v="200-1000"/>
    <m/>
    <x v="466"/>
    <m/>
    <s v="Daily"/>
    <m/>
    <s v="Watch"/>
    <m/>
    <s v="Male"/>
    <m/>
    <s v="over 36"/>
    <m/>
    <x v="0"/>
    <m/>
    <s v="USA"/>
    <m/>
  </r>
  <r>
    <d v="2018-11-15T01:42:44"/>
    <s v="Gameplay, Graphics"/>
    <s v="Duo, Expeditions"/>
    <s v="Master Skins, Arenas, Avatars"/>
    <s v="No"/>
    <m/>
    <s v="I've not made a purchase"/>
    <s v="stun lancers, heal puff, crossbow guild, "/>
    <m/>
    <s v="Volco"/>
    <m/>
    <s v="BURN THOSE BRIDGES"/>
    <m/>
    <s v="Silver"/>
    <m/>
    <s v="25-100"/>
    <m/>
    <x v="518"/>
    <m/>
    <s v="Daily"/>
    <m/>
    <s v="Neither"/>
    <m/>
    <s v="Female"/>
    <m/>
    <s v="26-35"/>
    <m/>
    <x v="4"/>
    <m/>
    <s v="USA"/>
    <m/>
  </r>
  <r>
    <d v="2018-11-15T02:00:39"/>
    <s v="Gameplay"/>
    <s v="Solo"/>
    <s v="Master Skins"/>
    <s v="Yes"/>
    <s v="various items"/>
    <s v="Yes"/>
    <s v="Prowler, Elite Swarmer, Beam of Doom, Xiao Long, Morgrul"/>
    <m/>
    <s v="Ravager"/>
    <m/>
    <s v="Look cool and spawns monster"/>
    <m/>
    <s v="Diamond"/>
    <m/>
    <s v="100-200"/>
    <m/>
    <x v="279"/>
    <m/>
    <s v="5-6 times a week"/>
    <m/>
    <s v="Neither"/>
    <m/>
    <s v="Male"/>
    <m/>
    <s v="over 36"/>
    <m/>
    <x v="0"/>
    <m/>
    <s v="USA"/>
    <m/>
  </r>
  <r>
    <d v="2018-11-15T02:01:57"/>
    <s v="Gameplay"/>
    <s v="Mayhem Duo"/>
    <s v="Master Skins"/>
    <s v="Yes"/>
    <s v="master"/>
    <m/>
    <m/>
    <m/>
    <m/>
    <m/>
    <m/>
    <m/>
    <m/>
    <m/>
    <m/>
    <m/>
    <x v="4"/>
    <m/>
    <s v="5-6 times a week"/>
    <m/>
    <s v="Watch"/>
    <m/>
    <s v="Male"/>
    <m/>
    <s v="26-35"/>
    <m/>
    <x v="2"/>
    <m/>
    <s v="I prefer not to say"/>
    <m/>
  </r>
  <r>
    <d v="2018-11-15T02:02:02"/>
    <s v="Gameplay"/>
    <s v="Premade Duo"/>
    <s v="Master Skins"/>
    <s v="No"/>
    <m/>
    <s v="I've not made a purchase"/>
    <s v="sniper, sniper squad, bounty hunter, "/>
    <m/>
    <s v="Stormbringer"/>
    <m/>
    <s v="bow"/>
    <m/>
    <s v="Silver"/>
    <m/>
    <s v="0-5"/>
    <m/>
    <x v="519"/>
    <m/>
    <s v="Occasionally"/>
    <m/>
    <s v="Neither"/>
    <m/>
    <s v="Male"/>
    <m/>
    <s v="I prefer not to say"/>
    <m/>
    <x v="1"/>
    <m/>
    <s v="USA"/>
    <m/>
  </r>
  <r>
    <d v="2018-11-15T02:04:49"/>
    <s v="Gameplay"/>
    <s v="Premade Duo"/>
    <s v="Arenas"/>
    <s v="No"/>
    <m/>
    <s v="I've not made a purchase"/>
    <s v="Crossbow Guild, The Harbinger, Plated Swarmer, Plasma Soldiers, Stun Lancers"/>
    <m/>
    <s v="Apep"/>
    <m/>
    <s v="Free Cards Breh, Gotta Keep That Tempo"/>
    <m/>
    <s v="Silver"/>
    <m/>
    <s v="5-25"/>
    <m/>
    <x v="520"/>
    <m/>
    <s v="Daily"/>
    <m/>
    <s v="Watch"/>
    <m/>
    <s v="Male"/>
    <m/>
    <s v="19-25"/>
    <m/>
    <x v="0"/>
    <m/>
    <s v="USA"/>
    <m/>
  </r>
  <r>
    <d v="2018-11-15T02:06:16"/>
    <s v="Gameplay"/>
    <s v="Premade Duo"/>
    <s v="Arenas"/>
    <s v="No"/>
    <m/>
    <s v="I've not made a purchase"/>
    <s v="Defenso=Choppo, Scrat Horde, Sky Drones, Annihilator, NORMAL Prowler"/>
    <m/>
    <s v="Stormbringer"/>
    <m/>
    <s v="Global Range"/>
    <m/>
    <s v="Master"/>
    <m/>
    <s v="25-100"/>
    <m/>
    <x v="521"/>
    <m/>
    <s v="5-6 times a week"/>
    <m/>
    <s v="Stream"/>
    <m/>
    <s v="Male"/>
    <m/>
    <s v="19-25"/>
    <m/>
    <x v="1"/>
    <m/>
    <s v="USA"/>
    <m/>
  </r>
  <r>
    <d v="2018-11-15T02:06:52"/>
    <s v="Team battle "/>
    <s v="Duo"/>
    <s v="Avatars"/>
    <s v="No"/>
    <m/>
    <s v="I've not made a purchase"/>
    <s v="Crossbow guild plasma marines crystal archers"/>
    <m/>
    <s v="Mordar"/>
    <m/>
    <s v="Abalitys(was in the weekly rotation at the time)"/>
    <m/>
    <s v="Silver"/>
    <m/>
    <s v="5-25"/>
    <m/>
    <x v="522"/>
    <m/>
    <s v="Daily"/>
    <m/>
    <s v="Watch"/>
    <m/>
    <s v="Male"/>
    <m/>
    <s v="I prefer not to say"/>
    <m/>
    <x v="1"/>
    <m/>
    <s v="USA"/>
    <m/>
  </r>
  <r>
    <d v="2018-11-15T02:11:43"/>
    <s v="Gameplay, Collecting Cards/Masters"/>
    <s v="Solo, Duo, Premade Duo"/>
    <s v="Master Skins"/>
    <s v="Yes"/>
    <s v="Master skins and seasons."/>
    <s v="Yes"/>
    <s v="Musketeer, scrat horde, stun lancers, divine warrior, shock rock"/>
    <m/>
    <s v="Stormbringer"/>
    <m/>
    <s v="Most versatile. "/>
    <m/>
    <s v="Platinum"/>
    <m/>
    <s v="200-1000"/>
    <m/>
    <x v="523"/>
    <m/>
    <s v="5-6 times a week"/>
    <m/>
    <s v="Neither"/>
    <m/>
    <s v="Female"/>
    <m/>
    <s v="26-35"/>
    <m/>
    <x v="2"/>
    <m/>
    <s v="USA"/>
    <m/>
  </r>
  <r>
    <d v="2018-11-15T02:12:36"/>
    <s v="Gameplay, Gamification and rewards through play. "/>
    <s v="Solo, Draft, Mayhem Solo"/>
    <s v="Master Skins"/>
    <s v="Yes"/>
    <s v="I wanted to unlock the starter pack and pass. "/>
    <s v="Yes"/>
    <m/>
    <m/>
    <s v="King Puff"/>
    <m/>
    <s v="Looked the dumbest and most insulting to beat others with. "/>
    <m/>
    <s v="Diamond"/>
    <m/>
    <s v="25-100"/>
    <m/>
    <x v="4"/>
    <m/>
    <s v="Daily"/>
    <m/>
    <s v="Watch, Stream"/>
    <m/>
    <s v="Male"/>
    <m/>
    <s v="26-35"/>
    <m/>
    <x v="0"/>
    <m/>
    <s v="USA"/>
    <m/>
  </r>
  <r>
    <d v="2018-11-15T02:18:00"/>
    <s v="Gameplay, Collecting Cards/Masters"/>
    <s v="Duo, Premade Duo"/>
    <s v="Master Skins"/>
    <s v="Yes"/>
    <m/>
    <s v="No"/>
    <s v="Divine Warrior, Prowler, Whirly Scrat, Crossbow Guild, Defenso Chopper"/>
    <m/>
    <s v="King Puff"/>
    <m/>
    <s v="Great for control decks with rage / shield"/>
    <m/>
    <s v="Diamond"/>
    <m/>
    <s v="25-100"/>
    <m/>
    <x v="524"/>
    <m/>
    <s v="Daily"/>
    <m/>
    <s v="Neither"/>
    <m/>
    <s v="Male"/>
    <m/>
    <s v="26-35"/>
    <m/>
    <x v="0"/>
    <m/>
    <s v="USA"/>
    <m/>
  </r>
  <r>
    <d v="2018-11-15T02:29:30"/>
    <s v="Gameplay"/>
    <s v="Solo, Duo, Premade Duo"/>
    <s v="Master Skins, Emotes"/>
    <s v="Yes"/>
    <s v="i like to support games that are good"/>
    <s v="Yes"/>
    <s v="Shars'Rakk Twins, Morgrul, Divine Warrior, Screaming Scrat, Black Hole"/>
    <m/>
    <s v="Mordar"/>
    <m/>
    <s v="Love getting multiple 5-6 mp cards out of the tombstones"/>
    <m/>
    <s v="Master"/>
    <m/>
    <s v="100-200"/>
    <m/>
    <x v="525"/>
    <m/>
    <s v="Daily"/>
    <m/>
    <s v="Stream"/>
    <m/>
    <s v="Male"/>
    <m/>
    <s v="26-35"/>
    <m/>
    <x v="4"/>
    <m/>
    <s v="USA"/>
    <m/>
  </r>
  <r>
    <d v="2018-11-15T02:32:53"/>
    <s v="Gameplay"/>
    <s v="Duo"/>
    <s v="Master Skins, Arenas"/>
    <s v="No"/>
    <s v="n/a"/>
    <s v="I've not made a purchase"/>
    <s v="prowler, succubus, beam"/>
    <m/>
    <s v="Ravager"/>
    <m/>
    <s v="aggro"/>
    <m/>
    <s v="Grandmaster"/>
    <m/>
    <s v="200-1000"/>
    <m/>
    <x v="526"/>
    <m/>
    <s v="5-6 times a week"/>
    <m/>
    <s v="Neither"/>
    <m/>
    <s v="Male"/>
    <m/>
    <s v="19-25"/>
    <m/>
    <x v="3"/>
    <m/>
    <s v="USA"/>
    <m/>
  </r>
  <r>
    <d v="2018-11-15T02:40:34"/>
    <s v="Gameplay, Graphics, Collecting Cards/Masters, Competitions/Tournaments, Crafting system"/>
    <s v="Solo, Duo, Draft"/>
    <s v="Master Skins, Arenas"/>
    <s v="No"/>
    <m/>
    <s v="I've not made a purchase"/>
    <s v="Love to; but as a New player: Im not to sure what there called.!"/>
    <m/>
    <s v="King Puff"/>
    <m/>
    <s v="Jut like this Master as a Newbie"/>
    <m/>
    <s v="Gold"/>
    <m/>
    <s v="25-100"/>
    <m/>
    <x v="527"/>
    <m/>
    <s v="5-6 times a week"/>
    <m/>
    <s v="Watch"/>
    <m/>
    <s v="Male"/>
    <m/>
    <s v="over 36"/>
    <m/>
    <x v="0"/>
    <m/>
    <s v="Australia"/>
    <m/>
  </r>
  <r>
    <d v="2018-11-15T02:45:49"/>
    <s v="Gameplay, Competitions/Tournaments"/>
    <s v="Solo, Premade Duo, Draft"/>
    <m/>
    <s v="Yes"/>
    <s v="Card collection and to support a game I enjoy"/>
    <s v="Yes"/>
    <s v="Armored Escort, Crystal Archers, Re-Boomer, Divine Warrior, Fire Imp"/>
    <m/>
    <s v="Stormbringer"/>
    <m/>
    <s v="Good consistent pressure, works well for bait + punish, and works well with ranged units"/>
    <m/>
    <s v="Master"/>
    <m/>
    <s v="25-100"/>
    <m/>
    <x v="32"/>
    <m/>
    <s v="Daily"/>
    <m/>
    <s v="Watch"/>
    <m/>
    <s v="Male"/>
    <m/>
    <s v="19-25"/>
    <m/>
    <x v="0"/>
    <m/>
    <s v="USA"/>
    <m/>
  </r>
  <r>
    <d v="2018-11-15T02:48:51"/>
    <s v="Gameplay, Collecting Cards/Masters"/>
    <s v="Solo, Premade Duo"/>
    <s v="Master Skins, Arenas"/>
    <s v="No"/>
    <m/>
    <s v="I've not made a purchase"/>
    <s v="scrat pack, crystal archers, crystal sentry, chain lightning, wizard puff"/>
    <m/>
    <s v="Stormbringer"/>
    <m/>
    <s v="global attack"/>
    <m/>
    <s v="Grandmaster"/>
    <m/>
    <s v="25-100"/>
    <m/>
    <x v="528"/>
    <m/>
    <s v="Daily"/>
    <m/>
    <s v="Watch"/>
    <m/>
    <s v="Male"/>
    <m/>
    <s v="26-35"/>
    <m/>
    <x v="1"/>
    <m/>
    <s v="Germany"/>
    <m/>
  </r>
  <r>
    <d v="2018-11-15T02:49:41"/>
    <s v="Gameplay, Competitions/Tournaments"/>
    <s v="Premade Duo"/>
    <s v="Arenas"/>
    <s v="No"/>
    <m/>
    <s v="I've not made a purchase"/>
    <m/>
    <m/>
    <s v="Apep"/>
    <m/>
    <s v="I like his abilities"/>
    <m/>
    <s v="Gold"/>
    <m/>
    <s v="5-25"/>
    <m/>
    <x v="529"/>
    <m/>
    <s v="Daily"/>
    <m/>
    <s v="Watch"/>
    <m/>
    <s v="Male"/>
    <m/>
    <s v="14-18"/>
    <m/>
    <x v="1"/>
    <m/>
    <s v="USA"/>
    <m/>
  </r>
  <r>
    <d v="2018-11-15T02:53:25"/>
    <s v="Gameplay, Collecting Cards/Masters"/>
    <s v="Duo, Premade Duo, Expeditions"/>
    <s v="Master Skins, Arenas"/>
    <s v="Yes"/>
    <s v="Purchase battle passes"/>
    <s v="Yes"/>
    <s v="Harbinger, Styxi, Assassin, Incubus, Soul Eater(Stealer?)"/>
    <m/>
    <s v="Ravager"/>
    <m/>
    <s v="Very versatile and adds a satisfying speed component to any build"/>
    <m/>
    <s v="Platinum"/>
    <m/>
    <s v="25-100"/>
    <m/>
    <x v="530"/>
    <m/>
    <s v="Daily"/>
    <m/>
    <s v="Watch"/>
    <m/>
    <s v="Male"/>
    <m/>
    <s v="26-35"/>
    <m/>
    <x v="0"/>
    <m/>
    <s v="USA"/>
    <m/>
  </r>
  <r>
    <d v="2018-11-15T02:55:53"/>
    <s v="Gameplay, Graphics"/>
    <s v="Premade Duo"/>
    <s v="Master Skins"/>
    <s v="No"/>
    <m/>
    <s v="I've not made a purchase"/>
    <m/>
    <m/>
    <s v="Milloween"/>
    <m/>
    <s v="magic"/>
    <m/>
    <s v="Silver"/>
    <m/>
    <s v="25-100"/>
    <m/>
    <x v="32"/>
    <m/>
    <s v="5-6 times a week"/>
    <m/>
    <s v="Watch, Stream"/>
    <m/>
    <s v="Female"/>
    <m/>
    <s v="19-25"/>
    <m/>
    <x v="0"/>
    <m/>
    <s v="USA"/>
    <m/>
  </r>
  <r>
    <d v="2018-11-15T03:03:13"/>
    <s v="Gameplay, Collecting Cards/Masters"/>
    <s v="Solo, Duo, Premade Duo"/>
    <s v="Arenas"/>
    <s v="Yes"/>
    <m/>
    <s v="Yes"/>
    <s v="Healer, Guardian, Troubadour, Dragon Nest, Styxi "/>
    <m/>
    <s v="King Puff"/>
    <m/>
    <s v="Really interesting and fun kit"/>
    <m/>
    <s v="Diamond"/>
    <m/>
    <s v="25-100"/>
    <m/>
    <x v="531"/>
    <m/>
    <s v="Daily"/>
    <m/>
    <s v="Watch"/>
    <m/>
    <s v="Male"/>
    <m/>
    <s v="19-25"/>
    <m/>
    <x v="1"/>
    <m/>
    <s v="USA"/>
    <m/>
  </r>
  <r>
    <d v="2018-11-15T03:05:26"/>
    <s v="Collecting Cards/Masters"/>
    <s v="Duo"/>
    <s v="Avatars"/>
    <s v="No"/>
    <m/>
    <s v="I've not made a purchase"/>
    <s v="Assassin, Troubadour, Scrat Tank, Rage, Undying Skeleton"/>
    <m/>
    <s v="Settsu"/>
    <m/>
    <s v="Because of the different kind of builds you can make with her, like Rage Settsu, and has a very good DPS as long as you can keep control of her reload ability."/>
    <m/>
    <s v="Gold"/>
    <m/>
    <s v="5-25"/>
    <m/>
    <x v="532"/>
    <m/>
    <s v="Occasionally"/>
    <m/>
    <s v="Watch"/>
    <m/>
    <s v="Male"/>
    <m/>
    <s v="14-18"/>
    <m/>
    <x v="1"/>
    <m/>
    <s v="Chile"/>
    <m/>
  </r>
  <r>
    <d v="2018-11-15T03:05:50"/>
    <s v="Gameplay, Collecting Cards/Masters"/>
    <s v="Duo, Premade Duo"/>
    <s v="Master Skins, Arenas"/>
    <s v="No"/>
    <m/>
    <s v="I've not made a purchase"/>
    <m/>
    <m/>
    <s v="Stormbringer"/>
    <m/>
    <m/>
    <m/>
    <s v="Silver"/>
    <m/>
    <s v="5-25"/>
    <m/>
    <x v="4"/>
    <m/>
    <s v="Daily"/>
    <m/>
    <s v="Watch, Stream"/>
    <m/>
    <s v="Female"/>
    <m/>
    <s v="26-35"/>
    <m/>
    <x v="2"/>
    <m/>
    <s v="I prefer not to say"/>
    <m/>
  </r>
  <r>
    <d v="2018-11-15T03:07:11"/>
    <s v="Gameplay, Collecting Cards/Masters"/>
    <s v="Solo, Duo, Premade Duo, Mayhem Duo"/>
    <s v="Master Skins, Arenas"/>
    <s v="Yes"/>
    <s v="Masters and Arenas"/>
    <s v="Yes"/>
    <s v="Plasma Marines, Scrat Pack, STINT, Xiao Long, Colossus "/>
    <m/>
    <s v="Settsu"/>
    <m/>
    <s v="Love her Tankiness and gameplay"/>
    <m/>
    <s v="Bronze"/>
    <m/>
    <s v="25-100"/>
    <m/>
    <x v="4"/>
    <m/>
    <s v="5-6 times a week"/>
    <m/>
    <s v="Watch"/>
    <m/>
    <s v="Male"/>
    <m/>
    <s v="26-35"/>
    <m/>
    <x v="0"/>
    <m/>
    <s v="Canada"/>
    <m/>
  </r>
  <r>
    <d v="2018-11-15T03:07:33"/>
    <s v="Gameplay, Collecting Cards/Masters, Competitions/Tournaments"/>
    <s v="Solo, Expeditions"/>
    <s v="Master Skins"/>
    <s v="No"/>
    <m/>
    <s v="I've not made a purchase"/>
    <m/>
    <m/>
    <s v="Stormbringer"/>
    <m/>
    <m/>
    <m/>
    <s v="Bronze"/>
    <m/>
    <s v="5-25"/>
    <m/>
    <x v="4"/>
    <m/>
    <s v="3-4 times a week"/>
    <m/>
    <s v="Neither"/>
    <m/>
    <s v="Male"/>
    <m/>
    <s v="26-35"/>
    <m/>
    <x v="0"/>
    <m/>
    <s v="I prefer not to say"/>
    <m/>
  </r>
  <r>
    <d v="2018-11-15T03:10:43"/>
    <s v="Gameplay, Graphics"/>
    <s v="Solo, Draft, Expeditions, Mayhem Solo"/>
    <s v="Master Skins, Arenas"/>
    <s v="No"/>
    <m/>
    <s v="I've not made a purchase"/>
    <s v="Red Golem, Tombstone, xiao long, scrat launcher,  harbinger"/>
    <m/>
    <s v="Mordar"/>
    <m/>
    <s v="Late game control setup"/>
    <m/>
    <s v="Gold"/>
    <m/>
    <s v="5-25"/>
    <m/>
    <x v="533"/>
    <m/>
    <s v="Daily"/>
    <m/>
    <s v="Watch"/>
    <m/>
    <s v="Male"/>
    <m/>
    <s v="19-25"/>
    <m/>
    <x v="1"/>
    <m/>
    <s v="USA"/>
    <m/>
  </r>
  <r>
    <d v="2018-11-15T03:10:57"/>
    <s v="Gameplay"/>
    <s v="Solo, Duo"/>
    <s v="Master Skins"/>
    <s v="No"/>
    <m/>
    <s v="I've not made a purchase"/>
    <m/>
    <m/>
    <s v="Stormbringer"/>
    <m/>
    <s v="global range"/>
    <m/>
    <s v="Silver"/>
    <m/>
    <s v="5-25"/>
    <m/>
    <x v="534"/>
    <m/>
    <s v="1-2 times a week"/>
    <m/>
    <s v="Neither"/>
    <m/>
    <s v="Male"/>
    <m/>
    <s v="26-35"/>
    <m/>
    <x v="0"/>
    <m/>
    <s v="USA"/>
    <m/>
  </r>
  <r>
    <d v="2018-11-15T03:16:18"/>
    <s v="Gameplay"/>
    <s v="Solo, Duo, Expeditions"/>
    <s v="Master Skins, Emotes"/>
    <s v="Yes"/>
    <s v="Battle pass and skins"/>
    <s v="Yes"/>
    <s v="Assassin, Fire imp, Scrat tank, Sniper scrat, Spiritmancer"/>
    <m/>
    <s v="King Puff"/>
    <m/>
    <s v="Hard to tell but its the most enjoyable one"/>
    <m/>
    <s v="Grandmaster"/>
    <m/>
    <s v="200-1000"/>
    <m/>
    <x v="4"/>
    <m/>
    <s v="Daily"/>
    <m/>
    <s v="Watch"/>
    <m/>
    <s v="Male"/>
    <m/>
    <s v="26-35"/>
    <m/>
    <x v="3"/>
    <m/>
    <s v="Sweden"/>
    <m/>
  </r>
  <r>
    <d v="2018-11-15T03:16:51"/>
    <s v="Gameplay, Collecting Cards/Masters"/>
    <s v="Solo, Premade Duo, Expeditions"/>
    <s v="Avatars"/>
    <s v="No"/>
    <m/>
    <s v="I've not made a purchase"/>
    <s v="Soul Eater, Annihilator, Healing Fireball, Stun Lancers, Defenso Chopper"/>
    <m/>
    <s v="Milloween"/>
    <m/>
    <s v="Rewarded for playing spells. Arcane Golems are clutch"/>
    <m/>
    <s v="Silver"/>
    <m/>
    <s v="25-100"/>
    <m/>
    <x v="535"/>
    <m/>
    <s v="5-6 times a week"/>
    <m/>
    <s v="Watch"/>
    <m/>
    <s v="Male"/>
    <m/>
    <s v="26-35"/>
    <m/>
    <x v="1"/>
    <m/>
    <s v="USA"/>
    <m/>
  </r>
  <r>
    <d v="2018-11-15T03:18:26"/>
    <s v="Gameplay"/>
    <s v="Duo, Premade Duo, Expeditions"/>
    <s v="Arenas"/>
    <s v="Yes"/>
    <s v="Skins/Arenas"/>
    <s v="Yes"/>
    <s v="1) Space Marines 2) Annihilator 3) Cursebearer 4)  Future Present 5) Shock Rock"/>
    <m/>
    <s v="Apep"/>
    <m/>
    <s v="His variance from game to game, and the value you you get from the discounted cards"/>
    <m/>
    <s v="Diamond"/>
    <m/>
    <s v="25-100"/>
    <m/>
    <x v="536"/>
    <m/>
    <s v="Daily"/>
    <m/>
    <s v="Neither"/>
    <m/>
    <s v="Male"/>
    <m/>
    <s v="19-25"/>
    <m/>
    <x v="0"/>
    <m/>
    <s v="USA"/>
    <m/>
  </r>
  <r>
    <d v="2018-11-15T03:24:41"/>
    <s v="Gameplay, Graphics, Collecting Cards/Masters"/>
    <s v="Duo, Draft, Expeditions"/>
    <s v="Master Skins, Emotes"/>
    <s v="Yes"/>
    <s v="Battle Pass, as well as one store deal I wanted."/>
    <s v="Yes"/>
    <s v="Xiao, Blastmancer, Scotty, Wizard Puff, Beam of Doom, FDM"/>
    <m/>
    <s v="Stormbringer"/>
    <m/>
    <s v="Steady damage across the course of the match, that can be good on both offense and defense, goes well with giving a slight edge to ranged minions."/>
    <m/>
    <s v="Grandmaster"/>
    <m/>
    <s v="200-1000"/>
    <m/>
    <x v="537"/>
    <m/>
    <s v="Daily"/>
    <m/>
    <s v="Watch"/>
    <m/>
    <s v="Male"/>
    <m/>
    <s v="26-35"/>
    <m/>
    <x v="0"/>
    <m/>
    <s v="USA"/>
    <m/>
  </r>
  <r>
    <d v="2018-11-15T03:25:32"/>
    <s v="Gameplay, Collecting Cards/Masters"/>
    <s v="Solo, Duo"/>
    <s v="Emotes"/>
    <s v="No"/>
    <m/>
    <s v="I've not made a purchase"/>
    <s v="Daggerfall, Scrat Pack, Dragon Whelp, Future Present, Shock Rock"/>
    <m/>
    <s v="Apep"/>
    <m/>
    <s v="I like high tempo play style (Future Present/Past decks)"/>
    <m/>
    <s v="Master"/>
    <m/>
    <s v="200-1000"/>
    <m/>
    <x v="538"/>
    <m/>
    <s v="Daily"/>
    <m/>
    <s v="Watch"/>
    <m/>
    <s v="Male"/>
    <m/>
    <s v="14-18"/>
    <m/>
    <x v="1"/>
    <m/>
    <s v="USA"/>
    <m/>
  </r>
  <r>
    <d v="2018-11-15T03:25:51"/>
    <s v="Gameplay"/>
    <s v="Solo, Duo"/>
    <s v="Master Skins"/>
    <s v="No"/>
    <m/>
    <s v="I've not made a purchase"/>
    <s v="1. cursebearer 2. warrior 3. living statue 4. stun lancers 5. fireball"/>
    <m/>
    <s v="King Puff"/>
    <m/>
    <s v="He is cute and useful"/>
    <m/>
    <s v="Wood"/>
    <m/>
    <s v="0-5"/>
    <m/>
    <x v="539"/>
    <m/>
    <s v="Occasionally"/>
    <m/>
    <s v="Neither"/>
    <m/>
    <s v="Female"/>
    <m/>
    <s v="I prefer not to say"/>
    <m/>
    <x v="2"/>
    <m/>
    <s v="USA"/>
    <m/>
  </r>
  <r>
    <d v="2018-11-15T03:33:17"/>
    <s v="Gameplay, Collecting Cards/Masters, Crafting system"/>
    <s v="Duo, Mayhem Solo"/>
    <s v="Master Skins, Emotes"/>
    <s v="No"/>
    <m/>
    <s v="I've not made a purchase"/>
    <s v="Xiao, Morgrul, Succubus, Dagger Fall, Guardian"/>
    <m/>
    <s v="Apep"/>
    <m/>
    <s v="Always a new and different game due to the random cards"/>
    <m/>
    <s v="Grandmaster"/>
    <m/>
    <s v="1000+"/>
    <m/>
    <x v="52"/>
    <m/>
    <s v="Daily"/>
    <m/>
    <s v="Watch"/>
    <m/>
    <s v="Male"/>
    <m/>
    <s v="over 36"/>
    <m/>
    <x v="2"/>
    <m/>
    <s v="Denmark"/>
    <m/>
  </r>
  <r>
    <d v="2018-11-15T03:33:29"/>
    <s v="Gameplay, Collecting Cards/Masters, it's very free to play friendly imo"/>
    <s v="Solo, Premade Duo"/>
    <s v="Master Skins"/>
    <s v="Yes"/>
    <s v="battlepass"/>
    <m/>
    <s v="Assassin, Cursebearer, Divine warrior, Cleaver, Healing Fireball"/>
    <m/>
    <s v="Stormbringer"/>
    <m/>
    <s v="i love casting a lot of spells and the fact that she buff her golem with it is just a nice bonus"/>
    <m/>
    <s v="Gold"/>
    <m/>
    <s v="5-25"/>
    <m/>
    <x v="540"/>
    <m/>
    <s v="Daily"/>
    <m/>
    <s v="Watch"/>
    <m/>
    <s v="Male"/>
    <m/>
    <s v="19-25"/>
    <m/>
    <x v="3"/>
    <m/>
    <s v="Denmark"/>
    <m/>
  </r>
  <r>
    <d v="2018-11-15T03:34:23"/>
    <s v="Gameplay"/>
    <s v="Solo, Expeditions"/>
    <s v="Master Skins"/>
    <s v="Yes"/>
    <s v="battlepass"/>
    <s v="Yes"/>
    <s v="Cheese date, raging reinforcements, rage throwers, crystal sentry, rapid prowler"/>
    <m/>
    <s v="Ravager"/>
    <m/>
    <s v="Liked his design and ease of play"/>
    <m/>
    <s v="Diamond"/>
    <m/>
    <s v="25-100"/>
    <m/>
    <x v="541"/>
    <m/>
    <s v="Daily"/>
    <m/>
    <s v="Watch"/>
    <m/>
    <s v="Female"/>
    <m/>
    <s v="26-35"/>
    <m/>
    <x v="0"/>
    <m/>
    <s v="USA"/>
    <m/>
  </r>
  <r>
    <d v="2018-11-15T03:44:55"/>
    <s v="Gameplay"/>
    <s v="Duo"/>
    <s v="Master Skins"/>
    <s v="No"/>
    <m/>
    <s v="I've not made a purchase"/>
    <m/>
    <m/>
    <s v="Volco"/>
    <m/>
    <s v="His bridge control skill is OP."/>
    <m/>
    <s v="Stone"/>
    <m/>
    <s v="0-5"/>
    <m/>
    <x v="542"/>
    <m/>
    <s v="Daily"/>
    <m/>
    <s v="Watch"/>
    <m/>
    <s v="Male"/>
    <m/>
    <s v="26-35"/>
    <m/>
    <x v="0"/>
    <m/>
    <s v="USA"/>
    <m/>
  </r>
  <r>
    <d v="2018-11-15T03:48:28"/>
    <s v="Gameplay, Collecting Cards/Masters"/>
    <s v="Solo, Duo, Draft, Mayhem Solo"/>
    <s v="Master Skins, Avatars"/>
    <s v="No"/>
    <m/>
    <s v="I've not made a purchase"/>
    <s v="the mana surge cards - (Armored Escort - Crystal Archers -Crystal Archanist) then Xiao Long &amp; Cleaver"/>
    <m/>
    <s v="Stormbringer"/>
    <m/>
    <s v="just cuz the cards i love fits him the most"/>
    <m/>
    <s v="Gold"/>
    <m/>
    <s v="5-25"/>
    <m/>
    <x v="543"/>
    <m/>
    <s v="Daily"/>
    <m/>
    <s v="Neither"/>
    <m/>
    <s v="Male"/>
    <m/>
    <s v="26-35"/>
    <m/>
    <x v="2"/>
    <m/>
    <s v="Sudan"/>
    <m/>
  </r>
  <r>
    <d v="2018-11-15T03:51:41"/>
    <s v="Gameplay"/>
    <s v="Duo"/>
    <s v="Master Skins"/>
    <s v="Yes"/>
    <s v="to get legendary card"/>
    <s v="Yes"/>
    <s v="styxi, fire imp, dragon ball,"/>
    <m/>
    <s v="Mordar"/>
    <m/>
    <s v="revive"/>
    <m/>
    <s v="Master"/>
    <m/>
    <s v="100-200"/>
    <m/>
    <x v="544"/>
    <m/>
    <s v="Daily"/>
    <m/>
    <s v="Watch"/>
    <m/>
    <s v="Male"/>
    <m/>
    <s v="19-25"/>
    <m/>
    <x v="1"/>
    <m/>
    <s v="Korea"/>
    <m/>
  </r>
  <r>
    <d v="2018-11-15T04:03:23"/>
    <s v="Gameplay, Collecting Cards/Masters, Competitions/Tournaments"/>
    <s v="Solo, Duo"/>
    <s v="Master Skins, Arenas"/>
    <s v="No"/>
    <m/>
    <s v="I've not made a purchase"/>
    <s v="cleaver, golem, fireball, daggerfall"/>
    <m/>
    <s v="Stormbringer"/>
    <m/>
    <s v="because I cant afford the other ones ( make them purchasable with gold please ) "/>
    <m/>
    <s v="Silver"/>
    <m/>
    <s v="5-25"/>
    <m/>
    <x v="545"/>
    <m/>
    <s v="Daily"/>
    <m/>
    <s v="Watch, Stream"/>
    <m/>
    <s v="Male"/>
    <m/>
    <s v="19-25"/>
    <m/>
    <x v="0"/>
    <m/>
    <s v="USA"/>
    <m/>
  </r>
  <r>
    <d v="2018-11-15T04:14:41"/>
    <s v="Gameplay"/>
    <s v="Premade Duo"/>
    <s v="Arenas"/>
    <s v="Yes"/>
    <s v="Season Pass"/>
    <s v="Yes"/>
    <s v="Stun Lancer, Harbinger, Divine Warrior, Dragon Ball, Priestess"/>
    <m/>
    <s v="Volco"/>
    <m/>
    <s v="Passive Direct dmg and Bridge Controll"/>
    <m/>
    <s v="Diamond"/>
    <m/>
    <s v="25-100"/>
    <m/>
    <x v="546"/>
    <m/>
    <s v="Daily"/>
    <m/>
    <s v="Watch"/>
    <m/>
    <s v="Male"/>
    <m/>
    <s v="26-35"/>
    <m/>
    <x v="2"/>
    <m/>
    <s v="Germany"/>
    <m/>
  </r>
  <r>
    <d v="2018-11-15T04:18:51"/>
    <s v="Gameplay"/>
    <s v="Duo, Premade Duo"/>
    <s v="Master Skins, Avatars"/>
    <s v="Yes"/>
    <s v="Battlepass"/>
    <s v="Yes"/>
    <m/>
    <m/>
    <s v="Settsu"/>
    <m/>
    <s v="Utility drops"/>
    <m/>
    <s v="Platinum"/>
    <m/>
    <s v="100-200"/>
    <m/>
    <x v="547"/>
    <m/>
    <s v="Daily"/>
    <m/>
    <s v="Neither"/>
    <m/>
    <s v="Male"/>
    <m/>
    <s v="19-25"/>
    <m/>
    <x v="0"/>
    <m/>
    <s v="USA"/>
    <m/>
  </r>
  <r>
    <d v="2018-11-15T04:26:06"/>
    <s v="Competitions/Tournaments"/>
    <s v="Solo, Duo, Premade Duo, Draft, Expeditions, Mayhem Solo, Mayhem Duo"/>
    <s v="Arenas, Emotes, Avatars"/>
    <s v="No"/>
    <m/>
    <s v="Yes"/>
    <s v="Crossbow guild, ancient stone statue (only does dmg to structures), red golem"/>
    <m/>
    <s v="Stormbringer"/>
    <m/>
    <s v="CONSTANT PRESSURE "/>
    <m/>
    <s v="Diamond"/>
    <m/>
    <s v="5-25"/>
    <m/>
    <x v="548"/>
    <m/>
    <s v="Daily"/>
    <m/>
    <s v="Watch, Stream"/>
    <m/>
    <s v="Male"/>
    <m/>
    <s v="26-35"/>
    <m/>
    <x v="4"/>
    <m/>
    <s v="USA"/>
    <m/>
  </r>
  <r>
    <d v="2018-11-15T04:33:52"/>
    <s v="Gameplay, Graphics"/>
    <s v="Solo"/>
    <s v="Arenas"/>
    <s v="No"/>
    <m/>
    <s v="I've not made a purchase"/>
    <s v="I do not know the names "/>
    <m/>
    <s v="King Puff"/>
    <m/>
    <s v="It is a cute master"/>
    <m/>
    <s v="Bronze"/>
    <m/>
    <s v="5-25"/>
    <m/>
    <x v="549"/>
    <m/>
    <s v="3-4 times a week"/>
    <m/>
    <s v="Watch"/>
    <m/>
    <s v="Male"/>
    <m/>
    <s v="14-18"/>
    <m/>
    <x v="1"/>
    <m/>
    <s v="USA"/>
    <m/>
  </r>
  <r>
    <d v="2018-11-15T04:36:12"/>
    <s v="Gameplay"/>
    <s v="Premade Duo"/>
    <s v="Arenas, Emotes"/>
    <s v="Yes"/>
    <s v="Masters and tokens"/>
    <s v="Yes"/>
    <s v="Spirit Vessel, Re-Boomer, Spiritmancer, Musketeer, Styxi, and Banner Man"/>
    <m/>
    <s v="Mordar"/>
    <m/>
    <s v="I enjoyed it the most."/>
    <m/>
    <s v="Master"/>
    <m/>
    <s v="25-100"/>
    <m/>
    <x v="4"/>
    <m/>
    <m/>
    <m/>
    <s v="Neither"/>
    <m/>
    <s v="Male"/>
    <m/>
    <s v="26-35"/>
    <m/>
    <x v="2"/>
    <m/>
    <s v="I prefer not to say"/>
    <m/>
  </r>
  <r>
    <d v="2018-11-15T04:36:20"/>
    <s v="Gameplay"/>
    <s v="Solo"/>
    <s v="Master Skins"/>
    <s v="No"/>
    <m/>
    <s v="I've not made a purchase"/>
    <s v="no"/>
    <m/>
    <s v="Stormbringer"/>
    <m/>
    <s v="General safety"/>
    <m/>
    <s v="Diamond"/>
    <m/>
    <s v="25-100"/>
    <m/>
    <x v="550"/>
    <m/>
    <s v="Daily"/>
    <m/>
    <s v="Watch"/>
    <m/>
    <s v="Male"/>
    <m/>
    <s v="26-35"/>
    <m/>
    <x v="0"/>
    <m/>
    <s v="USA"/>
    <m/>
  </r>
  <r>
    <d v="2018-11-15T04:39:52"/>
    <s v="Gameplay"/>
    <s v="Premade Duo"/>
    <s v="Arenas"/>
    <s v="Yes"/>
    <s v="To unlock more Cards"/>
    <s v="Yes"/>
    <s v="Wizard Puff, Swarmer King "/>
    <m/>
    <s v="King Puff"/>
    <m/>
    <s v="I like 4/5 drops"/>
    <m/>
    <s v="Master"/>
    <m/>
    <s v="5-25"/>
    <m/>
    <x v="551"/>
    <m/>
    <s v="Daily"/>
    <m/>
    <s v="Watch"/>
    <m/>
    <s v="Male"/>
    <m/>
    <s v="14-18"/>
    <m/>
    <x v="1"/>
    <m/>
    <s v="USA"/>
    <m/>
  </r>
  <r>
    <d v="2018-11-15T04:40:32"/>
    <s v="Gameplay"/>
    <s v="Solo, Duo, Expeditions"/>
    <s v="Emotes"/>
    <s v="Yes"/>
    <s v="To get bulk power tokens"/>
    <s v="Yes"/>
    <s v="Harbinger, divine warrior, spiritmancer, xio long, plasma marines"/>
    <m/>
    <s v="Stormbringer"/>
    <m/>
    <s v="I generally prefer ranged fighting in almost any game"/>
    <m/>
    <s v="Master"/>
    <m/>
    <s v="25-100"/>
    <m/>
    <x v="552"/>
    <m/>
    <s v="Daily"/>
    <m/>
    <s v="Watch"/>
    <m/>
    <s v="Male"/>
    <m/>
    <s v="26-35"/>
    <m/>
    <x v="0"/>
    <m/>
    <s v="Canada"/>
    <m/>
  </r>
  <r>
    <d v="2018-11-15T04:46:36"/>
    <s v="Gameplay, Graphics"/>
    <s v="Solo, Draft"/>
    <s v="Master Skins"/>
    <s v="No"/>
    <m/>
    <s v="I've not made a purchase"/>
    <s v="Mana Puffs, Troubadour, "/>
    <m/>
    <s v="Mordar"/>
    <m/>
    <s v="He was free, when I started playing and I like the playstyle."/>
    <m/>
    <s v="Master"/>
    <m/>
    <s v="25-100"/>
    <m/>
    <x v="553"/>
    <m/>
    <s v="Daily"/>
    <m/>
    <s v="Neither"/>
    <m/>
    <s v="Male"/>
    <m/>
    <s v="19-25"/>
    <m/>
    <x v="2"/>
    <m/>
    <s v="Bulgaria"/>
    <m/>
  </r>
  <r>
    <d v="2018-11-15T04:47:17"/>
    <s v="Gameplay, Graphics, Collecting Cards/Masters, Crafting system"/>
    <s v="Duo"/>
    <s v="Master Skins, Avatars"/>
    <s v="No"/>
    <m/>
    <s v="I've not made a purchase"/>
    <m/>
    <m/>
    <s v="Mordar"/>
    <m/>
    <m/>
    <m/>
    <s v="Bronze"/>
    <m/>
    <s v="5-25"/>
    <m/>
    <x v="4"/>
    <m/>
    <s v="5-6 times a week"/>
    <m/>
    <s v="Watch"/>
    <m/>
    <s v="Male"/>
    <m/>
    <s v="14-18"/>
    <m/>
    <x v="1"/>
    <m/>
    <s v="USA"/>
    <m/>
  </r>
  <r>
    <d v="2018-11-15T05:01:25"/>
    <s v="Gameplay, Collecting Cards/Masters"/>
    <s v="Solo, Duo, Expeditions"/>
    <s v="Avatars"/>
    <s v="No"/>
    <m/>
    <s v="I've not made a purchase"/>
    <s v="Blind date, stun lancers, chain lightning, dragon ball"/>
    <m/>
    <s v="Milloween"/>
    <m/>
    <s v="Arcane golem ability"/>
    <m/>
    <s v="Silver"/>
    <m/>
    <s v="5-25"/>
    <m/>
    <x v="554"/>
    <m/>
    <s v="Daily"/>
    <m/>
    <s v="Watch"/>
    <m/>
    <s v="Male"/>
    <m/>
    <s v="26-35"/>
    <m/>
    <x v="0"/>
    <m/>
    <s v="USA"/>
    <m/>
  </r>
  <r>
    <d v="2018-11-15T05:03:11"/>
    <s v="Collecting Cards/Masters"/>
    <s v="Premade Duo"/>
    <s v="Arenas"/>
    <s v="Yes"/>
    <s v="Battlepass"/>
    <s v="Yes"/>
    <m/>
    <m/>
    <m/>
    <m/>
    <m/>
    <m/>
    <s v="Gold"/>
    <m/>
    <s v="5-25"/>
    <m/>
    <x v="4"/>
    <m/>
    <s v="Daily"/>
    <m/>
    <s v="Watch"/>
    <m/>
    <s v="Male"/>
    <m/>
    <s v="19-25"/>
    <m/>
    <x v="0"/>
    <m/>
    <s v="I prefer not to say"/>
    <m/>
  </r>
  <r>
    <d v="2018-11-15T05:04:56"/>
    <s v="I enjoy getting my ass reamed by pay to win mom's credit cards"/>
    <s v="Premade Duo"/>
    <s v="Avatars"/>
    <s v="No"/>
    <m/>
    <s v="I've not made a purchase"/>
    <s v="Make the game less pay to win"/>
    <m/>
    <s v="Stormbringer"/>
    <m/>
    <s v="Make the game less pay to win"/>
    <m/>
    <s v="Grandmaster"/>
    <m/>
    <s v="1000+"/>
    <m/>
    <x v="555"/>
    <m/>
    <s v="Daily"/>
    <m/>
    <s v="Watch"/>
    <m/>
    <s v="Female"/>
    <m/>
    <s v="26-35"/>
    <m/>
    <x v="0"/>
    <m/>
    <s v="I prefer not to say"/>
    <m/>
  </r>
  <r>
    <d v="2018-11-15T05:08:54"/>
    <s v="Gameplay"/>
    <s v="Premade Duo"/>
    <s v="Master Skins"/>
    <s v="Yes"/>
    <s v="Cosmetics and to get cards faster."/>
    <s v="Yes"/>
    <s v="spiritmancer, guardian, succubus, harbinger, xiao long"/>
    <m/>
    <s v="Mordar"/>
    <m/>
    <s v="I enjoy the revive mechanic as well as the versatility of tombstone placement as a possible distraction (faux wall)."/>
    <m/>
    <s v="Grandmaster"/>
    <m/>
    <s v="25-100"/>
    <m/>
    <x v="556"/>
    <m/>
    <s v="Daily"/>
    <m/>
    <s v="Watch"/>
    <m/>
    <s v="Male"/>
    <m/>
    <s v="19-25"/>
    <m/>
    <x v="0"/>
    <m/>
    <s v="USA"/>
    <m/>
  </r>
  <r>
    <d v="2018-11-15T05:11:11"/>
    <s v="Gameplay, Collecting Cards/Masters"/>
    <s v="Duo, Draft"/>
    <s v="Master Skins"/>
    <s v="No"/>
    <m/>
    <s v="I've not made a purchase"/>
    <s v="Troubadour"/>
    <m/>
    <s v="Mordar"/>
    <m/>
    <s v="Gravestones"/>
    <m/>
    <s v="Gold"/>
    <m/>
    <s v="0-5"/>
    <m/>
    <x v="32"/>
    <m/>
    <s v="5-6 times a week"/>
    <m/>
    <s v="Neither"/>
    <m/>
    <s v="Male"/>
    <m/>
    <s v="I prefer not to say"/>
    <m/>
    <x v="2"/>
    <m/>
    <s v="America"/>
    <m/>
  </r>
  <r>
    <d v="2018-11-15T05:11:50"/>
    <s v="Gameplay, Graphics, Collecting Cards/Masters"/>
    <s v="Solo, Duo"/>
    <s v="Master Skins, Arenas"/>
    <s v="Yes"/>
    <s v="expand my collection "/>
    <s v="Yes"/>
    <s v="xio long, trovador,ariete, encontro as cegas,roda do destino"/>
    <m/>
    <s v="Milloween"/>
    <m/>
    <s v="becouse is a female master and powerfull"/>
    <m/>
    <s v="Gold"/>
    <m/>
    <s v="0-5"/>
    <m/>
    <x v="557"/>
    <m/>
    <s v="5-6 times a week"/>
    <m/>
    <s v="Watch"/>
    <m/>
    <s v="Male"/>
    <m/>
    <s v="26-35"/>
    <m/>
    <x v="1"/>
    <m/>
    <s v="Brazil"/>
    <m/>
  </r>
  <r>
    <d v="2018-11-15T05:16:05"/>
    <s v="Gameplay"/>
    <s v="Solo, Premade Duo"/>
    <s v="Arenas"/>
    <s v="Yes"/>
    <s v="cards"/>
    <s v="Yes"/>
    <s v="assassin, azali, ghost, divine warrior, incubus"/>
    <m/>
    <s v="Ravager"/>
    <m/>
    <s v="brutus"/>
    <m/>
    <s v="Diamond"/>
    <m/>
    <s v="100-200"/>
    <m/>
    <x v="558"/>
    <m/>
    <s v="Daily"/>
    <m/>
    <s v="Watch, Stream"/>
    <m/>
    <s v="Male"/>
    <m/>
    <s v="19-25"/>
    <m/>
    <x v="0"/>
    <m/>
    <s v="USA"/>
    <m/>
  </r>
  <r>
    <d v="2018-11-15T05:20:40"/>
    <s v="Gameplay, Collecting Cards/Masters, Competitions/Tournaments"/>
    <s v="Duo, Premade Duo"/>
    <s v="Master Skins, Arenas"/>
    <s v="Yes"/>
    <s v="Skins!"/>
    <s v="Yes"/>
    <s v="Xiao, Cusebearer, Colossus, Heal Puff, Shock Rock"/>
    <m/>
    <s v="Stormbringer"/>
    <m/>
    <s v="Keeps little minions at bay"/>
    <m/>
    <s v="Grandmaster"/>
    <m/>
    <s v="200-1000"/>
    <m/>
    <x v="559"/>
    <m/>
    <s v="Daily"/>
    <m/>
    <s v="Watch"/>
    <m/>
    <s v="Male"/>
    <m/>
    <s v="19-25"/>
    <m/>
    <x v="0"/>
    <m/>
    <s v="Canada"/>
    <m/>
  </r>
  <r>
    <d v="2018-11-15T05:21:05"/>
    <s v="Gameplay, Collecting Cards/Masters"/>
    <s v="Solo, Premade Duo"/>
    <s v="Master Skins, Arenas"/>
    <s v="Yes"/>
    <s v="season pass and bonus gold"/>
    <s v="Yes"/>
    <s v="xiao long, harbinger, drone buzzers, assassin, divine warrior"/>
    <m/>
    <s v="King Puff"/>
    <m/>
    <s v="i love playing with 4 and 5 cost cards in his decks"/>
    <m/>
    <s v="Platinum"/>
    <m/>
    <s v="25-100"/>
    <m/>
    <x v="560"/>
    <m/>
    <s v="Daily"/>
    <m/>
    <s v="Watch, Stream"/>
    <m/>
    <s v="Male"/>
    <m/>
    <s v="26-35"/>
    <m/>
    <x v="3"/>
    <m/>
    <s v="USA"/>
    <m/>
  </r>
  <r>
    <d v="2018-11-15T05:25:47"/>
    <s v="Gameplay"/>
    <s v="Solo"/>
    <s v="Avatars"/>
    <s v="No"/>
    <m/>
    <s v="I've not made a purchase"/>
    <s v="Cleaver, Spear Thrower, Blood Imps, Gor'Rakk Sacrifice, Gor'Rakk Brutes"/>
    <m/>
    <s v="King Puff"/>
    <m/>
    <s v="Used correctly, King Puff is a powerful master; He's able to switch which side a powerful minion is heading toward the enemy base, evading any counters. He also shocks all enemies on the bridge. He even shields himself from attacks if you control just one bridge."/>
    <m/>
    <s v="Silver"/>
    <m/>
    <s v="5-25"/>
    <m/>
    <x v="4"/>
    <m/>
    <s v="3-4 times a week"/>
    <m/>
    <s v="Watch, Stream"/>
    <m/>
    <s v="Male"/>
    <m/>
    <s v="14-18"/>
    <m/>
    <x v="1"/>
    <m/>
    <s v="Canada"/>
    <m/>
  </r>
  <r>
    <d v="2018-11-15T05:25:54"/>
    <s v="Gameplay"/>
    <s v="Premade Duo"/>
    <s v="Arenas"/>
    <s v="Yes"/>
    <s v="arenas and the $20 upgrade"/>
    <s v="Yes"/>
    <s v="daggerfall, scart horde, whirly scrat(spinny!) azali, "/>
    <m/>
    <s v="King Puff"/>
    <m/>
    <s v="the bridge control "/>
    <m/>
    <s v="Platinum"/>
    <m/>
    <s v="25-100"/>
    <m/>
    <x v="561"/>
    <m/>
    <s v="Daily"/>
    <m/>
    <s v="Watch"/>
    <m/>
    <s v="Male"/>
    <m/>
    <s v="over 36"/>
    <m/>
    <x v="0"/>
    <m/>
    <s v="USA"/>
    <m/>
  </r>
  <r>
    <d v="2018-11-15T05:28:31"/>
    <s v="Gameplay, Competitions/Tournaments"/>
    <s v="Duo, Premade Duo"/>
    <s v="Arenas"/>
    <s v="No"/>
    <m/>
    <s v="I've not made a purchase"/>
    <m/>
    <m/>
    <s v="King Puff"/>
    <m/>
    <s v="He's cute lol"/>
    <m/>
    <s v="Silver"/>
    <m/>
    <s v="25-100"/>
    <m/>
    <x v="4"/>
    <m/>
    <s v="Daily"/>
    <m/>
    <s v="Watch, Stream"/>
    <m/>
    <s v="Male"/>
    <m/>
    <s v="14-18"/>
    <m/>
    <x v="1"/>
    <m/>
    <s v="USA"/>
    <m/>
  </r>
  <r>
    <d v="2018-11-15T05:30:42"/>
    <s v="Gameplay"/>
    <s v="Solo, Duo, Premade Duo"/>
    <s v="Master Skins, Arenas"/>
    <s v="Yes"/>
    <s v="battlepass"/>
    <s v="Yes"/>
    <s v="drone buzzer, whirley scrat, assassin, cleaver, and plasma marines"/>
    <m/>
    <s v="Ravager"/>
    <m/>
    <s v="ability"/>
    <m/>
    <s v="Master"/>
    <m/>
    <s v="200-1000"/>
    <m/>
    <x v="562"/>
    <m/>
    <s v="Daily"/>
    <m/>
    <s v="Watch, Stream"/>
    <m/>
    <s v="Male"/>
    <m/>
    <s v="26-35"/>
    <m/>
    <x v="0"/>
    <m/>
    <s v="USA"/>
    <m/>
  </r>
  <r>
    <d v="2018-11-15T05:41:24"/>
    <s v="Gameplay, Collecting Cards/Masters, Competitions/Tournaments"/>
    <s v="Solo, Premade Duo, Expeditions, Mayhem Duo"/>
    <s v="Arenas"/>
    <s v="No"/>
    <m/>
    <s v="I've not made a purchase"/>
    <s v="Dragonball, Fire Imp, Drone Buzzers, Soul Stealer, Assassin"/>
    <m/>
    <s v="King Puff"/>
    <m/>
    <s v="2nd perk"/>
    <m/>
    <s v="Diamond"/>
    <m/>
    <s v="25-100"/>
    <m/>
    <x v="563"/>
    <m/>
    <s v="Daily"/>
    <m/>
    <s v="Watch"/>
    <m/>
    <s v="Male"/>
    <m/>
    <s v="19-25"/>
    <m/>
    <x v="1"/>
    <m/>
    <s v="USA"/>
    <m/>
  </r>
  <r>
    <d v="2018-11-15T05:43:12"/>
    <s v="Gameplay, Collecting Cards/Masters"/>
    <s v="Solo, Duo, Expeditions, Mayhem Solo"/>
    <s v="Master Skins"/>
    <s v="No"/>
    <m/>
    <s v="I've not made a purchase"/>
    <s v="Drone Buzzers, Defenso Chopper, "/>
    <m/>
    <s v="Volco"/>
    <m/>
    <s v="Good AOE, bridge clear spell"/>
    <m/>
    <s v="Gold"/>
    <m/>
    <s v="25-100"/>
    <m/>
    <x v="564"/>
    <m/>
    <s v="Daily"/>
    <m/>
    <s v="Watch"/>
    <m/>
    <s v="Male"/>
    <m/>
    <s v="19-25"/>
    <m/>
    <x v="3"/>
    <m/>
    <s v="Canada"/>
    <m/>
  </r>
  <r>
    <d v="2018-11-15T05:43:58"/>
    <s v="Gameplay"/>
    <s v="Solo, Draft, Expeditions"/>
    <s v="Master Skins, Emotes"/>
    <s v="Yes"/>
    <s v="Getting cards/masters faster"/>
    <s v="Yes"/>
    <s v="Scott, Musketeer, Daggerfall, Netherstep, Blind Date"/>
    <m/>
    <s v="King Puff"/>
    <m/>
    <s v="Offers the oppurtunity to make all 4-5 drops playable/fun"/>
    <m/>
    <s v="Master"/>
    <m/>
    <s v="5-25"/>
    <m/>
    <x v="4"/>
    <m/>
    <s v="3-4 times a week"/>
    <m/>
    <s v="Neither"/>
    <m/>
    <s v="Male"/>
    <m/>
    <s v="19-25"/>
    <m/>
    <x v="1"/>
    <m/>
    <s v="USA"/>
    <m/>
  </r>
  <r>
    <d v="2018-11-15T05:45:14"/>
    <s v="Gameplay, Collecting Cards/Masters, Competitions/Tournaments"/>
    <s v="Solo, Premade Duo, Mayhem Solo"/>
    <s v="Master Skins"/>
    <s v="Yes"/>
    <s v="battle pass"/>
    <s v="Yes"/>
    <s v="mana puff, heal puff, whirler scrat, incubus, colossus"/>
    <m/>
    <s v="King Puff"/>
    <m/>
    <s v="Adorable"/>
    <m/>
    <s v="Diamond"/>
    <m/>
    <s v="25-100"/>
    <m/>
    <x v="565"/>
    <m/>
    <s v="5-6 times a week"/>
    <m/>
    <s v="Watch, Stream"/>
    <m/>
    <s v="Male"/>
    <m/>
    <s v="19-25"/>
    <m/>
    <x v="0"/>
    <m/>
    <s v="USA"/>
    <m/>
  </r>
  <r>
    <d v="2018-11-15T05:46:59"/>
    <s v="Gameplay, Collecting Cards/Masters, The lack of upgrading cards to make them stronger."/>
    <s v="Solo, Duo, Premade Duo, Mayhem Solo"/>
    <s v="Arenas"/>
    <s v="Yes"/>
    <s v="Starter pack and arena skins"/>
    <s v="Yes"/>
    <s v="Flightless dragons, spear throwers, divine warrior, defenso chopper, and wizard puff"/>
    <m/>
    <s v="King Puff"/>
    <m/>
    <s v="The bridge swapping drove me nuts when I played against him."/>
    <m/>
    <s v="Master"/>
    <m/>
    <s v="100-200"/>
    <m/>
    <x v="566"/>
    <m/>
    <s v="Daily"/>
    <m/>
    <s v="Neither"/>
    <m/>
    <s v="Male"/>
    <m/>
    <s v="26-35"/>
    <m/>
    <x v="0"/>
    <m/>
    <s v="USA"/>
    <m/>
  </r>
  <r>
    <d v="2018-11-15T05:51:52"/>
    <s v="Gameplay, Collecting Cards/Masters"/>
    <s v="Solo, Duo"/>
    <s v="Arenas"/>
    <s v="Yes"/>
    <s v="Because I got the game for free"/>
    <s v="No"/>
    <m/>
    <m/>
    <s v="Milloween"/>
    <m/>
    <s v="Spells are fun"/>
    <m/>
    <s v="Silver"/>
    <m/>
    <s v="25-100"/>
    <m/>
    <x v="567"/>
    <m/>
    <s v="5-6 times a week"/>
    <m/>
    <s v="Neither"/>
    <m/>
    <s v="Male"/>
    <m/>
    <s v="19-25"/>
    <m/>
    <x v="1"/>
    <m/>
    <s v="New Zealand"/>
    <m/>
  </r>
  <r>
    <d v="2018-11-15T06:06:43"/>
    <s v="Gameplay, Collecting Cards/Masters"/>
    <s v="Solo, Premade Duo"/>
    <s v="Master Skins"/>
    <s v="Yes"/>
    <s v="to get a king puff pack !"/>
    <s v="Yes"/>
    <s v="wheel of doom, xiao long, cursebearer,snake druid,dragon whelp"/>
    <m/>
    <s v="Ravager"/>
    <m/>
    <s v="his first level is so strong ffor an early push"/>
    <m/>
    <s v="Master"/>
    <m/>
    <s v="25-100"/>
    <m/>
    <x v="156"/>
    <m/>
    <s v="Daily"/>
    <m/>
    <s v="Watch, Stream"/>
    <m/>
    <s v="Male"/>
    <m/>
    <s v="19-25"/>
    <m/>
    <x v="0"/>
    <m/>
    <s v="USA"/>
    <m/>
  </r>
  <r>
    <d v="2018-11-15T06:06:59"/>
    <s v="Gameplay, Collecting Cards/Masters, Competitions/Tournaments"/>
    <s v="Solo, Premade Duo"/>
    <s v="Master Skins, Arenas, Emotes"/>
    <s v="Yes"/>
    <s v="battle chest"/>
    <s v="Yes"/>
    <s v="xiao long, cursebraker, cristal construct,  divine warrior, illusory cleaver, chain lightning"/>
    <m/>
    <s v="Volco"/>
    <m/>
    <s v="the cicle style. "/>
    <m/>
    <s v="Master"/>
    <m/>
    <s v="100-200"/>
    <m/>
    <x v="568"/>
    <m/>
    <s v="Daily"/>
    <m/>
    <s v="Watch"/>
    <m/>
    <s v="Male"/>
    <m/>
    <s v="26-35"/>
    <m/>
    <x v="0"/>
    <m/>
    <s v="Mexico"/>
    <m/>
  </r>
  <r>
    <d v="2018-11-15T06:07:15"/>
    <s v="Gameplay"/>
    <s v="Premade Duo"/>
    <s v="Arenas, Avatars"/>
    <s v="No"/>
    <s v="no"/>
    <s v="I've not made a purchase"/>
    <s v="5. Distortion Puff, 4. Crossbow Dudes w/ Shield 3. Shield Knight lady girl 2. Incubus. 1. That lava card u get on the lava guy"/>
    <m/>
    <s v="Volco"/>
    <m/>
    <s v="He hits face a bunch and i like that sh*t"/>
    <m/>
    <s v="Silver"/>
    <m/>
    <s v="0-5"/>
    <m/>
    <x v="569"/>
    <m/>
    <s v="Daily"/>
    <m/>
    <s v="Watch, Stream"/>
    <m/>
    <s v="Male"/>
    <m/>
    <s v="19-25"/>
    <m/>
    <x v="0"/>
    <m/>
    <s v="USA"/>
    <m/>
  </r>
  <r>
    <d v="2018-11-15T06:11:38"/>
    <s v="Gameplay, Collecting Cards/Masters"/>
    <s v="Premade Duo"/>
    <s v="Master Skins, Arenas"/>
    <s v="No"/>
    <s v="n/a"/>
    <s v="I've not made a purchase"/>
    <s v="Empowered Soulstealer, Tantrum Throwers, Xiao Long, Whirly Scrat, Colossus"/>
    <m/>
    <s v="Ravager"/>
    <m/>
    <s v="All of his passives are fun to play round"/>
    <m/>
    <s v="Diamond"/>
    <m/>
    <s v="25-100"/>
    <m/>
    <x v="570"/>
    <m/>
    <s v="Daily"/>
    <m/>
    <s v="Neither"/>
    <m/>
    <s v="Male"/>
    <m/>
    <s v="26-35"/>
    <m/>
    <x v="0"/>
    <m/>
    <s v="USA"/>
    <m/>
  </r>
  <r>
    <d v="2018-11-15T06:27:14"/>
    <s v="Gameplay, Graphics, Collecting Cards/Masters"/>
    <s v="Solo, Duo, Premade Duo"/>
    <s v="Master Skins"/>
    <s v="Yes"/>
    <s v="In the beginning for masters and packs"/>
    <s v="Yes"/>
    <s v="Undying Skeleton, DFO (rip), Plasmarines, Crystal Arcanist, Azali, Tantrum Throwers"/>
    <m/>
    <s v="Ratbo"/>
    <m/>
    <s v="I like the idea of a zoo-ish gameplay and keeping brigdes for fast level progress and having lots of minions looks cool. (I'd choose Milloween second cause shes pretty, and Mordar for the revive mechanics))"/>
    <m/>
    <s v="Master"/>
    <m/>
    <s v="200-1000"/>
    <m/>
    <x v="571"/>
    <m/>
    <s v="Daily"/>
    <m/>
    <s v="Watch, Stream"/>
    <m/>
    <s v="Male"/>
    <m/>
    <s v="26-35"/>
    <m/>
    <x v="1"/>
    <m/>
    <s v="Germany"/>
    <m/>
  </r>
  <r>
    <d v="2018-11-15T06:39:42"/>
    <s v="Gameplay, Collecting Cards/Masters"/>
    <s v="Duo, Premade Duo, Draft"/>
    <s v="Arenas"/>
    <s v="No"/>
    <m/>
    <s v="I've not made a purchase"/>
    <m/>
    <m/>
    <s v="Volco"/>
    <m/>
    <s v="reminds me of having a mountain deck from magic the gathering"/>
    <m/>
    <s v="Gold"/>
    <m/>
    <s v="25-100"/>
    <m/>
    <x v="4"/>
    <m/>
    <s v="Daily"/>
    <m/>
    <s v="Neither"/>
    <m/>
    <s v="Male"/>
    <m/>
    <s v="26-35"/>
    <m/>
    <x v="0"/>
    <m/>
    <s v="Norway"/>
    <m/>
  </r>
  <r>
    <d v="2018-11-15T06:41:10"/>
    <s v="Gameplay, Graphics, Collecting Cards/Masters"/>
    <s v="Duo, Mayhem Solo"/>
    <s v="Arenas, Emotes"/>
    <s v="Yes"/>
    <m/>
    <s v="Yes"/>
    <m/>
    <m/>
    <s v="King Puff"/>
    <m/>
    <m/>
    <m/>
    <s v="Diamond"/>
    <m/>
    <s v="5-25"/>
    <m/>
    <x v="4"/>
    <m/>
    <s v="Daily"/>
    <m/>
    <s v="Watch"/>
    <m/>
    <s v="Male"/>
    <m/>
    <s v="19-25"/>
    <m/>
    <x v="0"/>
    <m/>
    <s v="I prefer not to say"/>
    <m/>
  </r>
  <r>
    <d v="2018-11-15T06:41:41"/>
    <s v="Gameplay"/>
    <s v="Solo, Duo, Draft"/>
    <s v="Emotes"/>
    <s v="Yes"/>
    <s v="Shop offers (card bundles for rubies)"/>
    <s v="Yes"/>
    <s v="Last Stand, Beam of Doom!, Divine Warrior, Spiritmancer, Xiao Long"/>
    <m/>
    <s v="Milloween"/>
    <m/>
    <s v="Her basic attack + Arcane Golem spell mechanic"/>
    <m/>
    <s v="Diamond"/>
    <m/>
    <s v="25-100"/>
    <m/>
    <x v="572"/>
    <m/>
    <s v="Daily"/>
    <m/>
    <s v="Watch"/>
    <m/>
    <s v="Male"/>
    <m/>
    <s v="26-35"/>
    <m/>
    <x v="0"/>
    <m/>
    <s v="USA"/>
    <m/>
  </r>
  <r>
    <d v="2018-11-15T06:41:53"/>
    <s v="Gameplay, Graphics, Collecting Cards/Masters, Competitions/Tournaments, Crafting system, All"/>
    <s v="Duo, Premade Duo, Draft, Expeditions, Mayhem Duo"/>
    <s v="Master Skins, Arenas, Emotes, Avatars"/>
    <s v="Yes"/>
    <s v="Cards"/>
    <s v="Yes"/>
    <s v="IDK"/>
    <m/>
    <s v="King Puff"/>
    <m/>
    <s v="His power and attack"/>
    <m/>
    <s v="Silver"/>
    <m/>
    <s v="100-200"/>
    <m/>
    <x v="132"/>
    <m/>
    <s v="Daily"/>
    <m/>
    <s v="Watch, Stream"/>
    <m/>
    <s v="Male"/>
    <m/>
    <s v="14-18"/>
    <m/>
    <x v="1"/>
    <m/>
    <s v="France"/>
    <m/>
  </r>
  <r>
    <d v="2018-11-15T06:46:53"/>
    <s v="Gameplay, Collecting Cards/Masters"/>
    <s v="Solo, Expeditions"/>
    <s v="Arenas"/>
    <s v="Yes"/>
    <s v="Getting little bit of rubies needed to buy Milloween"/>
    <s v="Yes"/>
    <s v="Cursebearer, Succubus, Daggerfall, Divine Warrior, Elf Archers"/>
    <m/>
    <s v="Milloween"/>
    <m/>
    <s v="People think she's weak, she's cute elf chica, enjoy her perks"/>
    <m/>
    <s v="Gold"/>
    <m/>
    <s v="25-100"/>
    <m/>
    <x v="573"/>
    <m/>
    <s v="Daily"/>
    <m/>
    <s v="Watch"/>
    <m/>
    <s v="Male"/>
    <m/>
    <s v="over 36"/>
    <m/>
    <x v="2"/>
    <m/>
    <s v="USA"/>
    <m/>
  </r>
  <r>
    <d v="2018-11-15T06:52:04"/>
    <s v="Gameplay, Collecting Cards/Masters, Crafting system"/>
    <s v="Solo, Duo"/>
    <s v="Master Skins, Arenas"/>
    <s v="Yes"/>
    <s v="To get the season and try for legendaries!"/>
    <s v="Yes"/>
    <s v="Xiao Long, Fire Imp, Harbinger, Troubadour and Succubus"/>
    <m/>
    <s v="Stormbringer"/>
    <m/>
    <s v="I like that at first level I can shoot anything across the map"/>
    <m/>
    <s v="Gold"/>
    <m/>
    <s v="5-25"/>
    <m/>
    <x v="574"/>
    <m/>
    <s v="Daily"/>
    <m/>
    <s v="Neither"/>
    <m/>
    <s v="Male"/>
    <m/>
    <s v="19-25"/>
    <m/>
    <x v="1"/>
    <m/>
    <s v="USA"/>
    <m/>
  </r>
  <r>
    <d v="2018-11-15T06:55:43"/>
    <s v="Gameplay, Graphics, Collecting Cards/Masters"/>
    <s v="Solo, Duo, Premade Duo, Expeditions"/>
    <s v="Master Skins"/>
    <s v="No"/>
    <m/>
    <m/>
    <s v="Cursebearer, Divine warrior, Future present, Crossbow dudes, Arcane Archers"/>
    <m/>
    <s v="Apep"/>
    <m/>
    <s v="Free cards"/>
    <m/>
    <s v="Platinum"/>
    <m/>
    <s v="200-1000"/>
    <m/>
    <x v="575"/>
    <m/>
    <s v="Daily"/>
    <m/>
    <s v="Watch"/>
    <m/>
    <s v="Male"/>
    <m/>
    <s v="26-35"/>
    <m/>
    <x v="0"/>
    <m/>
    <s v="USA"/>
    <m/>
  </r>
  <r>
    <d v="2018-11-15T06:58:26"/>
    <s v="Gameplay"/>
    <s v="Duo"/>
    <s v="Arenas"/>
    <s v="No"/>
    <m/>
    <s v="I've not made a purchase"/>
    <s v="Undying Skeleton, Curse Bearer, Life stealer, Plasma Marines, Soul Eater"/>
    <m/>
    <s v="Mordar"/>
    <m/>
    <s v="Interesting game mechanics (master specific cards might be nice) ;-) "/>
    <m/>
    <s v="Silver"/>
    <m/>
    <s v="5-25"/>
    <m/>
    <x v="576"/>
    <m/>
    <s v="5-6 times a week"/>
    <m/>
    <s v="Neither"/>
    <m/>
    <s v="Male"/>
    <m/>
    <s v="14-18"/>
    <m/>
    <x v="1"/>
    <m/>
    <s v="Australia"/>
    <m/>
  </r>
  <r>
    <d v="2018-11-15T07:07:51"/>
    <s v="Gameplay, Collecting Cards/Masters"/>
    <s v="Duo, Premade Duo"/>
    <s v="Master Skins"/>
    <s v="Yes"/>
    <s v="To get more cards"/>
    <s v="Yes"/>
    <s v="Xiao Long, Harbinger, Fire Imp, Prowler, and Colossus"/>
    <m/>
    <s v="Ravager"/>
    <m/>
    <s v="I like his perks."/>
    <m/>
    <s v="Diamond"/>
    <m/>
    <s v="25-100"/>
    <m/>
    <x v="577"/>
    <m/>
    <s v="Daily"/>
    <m/>
    <s v="Watch"/>
    <m/>
    <s v="Male"/>
    <m/>
    <s v="26-35"/>
    <m/>
    <x v="0"/>
    <m/>
    <s v="USA"/>
    <m/>
  </r>
  <r>
    <d v="2018-11-15T07:11:11"/>
    <s v="Playing a strategy game cooperatively"/>
    <s v="Premade Duo"/>
    <s v="Master Skins, Arenas"/>
    <s v="Yes"/>
    <s v="There was good deals in the store as well as I wanted the premium account bonus"/>
    <s v="Yes"/>
    <s v="Arcane Golem, Morgrul the Swarm King, chain lightning, reboomer, Styxi"/>
    <m/>
    <s v="Milloween"/>
    <m/>
    <s v="I really enjoy how her deck can interact with the arcane golem"/>
    <m/>
    <s v="Platinum"/>
    <m/>
    <s v="25-100"/>
    <m/>
    <x v="578"/>
    <m/>
    <s v="3-4 times a week"/>
    <m/>
    <s v="Watch"/>
    <m/>
    <s v="Male"/>
    <m/>
    <s v="19-25"/>
    <m/>
    <x v="1"/>
    <m/>
    <s v="USA"/>
    <m/>
  </r>
  <r>
    <d v="2018-11-15T07:17:34"/>
    <s v="Gameplay"/>
    <s v="Premade Duo"/>
    <s v="Master Skins"/>
    <s v="No"/>
    <m/>
    <s v="I've not made a purchase"/>
    <s v="Harbinger, Lord-Sentinel Thelec, Troubadour, Divine Warrior and Laser Turret"/>
    <m/>
    <s v="Ravager"/>
    <m/>
    <s v="free frenzy buff"/>
    <m/>
    <s v="Platinum"/>
    <m/>
    <s v="25-100"/>
    <m/>
    <x v="579"/>
    <m/>
    <s v="Daily"/>
    <m/>
    <s v="Watch"/>
    <m/>
    <s v="Male"/>
    <m/>
    <s v="19-25"/>
    <m/>
    <x v="3"/>
    <m/>
    <s v="USA"/>
    <m/>
  </r>
  <r>
    <d v="2018-11-15T07:18:00"/>
    <s v="Collecting Cards/Masters, Competitions/Tournaments, lurking on discord, watching bob stream"/>
    <s v="Solo, Duo"/>
    <s v="Emotes"/>
    <s v="No"/>
    <m/>
    <s v="I've not made a purchase"/>
    <s v="marines, crossbow dude guild, imps, succubus, harbinger"/>
    <m/>
    <s v="Stormbringer"/>
    <m/>
    <s v="very easy, good for beginner"/>
    <m/>
    <s v="Grandmaster"/>
    <m/>
    <s v="200-1000"/>
    <m/>
    <x v="32"/>
    <m/>
    <s v="Daily"/>
    <m/>
    <s v="Watch"/>
    <m/>
    <s v="Male"/>
    <m/>
    <s v="19-25"/>
    <m/>
    <x v="0"/>
    <m/>
    <s v="Germany"/>
    <m/>
  </r>
  <r>
    <d v="2018-11-15T07:28:09"/>
    <s v="Gameplay"/>
    <s v="Premade Duo"/>
    <s v="Arenas, Avatars"/>
    <s v="No"/>
    <m/>
    <s v="I've not made a purchase"/>
    <s v="arrow outhouse, the ghost that takes over a card, incubus, succubus, flying scrat"/>
    <m/>
    <s v="Ravager"/>
    <m/>
    <s v="because brutus is great"/>
    <m/>
    <s v="Silver"/>
    <m/>
    <s v="5-25"/>
    <m/>
    <x v="4"/>
    <m/>
    <s v="3-4 times a week"/>
    <m/>
    <s v="Neither"/>
    <m/>
    <s v="Male"/>
    <m/>
    <s v="19-25"/>
    <m/>
    <x v="1"/>
    <m/>
    <s v="USA"/>
    <m/>
  </r>
  <r>
    <d v="2018-11-15T07:29:13"/>
    <s v="Gameplay"/>
    <s v="Draft"/>
    <s v="Master Skins"/>
    <s v="No"/>
    <m/>
    <m/>
    <m/>
    <m/>
    <m/>
    <m/>
    <m/>
    <m/>
    <m/>
    <m/>
    <s v="5-25"/>
    <m/>
    <x v="4"/>
    <m/>
    <s v="3-4 times a week"/>
    <m/>
    <s v="Watch"/>
    <m/>
    <s v="Male"/>
    <m/>
    <s v="19-25"/>
    <m/>
    <x v="1"/>
    <m/>
    <s v="United Kingdom"/>
    <m/>
  </r>
  <r>
    <d v="2018-11-15T07:29:31"/>
    <s v="Gameplay"/>
    <s v="Solo, Duo"/>
    <m/>
    <s v="Yes"/>
    <s v="Never directly, just on the premium upgrade"/>
    <s v="Yes"/>
    <s v="Blood imps, Combustion, Gor'Rakk sacrifice,  Future Present, Demon warrior (wish it was better)"/>
    <m/>
    <s v="Apep"/>
    <m/>
    <s v="APEP DEMANDS WORSHIP"/>
    <m/>
    <s v="Grandmaster"/>
    <m/>
    <s v="200-1000"/>
    <m/>
    <x v="580"/>
    <m/>
    <s v="Daily"/>
    <m/>
    <s v="Neither"/>
    <m/>
    <s v="Male"/>
    <m/>
    <s v="19-25"/>
    <m/>
    <x v="0"/>
    <m/>
    <s v="USA"/>
    <m/>
  </r>
  <r>
    <d v="2018-11-15T07:32:18"/>
    <s v="Collecting Cards/Masters"/>
    <s v="Duo"/>
    <s v="Master Skins"/>
    <s v="Yes"/>
    <s v="Master Skins an Arenas"/>
    <s v="Yes"/>
    <s v="The Assassin, the Snipers,The dragons,the escort card, and the incubis and sucubis"/>
    <m/>
    <s v="Stormbringer"/>
    <m/>
    <s v="I liked his skins and abilities "/>
    <m/>
    <s v="Gold"/>
    <m/>
    <s v="25-100"/>
    <m/>
    <x v="581"/>
    <m/>
    <s v="Daily"/>
    <m/>
    <s v="Neither"/>
    <m/>
    <s v="Male"/>
    <m/>
    <s v="26-35"/>
    <m/>
    <x v="2"/>
    <m/>
    <s v="Canada "/>
    <m/>
  </r>
  <r>
    <d v="2018-11-15T07:36:53"/>
    <s v="Gameplay"/>
    <s v="Solo, Premade Duo, Draft"/>
    <s v="Master Skins"/>
    <s v="No"/>
    <m/>
    <s v="I've not made a purchase"/>
    <s v="Drone buzzers, Assasin, Defenso Chopper, Incubus, Spear Throwers"/>
    <m/>
    <s v="King Puff"/>
    <m/>
    <s v="Good perks"/>
    <m/>
    <s v="Grandmaster"/>
    <m/>
    <s v="25-100"/>
    <m/>
    <x v="582"/>
    <m/>
    <s v="Daily"/>
    <m/>
    <s v="Watch"/>
    <m/>
    <s v="Male"/>
    <m/>
    <s v="19-25"/>
    <m/>
    <x v="1"/>
    <m/>
    <s v="Belgium"/>
    <m/>
  </r>
  <r>
    <d v="2018-11-15T07:49:30"/>
    <s v="Gameplay, Collecting Cards/Masters, Crafting system"/>
    <s v="Premade Duo"/>
    <s v="Master Skins"/>
    <s v="Yes"/>
    <m/>
    <s v="Yes"/>
    <m/>
    <m/>
    <s v="Stormbringer"/>
    <m/>
    <s v="he is allways good"/>
    <m/>
    <s v="Master"/>
    <m/>
    <s v="25-100"/>
    <m/>
    <x v="386"/>
    <m/>
    <s v="Daily"/>
    <m/>
    <s v="Neither"/>
    <m/>
    <s v="Male"/>
    <m/>
    <s v="26-35"/>
    <m/>
    <x v="0"/>
    <m/>
    <s v="Germany"/>
    <m/>
  </r>
  <r>
    <d v="2018-11-15T07:50:53"/>
    <s v="Gameplay, Graphics, Crafting system"/>
    <s v="Solo"/>
    <s v="Master Skins, Emotes"/>
    <s v="Yes"/>
    <s v="battle pass"/>
    <s v="Yes"/>
    <s v="the 5 mana one with a shield for 8 secs, the one that teleports against ranged cards, idk what else lol"/>
    <m/>
    <s v="Stormbringer"/>
    <m/>
    <s v="Starter one, turns out I had the most success with it"/>
    <m/>
    <s v="Silver"/>
    <m/>
    <s v="5-25"/>
    <m/>
    <x v="583"/>
    <m/>
    <s v="Daily"/>
    <m/>
    <s v="Watch"/>
    <m/>
    <s v="Male"/>
    <m/>
    <s v="14-18"/>
    <m/>
    <x v="1"/>
    <m/>
    <s v="Australia"/>
    <m/>
  </r>
  <r>
    <d v="2018-11-15T07:54:31"/>
    <s v="Gameplay, Collecting Cards/Masters"/>
    <s v="Draft"/>
    <s v="Emotes"/>
    <s v="Yes"/>
    <s v="I bought the $20 premium thing"/>
    <s v="Yes"/>
    <s v="Spiritmancer, Blastmancer, Future Past, Future Present when I can use it, Soulstealer"/>
    <m/>
    <s v="Apep"/>
    <m/>
    <s v="Favorite perks, they feel the most impactful. please don't nerf"/>
    <m/>
    <s v="Platinum"/>
    <m/>
    <s v="25-100"/>
    <m/>
    <x v="584"/>
    <m/>
    <s v="Daily"/>
    <m/>
    <s v="Neither"/>
    <m/>
    <s v="Male"/>
    <m/>
    <s v="26-35"/>
    <m/>
    <x v="1"/>
    <m/>
    <s v="USA"/>
    <m/>
  </r>
  <r>
    <d v="2018-11-15T07:56:59"/>
    <s v="Gameplay, Graphics, Collecting Cards/Masters"/>
    <s v="Premade Duo"/>
    <s v="Master Skins, Arenas"/>
    <s v="No"/>
    <m/>
    <s v="Yes"/>
    <s v="No"/>
    <m/>
    <s v="King Puff"/>
    <m/>
    <s v="Defence"/>
    <m/>
    <s v="Bronze"/>
    <m/>
    <s v="5-25"/>
    <m/>
    <x v="585"/>
    <m/>
    <s v="Daily"/>
    <m/>
    <s v="Watch"/>
    <m/>
    <s v="Male"/>
    <m/>
    <s v="19-25"/>
    <m/>
    <x v="0"/>
    <m/>
    <s v="Canada"/>
    <m/>
  </r>
  <r>
    <d v="2018-11-15T08:06:29"/>
    <s v="Competitions/Tournaments"/>
    <s v="Duo"/>
    <s v="Arenas"/>
    <s v="No"/>
    <m/>
    <s v="Yes"/>
    <m/>
    <m/>
    <s v="Ravager"/>
    <m/>
    <s v="level 1"/>
    <m/>
    <s v="Gold"/>
    <m/>
    <s v="100-200"/>
    <m/>
    <x v="586"/>
    <m/>
    <s v="5-6 times a week"/>
    <m/>
    <s v="Watch"/>
    <m/>
    <s v="Male"/>
    <m/>
    <s v="19-25"/>
    <m/>
    <x v="0"/>
    <m/>
    <s v="USA"/>
    <m/>
  </r>
  <r>
    <d v="2018-11-15T08:06:52"/>
    <s v="playing with a friend"/>
    <s v="Duo"/>
    <s v="Arenas"/>
    <s v="No"/>
    <m/>
    <s v="I've not made a purchase"/>
    <s v="no"/>
    <m/>
    <s v="Stormbringer"/>
    <m/>
    <s v="I started with him"/>
    <m/>
    <s v="Bronze"/>
    <m/>
    <s v="5-25"/>
    <m/>
    <x v="279"/>
    <m/>
    <s v="Daily"/>
    <m/>
    <s v="Stream"/>
    <m/>
    <s v="Male"/>
    <m/>
    <s v="26-35"/>
    <m/>
    <x v="0"/>
    <m/>
    <s v="USA"/>
    <m/>
  </r>
  <r>
    <d v="2018-11-15T08:08:16"/>
    <s v="Gameplay, The tactics of the gameplay.  Having to think about the plays and counters."/>
    <s v="Duo, Premade Duo"/>
    <s v="Emotes"/>
    <s v="Yes"/>
    <s v="To support the game after my many hours of play"/>
    <s v="Yes"/>
    <s v="Scott the Sensitive Savage.  Cursebearer. Shock Rock.  Dragon Whelp.  Xiao Long."/>
    <m/>
    <s v="Settsu"/>
    <m/>
    <s v="Her style is cool, and her Blast Entry is really good."/>
    <m/>
    <s v="Grandmaster"/>
    <m/>
    <s v="200-1000"/>
    <m/>
    <x v="587"/>
    <m/>
    <s v="Daily"/>
    <m/>
    <s v="Neither"/>
    <m/>
    <s v="Male"/>
    <m/>
    <s v="26-35"/>
    <m/>
    <x v="0"/>
    <m/>
    <s v="USA"/>
    <m/>
  </r>
  <r>
    <d v="2018-11-15T08:13:51"/>
    <s v="Gameplay, Graphics, Collecting Cards/Masters, Competitions/Tournaments"/>
    <s v="Solo, Duo"/>
    <s v="Master Skins"/>
    <s v="No"/>
    <m/>
    <s v="I've not made a purchase"/>
    <s v="1. living statue 2. cleaver 3. blue golem 4. stun lancers 5. blind date"/>
    <m/>
    <s v="Milloween"/>
    <m/>
    <s v="it puts extra cards in my deck"/>
    <m/>
    <s v="Bronze"/>
    <m/>
    <s v="100-200"/>
    <m/>
    <x v="588"/>
    <m/>
    <s v="1-2 times a week"/>
    <m/>
    <s v="Neither"/>
    <m/>
    <s v="Male"/>
    <m/>
    <s v="14-18"/>
    <m/>
    <x v="1"/>
    <m/>
    <s v="Australia"/>
    <m/>
  </r>
  <r>
    <d v="2018-11-15T08:15:21"/>
    <s v="Gameplay"/>
    <s v="Duo"/>
    <s v="Master Skins"/>
    <s v="No"/>
    <m/>
    <s v="I've not made a purchase"/>
    <s v="lightning bolt, beam of doom, infiltration, divine warrior, blind date"/>
    <m/>
    <s v="Milloween"/>
    <m/>
    <s v="MAGIC!!!!!!!!"/>
    <m/>
    <s v="Platinum"/>
    <m/>
    <s v="25-100"/>
    <m/>
    <x v="589"/>
    <m/>
    <s v="Occasionally"/>
    <m/>
    <s v="Neither"/>
    <m/>
    <s v="Male"/>
    <m/>
    <s v="26-35"/>
    <m/>
    <x v="0"/>
    <m/>
    <s v="Bangladesh"/>
    <m/>
  </r>
  <r>
    <d v="2018-11-15T08:27:30"/>
    <s v="Gameplay, Graphics, Competitions/Tournaments"/>
    <s v="Duo"/>
    <s v="Arenas"/>
    <s v="No"/>
    <m/>
    <s v="I've not made a purchase"/>
    <s v="Stun Lacers, The golem, Lightning strike, Living statue and The marines."/>
    <m/>
    <s v="Stormbringer"/>
    <m/>
    <s v="Global range"/>
    <m/>
    <s v="Silver"/>
    <m/>
    <s v="0-5"/>
    <m/>
    <x v="590"/>
    <m/>
    <s v="Daily"/>
    <m/>
    <s v="Neither"/>
    <m/>
    <s v="Male"/>
    <m/>
    <s v="14-18"/>
    <m/>
    <x v="2"/>
    <m/>
    <s v="I prefer not to say"/>
    <m/>
  </r>
  <r>
    <d v="2018-11-15T08:30:12"/>
    <s v="Playing with friends"/>
    <s v="Premade Duo"/>
    <s v="Master Skins"/>
    <s v="No"/>
    <m/>
    <s v="I've not made a purchase"/>
    <s v="Wizard Puff, Ghost, Troubadour, Scott the Sensitive Savage, and Harbinger"/>
    <m/>
    <s v="King Puff"/>
    <m/>
    <s v="Because there was a super sale of 75% off in a bundle"/>
    <m/>
    <s v="Diamond"/>
    <m/>
    <s v="5-25"/>
    <m/>
    <x v="591"/>
    <m/>
    <s v="Daily"/>
    <m/>
    <s v="Watch"/>
    <m/>
    <s v="Male"/>
    <m/>
    <s v="14-18"/>
    <m/>
    <x v="1"/>
    <m/>
    <s v="USA"/>
    <m/>
  </r>
  <r>
    <d v="2018-11-15T08:47:12"/>
    <s v="Gameplay"/>
    <s v="Solo, Duo, Expeditions"/>
    <s v="Master Skins, Arenas"/>
    <s v="No"/>
    <m/>
    <s v="I've not made a purchase"/>
    <s v="Cleaver, Sniper Scrat, Shock Rock, Plasma Marines, and Elite Swarmer"/>
    <m/>
    <s v="Stormbringer"/>
    <m/>
    <s v="I like his abilities the most. They feel the best to me"/>
    <m/>
    <s v="Silver"/>
    <m/>
    <s v="5-25"/>
    <m/>
    <x v="156"/>
    <m/>
    <s v="5-6 times a week"/>
    <m/>
    <s v="Watch"/>
    <m/>
    <s v="Male"/>
    <m/>
    <s v="19-25"/>
    <m/>
    <x v="2"/>
    <m/>
    <s v="USA"/>
    <m/>
  </r>
  <r>
    <d v="2018-11-15T08:53:44"/>
    <s v="Gameplay"/>
    <s v="Solo"/>
    <s v="Master Skins"/>
    <s v="Yes"/>
    <s v="Battle Pass"/>
    <s v="Yes"/>
    <s v="Annihilator, Fire Imp, Drone Buzzers, Marines, Harbinger"/>
    <m/>
    <s v="Settsu"/>
    <m/>
    <s v="Balance "/>
    <m/>
    <s v="Platinum"/>
    <m/>
    <s v="0-5"/>
    <m/>
    <x v="592"/>
    <m/>
    <s v="Daily"/>
    <m/>
    <s v="Watch"/>
    <m/>
    <s v="Male"/>
    <m/>
    <s v="over 36"/>
    <m/>
    <x v="0"/>
    <m/>
    <s v="Indonesia"/>
    <m/>
  </r>
  <r>
    <d v="2018-11-15T08:57:30"/>
    <s v="Gameplay, Graphics, Collecting Cards/Masters, Competitions/Tournaments, Crafting system"/>
    <s v="Solo, Premade Duo, Draft, Expeditions"/>
    <s v="Master Skins, Arenas, Emotes, Avatars"/>
    <s v="Yes"/>
    <s v="To purchase bundles and the battlepass"/>
    <s v="Yes"/>
    <s v="Morgul, Infiltration, Beam of Doom, Harbringer, Wizard Puff"/>
    <m/>
    <s v="Ravager"/>
    <m/>
    <s v="The playstyle that goes along with the master along with his perks match me "/>
    <m/>
    <s v="Diamond"/>
    <m/>
    <s v="5-25"/>
    <m/>
    <x v="593"/>
    <m/>
    <s v="5-6 times a week"/>
    <m/>
    <s v="Watch"/>
    <m/>
    <s v="Male"/>
    <m/>
    <s v="19-25"/>
    <m/>
    <x v="0"/>
    <m/>
    <s v="USA"/>
    <m/>
  </r>
  <r>
    <d v="2018-11-15T09:07:57"/>
    <s v="Gameplay, Collecting Cards/Masters"/>
    <s v="Premade Duo, Draft"/>
    <s v="Master Skins"/>
    <s v="No"/>
    <m/>
    <s v="I've not made a purchase"/>
    <s v="Divine Warrior, Re-boomer, Guardian, Xiao Long, Cursebearer"/>
    <m/>
    <s v="Mordar"/>
    <m/>
    <s v="I like the Tombstone mechanic"/>
    <m/>
    <s v="Master"/>
    <m/>
    <s v="100-200"/>
    <m/>
    <x v="594"/>
    <m/>
    <s v="Daily"/>
    <m/>
    <s v="Watch"/>
    <m/>
    <s v="Male"/>
    <m/>
    <s v="26-35"/>
    <m/>
    <x v="2"/>
    <m/>
    <s v="USA"/>
    <m/>
  </r>
  <r>
    <d v="2018-11-15T09:13:45"/>
    <s v="Gameplay, Graphics, Collecting Cards/Masters"/>
    <s v="Solo, Expeditions"/>
    <s v="Master Skins, Arenas"/>
    <s v="Yes"/>
    <s v="Because honestly it's a bit pricey but it is supporting the game in a way"/>
    <s v="Yes"/>
    <s v="Puff's All The Puffs More Puff I WANT PUFFS"/>
    <m/>
    <s v="King Puff"/>
    <m/>
    <s v="Because PUFFS"/>
    <m/>
    <s v="Bronze"/>
    <m/>
    <s v="5-25"/>
    <m/>
    <x v="595"/>
    <m/>
    <s v="Daily"/>
    <m/>
    <s v="Watch, Stream"/>
    <m/>
    <s v="Male"/>
    <m/>
    <s v="19-25"/>
    <m/>
    <x v="0"/>
    <m/>
    <s v="Australia"/>
    <m/>
  </r>
  <r>
    <d v="2018-11-15T09:23:56"/>
    <s v="Gameplay, Competitions/Tournaments"/>
    <s v="Solo, Premade Duo"/>
    <s v="Arenas"/>
    <s v="No"/>
    <m/>
    <s v="I've not made a purchase"/>
    <s v="Swarmers, stint, scrat pack, cursebringer, and Xiao long!"/>
    <m/>
    <s v="Volco"/>
    <m/>
    <s v="Fast games a good game!"/>
    <m/>
    <s v="Grandmaster"/>
    <m/>
    <s v="200-1000"/>
    <m/>
    <x v="596"/>
    <m/>
    <s v="5-6 times a week"/>
    <m/>
    <s v="Neither"/>
    <m/>
    <s v="Male"/>
    <m/>
    <s v="19-25"/>
    <m/>
    <x v="0"/>
    <m/>
    <s v="Australia"/>
    <m/>
  </r>
  <r>
    <d v="2018-11-15T09:24:31"/>
    <s v="Gameplay, Graphics"/>
    <s v="Premade Duo"/>
    <s v="Arenas"/>
    <s v="No"/>
    <m/>
    <s v="No"/>
    <m/>
    <m/>
    <s v="Mordar"/>
    <m/>
    <m/>
    <m/>
    <s v="Diamond"/>
    <m/>
    <s v="0-5"/>
    <m/>
    <x v="4"/>
    <m/>
    <s v="3-4 times a week"/>
    <m/>
    <s v="Neither"/>
    <m/>
    <s v="Male"/>
    <m/>
    <s v="14-18"/>
    <m/>
    <x v="2"/>
    <m/>
    <s v="I prefer not to say"/>
    <m/>
  </r>
  <r>
    <d v="2018-11-15T09:28:12"/>
    <s v="Gameplay, Graphics"/>
    <s v="Premade Duo, Expeditions"/>
    <s v="Master Skins, Arenas"/>
    <s v="No"/>
    <m/>
    <s v="I've not made a purchase"/>
    <s v="Laser Turret, Propeller Horde, Gax the world bomb, Re-Boomer, Beam of doom"/>
    <m/>
    <s v="Ravager"/>
    <m/>
    <s v="Love the special summons, high attack speed and I HATE Stormbringer."/>
    <m/>
    <s v="Platinum"/>
    <m/>
    <s v="25-100"/>
    <m/>
    <x v="597"/>
    <m/>
    <s v="Daily"/>
    <m/>
    <s v="Neither"/>
    <m/>
    <s v="Male"/>
    <m/>
    <s v="19-25"/>
    <m/>
    <x v="1"/>
    <m/>
    <s v="USA"/>
    <m/>
  </r>
  <r>
    <d v="2018-11-15T09:35:44"/>
    <s v="Collecting Cards/Masters"/>
    <s v="Duo"/>
    <s v="Avatars"/>
    <s v="No"/>
    <m/>
    <s v="I've not made a purchase"/>
    <s v="arcane golem. laser tower.  incubbus. fireball. blind date"/>
    <m/>
    <s v="Apep"/>
    <m/>
    <s v="easy to use"/>
    <m/>
    <s v="Gold"/>
    <m/>
    <s v="25-100"/>
    <m/>
    <x v="598"/>
    <m/>
    <s v="Daily"/>
    <m/>
    <s v="Watch"/>
    <m/>
    <s v="Male"/>
    <m/>
    <s v="19-25"/>
    <m/>
    <x v="1"/>
    <m/>
    <s v="Singapore"/>
    <m/>
  </r>
  <r>
    <d v="2018-11-15T09:36:42"/>
    <s v="Gameplay, Collecting Cards/Masters"/>
    <s v="Duo, Premade Duo, Draft"/>
    <m/>
    <s v="No"/>
    <m/>
    <s v="I've not made a purchase"/>
    <s v="Blind Date, Blastomancer, Living Statue, Blood Imps, Crossbown Guild"/>
    <m/>
    <s v="Volco"/>
    <m/>
    <s v="Is able to deal direct damage to the enemy master like Stormbringer, while being more interesting to play as, in my opinion."/>
    <m/>
    <s v="Gold"/>
    <m/>
    <s v="25-100"/>
    <m/>
    <x v="599"/>
    <m/>
    <s v="Daily"/>
    <m/>
    <s v="Neither"/>
    <m/>
    <s v="Female"/>
    <m/>
    <s v="26-35"/>
    <m/>
    <x v="0"/>
    <m/>
    <s v="Brazil"/>
    <m/>
  </r>
  <r>
    <d v="2018-11-15T09:48:55"/>
    <s v="Gameplay"/>
    <s v="Solo, Premade Duo, Draft"/>
    <s v="Arenas"/>
    <s v="No"/>
    <m/>
    <s v="I've not made a purchase"/>
    <m/>
    <m/>
    <s v="Stormbringer"/>
    <m/>
    <s v="I like the range"/>
    <m/>
    <s v="Platinum"/>
    <m/>
    <s v="5-25"/>
    <m/>
    <x v="600"/>
    <m/>
    <s v="5-6 times a week"/>
    <m/>
    <s v="Watch"/>
    <m/>
    <s v="Male"/>
    <m/>
    <s v="19-25"/>
    <m/>
    <x v="1"/>
    <m/>
    <s v="Germany"/>
    <m/>
  </r>
  <r>
    <d v="2018-11-15T09:57:07"/>
    <s v="Gameplay, Graphics"/>
    <s v="Solo, Premade Duo, Expeditions"/>
    <s v="Master Skins, Arenas"/>
    <s v="Yes"/>
    <s v="premium accout"/>
    <s v="Yes"/>
    <s v="1.mana puff 2.styxi 3.incubus 4.illusorry cleaver 5.succubus"/>
    <m/>
    <s v="Stormbringer"/>
    <m/>
    <s v="Classic to play"/>
    <m/>
    <s v="Master"/>
    <m/>
    <s v="25-100"/>
    <m/>
    <x v="12"/>
    <m/>
    <s v="5-6 times a week"/>
    <m/>
    <s v="Stream"/>
    <m/>
    <s v="Male"/>
    <m/>
    <s v="19-25"/>
    <m/>
    <x v="1"/>
    <m/>
    <s v="Thailand"/>
    <m/>
  </r>
  <r>
    <d v="2018-11-15T09:59:55"/>
    <s v="Gameplay, Crafting system"/>
    <s v="Solo, Premade Duo"/>
    <s v="Arenas"/>
    <s v="Yes"/>
    <s v="Battle pass"/>
    <s v="Yes"/>
    <s v="Destruction Beam, Stone Giant, The Flying Spaguetti Minions"/>
    <m/>
    <s v="Stormbringer"/>
    <m/>
    <s v="I believe is the first one you have to play with."/>
    <m/>
    <s v="Gold"/>
    <m/>
    <s v="5-25"/>
    <m/>
    <x v="601"/>
    <m/>
    <s v="Daily"/>
    <m/>
    <s v="Watch, Stream"/>
    <m/>
    <s v="Male"/>
    <m/>
    <s v="26-35"/>
    <m/>
    <x v="0"/>
    <m/>
    <s v="USA"/>
    <m/>
  </r>
  <r>
    <d v="2018-11-15T10:09:47"/>
    <s v="Gameplay"/>
    <s v="Duo, Premade Duo"/>
    <s v="Master Skins"/>
    <s v="Yes"/>
    <s v="Battlepass &amp; bundles (w/skin, tokens, and/or cards i wanted)"/>
    <s v="Yes"/>
    <s v="daggerfall, illusory cleaver, blackhole, commander azali, crystal archers "/>
    <m/>
    <s v="Stormbringer"/>
    <m/>
    <s v="most balanced, don't have to build around, variety in types of decks that can run"/>
    <m/>
    <s v="Master"/>
    <m/>
    <s v="25-100"/>
    <m/>
    <x v="602"/>
    <m/>
    <s v="Daily"/>
    <m/>
    <s v="Watch"/>
    <m/>
    <s v="Male"/>
    <m/>
    <s v="26-35"/>
    <m/>
    <x v="3"/>
    <m/>
    <s v="USA"/>
    <m/>
  </r>
  <r>
    <d v="2018-11-15T10:14:53"/>
    <s v="Collecting Cards/Masters"/>
    <s v="Duo"/>
    <s v="Master Skins"/>
    <s v="No"/>
    <m/>
    <s v="I've not made a purchase"/>
    <m/>
    <m/>
    <s v="Milloween"/>
    <m/>
    <s v="she has a really fun ability, and in my opinion strong defense and offense with the right card loadout"/>
    <m/>
    <s v="Bronze"/>
    <m/>
    <s v="5-25"/>
    <m/>
    <x v="603"/>
    <m/>
    <s v="Daily"/>
    <m/>
    <s v="Watch"/>
    <m/>
    <s v="Male"/>
    <m/>
    <s v="19-25"/>
    <m/>
    <x v="0"/>
    <m/>
    <s v="Indonesia"/>
    <m/>
  </r>
  <r>
    <d v="2018-11-15T10:20:10"/>
    <s v="Gameplay, Graphics, great time killer"/>
    <s v="Solo, Premade Duo"/>
    <s v="Arenas"/>
    <s v="Yes"/>
    <s v="Buying packs"/>
    <s v="Yes"/>
    <s v="Demon warrior, Scott the sensitive savage , Swarmers, Swarmer totem. Annihilator  "/>
    <m/>
    <s v="Stormbringer"/>
    <m/>
    <s v="I like ranged minions, one of his levels gives extra range"/>
    <m/>
    <s v="Silver"/>
    <m/>
    <s v="25-100"/>
    <m/>
    <x v="604"/>
    <m/>
    <s v="Daily"/>
    <m/>
    <s v="Watch"/>
    <m/>
    <s v="Male"/>
    <m/>
    <s v="14-18"/>
    <m/>
    <x v="1"/>
    <m/>
    <s v="Egypt "/>
    <m/>
  </r>
  <r>
    <d v="2018-11-15T10:20:22"/>
    <s v="Gameplay, Collecting Cards/Masters"/>
    <s v="Solo, Premade Duo, Expeditions"/>
    <s v="Master Skins, Arenas"/>
    <s v="No"/>
    <m/>
    <s v="I've not made a purchase"/>
    <s v="All Scrat Decks"/>
    <m/>
    <s v="Ratbo"/>
    <m/>
    <s v="idk I mean Scrats are pretty cute to me, once re reached Perk 3 his Dakka was powerful"/>
    <m/>
    <s v="Master"/>
    <m/>
    <s v="200-1000"/>
    <m/>
    <x v="605"/>
    <m/>
    <s v="5-6 times a week"/>
    <m/>
    <s v="Watch"/>
    <m/>
    <s v="Female"/>
    <m/>
    <s v="19-25"/>
    <m/>
    <x v="1"/>
    <m/>
    <s v="Philippines"/>
    <m/>
  </r>
  <r>
    <d v="2018-11-15T10:23:56"/>
    <s v="Gameplay, Collecting Cards/Masters"/>
    <s v="Premade Duo, Expeditions"/>
    <s v="Master Skins"/>
    <s v="No"/>
    <m/>
    <s v="Yes"/>
    <s v="Morgrul, Elite Swarmer, Swarmers, Shock Rock, Flightless Dragons"/>
    <m/>
    <s v="Settsu"/>
    <m/>
    <s v="Looks and active gameplay. She doesn't just go where I tell her to, but I also manage her reloading via spells."/>
    <m/>
    <s v="Silver"/>
    <m/>
    <s v="5-25"/>
    <m/>
    <x v="606"/>
    <m/>
    <s v="Daily"/>
    <m/>
    <s v="Neither"/>
    <m/>
    <s v="Female"/>
    <m/>
    <s v="26-35"/>
    <m/>
    <x v="3"/>
    <m/>
    <s v="USA"/>
    <m/>
  </r>
  <r>
    <d v="2018-11-15T10:26:07"/>
    <s v="Gameplay"/>
    <s v="Solo, Premade Duo, Draft"/>
    <s v="Arenas, Emotes"/>
    <s v="No"/>
    <m/>
    <s v="I've not made a purchase"/>
    <m/>
    <m/>
    <s v="Stormbringer"/>
    <m/>
    <s v="Idk I really like the ability to shoot over the whole map, can be a lifesaver yk."/>
    <m/>
    <s v="Gold"/>
    <m/>
    <s v="0-5"/>
    <m/>
    <x v="607"/>
    <m/>
    <s v="Daily"/>
    <m/>
    <s v="Watch"/>
    <m/>
    <s v="Male"/>
    <m/>
    <s v="19-25"/>
    <m/>
    <x v="1"/>
    <m/>
    <s v="Germany"/>
    <m/>
  </r>
  <r>
    <d v="2018-11-15T10:30:28"/>
    <s v="Graphics, Competitions/Tournaments"/>
    <s v="Duo, Premade Duo"/>
    <s v="Master Skins, Arenas, Emotes"/>
    <s v="No"/>
    <m/>
    <s v="I've not made a purchase"/>
    <s v="Shars'rakk twins, Gor'rakk brutes, Lost leggionaires, Arcane Golem, Lorde Senitel Thelec"/>
    <m/>
    <s v="Milloween"/>
    <m/>
    <s v="I like arcane golem"/>
    <m/>
    <s v="Silver"/>
    <m/>
    <s v="0-5"/>
    <m/>
    <x v="608"/>
    <m/>
    <s v="Daily"/>
    <m/>
    <s v="Watch, Stream"/>
    <m/>
    <s v="Male"/>
    <m/>
    <s v="14-18"/>
    <m/>
    <x v="4"/>
    <m/>
    <s v="United Kingdom"/>
    <m/>
  </r>
  <r>
    <d v="2018-11-15T10:33:36"/>
    <s v="Gameplay, Collecting Cards/Masters, Leveling System, Battle Pass Progress"/>
    <s v="Duo, Premade Duo"/>
    <s v="Master Skins, Arenas"/>
    <s v="Yes"/>
    <s v="Premium Account Upgrade and Battle Pass"/>
    <s v="Yes"/>
    <s v="1.Arcane Golem 2. Soul Stealer 3. Wheel of Doom 4. Harbringer 5. Future Present"/>
    <m/>
    <s v="Milloween"/>
    <m/>
    <s v="Spells, Spells Spells!"/>
    <m/>
    <s v="Platinum"/>
    <m/>
    <s v="25-100"/>
    <m/>
    <x v="609"/>
    <m/>
    <s v="5-6 times a week"/>
    <m/>
    <s v="Neither"/>
    <m/>
    <s v="Male"/>
    <m/>
    <s v="19-25"/>
    <m/>
    <x v="1"/>
    <m/>
    <s v="Germany"/>
    <m/>
  </r>
  <r>
    <d v="2018-11-15T11:04:07"/>
    <s v="Collecting Cards/Masters, Competitions/Tournaments"/>
    <s v="Duo, Expeditions"/>
    <s v="Master Skins, Arenas"/>
    <s v="No"/>
    <m/>
    <s v="Yes"/>
    <s v="Gor'Rakk's sacrifice,Re-boomer,Future Past,Crossbow Guild."/>
    <m/>
    <s v="Mordar"/>
    <m/>
    <s v="He let's to pick cards with ressurection in mind.Where sacrifice can outbid the shortcomings or help in some cases more than that."/>
    <m/>
    <s v="Silver"/>
    <m/>
    <s v="5-25"/>
    <m/>
    <x v="610"/>
    <m/>
    <s v="Daily"/>
    <m/>
    <s v="Watch"/>
    <m/>
    <s v="Male"/>
    <m/>
    <s v="19-25"/>
    <m/>
    <x v="3"/>
    <m/>
    <s v="Lithuania"/>
    <m/>
  </r>
  <r>
    <d v="2018-11-15T11:28:55"/>
    <s v="Gameplay"/>
    <s v="Duo"/>
    <s v="Master Skins"/>
    <s v="Yes"/>
    <s v="New Skins and Packs"/>
    <s v="Yes"/>
    <m/>
    <m/>
    <s v="Stormbringer"/>
    <m/>
    <s v="long Range"/>
    <m/>
    <s v="Diamond"/>
    <m/>
    <s v="25-100"/>
    <m/>
    <x v="4"/>
    <m/>
    <s v="3-4 times a week"/>
    <m/>
    <s v="Neither"/>
    <m/>
    <s v="Male"/>
    <m/>
    <s v="26-35"/>
    <m/>
    <x v="0"/>
    <m/>
    <s v="Germany"/>
    <m/>
  </r>
  <r>
    <d v="2018-11-15T11:30:15"/>
    <s v="Gameplay, Graphics"/>
    <s v="Solo, Duo"/>
    <s v="Arenas"/>
    <s v="No"/>
    <m/>
    <s v="I've not made a purchase"/>
    <s v="xia long, banner man, wizard puff, armored escort, walking blind date "/>
    <m/>
    <s v="King Puff"/>
    <m/>
    <s v="cute hero"/>
    <m/>
    <s v="Diamond"/>
    <m/>
    <s v="100-200"/>
    <m/>
    <x v="4"/>
    <m/>
    <s v="Daily"/>
    <m/>
    <s v="Watch"/>
    <m/>
    <s v="Male"/>
    <m/>
    <s v="over 36"/>
    <m/>
    <x v="3"/>
    <m/>
    <s v="France"/>
    <m/>
  </r>
  <r>
    <d v="2018-11-15T11:37:41"/>
    <s v="Gameplay, Collecting Cards/Masters"/>
    <s v="Solo, Draft"/>
    <s v="Master Skins, Arenas"/>
    <s v="No"/>
    <m/>
    <s v="I've not made a purchase"/>
    <s v="Scrat Pack, Divine Warrior, Defenso Chopper, Plasma Marines, Dragon Whelp"/>
    <m/>
    <s v="Milloween"/>
    <m/>
    <s v="Because she fits my playstyle best"/>
    <m/>
    <s v="Grandmaster"/>
    <m/>
    <s v="1000+"/>
    <m/>
    <x v="611"/>
    <m/>
    <s v="Daily"/>
    <m/>
    <s v="Watch"/>
    <m/>
    <s v="Male"/>
    <m/>
    <s v="26-35"/>
    <m/>
    <x v="0"/>
    <m/>
    <s v="Turkey"/>
    <m/>
  </r>
  <r>
    <d v="2018-11-15T11:41:18"/>
    <s v="Gameplay, Graphics, Collecting Cards/Masters"/>
    <s v="Draft, Expeditions"/>
    <s v="Master Skins, Arenas, Avatars"/>
    <s v="Yes"/>
    <s v="to try get a good legendary"/>
    <s v="No"/>
    <s v="wheel of doom cursebearer assassin prowler drone buzzers"/>
    <m/>
    <s v="King Puff"/>
    <m/>
    <s v="cause his cute and lots of skins and works well with 4-5 mana cards which i use the most"/>
    <m/>
    <s v="Gold"/>
    <m/>
    <s v="5-25"/>
    <m/>
    <x v="612"/>
    <m/>
    <s v="5-6 times a week"/>
    <m/>
    <s v="Watch"/>
    <m/>
    <s v="Male"/>
    <m/>
    <s v="14-18"/>
    <m/>
    <x v="1"/>
    <m/>
    <s v="New Zealand"/>
    <m/>
  </r>
  <r>
    <d v="2018-11-15T11:45:04"/>
    <s v="Gameplay"/>
    <s v="Duo, Premade Duo, Draft"/>
    <s v="Master Skins"/>
    <s v="No"/>
    <m/>
    <s v="I've not made a purchase"/>
    <m/>
    <m/>
    <s v="Mordar"/>
    <m/>
    <s v="tactics "/>
    <m/>
    <s v="Master"/>
    <m/>
    <s v="200-1000"/>
    <m/>
    <x v="613"/>
    <m/>
    <s v="Daily"/>
    <m/>
    <s v="Watch"/>
    <m/>
    <s v="Male"/>
    <m/>
    <s v="19-25"/>
    <m/>
    <x v="1"/>
    <m/>
    <s v="Denmark"/>
    <m/>
  </r>
  <r>
    <d v="2018-11-15T12:00:54"/>
    <s v="Competitions/Tournaments"/>
    <s v="Duo, Premade Duo"/>
    <m/>
    <s v="No"/>
    <m/>
    <m/>
    <m/>
    <m/>
    <s v="Stormbringer"/>
    <m/>
    <m/>
    <m/>
    <s v="Gold"/>
    <m/>
    <s v="25-100"/>
    <m/>
    <x v="4"/>
    <m/>
    <m/>
    <m/>
    <m/>
    <m/>
    <m/>
    <m/>
    <m/>
    <m/>
    <x v="2"/>
    <m/>
    <s v="I prefer not to say"/>
    <m/>
  </r>
  <r>
    <d v="2018-11-15T12:04:00"/>
    <s v="Gameplay"/>
    <s v="Solo, Premade Duo"/>
    <s v="Arenas"/>
    <s v="Yes"/>
    <s v="I need my fix of tokens man, I need it"/>
    <s v="No"/>
    <s v="Scrat tank, plasma marines, divine warrior, harbinger, swirly scrat"/>
    <m/>
    <s v="King Puff"/>
    <m/>
    <s v="He cute. Also why bother with deckbuilding when you can just grab all your favourite 4 and 5 cost minions and stuff them in a deck"/>
    <m/>
    <s v="Platinum"/>
    <m/>
    <s v="5-25"/>
    <m/>
    <x v="614"/>
    <m/>
    <s v="Daily"/>
    <m/>
    <s v="Neither"/>
    <m/>
    <s v="Male"/>
    <m/>
    <s v="19-25"/>
    <m/>
    <x v="0"/>
    <m/>
    <s v="The Netherlands"/>
    <m/>
  </r>
  <r>
    <d v="2018-11-15T12:10:56"/>
    <s v="Gameplay"/>
    <s v="Premade Duo"/>
    <s v="Master Skins"/>
    <s v="No"/>
    <m/>
    <s v="I've not made a purchase"/>
    <m/>
    <m/>
    <s v="Stormbringer"/>
    <m/>
    <m/>
    <m/>
    <s v="Silver"/>
    <m/>
    <s v="5-25"/>
    <m/>
    <x v="4"/>
    <m/>
    <s v="Daily"/>
    <m/>
    <s v="Neither"/>
    <m/>
    <s v="Male"/>
    <m/>
    <s v="26-35"/>
    <m/>
    <x v="0"/>
    <m/>
    <s v="I prefer not to say"/>
    <m/>
  </r>
  <r>
    <d v="2018-11-15T12:28:36"/>
    <s v="Gameplay, Collecting Cards/Masters"/>
    <s v="Duo, Premade Duo, Draft, Expeditions"/>
    <m/>
    <s v="No"/>
    <m/>
    <s v="I've not made a purchase"/>
    <s v="Walking blind date, Blastmancer, Future Present, sniper scrat, crossbow guild"/>
    <m/>
    <s v="Stormbringer"/>
    <m/>
    <s v="Only one i have"/>
    <m/>
    <s v="Diamond"/>
    <m/>
    <s v="5-25"/>
    <m/>
    <x v="615"/>
    <m/>
    <s v="5-6 times a week"/>
    <m/>
    <s v="Watch"/>
    <m/>
    <s v="Male"/>
    <m/>
    <s v="26-35"/>
    <m/>
    <x v="0"/>
    <m/>
    <s v="Czech Republic"/>
    <m/>
  </r>
  <r>
    <d v="2018-11-15T12:29:38"/>
    <s v="Gameplay, Graphics"/>
    <s v="Solo, Draft"/>
    <s v="Arenas"/>
    <s v="No"/>
    <m/>
    <s v="I've not made a purchase"/>
    <s v="Cleaver, Wizard Puff, Scrat Tank, Soul Stealer, Scott The Sensitive Savage"/>
    <m/>
    <s v="Mordar"/>
    <m/>
    <s v="I have best draft result with him. I also like the way that I have to time my tombstombs to get high value from them"/>
    <m/>
    <s v="Gold"/>
    <m/>
    <s v="5-25"/>
    <m/>
    <x v="616"/>
    <m/>
    <s v="5-6 times a week"/>
    <m/>
    <s v="Watch"/>
    <m/>
    <s v="Male"/>
    <m/>
    <s v="26-35"/>
    <m/>
    <x v="0"/>
    <m/>
    <s v="Bulgaria"/>
    <m/>
  </r>
  <r>
    <d v="2018-11-15T12:41:48"/>
    <s v="Collecting Cards/Masters"/>
    <s v="Solo, Duo, Premade Duo, Expeditions"/>
    <s v="Avatars"/>
    <s v="No"/>
    <m/>
    <s v="I've not made a purchase"/>
    <s v="New at game sorry xD"/>
    <m/>
    <s v="Apep"/>
    <m/>
    <s v="I like random cards :D"/>
    <m/>
    <s v="Gold"/>
    <m/>
    <s v="5-25"/>
    <m/>
    <x v="617"/>
    <m/>
    <s v="Daily"/>
    <m/>
    <s v="Watch"/>
    <m/>
    <s v="Male"/>
    <m/>
    <s v="19-25"/>
    <m/>
    <x v="1"/>
    <m/>
    <s v="Denmark"/>
    <m/>
  </r>
  <r>
    <d v="2018-11-15T12:42:39"/>
    <s v="Gameplay, Graphics, Competitions/Tournaments"/>
    <s v="Solo, Duo, Premade Duo, Expeditions"/>
    <s v="Master Skins"/>
    <s v="No"/>
    <m/>
    <s v="Yes"/>
    <m/>
    <m/>
    <s v="Ravager"/>
    <m/>
    <s v="He have perks can be helpfull for make pressure on Master oppenent. But i love Volco too for this control board."/>
    <m/>
    <s v="Master"/>
    <m/>
    <s v="25-100"/>
    <m/>
    <x v="618"/>
    <m/>
    <s v="Daily"/>
    <m/>
    <s v="Watch"/>
    <m/>
    <s v="Male"/>
    <m/>
    <s v="26-35"/>
    <m/>
    <x v="2"/>
    <m/>
    <s v="France"/>
    <m/>
  </r>
  <r>
    <d v="2018-11-15T12:49:59"/>
    <s v="Gameplay, Collecting Cards/Masters"/>
    <s v="Solo, Premade Duo"/>
    <s v="Avatars"/>
    <s v="No"/>
    <m/>
    <s v="I've not made a purchase"/>
    <m/>
    <m/>
    <s v="Ravager"/>
    <m/>
    <s v="his special servants are (to) strong"/>
    <m/>
    <s v="Silver"/>
    <m/>
    <s v="5-25"/>
    <m/>
    <x v="156"/>
    <m/>
    <s v="Daily"/>
    <m/>
    <s v="Neither"/>
    <m/>
    <s v="Male"/>
    <m/>
    <s v="19-25"/>
    <m/>
    <x v="3"/>
    <m/>
    <s v="Germany"/>
    <m/>
  </r>
  <r>
    <d v="2018-11-15T12:58:55"/>
    <s v="Gameplay, Graphics, Collecting Cards/Masters, Competitions/Tournaments, Crafting system"/>
    <s v="Duo"/>
    <s v="Emotes"/>
    <s v="No"/>
    <m/>
    <s v="I've not made a purchase"/>
    <s v="reboomer and all the vampyre-like cards"/>
    <m/>
    <s v="Stormbringer"/>
    <m/>
    <s v="global attack yo"/>
    <m/>
    <s v="Silver"/>
    <m/>
    <s v="5-25"/>
    <m/>
    <x v="12"/>
    <m/>
    <s v="Daily"/>
    <m/>
    <s v="Watch, Stream"/>
    <m/>
    <s v="Male"/>
    <m/>
    <s v="26-35"/>
    <m/>
    <x v="0"/>
    <m/>
    <s v="Estonia"/>
    <m/>
  </r>
  <r>
    <d v="2018-11-15T13:08:56"/>
    <s v="Gameplay"/>
    <s v="Premade Duo"/>
    <s v="Master Skins"/>
    <s v="Yes"/>
    <s v="That premium upgrade. I got a key for free early on, but when you spent the amount of hours I have, it's only fair to give something back."/>
    <s v="Yes"/>
    <s v="In no particular order - Daggerfall, Dragon Whelp, Plasma Marines, Re-Boomer, Stun Lancers"/>
    <m/>
    <s v="Settsu"/>
    <m/>
    <s v="Other masters offer passive benefits based on what type of units you run, or which cost-range of cards you included in your deck. But with Settsu, how effective her perks and base-defense are is directly tied to your actions and timing. "/>
    <m/>
    <s v="Grandmaster"/>
    <m/>
    <s v="200-1000"/>
    <m/>
    <x v="619"/>
    <m/>
    <s v="5-6 times a week"/>
    <m/>
    <s v="Neither"/>
    <m/>
    <s v="Male"/>
    <m/>
    <s v="19-25"/>
    <m/>
    <x v="1"/>
    <m/>
    <s v="Austria"/>
    <m/>
  </r>
  <r>
    <d v="2018-11-15T13:13:22"/>
    <s v="Gameplay, Graphics, Collecting Cards/Masters, Competitions/Tournaments, Crafting system, im happy about getting very fast legendary and normal cards"/>
    <s v="Premade Duo"/>
    <s v="Master Skins, Arenas"/>
    <s v="Yes"/>
    <s v="Premium upgrade and i will pay ca. 20€ for rubies"/>
    <s v="Yes"/>
    <m/>
    <m/>
    <s v="Mordar"/>
    <m/>
    <s v="i can do good tactic with it"/>
    <m/>
    <s v="Diamond"/>
    <m/>
    <s v="25-100"/>
    <m/>
    <x v="620"/>
    <m/>
    <s v="Daily"/>
    <m/>
    <s v="Watch"/>
    <m/>
    <s v="Male"/>
    <m/>
    <s v="19-25"/>
    <m/>
    <x v="1"/>
    <m/>
    <s v="Germany"/>
    <m/>
  </r>
  <r>
    <d v="2018-11-15T13:17:41"/>
    <s v="Gameplay"/>
    <s v="Premade Duo, Draft, Expeditions"/>
    <s v="Arenas"/>
    <s v="Yes"/>
    <s v="Season Battle Pass"/>
    <s v="Yes"/>
    <s v="Colossus, Crystle Archers, Xiao Long, Divine Warrior, Cleaver"/>
    <m/>
    <s v="Stormbringer"/>
    <m/>
    <s v="I like that he can attack over the whole map, also the marksmanship."/>
    <m/>
    <s v="Gold"/>
    <m/>
    <s v="25-100"/>
    <m/>
    <x v="621"/>
    <m/>
    <s v="Daily"/>
    <m/>
    <s v="Neither"/>
    <m/>
    <s v="Male"/>
    <m/>
    <s v="26-35"/>
    <m/>
    <x v="4"/>
    <m/>
    <s v="Germany"/>
    <m/>
  </r>
  <r>
    <d v="2018-11-15T13:26:07"/>
    <s v="Gameplay"/>
    <s v="Duo"/>
    <s v="Master Skins"/>
    <s v="No"/>
    <m/>
    <s v="I've not made a purchase"/>
    <m/>
    <m/>
    <s v="Stormbringer"/>
    <m/>
    <s v="His abilitys are the best so far cause he reach the other side of the map to add pressure"/>
    <m/>
    <s v="Stone"/>
    <m/>
    <s v="25-100"/>
    <m/>
    <x v="622"/>
    <m/>
    <s v="Daily"/>
    <m/>
    <s v="Stream"/>
    <m/>
    <s v="Male"/>
    <m/>
    <s v="26-35"/>
    <m/>
    <x v="0"/>
    <m/>
    <s v="The Netherlands"/>
    <m/>
  </r>
  <r>
    <d v="2018-11-15T13:50:50"/>
    <s v="Gameplay, Collecting Cards/Masters"/>
    <s v="Solo, Duo, Premade Duo"/>
    <s v="Master Skins, Emotes"/>
    <s v="No"/>
    <m/>
    <s v="I've not made a purchase"/>
    <m/>
    <m/>
    <s v="Settsu"/>
    <m/>
    <m/>
    <m/>
    <s v="Grandmaster"/>
    <m/>
    <s v="200-1000"/>
    <m/>
    <x v="623"/>
    <m/>
    <s v="Daily"/>
    <m/>
    <s v="Watch"/>
    <m/>
    <s v="Male"/>
    <m/>
    <s v="26-35"/>
    <m/>
    <x v="0"/>
    <m/>
    <s v="Germany"/>
    <m/>
  </r>
  <r>
    <d v="2018-11-15T13:55:32"/>
    <s v="Gameplay, Competitions/Tournaments"/>
    <s v="Solo, Draft"/>
    <m/>
    <s v="No"/>
    <m/>
    <s v="I've not made a purchase"/>
    <s v="no"/>
    <m/>
    <s v="Stormbringer"/>
    <m/>
    <m/>
    <m/>
    <s v="Master"/>
    <m/>
    <s v="200-1000"/>
    <m/>
    <x v="4"/>
    <m/>
    <s v="Daily"/>
    <m/>
    <s v="Neither"/>
    <m/>
    <s v="Male"/>
    <m/>
    <s v="26-35"/>
    <m/>
    <x v="3"/>
    <m/>
    <s v="I prefer not to say"/>
    <m/>
  </r>
  <r>
    <d v="2018-11-15T13:56:24"/>
    <s v="Gameplay, Graphics, Collecting Cards/Masters"/>
    <s v="Solo, Premade Duo, Draft, Mayhem Duo"/>
    <s v="Master Skins, Arenas, Avatars"/>
    <s v="Yes"/>
    <s v="Premium &amp; Battle Pass"/>
    <s v="Yes"/>
    <s v="Defensomatic, Fiery Imp, Scott the Sensitive Savage, Soul Stealer, Heal Puff"/>
    <m/>
    <s v="Apep"/>
    <m/>
    <s v="I like how you can clutch a match and the randomness often makes the game more fun and each game different."/>
    <m/>
    <s v="Diamond"/>
    <m/>
    <s v="25-100"/>
    <m/>
    <x v="624"/>
    <m/>
    <s v="Daily"/>
    <m/>
    <s v="Watch"/>
    <m/>
    <s v="Male"/>
    <m/>
    <s v="14-18"/>
    <m/>
    <x v="1"/>
    <m/>
    <s v="USA"/>
    <m/>
  </r>
  <r>
    <d v="2018-11-15T14:04:43"/>
    <s v="Gameplay, Competitions/Tournaments"/>
    <s v="Solo, Duo, Premade Duo"/>
    <s v="Emotes"/>
    <s v="Yes"/>
    <s v="Premium Upgrade, to buy battlepass"/>
    <s v="Yes"/>
    <s v="Crystal Archers, Crystal Arcanist, Swarmer King, Mana Puff Madness, Illusion Cleaver"/>
    <m/>
    <s v="Stormbringer"/>
    <m/>
    <m/>
    <m/>
    <s v="Master"/>
    <m/>
    <s v="25-100"/>
    <m/>
    <x v="625"/>
    <m/>
    <s v="Daily"/>
    <m/>
    <s v="Watch"/>
    <m/>
    <s v="Male"/>
    <m/>
    <s v="26-35"/>
    <m/>
    <x v="0"/>
    <m/>
    <s v="Australia"/>
    <m/>
  </r>
  <r>
    <d v="2018-11-15T14:12:37"/>
    <s v="Gameplay"/>
    <s v="Duo"/>
    <s v="Master Skins"/>
    <s v="Yes"/>
    <s v="Everything"/>
    <s v="Yes"/>
    <s v="Beam of Doom, Beam of Doom, Beam of Doom, Beam of Doom, Beam of Doom"/>
    <m/>
    <s v="Milloween"/>
    <m/>
    <s v="Skills"/>
    <m/>
    <s v="Grandmaster"/>
    <m/>
    <s v="200-1000"/>
    <m/>
    <x v="626"/>
    <m/>
    <s v="Daily"/>
    <m/>
    <s v="Neither"/>
    <m/>
    <s v="Male"/>
    <m/>
    <s v="26-35"/>
    <m/>
    <x v="0"/>
    <m/>
    <s v="I prefer not to say"/>
    <m/>
  </r>
  <r>
    <d v="2018-11-15T14:20:07"/>
    <s v="Gameplay"/>
    <s v="Solo, Expeditions"/>
    <s v="Master Skins, Arenas"/>
    <s v="Yes"/>
    <s v="To buy the rest of the Masters(initially I bought Masters with rubies from premium upgrade)"/>
    <s v="Yes"/>
    <s v="Shield Bearer,Future Present,Demon Warrior,Last Stand,Colossus"/>
    <m/>
    <s v="Ravager"/>
    <m/>
    <s v="Frenzy(2nd ability)"/>
    <m/>
    <s v="Gold"/>
    <m/>
    <s v="100-200"/>
    <m/>
    <x v="627"/>
    <m/>
    <s v="Daily"/>
    <m/>
    <s v="Neither"/>
    <m/>
    <s v="Male"/>
    <m/>
    <s v="26-35"/>
    <m/>
    <x v="3"/>
    <m/>
    <s v="Russia"/>
    <m/>
  </r>
  <r>
    <d v="2018-11-15T14:28:41"/>
    <s v="Gameplay"/>
    <s v="Premade Duo"/>
    <s v="Arenas"/>
    <s v="No"/>
    <m/>
    <s v="I've not made a purchase"/>
    <s v="Walking Blind Date, Crossbow Guild, Stun Lancers, Armored Escort, Daggerfall"/>
    <m/>
    <s v="Stormbringer"/>
    <m/>
    <m/>
    <m/>
    <s v="Silver"/>
    <m/>
    <s v="5-25"/>
    <m/>
    <x v="628"/>
    <m/>
    <s v="3-4 times a week"/>
    <m/>
    <s v="Watch"/>
    <m/>
    <s v="Male"/>
    <m/>
    <s v="26-35"/>
    <m/>
    <x v="3"/>
    <m/>
    <s v="USA"/>
    <m/>
  </r>
  <r>
    <d v="2018-11-15T14:31:36"/>
    <s v="Collecting Cards/Masters"/>
    <s v="Premade Duo"/>
    <s v="Master Skins"/>
    <s v="No"/>
    <m/>
    <s v="I've not made a purchase"/>
    <m/>
    <m/>
    <s v="Volco"/>
    <m/>
    <m/>
    <m/>
    <s v="Silver"/>
    <m/>
    <s v="5-25"/>
    <m/>
    <x v="4"/>
    <m/>
    <s v="Daily"/>
    <m/>
    <s v="Neither"/>
    <m/>
    <s v="Female"/>
    <m/>
    <s v="26-35"/>
    <m/>
    <x v="3"/>
    <m/>
    <s v="USA"/>
    <m/>
  </r>
  <r>
    <d v="2018-11-15T14:38:52"/>
    <s v="Gameplay, Collecting Cards/Masters, Crafting system"/>
    <s v="Premade Duo"/>
    <s v="Arenas"/>
    <s v="Yes"/>
    <s v="just to get a few cards and a good amount of crystals"/>
    <s v="Yes"/>
    <s v="Crossbow Guild, Crossbowman, Dragon Whelp, Troubadur, ähm...Fire ball i guess"/>
    <m/>
    <s v="Stormbringer"/>
    <m/>
    <s v="cause he is free and does great buffs for my distance shooter"/>
    <m/>
    <s v="Silver"/>
    <m/>
    <s v="5-25"/>
    <m/>
    <x v="629"/>
    <m/>
    <s v="Daily"/>
    <m/>
    <s v="Neither"/>
    <m/>
    <s v="Male"/>
    <m/>
    <s v="19-25"/>
    <m/>
    <x v="0"/>
    <m/>
    <s v="Germany"/>
    <m/>
  </r>
  <r>
    <d v="2018-11-15T14:39:07"/>
    <s v="Gameplay"/>
    <s v="Solo"/>
    <s v="Avatars"/>
    <s v="No"/>
    <m/>
    <s v="I've not made a purchase"/>
    <s v="Scott, Annihilator, Crystal Escort, Crystal Archer, Harbringer"/>
    <m/>
    <s v="Mordar"/>
    <m/>
    <s v="He’s a skellie boi and I love getting free revives"/>
    <m/>
    <s v="Gold"/>
    <m/>
    <s v="5-25"/>
    <m/>
    <x v="630"/>
    <m/>
    <s v="Daily"/>
    <m/>
    <s v="Neither"/>
    <m/>
    <s v="Male"/>
    <m/>
    <s v="14-18"/>
    <m/>
    <x v="1"/>
    <m/>
    <s v="USA"/>
    <m/>
  </r>
  <r>
    <d v="2018-11-15T14:47:12"/>
    <s v="Gameplay, Graphics, Collecting Cards/Masters"/>
    <s v="Solo, Premade Duo"/>
    <s v="Master Skins, Avatars"/>
    <s v="No"/>
    <m/>
    <s v="I've not made a purchase"/>
    <m/>
    <m/>
    <s v="Stormbringer"/>
    <m/>
    <s v="Nice range"/>
    <m/>
    <s v="Gold"/>
    <m/>
    <s v="25-100"/>
    <m/>
    <x v="631"/>
    <m/>
    <s v="1-2 times a week"/>
    <m/>
    <s v="Watch"/>
    <m/>
    <s v="Male"/>
    <m/>
    <s v="19-25"/>
    <m/>
    <x v="1"/>
    <m/>
    <s v="I prefer not to say"/>
    <m/>
  </r>
  <r>
    <d v="2018-11-15T15:17:48"/>
    <s v="Gameplay"/>
    <s v="Solo, Duo, Premade Duo"/>
    <s v="Master Skins, Arenas"/>
    <s v="Yes"/>
    <s v="To promote the game and discover his features"/>
    <s v="Yes"/>
    <s v="Raged bowler, Bridge budies, Void hole, Telec, 4 mana thunder spell"/>
    <m/>
    <s v="Milloween"/>
    <m/>
    <s v="Her beast passive"/>
    <m/>
    <s v="Master"/>
    <m/>
    <s v="25-100"/>
    <m/>
    <x v="632"/>
    <m/>
    <s v="Daily"/>
    <m/>
    <s v="Watch, Stream"/>
    <m/>
    <s v="Male"/>
    <m/>
    <s v="19-25"/>
    <m/>
    <x v="0"/>
    <m/>
    <s v="France"/>
    <m/>
  </r>
  <r>
    <d v="2018-11-15T15:26:15"/>
    <s v="Gameplay, Collecting Cards/Masters"/>
    <s v="Duo"/>
    <s v="Master Skins, Arenas"/>
    <s v="Yes"/>
    <s v="Premium and for 350 rubies once"/>
    <s v="Yes"/>
    <s v="Lightning, healing fireball, milloween's 2nd perk card"/>
    <m/>
    <s v="Milloween"/>
    <m/>
    <s v="Good looking+interesting gameplay"/>
    <m/>
    <s v="Platinum"/>
    <m/>
    <s v="100-200"/>
    <m/>
    <x v="633"/>
    <m/>
    <s v="Daily"/>
    <m/>
    <s v="Neither"/>
    <m/>
    <s v="Male"/>
    <m/>
    <s v="14-18"/>
    <m/>
    <x v="1"/>
    <m/>
    <s v="Russia"/>
    <m/>
  </r>
  <r>
    <d v="2018-11-15T15:46:26"/>
    <s v="Gameplay"/>
    <s v="Solo"/>
    <s v="Master Skins"/>
    <s v="Yes"/>
    <m/>
    <s v="Yes"/>
    <m/>
    <m/>
    <s v="Stormbringer"/>
    <m/>
    <m/>
    <m/>
    <s v="Grandmaster"/>
    <m/>
    <s v="25-100"/>
    <m/>
    <x v="4"/>
    <m/>
    <m/>
    <m/>
    <m/>
    <m/>
    <m/>
    <m/>
    <m/>
    <m/>
    <x v="2"/>
    <m/>
    <s v="I prefer not to say"/>
    <m/>
  </r>
  <r>
    <d v="2018-11-15T15:46:36"/>
    <s v="Gameplay"/>
    <s v="Solo"/>
    <s v="Master Skins"/>
    <s v="Yes"/>
    <m/>
    <s v="Yes"/>
    <m/>
    <m/>
    <s v="Stormbringer"/>
    <m/>
    <m/>
    <m/>
    <s v="Grandmaster"/>
    <m/>
    <s v="25-100"/>
    <m/>
    <x v="4"/>
    <m/>
    <m/>
    <m/>
    <m/>
    <m/>
    <m/>
    <m/>
    <m/>
    <m/>
    <x v="2"/>
    <m/>
    <s v="I prefer not to say"/>
    <m/>
  </r>
  <r>
    <d v="2018-11-15T16:04:12"/>
    <s v="Gameplay"/>
    <s v="Duo"/>
    <s v="Avatars"/>
    <s v="No"/>
    <s v="Sales"/>
    <s v="I've not made a purchase"/>
    <s v="Crossbow Guild, Hypnotize, Defenso Chopper, Healing Shrine, Banner Man"/>
    <m/>
    <s v="Ratbo"/>
    <m/>
    <s v="I enjoy the playstyle of having large ammounts of minions at once."/>
    <m/>
    <s v="Diamond"/>
    <m/>
    <s v="200-1000"/>
    <m/>
    <x v="634"/>
    <m/>
    <s v="Daily"/>
    <m/>
    <s v="Neither"/>
    <m/>
    <s v="Male"/>
    <m/>
    <s v="26-35"/>
    <m/>
    <x v="0"/>
    <m/>
    <s v="Canada"/>
    <m/>
  </r>
  <r>
    <d v="2018-11-15T16:08:36"/>
    <s v="Gameplay"/>
    <s v="Expeditions"/>
    <s v="Arenas"/>
    <s v="No"/>
    <m/>
    <s v="I've not made a purchase"/>
    <s v="Guardian, Assassin, Arcane Golem, Chain Lightning, Crossbow Guild"/>
    <m/>
    <s v="Milloween"/>
    <m/>
    <s v="I like using lots of spells"/>
    <m/>
    <s v="Gold"/>
    <m/>
    <s v="25-100"/>
    <m/>
    <x v="635"/>
    <m/>
    <s v="1-2 times a week"/>
    <m/>
    <s v="Neither"/>
    <m/>
    <s v="Female"/>
    <m/>
    <s v="26-35"/>
    <m/>
    <x v="0"/>
    <m/>
    <s v="Canada"/>
    <m/>
  </r>
  <r>
    <d v="2018-11-15T16:09:37"/>
    <s v="Gameplay, Graphics, The way that it is like an upgraded version of games of the same style"/>
    <s v="Solo, Duo, Premade Duo"/>
    <s v="Master Skins, Arenas, Avatars"/>
    <s v="No"/>
    <m/>
    <s v="I've not made a purchase"/>
    <s v="I can’t name them but they are all the rage effect cards except the dude the flys on a slab"/>
    <m/>
    <s v="Stormbringer"/>
    <m/>
    <s v="His long range"/>
    <m/>
    <s v="Bronze"/>
    <m/>
    <s v="5-25"/>
    <m/>
    <x v="636"/>
    <m/>
    <s v="Daily"/>
    <m/>
    <s v="Neither"/>
    <m/>
    <s v="Male"/>
    <m/>
    <s v="14-18"/>
    <m/>
    <x v="1"/>
    <m/>
    <s v="I prefer not to say"/>
    <m/>
  </r>
  <r>
    <d v="2018-11-15T16:15:22"/>
    <s v="Gameplay, Collecting Cards/Masters, Competitions/Tournaments"/>
    <s v="Premade Duo"/>
    <s v="Master Skins"/>
    <s v="No"/>
    <m/>
    <s v="I've not made a purchase"/>
    <s v="soul stealer"/>
    <m/>
    <s v="Mordar"/>
    <m/>
    <s v="tomb stones"/>
    <m/>
    <s v="Platinum"/>
    <m/>
    <s v="1000+"/>
    <m/>
    <x v="32"/>
    <m/>
    <s v="Daily"/>
    <m/>
    <s v="Stream"/>
    <m/>
    <s v="Female"/>
    <m/>
    <s v="19-25"/>
    <m/>
    <x v="3"/>
    <m/>
    <s v="United Kingdom"/>
    <m/>
  </r>
  <r>
    <d v="2018-11-15T16:18:31"/>
    <s v="Gameplay"/>
    <s v="Solo, Duo, Premade Duo, Draft, Mayhem Solo"/>
    <s v="Master Skins"/>
    <s v="Yes"/>
    <m/>
    <s v="Yes"/>
    <m/>
    <m/>
    <s v="King Puff"/>
    <m/>
    <m/>
    <m/>
    <s v="Grandmaster"/>
    <m/>
    <s v="1000+"/>
    <m/>
    <x v="52"/>
    <m/>
    <s v="Daily"/>
    <m/>
    <s v="Watch"/>
    <m/>
    <m/>
    <m/>
    <s v="over 36"/>
    <m/>
    <x v="0"/>
    <m/>
    <s v="I prefer not to say"/>
    <m/>
  </r>
  <r>
    <d v="2018-11-15T16:20:20"/>
    <s v="Gameplay"/>
    <s v="Duo, Premade Duo, Expeditions"/>
    <s v="Master Skins"/>
    <s v="No"/>
    <m/>
    <s v="I've not made a purchase"/>
    <s v="Copains de Zizi"/>
    <m/>
    <s v="King Puff"/>
    <m/>
    <s v="Sooo strong"/>
    <m/>
    <s v="Grandmaster"/>
    <m/>
    <s v="100-200"/>
    <m/>
    <x v="637"/>
    <m/>
    <s v="Daily"/>
    <m/>
    <s v="Watch"/>
    <m/>
    <s v="Male"/>
    <m/>
    <s v="26-35"/>
    <m/>
    <x v="2"/>
    <m/>
    <s v="France"/>
    <m/>
  </r>
  <r>
    <d v="2018-11-15T16:23:31"/>
    <s v="Gameplay, Graphics, Collecting Cards/Masters"/>
    <s v="Duo, Expeditions"/>
    <s v="Arenas"/>
    <s v="No"/>
    <m/>
    <s v="I've not made a purchase"/>
    <m/>
    <m/>
    <s v="Milloween"/>
    <m/>
    <m/>
    <m/>
    <s v="Bronze"/>
    <m/>
    <s v="0-5"/>
    <m/>
    <x v="638"/>
    <m/>
    <s v="5-6 times a week"/>
    <m/>
    <s v="Neither"/>
    <m/>
    <s v="Female"/>
    <m/>
    <s v="19-25"/>
    <m/>
    <x v="1"/>
    <m/>
    <s v="Germany"/>
    <m/>
  </r>
  <r>
    <d v="2018-11-15T16:33:01"/>
    <s v="Collecting Cards/Masters"/>
    <s v="Solo, Draft"/>
    <s v="Arenas"/>
    <s v="No"/>
    <m/>
    <s v="I've not made a purchase"/>
    <s v="5 mana rock that gives back 1 mana, cleaver, ranged aoe big gun guy, spirit master"/>
    <m/>
    <s v="Milloween"/>
    <m/>
    <s v="she fun"/>
    <m/>
    <s v="Gold"/>
    <m/>
    <s v="25-100"/>
    <m/>
    <x v="639"/>
    <m/>
    <s v="5-6 times a week"/>
    <m/>
    <s v="Watch"/>
    <m/>
    <s v="Male"/>
    <m/>
    <s v="19-25"/>
    <m/>
    <x v="1"/>
    <m/>
    <s v="Portugal "/>
    <m/>
  </r>
  <r>
    <d v="2018-11-15T16:36:29"/>
    <s v="Gameplay"/>
    <s v="Duo"/>
    <s v="Master Skins"/>
    <s v="No"/>
    <m/>
    <s v="I've not made a purchase"/>
    <s v="Spiritmancer, Daggerfall, Living Statue, Cheese Date, Arcane Golem."/>
    <m/>
    <s v="Milloween"/>
    <m/>
    <s v="She was in the free rotation"/>
    <m/>
    <s v="Silver"/>
    <m/>
    <s v="25-100"/>
    <m/>
    <x v="640"/>
    <m/>
    <s v="Daily"/>
    <m/>
    <s v="Watch, Stream"/>
    <m/>
    <s v="Male"/>
    <m/>
    <s v="14-18"/>
    <m/>
    <x v="0"/>
    <m/>
    <s v="USA"/>
    <m/>
  </r>
  <r>
    <d v="2018-11-15T16:40:02"/>
    <s v="Gameplay, Competitions/Tournaments"/>
    <s v="Solo, Draft"/>
    <s v="Master Skins"/>
    <s v="No"/>
    <m/>
    <s v="I've not made a purchase"/>
    <m/>
    <m/>
    <s v="Stormbringer"/>
    <m/>
    <m/>
    <m/>
    <s v="Grandmaster"/>
    <m/>
    <s v="1000+"/>
    <m/>
    <x v="4"/>
    <m/>
    <s v="5-6 times a week"/>
    <m/>
    <s v="Watch"/>
    <m/>
    <s v="Male"/>
    <m/>
    <s v="26-35"/>
    <m/>
    <x v="2"/>
    <m/>
    <s v="I prefer not to say"/>
    <m/>
  </r>
  <r>
    <d v="2018-11-15T16:40:24"/>
    <s v="Gameplay, Graphics, Collecting Cards/Masters, Crafting system"/>
    <s v="Duo, Mayhem Duo"/>
    <s v="Master Skins, Emotes"/>
    <s v="No"/>
    <m/>
    <s v="Yes"/>
    <m/>
    <m/>
    <s v="Volco"/>
    <m/>
    <m/>
    <m/>
    <m/>
    <m/>
    <s v="200-1000"/>
    <m/>
    <x v="4"/>
    <m/>
    <s v="Daily"/>
    <m/>
    <m/>
    <m/>
    <s v="Male"/>
    <m/>
    <s v="19-25"/>
    <m/>
    <x v="1"/>
    <m/>
    <s v="I prefer not to say"/>
    <m/>
  </r>
  <r>
    <d v="2018-11-15T16:52:23"/>
    <s v="Gameplay"/>
    <s v="Duo, Draft"/>
    <s v="Master Skins, Arenas, Emotes, Avatars"/>
    <s v="No"/>
    <m/>
    <s v="I've not made a purchase"/>
    <m/>
    <m/>
    <s v="Stormbringer"/>
    <m/>
    <m/>
    <m/>
    <s v="Gold"/>
    <m/>
    <s v="5-25"/>
    <m/>
    <x v="4"/>
    <m/>
    <s v="Occasionally"/>
    <m/>
    <s v="Watch"/>
    <m/>
    <s v="Male"/>
    <m/>
    <s v="26-35"/>
    <m/>
    <x v="0"/>
    <m/>
    <s v="Hungary"/>
    <m/>
  </r>
  <r>
    <d v="2018-11-15T16:54:34"/>
    <s v="Gameplay"/>
    <s v="Expeditions"/>
    <s v="Arenas"/>
    <s v="No"/>
    <m/>
    <s v="I've not made a purchase"/>
    <s v="S.T.INT, Divine Warrior, Mana Puff, Bridge Shrine, Xiao Long "/>
    <m/>
    <s v="Settsu"/>
    <m/>
    <s v="She is the most interactive master. Her toolkit may not be the best, but an active master is a sure sell for me"/>
    <m/>
    <s v="Diamond"/>
    <m/>
    <s v="25-100"/>
    <m/>
    <x v="641"/>
    <m/>
    <s v="5-6 times a week"/>
    <m/>
    <s v="Neither"/>
    <m/>
    <s v="Male"/>
    <m/>
    <s v="26-35"/>
    <m/>
    <x v="1"/>
    <m/>
    <s v="Greece"/>
    <m/>
  </r>
  <r>
    <d v="2018-11-15T16:56:18"/>
    <s v="Gameplay, Graphics, Collecting Cards/Masters, Competitions/Tournaments"/>
    <s v="Solo, Premade Duo, Draft"/>
    <s v="Master Skins, Emotes"/>
    <s v="Yes"/>
    <s v="Starter Pack"/>
    <s v="Yes"/>
    <s v="Spear Throwers, Succubus, Soul Stealer, Cleaver, Defenso-Chopper"/>
    <m/>
    <s v="Milloween"/>
    <m/>
    <s v="Waifu"/>
    <m/>
    <s v="Grandmaster"/>
    <m/>
    <s v="100-200"/>
    <m/>
    <x v="642"/>
    <m/>
    <s v="Daily"/>
    <m/>
    <s v="Watch, Stream"/>
    <m/>
    <s v="Male"/>
    <m/>
    <s v="19-25"/>
    <m/>
    <x v="0"/>
    <m/>
    <s v="USA"/>
    <m/>
  </r>
  <r>
    <d v="2018-11-15T17:08:42"/>
    <s v="Gameplay"/>
    <s v="Premade Duo"/>
    <s v="Master Skins"/>
    <s v="Yes"/>
    <s v="To buy the special offers"/>
    <s v="Yes"/>
    <s v="Plasma Marines, Incubus, Succubus, Crossbow Guild, Colossus"/>
    <m/>
    <s v="Stormbringer"/>
    <m/>
    <s v="He's so shooty. I almost picked Apep."/>
    <m/>
    <s v="Platinum"/>
    <m/>
    <s v="25-100"/>
    <m/>
    <x v="643"/>
    <m/>
    <s v="Daily"/>
    <m/>
    <s v="Watch, Stream"/>
    <m/>
    <s v="Male"/>
    <m/>
    <s v="over 36"/>
    <m/>
    <x v="4"/>
    <m/>
    <s v="USA"/>
    <m/>
  </r>
  <r>
    <d v="2018-11-15T17:19:58"/>
    <s v="Gameplay"/>
    <s v="Premade Duo"/>
    <m/>
    <s v="No"/>
    <m/>
    <s v="I've not made a purchase"/>
    <s v="Crossbow guild, swarmer spawner, healing fireball, chain lightning, sniper squad"/>
    <m/>
    <s v="Stormbringer"/>
    <m/>
    <s v="the marksman buff"/>
    <m/>
    <s v="Bronze"/>
    <m/>
    <s v="0-5"/>
    <m/>
    <x v="644"/>
    <m/>
    <s v="3-4 times a week"/>
    <m/>
    <s v="Watch"/>
    <m/>
    <s v="Male"/>
    <m/>
    <s v="14-18"/>
    <m/>
    <x v="2"/>
    <m/>
    <s v="United Kingdom"/>
    <m/>
  </r>
  <r>
    <d v="2018-11-15T17:32:20"/>
    <s v="Gameplay"/>
    <s v="Solo, Premade Duo, Draft, Mayhem Solo"/>
    <s v="Master Skins"/>
    <s v="Yes"/>
    <s v="Support the developers, skins"/>
    <s v="Yes"/>
    <s v="Spiritmancer, Undying Skeleton, Mana Puff Madness, Azali Demon Commander, Scrat Tank"/>
    <m/>
    <s v="King Puff"/>
    <m/>
    <s v="Great ability, strong control, good buffs, Useful Early and Lategame perks, CUTE!!!"/>
    <m/>
    <s v="Diamond"/>
    <m/>
    <s v="200-1000"/>
    <m/>
    <x v="645"/>
    <m/>
    <s v="Daily"/>
    <m/>
    <s v="Stream"/>
    <m/>
    <s v="Male"/>
    <m/>
    <s v="26-35"/>
    <m/>
    <x v="3"/>
    <m/>
    <s v="USA"/>
    <m/>
  </r>
  <r>
    <d v="2018-11-15T17:40:34"/>
    <s v="Gameplay, Collecting Cards/Masters, Competitions/Tournaments, Crafting system"/>
    <s v="Solo, Draft, Expeditions"/>
    <s v="Arenas"/>
    <s v="No"/>
    <m/>
    <s v="I've not made a purchase"/>
    <m/>
    <m/>
    <s v="King Puff"/>
    <m/>
    <s v="Looks funny. Havent played enough to fully understand everything, so i just go after the looks of the master"/>
    <m/>
    <s v="Gold"/>
    <m/>
    <s v="0-5"/>
    <m/>
    <x v="646"/>
    <m/>
    <s v="Daily"/>
    <m/>
    <s v="Watch"/>
    <m/>
    <s v="Male"/>
    <m/>
    <s v="14-18"/>
    <m/>
    <x v="1"/>
    <m/>
    <s v="Germany"/>
    <m/>
  </r>
  <r>
    <d v="2018-11-15T17:43:53"/>
    <s v="Gameplay"/>
    <s v="Premade Duo"/>
    <s v="Arenas"/>
    <s v="Yes"/>
    <s v="Battle pass"/>
    <s v="Yes"/>
    <s v="Call to arms, Bridge shrine, Defenso chopper, Scrat horde, Thelic. "/>
    <m/>
    <s v="Mordar"/>
    <m/>
    <s v="Tombstone theme fun, attack interesting. "/>
    <m/>
    <s v="Platinum"/>
    <m/>
    <s v="25-100"/>
    <m/>
    <x v="647"/>
    <m/>
    <s v="Daily"/>
    <m/>
    <s v="Watch"/>
    <m/>
    <s v="Male"/>
    <m/>
    <s v="19-25"/>
    <m/>
    <x v="2"/>
    <m/>
    <s v="United Kingdom"/>
    <m/>
  </r>
  <r>
    <d v="2018-11-15T17:46:51"/>
    <s v="Gameplay"/>
    <s v="Solo, Premade Duo"/>
    <s v="Master Skins"/>
    <s v="Yes"/>
    <s v="Account Upgrade/ Battle Pass"/>
    <s v="Yes"/>
    <m/>
    <m/>
    <s v="Mordar"/>
    <m/>
    <s v="Spooky Skeleton"/>
    <m/>
    <s v="Diamond"/>
    <m/>
    <s v="25-100"/>
    <m/>
    <x v="4"/>
    <m/>
    <s v="3-4 times a week"/>
    <m/>
    <s v="Neither"/>
    <m/>
    <s v="Male"/>
    <m/>
    <s v="26-35"/>
    <m/>
    <x v="0"/>
    <m/>
    <s v="USA"/>
    <m/>
  </r>
  <r>
    <d v="2018-11-15T17:51:45"/>
    <s v="Gameplay"/>
    <s v="Premade Duo"/>
    <s v="Master Skins"/>
    <s v="No"/>
    <m/>
    <s v="Yes"/>
    <m/>
    <m/>
    <s v="King Puff"/>
    <m/>
    <s v="King boi"/>
    <m/>
    <s v="Platinum"/>
    <m/>
    <s v="25-100"/>
    <m/>
    <x v="4"/>
    <m/>
    <s v="Daily"/>
    <m/>
    <s v="Neither"/>
    <m/>
    <s v="Male"/>
    <m/>
    <s v="19-25"/>
    <m/>
    <x v="0"/>
    <m/>
    <s v="I prefer not to say"/>
    <m/>
  </r>
  <r>
    <d v="2018-11-15T17:51:50"/>
    <s v="Gameplay"/>
    <s v="Premade Duo"/>
    <s v="Master Skins"/>
    <s v="No"/>
    <m/>
    <s v="Yes"/>
    <m/>
    <m/>
    <s v="King Puff"/>
    <m/>
    <s v="King boi"/>
    <m/>
    <s v="Platinum"/>
    <m/>
    <s v="25-100"/>
    <m/>
    <x v="4"/>
    <m/>
    <s v="Daily"/>
    <m/>
    <s v="Neither"/>
    <m/>
    <s v="Male"/>
    <m/>
    <s v="19-25"/>
    <m/>
    <x v="0"/>
    <m/>
    <s v="I prefer not to say"/>
    <m/>
  </r>
  <r>
    <d v="2018-11-15T17:56:02"/>
    <s v="Gameplay, Collecting Cards/Masters, Crafting system"/>
    <s v="Solo, Premade Duo, Draft, Expeditions"/>
    <s v="Master Skins, Arenas, Avatars"/>
    <s v="No"/>
    <m/>
    <s v="I've not made a purchase"/>
    <m/>
    <m/>
    <s v="Mordar"/>
    <m/>
    <s v="easy to play and powerful"/>
    <m/>
    <s v="Silver"/>
    <m/>
    <s v="5-25"/>
    <m/>
    <x v="648"/>
    <m/>
    <s v="Daily"/>
    <m/>
    <s v="Neither"/>
    <m/>
    <s v="I prefer not to say"/>
    <m/>
    <s v="I prefer not to say"/>
    <m/>
    <x v="1"/>
    <m/>
    <s v="USA"/>
    <m/>
  </r>
  <r>
    <d v="2018-11-15T17:56:46"/>
    <s v="Gameplay, Graphics, Collecting Cards/Masters"/>
    <s v="Duo, Draft"/>
    <s v="Avatars"/>
    <s v="No"/>
    <m/>
    <s v="I've not made a purchase"/>
    <s v="i like cards that summon random mobs ( don't nerf them ) "/>
    <m/>
    <s v="Stormbringer"/>
    <m/>
    <s v="for range stats"/>
    <m/>
    <s v="Silver"/>
    <m/>
    <s v="0-5"/>
    <m/>
    <x v="649"/>
    <m/>
    <s v="Occasionally"/>
    <m/>
    <s v="Watch"/>
    <m/>
    <s v="Male"/>
    <m/>
    <s v="19-25"/>
    <m/>
    <x v="1"/>
    <m/>
    <s v="Algeria"/>
    <m/>
  </r>
  <r>
    <d v="2018-11-15T18:06:08"/>
    <s v="Gameplay, Its just a fun game, couse its such a little game i can just play it on any pc/labtop"/>
    <s v="Duo"/>
    <s v="Emotes"/>
    <s v="No"/>
    <m/>
    <s v="I've not made a purchase"/>
    <s v="Crystal archer, Wheel of doom, Stun lancers, Scrat pack, Rabid Prowler"/>
    <m/>
    <s v="Ravager"/>
    <m/>
    <s v="Couse ive got a pretty good ranged deck, and the master isnt ranged."/>
    <m/>
    <s v="Bronze"/>
    <m/>
    <s v="0-5"/>
    <m/>
    <x v="650"/>
    <m/>
    <s v="Daily"/>
    <m/>
    <s v="Neither"/>
    <m/>
    <s v="Male"/>
    <m/>
    <s v="14-18"/>
    <m/>
    <x v="1"/>
    <m/>
    <s v="Denmark"/>
    <m/>
  </r>
  <r>
    <d v="2018-11-15T18:12:52"/>
    <s v="Gameplay"/>
    <s v="Solo"/>
    <s v="Avatars"/>
    <s v="No"/>
    <m/>
    <s v="I've not made a purchase"/>
    <s v="Don't have any"/>
    <m/>
    <s v="Volco"/>
    <m/>
    <s v="Because he is like the only one I play :p"/>
    <m/>
    <s v="Silver"/>
    <m/>
    <s v="0-5"/>
    <m/>
    <x v="651"/>
    <m/>
    <s v="Daily"/>
    <m/>
    <s v="Neither"/>
    <m/>
    <s v="Male"/>
    <m/>
    <s v="14-18"/>
    <m/>
    <x v="1"/>
    <m/>
    <s v="Sweden"/>
    <m/>
  </r>
  <r>
    <d v="2018-11-15T18:17:34"/>
    <s v="Gameplay"/>
    <s v="Solo, Expeditions"/>
    <s v="Master Skins"/>
    <s v="No"/>
    <m/>
    <s v="I've not made a purchase"/>
    <s v="Blind Date, Walking Blind Date, Future Past, Future Present, Mana Puff Madness. In that order with Blind Date being the #1 Fav."/>
    <m/>
    <s v="Apep"/>
    <m/>
    <s v="His random free card is very fun."/>
    <m/>
    <s v="Gold"/>
    <m/>
    <s v="100-200"/>
    <m/>
    <x v="652"/>
    <m/>
    <s v="Daily"/>
    <m/>
    <s v="Stream"/>
    <m/>
    <s v="Female"/>
    <m/>
    <s v="14-18"/>
    <m/>
    <x v="1"/>
    <m/>
    <s v="USA"/>
    <m/>
  </r>
  <r>
    <d v="2018-11-15T18:26:31"/>
    <s v="Gameplay"/>
    <s v="Duo, Premade Duo"/>
    <s v="Arenas"/>
    <s v="No"/>
    <m/>
    <s v="I've not made a purchase"/>
    <s v="Whirly scrat, rampage, harbinger, colossus, scrat launcher"/>
    <m/>
    <s v="Stormbringer"/>
    <m/>
    <s v="I like Stormbringer's range abilities"/>
    <m/>
    <s v="Master"/>
    <m/>
    <s v="5-25"/>
    <m/>
    <x v="653"/>
    <m/>
    <s v="5-6 times a week"/>
    <m/>
    <s v="Neither"/>
    <m/>
    <s v="Male"/>
    <m/>
    <s v="19-25"/>
    <m/>
    <x v="1"/>
    <m/>
    <s v="Finland"/>
    <m/>
  </r>
  <r>
    <d v="2018-11-15T18:28:52"/>
    <s v="Gameplay, Graphics, Collecting Cards/Masters"/>
    <s v="Solo, Duo, Premade Duo"/>
    <s v="Master Skins, Arenas"/>
    <s v="Yes"/>
    <s v="uppgraded to premium"/>
    <s v="Yes"/>
    <s v="colossus, Harbringer, Rabid prowler, crystal sentry,incubus"/>
    <m/>
    <s v="Ravager"/>
    <m/>
    <s v="he have abilities i like."/>
    <m/>
    <s v="Gold"/>
    <m/>
    <s v="5-25"/>
    <m/>
    <x v="654"/>
    <m/>
    <s v="Daily"/>
    <m/>
    <s v="Watch"/>
    <m/>
    <s v="Male"/>
    <m/>
    <s v="19-25"/>
    <m/>
    <x v="0"/>
    <m/>
    <s v="Sweden"/>
    <m/>
  </r>
  <r>
    <d v="2018-11-15T18:31:17"/>
    <s v="Competitions/Tournaments"/>
    <s v="Duo, Premade Duo"/>
    <s v="Avatars"/>
    <s v="Yes"/>
    <s v="cards"/>
    <s v="Yes"/>
    <m/>
    <m/>
    <s v="King Puff"/>
    <m/>
    <m/>
    <m/>
    <s v="Platinum"/>
    <m/>
    <s v="5-25"/>
    <m/>
    <x v="655"/>
    <m/>
    <s v="Daily"/>
    <m/>
    <s v="Watch"/>
    <m/>
    <s v="Male"/>
    <m/>
    <s v="19-25"/>
    <m/>
    <x v="0"/>
    <m/>
    <s v="United Kingdom"/>
    <m/>
  </r>
  <r>
    <d v="2018-11-15T18:37:13"/>
    <s v="Gameplay, Graphics, Collecting Cards/Masters"/>
    <s v="Duo, Draft, Expeditions"/>
    <s v="Master Skins"/>
    <s v="No"/>
    <m/>
    <s v="I've not made a purchase"/>
    <s v="no"/>
    <m/>
    <s v="Ratbo"/>
    <m/>
    <s v="I like his look. His special powers are so-so,but not bad."/>
    <m/>
    <m/>
    <m/>
    <s v="25-100"/>
    <m/>
    <x v="4"/>
    <m/>
    <s v="1-2 times a week"/>
    <m/>
    <s v="Neither"/>
    <m/>
    <s v="Male"/>
    <m/>
    <s v="19-25"/>
    <m/>
    <x v="0"/>
    <m/>
    <s v="Sweden"/>
    <m/>
  </r>
  <r>
    <d v="2018-11-15T18:40:47"/>
    <s v="Gameplay, not having p2w mechanics"/>
    <s v="Premade Duo"/>
    <s v="Arenas"/>
    <s v="No"/>
    <m/>
    <s v="I've not made a purchase"/>
    <s v="Whirly Scrat, Crossbow Dudes (just for the flavor text), Scrat Tank, Fire Imp, Plasma Marines    "/>
    <m/>
    <s v="Stormbringer"/>
    <m/>
    <s v="don't have to pay attention to use his skill efficiently, fits almost every basic deck"/>
    <m/>
    <s v="Platinum"/>
    <m/>
    <s v="5-25"/>
    <m/>
    <x v="656"/>
    <m/>
    <s v="3-4 times a week"/>
    <m/>
    <s v="Watch, Stream"/>
    <m/>
    <s v="Male"/>
    <m/>
    <s v="26-35"/>
    <m/>
    <x v="4"/>
    <m/>
    <s v="Russia"/>
    <m/>
  </r>
  <r>
    <d v="2018-11-15T18:50:35"/>
    <s v="Gameplay"/>
    <s v="Solo, Premade Duo"/>
    <s v="Master Skins, Arenas"/>
    <s v="Yes"/>
    <s v="Battle pass!"/>
    <s v="Yes"/>
    <s v="Scrats - Scrats - Scrats - More SCRATS!"/>
    <m/>
    <s v="Ravager"/>
    <m/>
    <s v="It's fun to me"/>
    <m/>
    <s v="Gold"/>
    <m/>
    <s v="5-25"/>
    <m/>
    <x v="657"/>
    <m/>
    <s v="Daily"/>
    <m/>
    <s v="Watch"/>
    <m/>
    <s v="Male"/>
    <m/>
    <s v="19-25"/>
    <m/>
    <x v="1"/>
    <m/>
    <s v="Turkey"/>
    <m/>
  </r>
  <r>
    <d v="2018-11-15T18:56:47"/>
    <s v="Gameplay, Collecting Cards/Masters"/>
    <s v="Solo, Duo"/>
    <s v="Master Skins"/>
    <s v="Yes"/>
    <s v="Account Upgrade and for battle pass"/>
    <s v="Yes"/>
    <s v="Plasma Soldiers, Dagger fall, Xiao Long, Bazooka Scrat and Scotty the barbarian^^"/>
    <m/>
    <s v="Settsu"/>
    <m/>
    <s v="Before crystal construct nerf she was a nice combo with them :D"/>
    <m/>
    <s v="Master"/>
    <m/>
    <s v="200-1000"/>
    <m/>
    <x v="658"/>
    <m/>
    <s v="Daily"/>
    <m/>
    <s v="Watch"/>
    <m/>
    <s v="Male"/>
    <m/>
    <s v="19-25"/>
    <m/>
    <x v="0"/>
    <m/>
    <s v="Germany"/>
    <m/>
  </r>
  <r>
    <d v="2018-11-15T18:57:28"/>
    <s v="Gameplay"/>
    <s v="Duo, Premade Duo"/>
    <s v="Arenas"/>
    <s v="No"/>
    <m/>
    <s v="I've not made a purchase"/>
    <s v="no"/>
    <m/>
    <s v="Settsu"/>
    <m/>
    <s v="I like the perks"/>
    <m/>
    <s v="Silver"/>
    <m/>
    <s v="5-25"/>
    <m/>
    <x v="659"/>
    <m/>
    <s v="3-4 times a week"/>
    <m/>
    <s v="Neither"/>
    <m/>
    <s v="Male"/>
    <m/>
    <s v="14-18"/>
    <m/>
    <x v="1"/>
    <m/>
    <s v="USA"/>
    <m/>
  </r>
  <r>
    <d v="2018-11-15T19:00:35"/>
    <s v="Gameplay"/>
    <s v="Solo, Duo"/>
    <m/>
    <s v="No"/>
    <m/>
    <s v="I've not made a purchase"/>
    <m/>
    <m/>
    <s v="Stormbringer"/>
    <m/>
    <s v="Easy map control"/>
    <m/>
    <s v="Platinum"/>
    <m/>
    <s v="5-25"/>
    <m/>
    <x v="156"/>
    <m/>
    <s v="5-6 times a week"/>
    <m/>
    <s v="Neither"/>
    <m/>
    <s v="Male"/>
    <m/>
    <s v="19-25"/>
    <m/>
    <x v="1"/>
    <m/>
    <s v="Serbia"/>
    <m/>
  </r>
  <r>
    <d v="2018-11-15T19:03:40"/>
    <s v="Gameplay"/>
    <s v="Solo, Duo, Premade Duo"/>
    <s v="Master Skins, Emotes, Avatars"/>
    <s v="No"/>
    <m/>
    <s v="I've not made a purchase"/>
    <m/>
    <m/>
    <s v="Stormbringer"/>
    <m/>
    <s v="I believe he's overpowered and he actually has a noticable playstyle unlike the rest. For example, he's best speced into having ranged minions."/>
    <m/>
    <s v="Silver"/>
    <m/>
    <s v="25-100"/>
    <m/>
    <x v="660"/>
    <m/>
    <s v="Daily"/>
    <m/>
    <s v="Neither"/>
    <m/>
    <s v="Male"/>
    <m/>
    <s v="26-35"/>
    <m/>
    <x v="0"/>
    <m/>
    <s v="USA"/>
    <m/>
  </r>
  <r>
    <d v="2018-11-15T19:13:29"/>
    <s v="Gameplay, Graphics, Competitions/Tournaments"/>
    <s v="Solo, Duo, Expeditions, Mayhem Solo, Mayhem Duo"/>
    <s v="Master Skins, Avatars"/>
    <s v="No"/>
    <m/>
    <s v="I've not made a purchase"/>
    <m/>
    <m/>
    <s v="King Puff"/>
    <m/>
    <m/>
    <m/>
    <s v="Silver"/>
    <m/>
    <s v="5-25"/>
    <m/>
    <x v="4"/>
    <m/>
    <s v="5-6 times a week"/>
    <m/>
    <s v="Watch"/>
    <m/>
    <s v="Female"/>
    <m/>
    <s v="14-18"/>
    <m/>
    <x v="1"/>
    <m/>
    <s v="I prefer not to say"/>
    <m/>
  </r>
  <r>
    <d v="2018-11-15T19:30:18"/>
    <s v="Gameplay, Competitions/Tournaments"/>
    <s v="Draft, Mayhem Solo"/>
    <s v="Master Skins"/>
    <s v="Yes"/>
    <s v="To get more skins - ran out of Rubies"/>
    <s v="Yes"/>
    <s v="Black Hole, Wizard Puff, Regular Prowler, Bazooka Scrat, Scrat Launcher"/>
    <m/>
    <s v="Apep"/>
    <m/>
    <s v="Love randomness"/>
    <m/>
    <s v="Grandmaster"/>
    <m/>
    <s v="1000+"/>
    <m/>
    <x v="661"/>
    <m/>
    <s v="Daily"/>
    <m/>
    <s v="Watch"/>
    <m/>
    <s v="Male"/>
    <m/>
    <s v="19-25"/>
    <m/>
    <x v="0"/>
    <m/>
    <s v="Slovenia"/>
    <m/>
  </r>
  <r>
    <d v="2018-11-15T19:47:01"/>
    <s v="Gameplay, Collecting Cards/Masters"/>
    <s v="Solo, Duo, Premade Duo"/>
    <s v="Master Skins, Emotes"/>
    <s v="No"/>
    <m/>
    <s v="Yes"/>
    <s v="crystal archers, whirly scrat, that warrior girl with the shield, bannerman, daggerfall,"/>
    <m/>
    <s v="Stormbringer"/>
    <m/>
    <s v="marksmanship"/>
    <m/>
    <s v="Gold"/>
    <m/>
    <s v="25-100"/>
    <m/>
    <x v="662"/>
    <m/>
    <s v="Daily"/>
    <m/>
    <s v="Watch"/>
    <m/>
    <s v="Male"/>
    <m/>
    <s v="26-35"/>
    <m/>
    <x v="0"/>
    <m/>
    <s v="United Kingdom"/>
    <m/>
  </r>
  <r>
    <d v="2018-11-15T19:49:41"/>
    <s v="Gameplay, Collecting Cards/Masters, Crafting system"/>
    <s v="Solo, Premade Duo, Expeditions"/>
    <s v="Master Skins, Arenas"/>
    <s v="No"/>
    <m/>
    <s v="I've not made a purchase"/>
    <m/>
    <m/>
    <s v="Stormbringer"/>
    <m/>
    <s v="I prefer ranged units and marksmanship was very helpful."/>
    <m/>
    <s v="Bronze"/>
    <m/>
    <s v="5-25"/>
    <m/>
    <x v="663"/>
    <m/>
    <s v="Daily"/>
    <m/>
    <s v="Watch"/>
    <m/>
    <s v="Male"/>
    <m/>
    <s v="19-25"/>
    <m/>
    <x v="1"/>
    <m/>
    <s v="USA"/>
    <m/>
  </r>
  <r>
    <d v="2018-11-15T19:55:04"/>
    <s v="Gameplay, Collecting Cards/Masters, I want card skins to be added!"/>
    <s v="Duo, Expeditions"/>
    <s v="Master Skins, Arenas"/>
    <s v="Yes"/>
    <s v="Progress"/>
    <s v="Yes"/>
    <s v="Gax The World Bomb,  Future Past, Future Present, Cleaver, Undying Skeleton"/>
    <m/>
    <s v="Mordar"/>
    <m/>
    <s v="I like his theme."/>
    <m/>
    <s v="Master"/>
    <m/>
    <s v="100-200"/>
    <m/>
    <x v="664"/>
    <m/>
    <s v="Daily"/>
    <m/>
    <s v="Neither"/>
    <m/>
    <s v="Male"/>
    <m/>
    <s v="26-35"/>
    <m/>
    <x v="0"/>
    <m/>
    <s v="Russia"/>
    <m/>
  </r>
  <r>
    <d v="2018-11-15T20:06:35"/>
    <s v="Gameplay, Crafting system"/>
    <s v="Duo, Draft"/>
    <s v="Arenas"/>
    <s v="Yes"/>
    <s v="Starters"/>
    <s v="Yes"/>
    <m/>
    <m/>
    <s v="Volco"/>
    <m/>
    <s v="FIRE"/>
    <m/>
    <s v="Gold"/>
    <m/>
    <s v="25-100"/>
    <m/>
    <x v="4"/>
    <m/>
    <s v="Daily"/>
    <m/>
    <s v="Watch"/>
    <m/>
    <s v="Male"/>
    <m/>
    <s v="26-35"/>
    <m/>
    <x v="0"/>
    <m/>
    <s v="USA"/>
    <m/>
  </r>
  <r>
    <d v="2018-11-15T20:10:33"/>
    <s v="Gameplay"/>
    <s v="Solo"/>
    <s v="Master Skins"/>
    <s v="No"/>
    <m/>
    <s v="I've not made a purchase"/>
    <m/>
    <m/>
    <s v="Stormbringer"/>
    <m/>
    <m/>
    <m/>
    <s v="Silver"/>
    <m/>
    <s v="0-5"/>
    <m/>
    <x v="4"/>
    <m/>
    <s v="1-2 times a week"/>
    <m/>
    <s v="Watch"/>
    <m/>
    <s v="Male"/>
    <m/>
    <s v="26-35"/>
    <m/>
    <x v="0"/>
    <m/>
    <s v="I prefer not to say"/>
    <m/>
  </r>
  <r>
    <d v="2018-11-15T20:11:31"/>
    <s v="Gameplay, Graphics, Competitions/Tournaments"/>
    <s v="Solo, Premade Duo"/>
    <s v="Arenas"/>
    <s v="No"/>
    <m/>
    <s v="I've not made a purchase"/>
    <m/>
    <m/>
    <s v="Apep"/>
    <m/>
    <m/>
    <m/>
    <s v="Bronze"/>
    <m/>
    <s v="5-25"/>
    <m/>
    <x v="665"/>
    <m/>
    <s v="Daily"/>
    <m/>
    <s v="Watch"/>
    <m/>
    <s v="Male"/>
    <m/>
    <s v="19-25"/>
    <m/>
    <x v="0"/>
    <m/>
    <s v="Ukraine"/>
    <m/>
  </r>
  <r>
    <d v="2018-11-15T20:11:37"/>
    <s v="Gameplay"/>
    <s v="Duo, Expeditions"/>
    <s v="Master Skins, Arenas"/>
    <s v="Yes"/>
    <s v="Skin"/>
    <s v="Yes"/>
    <m/>
    <m/>
    <s v="Milloween"/>
    <m/>
    <s v="Nice skin and fun cards"/>
    <m/>
    <s v="Grandmaster"/>
    <m/>
    <s v="200-1000"/>
    <m/>
    <x v="666"/>
    <m/>
    <s v="Daily"/>
    <m/>
    <s v="Watch"/>
    <m/>
    <s v="Male"/>
    <m/>
    <s v="26-35"/>
    <m/>
    <x v="0"/>
    <m/>
    <s v="France"/>
    <m/>
  </r>
  <r>
    <d v="2018-11-15T20:14:32"/>
    <s v="Gameplay, Collecting Cards/Masters"/>
    <s v="Duo, Expeditions"/>
    <s v="Master Skins, Arenas, Avatars"/>
    <s v="No"/>
    <m/>
    <s v="I've not made a purchase"/>
    <s v="Propeller Hoard, Divine Warrior, Plasma Marines, Blue Golem, and Stun Lancers"/>
    <m/>
    <s v="King Puff"/>
    <m/>
    <s v="I've always been pretty good at bridge controll, King puff made it much easier and let me get a buff for something I'm good at"/>
    <m/>
    <s v="Gold"/>
    <m/>
    <s v="25-100"/>
    <m/>
    <x v="667"/>
    <m/>
    <s v="5-6 times a week"/>
    <m/>
    <s v="Watch"/>
    <m/>
    <s v="Female"/>
    <m/>
    <s v="14-18"/>
    <m/>
    <x v="1"/>
    <m/>
    <s v="USA"/>
    <m/>
  </r>
  <r>
    <d v="2018-11-15T20:15:28"/>
    <s v="Gameplay"/>
    <s v="Premade Duo"/>
    <s v="Avatars"/>
    <s v="No"/>
    <m/>
    <s v="I've not made a purchase"/>
    <s v="Reboomer, Illusory Cleaver, Scrat Horde, Cheese Date, Ghost "/>
    <m/>
    <s v="Ravager"/>
    <m/>
    <s v="Free frenzy, and I love utilizing brutus for lots of earlygame damage"/>
    <m/>
    <s v="Bronze"/>
    <m/>
    <s v="5-25"/>
    <m/>
    <x v="668"/>
    <m/>
    <s v="5-6 times a week"/>
    <m/>
    <s v="Neither"/>
    <m/>
    <s v="Male"/>
    <m/>
    <s v="19-25"/>
    <m/>
    <x v="0"/>
    <m/>
    <s v="USA"/>
    <m/>
  </r>
  <r>
    <d v="2018-11-15T20:18:38"/>
    <s v="Gameplay, Collecting Cards/Masters"/>
    <s v="Duo"/>
    <s v="Avatars"/>
    <s v="No"/>
    <m/>
    <s v="I've not made a purchase"/>
    <m/>
    <m/>
    <s v="Stormbringer"/>
    <m/>
    <m/>
    <m/>
    <s v="Silver"/>
    <m/>
    <s v="5-25"/>
    <m/>
    <x v="4"/>
    <m/>
    <s v="Daily"/>
    <m/>
    <s v="Neither"/>
    <m/>
    <s v="Male"/>
    <m/>
    <s v="over 36"/>
    <m/>
    <x v="0"/>
    <m/>
    <s v="I prefer not to say"/>
    <m/>
  </r>
  <r>
    <d v="2018-11-15T20:28:20"/>
    <s v="Gameplay"/>
    <s v="Solo, Duo"/>
    <s v="Arenas"/>
    <s v="No"/>
    <m/>
    <s v="Yes"/>
    <s v="not rly sorry"/>
    <m/>
    <s v="King Puff"/>
    <m/>
    <s v="His abilities"/>
    <m/>
    <s v="Grandmaster"/>
    <m/>
    <s v="25-100"/>
    <m/>
    <x v="669"/>
    <m/>
    <s v="Daily"/>
    <m/>
    <s v="Stream"/>
    <m/>
    <s v="Male"/>
    <m/>
    <s v="19-25"/>
    <m/>
    <x v="1"/>
    <m/>
    <s v="France"/>
    <m/>
  </r>
  <r>
    <d v="2018-11-15T20:35:23"/>
    <s v="Gameplay, Collecting Cards/Masters"/>
    <s v="Duo, Expeditions"/>
    <s v="Avatars"/>
    <s v="Yes"/>
    <s v="First special deals were worth it."/>
    <s v="Yes"/>
    <s v="Heal puff; Blind Date; Xiao Long; Incubus; Fire Imp"/>
    <m/>
    <s v="Ravager"/>
    <m/>
    <s v="Cool perks"/>
    <m/>
    <s v="Gold"/>
    <m/>
    <s v="5-25"/>
    <m/>
    <x v="670"/>
    <m/>
    <s v="Daily"/>
    <m/>
    <s v="Neither"/>
    <m/>
    <s v="Male"/>
    <m/>
    <s v="26-35"/>
    <m/>
    <x v="0"/>
    <m/>
    <s v="Germany"/>
    <m/>
  </r>
  <r>
    <d v="2018-11-15T20:43:17"/>
    <s v="Gameplay, Feel/theme"/>
    <s v="Solo, Duo, Premade Duo"/>
    <s v="Avatars"/>
    <s v="No"/>
    <m/>
    <s v="I've not made a purchase"/>
    <s v="Demon Warrior, Succubus, Spiritmancer, Guardian, Arcane Golem"/>
    <m/>
    <s v="Milloween"/>
    <m/>
    <s v="I am a sucker for a spell based control gameplay"/>
    <m/>
    <s v="Gold"/>
    <m/>
    <s v="5-25"/>
    <m/>
    <x v="671"/>
    <m/>
    <s v="Daily"/>
    <m/>
    <s v="Neither"/>
    <m/>
    <s v="Male"/>
    <m/>
    <s v="26-35"/>
    <m/>
    <x v="0"/>
    <m/>
    <s v="Bulgaria"/>
    <m/>
  </r>
  <r>
    <d v="2018-11-15T20:45:25"/>
    <s v="Gameplay"/>
    <s v="Duo, Premade Duo"/>
    <s v="Arenas, Emotes"/>
    <s v="No"/>
    <m/>
    <s v="I've not made a purchase"/>
    <m/>
    <m/>
    <s v="Mordar"/>
    <m/>
    <m/>
    <m/>
    <s v="Gold"/>
    <m/>
    <s v="25-100"/>
    <m/>
    <x v="672"/>
    <m/>
    <s v="Daily"/>
    <m/>
    <s v="Neither"/>
    <m/>
    <s v="Female"/>
    <m/>
    <s v="19-25"/>
    <m/>
    <x v="1"/>
    <m/>
    <s v="Bulgaria"/>
    <m/>
  </r>
  <r>
    <d v="2018-11-15T20:50:04"/>
    <s v="Gameplay, Graphics, Collecting Cards/Masters"/>
    <s v="Solo, Premade Duo"/>
    <s v="Master Skins, Arenas"/>
    <s v="Yes"/>
    <s v="Season Pass, customizations"/>
    <s v="Yes"/>
    <s v="Too difficult to answer"/>
    <m/>
    <s v="Milloween"/>
    <m/>
    <s v="Abilities and Aesthetic"/>
    <m/>
    <s v="Gold"/>
    <m/>
    <s v="25-100"/>
    <m/>
    <x v="4"/>
    <m/>
    <s v="Daily"/>
    <m/>
    <s v="Watch"/>
    <m/>
    <s v="Male"/>
    <m/>
    <s v="19-25"/>
    <m/>
    <x v="2"/>
    <m/>
    <s v="United Kingdom"/>
    <m/>
  </r>
  <r>
    <d v="2018-11-15T20:50:59"/>
    <s v="It being a fun, fast game I can play with my friend. Graphics could be better. More cards would be nice. Less overpowered and basically essential cards would be nice too. And I know it's stupid and can't work, but 3v3 would be hilarious."/>
    <s v="Premade Duo, Draft"/>
    <s v="Arenas"/>
    <s v="Yes"/>
    <s v="Because I feel like I would be missing out way too much since the game is pretty pay to win."/>
    <s v="No"/>
    <s v="cards I like because they are fun, but just suck. 1. Future Past. 2.Future Present. Normal cards: 3. Spirit Mancer 4. Beam of Doom 5. Scott because he is funny.  "/>
    <m/>
    <m/>
    <m/>
    <s v="I don't really do cheesy bullshit masters, but Apep is the most fun because of the random cards he gets. I don't think it matches his character though, but whatever, maybe it does."/>
    <m/>
    <s v="Diamond"/>
    <m/>
    <s v="25-100"/>
    <m/>
    <x v="673"/>
    <m/>
    <s v="Daily"/>
    <m/>
    <s v="Neither"/>
    <m/>
    <s v="Male"/>
    <m/>
    <s v="19-25"/>
    <m/>
    <x v="0"/>
    <m/>
    <s v="USA"/>
    <m/>
  </r>
  <r>
    <d v="2018-11-15T21:12:35"/>
    <s v="Gameplay, Collecting Cards/Masters"/>
    <s v="Solo, Premade Duo, Draft"/>
    <m/>
    <s v="Yes"/>
    <s v="For the prenium pass and battle pass"/>
    <s v="Yes"/>
    <s v="Ghoul (legendary), hypnose, rammer, divine warrior and the defenser "/>
    <m/>
    <s v="King Puff"/>
    <m/>
    <s v="He can change the match with a good transfert"/>
    <m/>
    <s v="Grandmaster"/>
    <m/>
    <s v="100-200"/>
    <m/>
    <x v="674"/>
    <m/>
    <s v="Daily"/>
    <m/>
    <s v="Watch"/>
    <m/>
    <s v="Male"/>
    <m/>
    <s v="26-35"/>
    <m/>
    <x v="0"/>
    <m/>
    <s v="France"/>
    <m/>
  </r>
  <r>
    <d v="2018-11-15T21:14:48"/>
    <s v="Gameplay"/>
    <s v="Solo, Duo, Draft"/>
    <s v="Master Skins, Arenas, Avatars"/>
    <s v="Yes"/>
    <s v="To buy cards and to thank you for this good game."/>
    <s v="Yes"/>
    <s v="guerrier, canon sur roue, annihilateur,guerrier divin, scrat tourniquet"/>
    <m/>
    <s v="Ravager"/>
    <m/>
    <s v="the 3 skills"/>
    <m/>
    <s v="Gold"/>
    <m/>
    <s v="25-100"/>
    <m/>
    <x v="675"/>
    <m/>
    <s v="3-4 times a week"/>
    <m/>
    <s v="Neither"/>
    <m/>
    <s v="Male"/>
    <m/>
    <s v="26-35"/>
    <m/>
    <x v="0"/>
    <m/>
    <s v="France"/>
    <m/>
  </r>
  <r>
    <d v="2018-11-15T21:18:32"/>
    <s v="Gameplay, Collecting Cards/Masters"/>
    <s v="Duo, Premade Duo"/>
    <s v="Avatars"/>
    <s v="No"/>
    <m/>
    <s v="I've not made a purchase"/>
    <s v="Assasin, Fire Imp, rammer,  and idk"/>
    <m/>
    <s v="Ravager"/>
    <m/>
    <s v="suck at anything else lol"/>
    <m/>
    <s v="Gold"/>
    <m/>
    <m/>
    <m/>
    <x v="4"/>
    <m/>
    <s v="Daily"/>
    <m/>
    <s v="Watch"/>
    <m/>
    <s v="Male"/>
    <m/>
    <s v="14-18"/>
    <m/>
    <x v="1"/>
    <m/>
    <s v="Ireland"/>
    <m/>
  </r>
  <r>
    <d v="2018-11-15T21:20:47"/>
    <s v="Gameplay, Collecting Cards/Masters, Competitions/Tournaments"/>
    <s v="Premade Duo, Expeditions, Mayhem Duo"/>
    <s v="Arenas"/>
    <s v="No"/>
    <m/>
    <s v="I've not made a purchase"/>
    <s v="Incubus-cleaver-spirit infusion-battle shi hou--dragon ball"/>
    <m/>
    <s v="Stormbringer"/>
    <m/>
    <s v="Long Range"/>
    <m/>
    <s v="Gold"/>
    <m/>
    <s v="25-100"/>
    <m/>
    <x v="156"/>
    <m/>
    <s v="5-6 times a week"/>
    <m/>
    <s v="Watch"/>
    <m/>
    <s v="Male"/>
    <m/>
    <s v="19-25"/>
    <m/>
    <x v="0"/>
    <m/>
    <s v="Egypt"/>
    <m/>
  </r>
  <r>
    <d v="2018-11-15T21:22:23"/>
    <s v="Gameplay, Graphics, Collecting Cards/Masters"/>
    <s v="Duo, Premade Duo, Expeditions"/>
    <s v="Master Skins, Avatars"/>
    <s v="Yes"/>
    <s v="To get Battle Pass"/>
    <s v="Yes"/>
    <s v="Flightless Dragons, Propeller Horde, Crystal Construct, Sniper Scrat, Stun Lancers"/>
    <m/>
    <s v="King Puff"/>
    <m/>
    <s v="The design and skins"/>
    <m/>
    <s v="Gold"/>
    <m/>
    <s v="25-100"/>
    <m/>
    <x v="676"/>
    <m/>
    <s v="Daily"/>
    <m/>
    <s v="Watch, Stream"/>
    <m/>
    <s v="Female"/>
    <m/>
    <s v="19-25"/>
    <m/>
    <x v="0"/>
    <m/>
    <s v="USA"/>
    <m/>
  </r>
  <r>
    <d v="2018-11-15T21:25:09"/>
    <s v="Gameplay"/>
    <s v="Solo, Duo, Premade Duo, Mayhem Solo, Mayhem Duo"/>
    <s v="Emotes"/>
    <s v="No"/>
    <m/>
    <s v="I've not made a purchase"/>
    <s v="Incubus, Succubus, Illusory Cleaver, Re-Boomer, Mana Puff"/>
    <m/>
    <s v="Volco"/>
    <m/>
    <s v="Face damage"/>
    <m/>
    <s v="Grandmaster"/>
    <m/>
    <s v="100-200"/>
    <m/>
    <x v="677"/>
    <m/>
    <s v="Daily"/>
    <m/>
    <s v="Neither"/>
    <m/>
    <s v="Male"/>
    <m/>
    <s v="19-25"/>
    <m/>
    <x v="1"/>
    <m/>
    <s v="Argentina"/>
    <m/>
  </r>
  <r>
    <d v="2018-11-15T21:28:35"/>
    <s v="Gameplay"/>
    <s v="Solo, Expeditions, Mayhem Solo"/>
    <s v="Master Skins"/>
    <s v="Yes"/>
    <s v="get cards and other offers"/>
    <s v="Yes"/>
    <m/>
    <m/>
    <s v="Stormbringer"/>
    <m/>
    <s v="starting master"/>
    <m/>
    <s v="Platinum"/>
    <m/>
    <s v="100-200"/>
    <m/>
    <x v="678"/>
    <m/>
    <s v="Daily"/>
    <m/>
    <s v="Neither"/>
    <m/>
    <s v="Male"/>
    <m/>
    <s v="over 36"/>
    <m/>
    <x v="0"/>
    <m/>
    <s v="Sweden"/>
    <m/>
  </r>
  <r>
    <d v="2018-11-15T21:34:11"/>
    <s v="Gameplay, Collecting Cards/Masters"/>
    <s v="Duo, Expeditions, Mayhem Duo"/>
    <s v="Master Skins, Emotes"/>
    <s v="No"/>
    <m/>
    <s v="I've not made a purchase"/>
    <m/>
    <m/>
    <s v="King Puff"/>
    <m/>
    <m/>
    <m/>
    <s v="Master"/>
    <m/>
    <s v="200-1000"/>
    <m/>
    <x v="4"/>
    <m/>
    <s v="3-4 times a week"/>
    <m/>
    <s v="Watch"/>
    <m/>
    <s v="Male"/>
    <m/>
    <s v="14-18"/>
    <m/>
    <x v="1"/>
    <m/>
    <s v="I prefer not to say"/>
    <m/>
  </r>
  <r>
    <d v="2018-11-15T21:42:08"/>
    <s v="Gameplay, Collecting Cards/Masters"/>
    <s v="Premade Duo, Expeditions"/>
    <s v="Master Skins"/>
    <s v="No"/>
    <m/>
    <s v="I've not made a purchase"/>
    <s v="Annihilator, Prowler, Divine Warrior, Plasma Marines, Spiritmancer"/>
    <m/>
    <s v="Ratbo"/>
    <m/>
    <s v="He's hilarious. I've never played him but he's so much fun to see and hear."/>
    <m/>
    <s v="Bronze"/>
    <m/>
    <s v="5-25"/>
    <m/>
    <x v="679"/>
    <m/>
    <s v="Daily"/>
    <m/>
    <s v="Stream"/>
    <m/>
    <s v="Male"/>
    <m/>
    <s v="19-25"/>
    <m/>
    <x v="1"/>
    <m/>
    <s v="Canada"/>
    <m/>
  </r>
  <r>
    <d v="2018-11-15T21:57:13"/>
    <s v="Gameplay"/>
    <s v="Solo"/>
    <s v="Master Skins"/>
    <s v="No"/>
    <m/>
    <s v="I've not made a purchase"/>
    <m/>
    <m/>
    <s v="Milloween"/>
    <m/>
    <m/>
    <m/>
    <s v="Platinum"/>
    <m/>
    <s v="5-25"/>
    <m/>
    <x v="4"/>
    <m/>
    <s v="5-6 times a week"/>
    <m/>
    <s v="Watch"/>
    <m/>
    <s v="Male"/>
    <m/>
    <s v="19-25"/>
    <m/>
    <x v="0"/>
    <m/>
    <s v="I prefer not to say"/>
    <m/>
  </r>
  <r>
    <d v="2018-11-15T22:01:35"/>
    <s v="Gameplay, Graphics"/>
    <s v="Duo, Premade Duo"/>
    <s v="Arenas"/>
    <s v="No"/>
    <m/>
    <s v="I've not made a purchase"/>
    <s v="I have the game in spanish but I will try do correct translation: 1- Anikilator. 2-Stunning stunners. 3-Imp of fire. 4-Holy warrior- 5-Lightning in chain."/>
    <m/>
    <s v="Milloween"/>
    <m/>
    <s v="Spells and basic attack."/>
    <m/>
    <s v="Platinum"/>
    <m/>
    <s v="5-25"/>
    <m/>
    <x v="680"/>
    <m/>
    <s v="Daily"/>
    <m/>
    <s v="Neither"/>
    <m/>
    <s v="Male"/>
    <m/>
    <s v="19-25"/>
    <m/>
    <x v="1"/>
    <m/>
    <s v="Denmark"/>
    <m/>
  </r>
  <r>
    <d v="2018-11-15T22:07:47"/>
    <s v="Gameplay"/>
    <s v="Solo"/>
    <s v="Master Skins"/>
    <s v="Yes"/>
    <s v="chest"/>
    <s v="Yes"/>
    <m/>
    <m/>
    <s v="Stormbringer"/>
    <m/>
    <m/>
    <m/>
    <s v="Stone"/>
    <m/>
    <s v="5-25"/>
    <m/>
    <x v="4"/>
    <m/>
    <s v="3-4 times a week"/>
    <m/>
    <s v="Neither"/>
    <m/>
    <s v="Male"/>
    <m/>
    <s v="over 36"/>
    <m/>
    <x v="0"/>
    <m/>
    <s v="USA"/>
    <m/>
  </r>
  <r>
    <d v="2018-11-15T22:20:59"/>
    <s v="Gameplay, Graphics, Collecting Cards/Masters, Its world"/>
    <s v="Solo, Duo"/>
    <s v="Master Skins, Arenas"/>
    <s v="No"/>
    <m/>
    <s v="I've not made a purchase"/>
    <s v="Divine Warrior, Stun Lancers, Spear Throwers, Scott, Archer Guild"/>
    <m/>
    <s v="Stormbringer"/>
    <m/>
    <s v="Broken"/>
    <m/>
    <s v="Platinum"/>
    <m/>
    <s v="25-100"/>
    <m/>
    <x v="681"/>
    <m/>
    <s v="Daily"/>
    <m/>
    <s v="Watch"/>
    <m/>
    <s v="Male"/>
    <m/>
    <s v="19-25"/>
    <m/>
    <x v="1"/>
    <m/>
    <s v="Hungary"/>
    <m/>
  </r>
  <r>
    <d v="2018-11-15T22:22:39"/>
    <s v="Graphics"/>
    <s v="Solo, Duo"/>
    <s v="Arenas"/>
    <s v="No"/>
    <m/>
    <s v="I've not made a purchase"/>
    <s v="no"/>
    <m/>
    <s v="King Puff"/>
    <m/>
    <s v="looks cool"/>
    <m/>
    <s v="Stone"/>
    <m/>
    <s v="5-25"/>
    <m/>
    <x v="682"/>
    <m/>
    <s v="Daily"/>
    <m/>
    <s v="Watch"/>
    <m/>
    <s v="Male"/>
    <m/>
    <s v="19-25"/>
    <m/>
    <x v="3"/>
    <m/>
    <s v="The Netherlands"/>
    <m/>
  </r>
  <r>
    <d v="2018-11-15T22:23:04"/>
    <s v="Collecting Cards/Masters"/>
    <s v="Premade Duo"/>
    <s v="Master Skins"/>
    <s v="Yes"/>
    <s v="was feeling kinda gimped and wanted the battle pass so i could maybe get something that would help... still feel gimped..."/>
    <s v="Yes"/>
    <s v="chain lightening, crossbow guild, blind date, walking blind date and defenseo chopper or whatever it's called"/>
    <m/>
    <s v="Apep"/>
    <m/>
    <s v="free shit"/>
    <m/>
    <s v="Platinum"/>
    <m/>
    <s v="25-100"/>
    <m/>
    <x v="4"/>
    <m/>
    <s v="Daily"/>
    <m/>
    <s v="Neither"/>
    <m/>
    <s v="Male"/>
    <m/>
    <s v="26-35"/>
    <m/>
    <x v="3"/>
    <m/>
    <s v="USA"/>
    <m/>
  </r>
  <r>
    <d v="2018-11-15T22:23:34"/>
    <s v="Gameplay"/>
    <s v="Premade Duo"/>
    <s v="Avatars"/>
    <s v="No"/>
    <m/>
    <s v="I've not made a purchase"/>
    <m/>
    <m/>
    <s v="Stormbringer"/>
    <m/>
    <s v="Easy"/>
    <m/>
    <s v="Gold"/>
    <m/>
    <s v="5-25"/>
    <m/>
    <x v="4"/>
    <m/>
    <s v="3-4 times a week"/>
    <m/>
    <s v="Neither"/>
    <m/>
    <s v="Male"/>
    <m/>
    <s v="I prefer not to say"/>
    <m/>
    <x v="1"/>
    <m/>
    <s v="Spain"/>
    <m/>
  </r>
  <r>
    <d v="2018-11-15T22:30:28"/>
    <s v="Gameplay, Graphics"/>
    <s v="Duo"/>
    <s v="Master Skins"/>
    <s v="No"/>
    <m/>
    <s v="I've not made a purchase"/>
    <m/>
    <m/>
    <s v="Milloween"/>
    <m/>
    <s v="sexy xD"/>
    <m/>
    <s v="Gold"/>
    <m/>
    <s v="25-100"/>
    <m/>
    <x v="683"/>
    <m/>
    <s v="Daily"/>
    <m/>
    <s v="Watch"/>
    <m/>
    <s v="Male"/>
    <m/>
    <s v="19-25"/>
    <m/>
    <x v="1"/>
    <m/>
    <s v="Serbia"/>
    <m/>
  </r>
  <r>
    <d v="2018-11-15T22:37:10"/>
    <s v="Gameplay"/>
    <s v="Premade Duo"/>
    <s v="Arenas"/>
    <s v="No"/>
    <m/>
    <s v="I've not made a purchase"/>
    <m/>
    <m/>
    <s v="Stormbringer"/>
    <m/>
    <s v="He is easy to use, and I have not unlocked any other yet."/>
    <m/>
    <s v="Bronze"/>
    <m/>
    <s v="0-5"/>
    <m/>
    <x v="684"/>
    <m/>
    <s v="Daily"/>
    <m/>
    <s v="Neither"/>
    <m/>
    <s v="Male"/>
    <m/>
    <s v="14-18"/>
    <m/>
    <x v="1"/>
    <m/>
    <s v="USA"/>
    <m/>
  </r>
  <r>
    <d v="2018-11-15T22:57:27"/>
    <s v="Gameplay, Graphics"/>
    <s v="Solo, Premade Duo, Expeditions"/>
    <s v="Master Skins, Arenas"/>
    <s v="No"/>
    <m/>
    <s v="I've not made a purchase"/>
    <s v="Succubus, Incubus, Shars'Rakk Twins, Crystal Archers, Chain Lightning"/>
    <m/>
    <s v="Milloween"/>
    <m/>
    <s v="She's an elf, the magic is just a good bonus."/>
    <m/>
    <s v="Gold"/>
    <m/>
    <s v="5-25"/>
    <m/>
    <x v="685"/>
    <m/>
    <s v="Daily"/>
    <m/>
    <s v="Watch"/>
    <m/>
    <s v="Male"/>
    <m/>
    <s v="19-25"/>
    <m/>
    <x v="1"/>
    <m/>
    <s v="Finland"/>
    <m/>
  </r>
  <r>
    <d v="2018-11-15T23:01:34"/>
    <s v="Gameplay, Crafting system"/>
    <s v="Duo, Premade Duo, Draft, Mayhem Duo"/>
    <s v="Master Skins"/>
    <s v="No"/>
    <m/>
    <s v="I've not made a purchase"/>
    <m/>
    <m/>
    <s v="Settsu"/>
    <m/>
    <s v="cant explain just love it"/>
    <m/>
    <s v="Silver"/>
    <m/>
    <s v="25-100"/>
    <m/>
    <x v="4"/>
    <m/>
    <s v="1-2 times a week"/>
    <m/>
    <s v="Watch"/>
    <m/>
    <s v="I prefer not to say"/>
    <m/>
    <s v="14-18"/>
    <m/>
    <x v="1"/>
    <m/>
    <s v="USA"/>
    <m/>
  </r>
  <r>
    <d v="2018-11-15T23:08:26"/>
    <s v="Gameplay"/>
    <s v="Duo, Draft"/>
    <m/>
    <s v="No"/>
    <s v="Not worth it"/>
    <s v="I've not made a purchase"/>
    <s v="Dragonball, Commander Azali, Defenso Chopper,  Blue Golem, All Sniper Scrats"/>
    <m/>
    <s v="Mordar"/>
    <m/>
    <s v="0 cost buildings function as walls"/>
    <m/>
    <s v="Gold"/>
    <m/>
    <s v="5-25"/>
    <m/>
    <x v="686"/>
    <m/>
    <s v="Daily"/>
    <m/>
    <s v="Watch"/>
    <m/>
    <s v="Male"/>
    <m/>
    <s v="26-35"/>
    <m/>
    <x v="2"/>
    <m/>
    <s v="USA"/>
    <m/>
  </r>
  <r>
    <d v="2018-11-15T23:10:47"/>
    <s v="Gameplay"/>
    <s v="Solo, Expeditions"/>
    <s v="Emotes"/>
    <s v="No"/>
    <m/>
    <s v="I've not made a purchase"/>
    <s v="blind date, blue golem, exterminator, incubus, dagger storm"/>
    <m/>
    <s v="Stormbringer"/>
    <m/>
    <s v="because i like the global range he gets"/>
    <m/>
    <s v="Bronze"/>
    <m/>
    <s v="0-5"/>
    <m/>
    <x v="687"/>
    <m/>
    <s v="Daily"/>
    <m/>
    <s v="Watch"/>
    <m/>
    <s v="Male"/>
    <m/>
    <s v="14-18"/>
    <m/>
    <x v="1"/>
    <m/>
    <s v="The Netherlands"/>
    <m/>
  </r>
  <r>
    <d v="2018-11-15T23:14:06"/>
    <s v="Gameplay, Collecting Cards/Masters"/>
    <s v="Solo, Expeditions"/>
    <s v="Master Skins, Arenas"/>
    <s v="Yes"/>
    <s v="buy skins"/>
    <s v="Yes"/>
    <m/>
    <m/>
    <s v="Milloween"/>
    <m/>
    <s v="nicest and female"/>
    <m/>
    <s v="Diamond"/>
    <m/>
    <s v="100-200"/>
    <m/>
    <x v="4"/>
    <m/>
    <s v="Daily"/>
    <m/>
    <s v="Neither"/>
    <m/>
    <s v="Female"/>
    <m/>
    <s v="over 36"/>
    <m/>
    <x v="2"/>
    <m/>
    <s v="Ireland"/>
    <m/>
  </r>
  <r>
    <d v="2018-11-15T23:15:46"/>
    <s v="Gameplay, Graphics"/>
    <s v="Solo, Duo"/>
    <s v="Arenas, Emotes"/>
    <s v="No"/>
    <m/>
    <s v="I've not made a purchase"/>
    <m/>
    <m/>
    <s v="Ravager"/>
    <m/>
    <m/>
    <m/>
    <s v="Silver"/>
    <m/>
    <s v="5-25"/>
    <m/>
    <x v="688"/>
    <m/>
    <s v="3-4 times a week"/>
    <m/>
    <s v="Watch"/>
    <m/>
    <s v="I prefer not to say"/>
    <m/>
    <s v="I prefer not to say"/>
    <m/>
    <x v="1"/>
    <m/>
    <s v="USA"/>
    <m/>
  </r>
  <r>
    <d v="2018-11-15T23:17:05"/>
    <s v="Gameplay, Collecting Cards/Masters"/>
    <s v="Duo, Premade Duo"/>
    <s v="Avatars"/>
    <s v="No"/>
    <m/>
    <s v="I've not made a purchase"/>
    <s v="Netherstep,Fire imp, Rammer,Colossus,Beam of doom"/>
    <m/>
    <s v="Mordar"/>
    <m/>
    <s v="Tombstones"/>
    <m/>
    <s v="Diamond"/>
    <m/>
    <s v="25-100"/>
    <m/>
    <x v="689"/>
    <m/>
    <s v="Daily"/>
    <m/>
    <s v="Neither"/>
    <m/>
    <s v="Male"/>
    <m/>
    <s v="26-35"/>
    <m/>
    <x v="0"/>
    <m/>
    <s v="Italy"/>
    <m/>
  </r>
  <r>
    <d v="2018-11-15T23:27:30"/>
    <s v="Gameplay"/>
    <s v="Duo, Draft, Mayhem Duo"/>
    <s v="Master Skins"/>
    <s v="No"/>
    <m/>
    <s v="I've not made a purchase"/>
    <m/>
    <m/>
    <s v="Apep"/>
    <m/>
    <m/>
    <m/>
    <s v="Gold"/>
    <m/>
    <s v="25-100"/>
    <m/>
    <x v="4"/>
    <m/>
    <s v="Daily"/>
    <m/>
    <s v="Neither"/>
    <m/>
    <s v="Male"/>
    <m/>
    <s v="over 36"/>
    <m/>
    <x v="0"/>
    <m/>
    <s v="I prefer not to say"/>
    <m/>
  </r>
  <r>
    <d v="2018-11-15T23:36:15"/>
    <s v="Gameplay, Collecting Cards/Masters"/>
    <s v="Duo, Premade Duo"/>
    <s v="Master Skins, Emotes"/>
    <s v="Yes"/>
    <s v="battle pass"/>
    <s v="Yes"/>
    <s v="lightning bolt, infiltration, blastmancer, collossus, harbinger"/>
    <m/>
    <s v="Stormbringer"/>
    <m/>
    <s v="like his longshot perk"/>
    <m/>
    <s v="Gold"/>
    <m/>
    <s v="5-25"/>
    <m/>
    <x v="4"/>
    <m/>
    <s v="5-6 times a week"/>
    <m/>
    <s v="Neither"/>
    <m/>
    <s v="I prefer not to say"/>
    <m/>
    <s v="26-35"/>
    <m/>
    <x v="2"/>
    <m/>
    <s v="I prefer not to say"/>
    <m/>
  </r>
  <r>
    <d v="2018-11-15T23:37:20"/>
    <s v="Gameplay, Graphics, Collecting Cards/Masters, Competitions/Tournaments, Crafting system"/>
    <s v="Solo, Duo"/>
    <s v="Master Skins, Emotes"/>
    <s v="Yes"/>
    <s v="avoir des cartes plus facilement au début du jeu quand on commence"/>
    <s v="Yes"/>
    <m/>
    <m/>
    <s v="Volco"/>
    <m/>
    <s v="à l'époque il avait une compétence marrante mais plus maintenant"/>
    <m/>
    <s v="Grandmaster"/>
    <m/>
    <s v="200-1000"/>
    <m/>
    <x v="4"/>
    <m/>
    <s v="Daily"/>
    <m/>
    <s v="Neither"/>
    <m/>
    <s v="Male"/>
    <m/>
    <s v="19-25"/>
    <m/>
    <x v="0"/>
    <m/>
    <s v="France"/>
    <m/>
  </r>
  <r>
    <d v="2018-11-15T23:42:07"/>
    <s v="Collecting Cards/Masters, Competitions/Tournaments, tower defense and quick games. "/>
    <s v="Solo, Duo"/>
    <s v="Arenas"/>
    <s v="No"/>
    <m/>
    <s v="I've not made a purchase"/>
    <s v="harbinger, healing shrine, heal puff, sniper scrat"/>
    <m/>
    <s v="Volco"/>
    <m/>
    <s v="the fire bridge. "/>
    <m/>
    <s v="Silver"/>
    <m/>
    <s v="5-25"/>
    <m/>
    <x v="690"/>
    <m/>
    <s v="5-6 times a week"/>
    <m/>
    <s v="Watch"/>
    <m/>
    <s v="Female"/>
    <m/>
    <s v="26-35"/>
    <m/>
    <x v="0"/>
    <m/>
    <s v="USA"/>
    <m/>
  </r>
  <r>
    <d v="2018-11-15T23:43:45"/>
    <s v="Gameplay, Graphics"/>
    <s v="Solo, Duo, Premade Duo, Mayhem Solo, Mayhem Duo"/>
    <s v="Master Skins, Emotes"/>
    <s v="Yes"/>
    <s v="battle pass"/>
    <s v="Yes"/>
    <s v="gardian, succubus, spirit vessel, shocking rock, infiltration"/>
    <m/>
    <s v="Mordar"/>
    <m/>
    <s v="Because it's the best to defend the tower against scrats and rammer with tombstone"/>
    <m/>
    <s v="Master"/>
    <m/>
    <s v="200-1000"/>
    <m/>
    <x v="691"/>
    <m/>
    <s v="Daily"/>
    <m/>
    <m/>
    <m/>
    <s v="Male"/>
    <m/>
    <s v="19-25"/>
    <m/>
    <x v="1"/>
    <m/>
    <s v="France"/>
    <m/>
  </r>
  <r>
    <d v="2018-11-16T00:08:00"/>
    <s v="Gameplay, Collecting Cards/Masters"/>
    <s v="Solo, Duo"/>
    <s v="Master Skins"/>
    <s v="No"/>
    <m/>
    <s v="I've not made a purchase"/>
    <m/>
    <m/>
    <s v="Mordar"/>
    <m/>
    <m/>
    <m/>
    <m/>
    <m/>
    <s v="25-100"/>
    <m/>
    <x v="4"/>
    <m/>
    <s v="Daily"/>
    <m/>
    <s v="Neither"/>
    <m/>
    <s v="Male"/>
    <m/>
    <s v="26-35"/>
    <m/>
    <x v="2"/>
    <m/>
    <s v="I prefer not to say"/>
    <m/>
  </r>
  <r>
    <d v="2018-11-16T00:08:51"/>
    <s v="Gameplay"/>
    <s v="Solo, Draft"/>
    <s v="Emotes"/>
    <s v="No"/>
    <m/>
    <s v="I've not made a purchase"/>
    <s v="Archer's guild, and the legendaries are cool."/>
    <m/>
    <s v="Stormbringer"/>
    <m/>
    <s v="I started with him and I got a new deck."/>
    <m/>
    <s v="Platinum"/>
    <m/>
    <s v="0-5"/>
    <m/>
    <x v="593"/>
    <m/>
    <s v="Daily"/>
    <m/>
    <s v="Neither"/>
    <m/>
    <s v="Male"/>
    <m/>
    <s v="14-18"/>
    <m/>
    <x v="1"/>
    <m/>
    <s v="USA"/>
    <m/>
  </r>
  <r>
    <d v="2018-11-16T00:11:00"/>
    <s v="Gameplay"/>
    <s v="Duo"/>
    <s v="Emotes"/>
    <s v="Yes"/>
    <s v="Battlepass"/>
    <s v="Yes"/>
    <s v="Priestess, Bannerman, Commander Azali, Guardian, prowler"/>
    <m/>
    <s v="Milloween"/>
    <m/>
    <s v="She is a fun hero to play that feels much different to the rest"/>
    <m/>
    <s v="Master"/>
    <m/>
    <s v="200-1000"/>
    <m/>
    <x v="692"/>
    <m/>
    <s v="Daily"/>
    <m/>
    <s v="Watch, Stream"/>
    <m/>
    <s v="Male"/>
    <m/>
    <s v="19-25"/>
    <m/>
    <x v="0"/>
    <m/>
    <s v="Australia"/>
    <m/>
  </r>
  <r>
    <d v="2018-11-16T00:12:19"/>
    <s v="Gameplay, Graphics"/>
    <s v="Duo"/>
    <s v="Arenas"/>
    <s v="No"/>
    <m/>
    <s v="I've not made a purchase"/>
    <m/>
    <m/>
    <s v="Ravager"/>
    <m/>
    <s v="the arcane golem is sort of useful for push"/>
    <m/>
    <s v="Bronze"/>
    <m/>
    <s v="5-25"/>
    <m/>
    <x v="16"/>
    <m/>
    <s v="3-4 times a week"/>
    <m/>
    <s v="Neither"/>
    <m/>
    <s v="Male"/>
    <m/>
    <s v="14-18"/>
    <m/>
    <x v="1"/>
    <m/>
    <s v="Canada"/>
    <m/>
  </r>
  <r>
    <d v="2018-11-16T00:14:52"/>
    <s v="Gameplay, Collecting Cards/Masters"/>
    <s v="Solo, Mayhem Solo"/>
    <s v="Master Skins"/>
    <s v="No"/>
    <s v="When I do it will be for the battlepass, granted it has viable loot"/>
    <s v="I've not made a purchase"/>
    <s v="Crystal Archers and Crystal Archers behind Crystal archers with a statue in front ;p"/>
    <m/>
    <s v="Stormbringer"/>
    <m/>
    <s v="I like trading with low cost ranged units "/>
    <m/>
    <s v="Platinum"/>
    <m/>
    <s v="5-25"/>
    <m/>
    <x v="693"/>
    <m/>
    <s v="Daily"/>
    <m/>
    <s v="Watch"/>
    <m/>
    <s v="Male"/>
    <m/>
    <s v="14-18"/>
    <m/>
    <x v="1"/>
    <m/>
    <s v="Canada"/>
    <m/>
  </r>
  <r>
    <d v="2018-11-16T00:15:18"/>
    <s v="Gameplay"/>
    <s v="Duo"/>
    <s v="Master Skins"/>
    <s v="Yes"/>
    <s v="battle pass"/>
    <s v="Yes"/>
    <m/>
    <m/>
    <s v="Mordar"/>
    <m/>
    <m/>
    <m/>
    <s v="Grandmaster"/>
    <m/>
    <s v="200-1000"/>
    <m/>
    <x v="4"/>
    <m/>
    <s v="5-6 times a week"/>
    <m/>
    <s v="Watch"/>
    <m/>
    <s v="Male"/>
    <m/>
    <s v="26-35"/>
    <m/>
    <x v="0"/>
    <m/>
    <s v="New Zealand"/>
    <m/>
  </r>
  <r>
    <d v="2018-11-16T00:18:43"/>
    <s v="Gameplay, Collecting Cards/Masters"/>
    <s v="Solo, Premade Duo"/>
    <s v="Master Skins"/>
    <s v="Yes"/>
    <s v="Premium, Skin bundle"/>
    <s v="Yes"/>
    <s v="Succubus, Commander Azali, Scott the sensitive savage, Soul Stealer, Spiritmancer"/>
    <m/>
    <s v="Mordar"/>
    <m/>
    <s v="I like his synergy with big minions and his style"/>
    <m/>
    <s v="Master"/>
    <m/>
    <s v="100-200"/>
    <m/>
    <x v="4"/>
    <m/>
    <s v="3-4 times a week"/>
    <m/>
    <s v="Neither"/>
    <m/>
    <s v="Male"/>
    <m/>
    <s v="26-35"/>
    <m/>
    <x v="0"/>
    <m/>
    <s v="Germany"/>
    <m/>
  </r>
  <r>
    <d v="2018-11-16T00:19:55"/>
    <s v="Gameplay"/>
    <s v="Duo, Premade Duo"/>
    <s v="Arenas"/>
    <s v="Yes"/>
    <m/>
    <s v="Yes"/>
    <m/>
    <m/>
    <s v="Volco"/>
    <m/>
    <m/>
    <m/>
    <s v="Silver"/>
    <m/>
    <s v="5-25"/>
    <m/>
    <x v="4"/>
    <m/>
    <s v="1-2 times a week"/>
    <m/>
    <s v="Neither"/>
    <m/>
    <s v="Male"/>
    <m/>
    <s v="19-25"/>
    <m/>
    <x v="0"/>
    <m/>
    <s v="Canada"/>
    <m/>
  </r>
  <r>
    <d v="2018-11-16T00:25:46"/>
    <s v="Gameplay"/>
    <s v="Solo, Duo, Premade Duo, Mayhem Solo"/>
    <s v="Master Skins"/>
    <s v="Yes"/>
    <s v="Battle Pass"/>
    <s v="Yes"/>
    <s v="Morghul, assasin, sniper, rammer, plasma marines"/>
    <m/>
    <s v="Stormbringer"/>
    <m/>
    <s v="ranged minion buffs"/>
    <m/>
    <s v="Platinum"/>
    <m/>
    <s v="200-1000"/>
    <m/>
    <x v="4"/>
    <m/>
    <s v="5-6 times a week"/>
    <m/>
    <s v="Neither"/>
    <m/>
    <s v="Male"/>
    <m/>
    <s v="over 36"/>
    <m/>
    <x v="0"/>
    <m/>
    <s v="United Kingdom"/>
    <m/>
  </r>
  <r>
    <d v="2018-11-16T00:34:08"/>
    <s v="Gameplay, Collecting Cards/Masters, Crafting system"/>
    <s v="Solo, Duo, Draft, Mayhem Solo"/>
    <s v="Emotes"/>
    <s v="No"/>
    <m/>
    <s v="I've not made a purchase"/>
    <s v="Colossus, Mogrul, Black Hole, Netherstep, Stun Lancers"/>
    <m/>
    <s v="Apep"/>
    <m/>
    <s v="Free cards"/>
    <m/>
    <s v="Gold"/>
    <m/>
    <s v="25-100"/>
    <m/>
    <x v="4"/>
    <m/>
    <s v="Daily"/>
    <m/>
    <s v="Stream"/>
    <m/>
    <s v="Male"/>
    <m/>
    <s v="19-25"/>
    <m/>
    <x v="0"/>
    <m/>
    <s v="USA"/>
    <m/>
  </r>
  <r>
    <d v="2018-11-16T00:44:41"/>
    <s v="Gameplay"/>
    <s v="Duo"/>
    <s v="Arenas"/>
    <s v="Yes"/>
    <m/>
    <s v="Yes"/>
    <m/>
    <m/>
    <s v="Stormbringer"/>
    <m/>
    <m/>
    <m/>
    <s v="Diamond"/>
    <m/>
    <s v="100-200"/>
    <m/>
    <x v="4"/>
    <m/>
    <s v="Daily"/>
    <m/>
    <s v="Watch"/>
    <m/>
    <s v="Male"/>
    <m/>
    <s v="over 36"/>
    <m/>
    <x v="0"/>
    <m/>
    <s v="I prefer not to say"/>
    <m/>
  </r>
  <r>
    <d v="2018-11-16T00:44:52"/>
    <s v="Gameplay"/>
    <s v="Solo, Premade Duo"/>
    <s v="Master Skins, Avatars"/>
    <s v="Yes"/>
    <s v="Skins &amp; Cards"/>
    <s v="Yes"/>
    <s v="Spear Throwers, Defenso Chopper, Fire Imp, Xiao Long, Assassin  "/>
    <m/>
    <s v="King Puff"/>
    <m/>
    <s v="The design is cute and bridge control is important"/>
    <m/>
    <s v="Gold"/>
    <m/>
    <s v="5-25"/>
    <m/>
    <x v="694"/>
    <m/>
    <s v="Daily"/>
    <m/>
    <s v="Watch"/>
    <m/>
    <s v="Male"/>
    <m/>
    <s v="26-35"/>
    <m/>
    <x v="0"/>
    <m/>
    <s v="USA"/>
    <m/>
  </r>
  <r>
    <d v="2018-11-16T00:57:43"/>
    <s v="Gameplay, Graphics, Collecting Cards/Masters"/>
    <s v="Solo, Duo, Expeditions"/>
    <s v="Master Skins"/>
    <s v="No"/>
    <m/>
    <s v="I've not made a purchase"/>
    <s v="Cleaver, plasma marines, stun lancers, boomer, and lightning bolt"/>
    <m/>
    <s v="Stormbringer"/>
    <m/>
    <s v="I like his passive abilities when he levels up instead of getting actives like most of the other masters."/>
    <m/>
    <s v="Silver"/>
    <m/>
    <s v="25-100"/>
    <m/>
    <x v="4"/>
    <m/>
    <s v="Daily"/>
    <m/>
    <s v="Watch"/>
    <m/>
    <s v="Male"/>
    <m/>
    <s v="19-25"/>
    <m/>
    <x v="0"/>
    <m/>
    <s v="USA"/>
    <m/>
  </r>
  <r>
    <d v="2018-11-16T00:58:56"/>
    <s v="Gameplay, Collecting Cards/Masters"/>
    <s v="Solo, Duo, Premade Duo"/>
    <s v="Avatars"/>
    <s v="No"/>
    <m/>
    <s v="I've not made a purchase"/>
    <m/>
    <m/>
    <s v="Settsu"/>
    <m/>
    <s v="because she works great with my deck"/>
    <m/>
    <s v="Platinum"/>
    <m/>
    <s v="25-100"/>
    <m/>
    <x v="466"/>
    <m/>
    <s v="5-6 times a week"/>
    <m/>
    <s v="Watch, Stream"/>
    <m/>
    <s v="Male"/>
    <m/>
    <s v="14-18"/>
    <m/>
    <x v="1"/>
    <m/>
    <s v="Peru"/>
    <m/>
  </r>
  <r>
    <d v="2018-11-16T01:06:46"/>
    <s v="Gameplay, Graphics, Collecting Cards/Masters"/>
    <s v="Duo, Premade Duo, Expeditions"/>
    <s v="Emotes"/>
    <s v="Yes"/>
    <s v="The card bundles"/>
    <s v="Yes"/>
    <s v="Xiao Long, Plasma Marines, Troubadour, Cursebearer, Call to Arms"/>
    <m/>
    <s v="Ravager"/>
    <m/>
    <s v="Brutus is awesome"/>
    <m/>
    <s v="Platinum"/>
    <m/>
    <s v="5-25"/>
    <m/>
    <x v="695"/>
    <m/>
    <s v="Daily"/>
    <m/>
    <s v="Watch, Stream"/>
    <m/>
    <s v="Male"/>
    <m/>
    <s v="26-35"/>
    <m/>
    <x v="0"/>
    <m/>
    <s v="USA"/>
    <m/>
  </r>
  <r>
    <d v="2018-11-16T01:11:37"/>
    <s v="Gameplay, Graphics, Collecting Cards/Masters"/>
    <s v="Solo, Duo, Premade Duo, Expeditions"/>
    <s v="Master Skins, Arenas, Emotes, Avatars"/>
    <s v="Yes"/>
    <s v="I bought the premium version, it seemed like a good deal."/>
    <s v="Yes"/>
    <s v="Not really"/>
    <m/>
    <s v="Volco"/>
    <m/>
    <s v="He's the most fun!"/>
    <m/>
    <s v="Master"/>
    <m/>
    <s v="200-1000"/>
    <m/>
    <x v="279"/>
    <m/>
    <s v="3-4 times a week"/>
    <m/>
    <s v="Neither"/>
    <m/>
    <s v="Male"/>
    <m/>
    <s v="26-35"/>
    <m/>
    <x v="0"/>
    <m/>
    <s v="Canada"/>
    <m/>
  </r>
  <r>
    <d v="2018-11-16T01:19:24"/>
    <s v="Gameplay, Collecting Cards/Masters"/>
    <s v="Solo, Duo"/>
    <s v="Avatars"/>
    <s v="Yes"/>
    <s v="Masters"/>
    <s v="Yes"/>
    <s v="Xiao Long, Morgrul, Wheel of Doom, Cursebearer, Soulstealer"/>
    <m/>
    <s v="King Puff"/>
    <m/>
    <s v="You can build Decks which are more expensiv and still viable."/>
    <m/>
    <s v="Platinum"/>
    <m/>
    <s v="25-100"/>
    <m/>
    <x v="696"/>
    <m/>
    <s v="5-6 times a week"/>
    <m/>
    <s v="Watch"/>
    <m/>
    <s v="Male"/>
    <m/>
    <s v="19-25"/>
    <m/>
    <x v="2"/>
    <m/>
    <s v="Germany"/>
    <m/>
  </r>
  <r>
    <d v="2018-11-16T01:25:36"/>
    <s v="Graphics, Collecting Cards/Masters, Crafting system"/>
    <s v="Premade Duo, Draft, Expeditions"/>
    <s v="Master Skins"/>
    <s v="No"/>
    <m/>
    <s v="I've not made a purchase"/>
    <m/>
    <m/>
    <s v="Apep"/>
    <m/>
    <s v="he makes cards cheaper and get a free shield at level 2"/>
    <m/>
    <s v="Gold"/>
    <m/>
    <s v="5-25"/>
    <m/>
    <x v="4"/>
    <m/>
    <s v="Daily"/>
    <m/>
    <s v="Watch, Stream"/>
    <m/>
    <s v="Male"/>
    <m/>
    <s v="14-18"/>
    <m/>
    <x v="1"/>
    <m/>
    <s v="USA"/>
    <m/>
  </r>
  <r>
    <d v="2018-11-16T01:25:37"/>
    <s v="Gameplay, Graphics, Collecting Cards/Masters"/>
    <s v="Solo, Duo, Expeditions"/>
    <s v="Master Skins, Arenas, Emotes, Avatars"/>
    <s v="No"/>
    <m/>
    <s v="I've not made a purchase"/>
    <m/>
    <m/>
    <s v="Apep"/>
    <m/>
    <s v="All Hail the Snake God \o/"/>
    <m/>
    <s v="Stone"/>
    <m/>
    <s v="5-25"/>
    <m/>
    <x v="4"/>
    <m/>
    <s v="Daily"/>
    <m/>
    <s v="Watch"/>
    <m/>
    <s v="Male"/>
    <m/>
    <s v="19-25"/>
    <m/>
    <x v="1"/>
    <m/>
    <s v="Brasil"/>
    <m/>
  </r>
  <r>
    <d v="2018-11-16T01:27:12"/>
    <s v="Gameplay, Graphics, Collecting Cards/Masters"/>
    <s v="Solo, Duo, Premade Duo"/>
    <s v="Master Skins, Arenas"/>
    <s v="Yes"/>
    <s v="Supporting your team with konto upgrade"/>
    <s v="Yes"/>
    <m/>
    <m/>
    <s v="Volco"/>
    <m/>
    <s v="good for my main deck"/>
    <m/>
    <s v="Diamond"/>
    <m/>
    <s v="5-25"/>
    <m/>
    <x v="697"/>
    <m/>
    <s v="Daily"/>
    <m/>
    <s v="Watch"/>
    <m/>
    <s v="Male"/>
    <m/>
    <s v="19-25"/>
    <m/>
    <x v="2"/>
    <m/>
    <s v="Switzerland"/>
    <m/>
  </r>
  <r>
    <d v="2018-11-16T01:47:42"/>
    <s v="Gameplay, Graphics, Collecting Cards/Masters"/>
    <s v="Solo, Premade Duo"/>
    <s v="Master Skins, Arenas, Emotes, Avatars"/>
    <s v="Yes"/>
    <s v="to buy battlepass, and master skins"/>
    <s v="Yes"/>
    <s v="whirly scrat, annihilator, prowler, fire imp"/>
    <m/>
    <s v="Ravager"/>
    <m/>
    <s v="i like getting brutus"/>
    <m/>
    <s v="Diamond"/>
    <m/>
    <s v="100-200"/>
    <m/>
    <x v="698"/>
    <m/>
    <s v="Daily"/>
    <m/>
    <s v="Watch"/>
    <m/>
    <s v="Male"/>
    <m/>
    <s v="over 36"/>
    <m/>
    <x v="2"/>
    <m/>
    <s v="Canada"/>
    <m/>
  </r>
  <r>
    <d v="2018-11-16T02:07:37"/>
    <s v="Gameplay, Graphics, Collecting Cards/Masters, Competitions/Tournaments, Crafting system"/>
    <s v="Duo, Premade Duo"/>
    <s v="Master Skins, Avatars"/>
    <s v="No"/>
    <m/>
    <s v="I've not made a purchase"/>
    <m/>
    <m/>
    <s v="Stormbringer"/>
    <m/>
    <m/>
    <m/>
    <s v="Silver"/>
    <m/>
    <s v="0-5"/>
    <m/>
    <x v="4"/>
    <m/>
    <s v="1-2 times a week"/>
    <m/>
    <s v="Neither"/>
    <m/>
    <s v="Male"/>
    <m/>
    <s v="14-18"/>
    <m/>
    <x v="1"/>
    <m/>
    <s v="I prefer not to say"/>
    <m/>
  </r>
  <r>
    <d v="2018-11-16T02:23:04"/>
    <s v="Gameplay"/>
    <s v="Duo"/>
    <s v="Master Skins"/>
    <s v="No"/>
    <m/>
    <s v="I've not made a purchase"/>
    <s v="Crystal Archers, Armoured Escort, Rabid Prowler, Morgrul, Whirly-Scrat"/>
    <m/>
    <s v="Stormbringer"/>
    <m/>
    <s v="Favourite set of Perks + appeals to my Archery interest"/>
    <m/>
    <s v="Master"/>
    <m/>
    <s v="25-100"/>
    <m/>
    <x v="699"/>
    <m/>
    <s v="5-6 times a week"/>
    <m/>
    <s v="Neither"/>
    <m/>
    <s v="Male"/>
    <m/>
    <s v="26-35"/>
    <m/>
    <x v="0"/>
    <m/>
    <s v="USA"/>
    <m/>
  </r>
  <r>
    <d v="2018-11-16T02:31:56"/>
    <s v="Gameplay"/>
    <s v="Solo"/>
    <s v="Master Skins"/>
    <s v="No"/>
    <m/>
    <s v="I've not made a purchase"/>
    <s v="demon worrior, bridge shrine, bounty hunter and thats all I can think of"/>
    <m/>
    <s v="Stormbringer"/>
    <m/>
    <s v="hes got good range"/>
    <m/>
    <s v="Bronze"/>
    <m/>
    <s v="5-25"/>
    <m/>
    <x v="700"/>
    <m/>
    <s v="3-4 times a week"/>
    <m/>
    <s v="Neither"/>
    <m/>
    <s v="Male"/>
    <m/>
    <s v="14-18"/>
    <m/>
    <x v="1"/>
    <m/>
    <s v="USA"/>
    <m/>
  </r>
  <r>
    <d v="2018-11-16T02:33:45"/>
    <s v="Gameplay"/>
    <s v="Premade Duo"/>
    <s v="Master Skins"/>
    <s v="No"/>
    <m/>
    <s v="I've not made a purchase"/>
    <s v="no"/>
    <m/>
    <s v="Ratbo"/>
    <m/>
    <s v="Yolo"/>
    <m/>
    <s v="Silver"/>
    <m/>
    <s v="0-5"/>
    <m/>
    <x v="547"/>
    <m/>
    <s v="Daily"/>
    <m/>
    <s v="Neither"/>
    <m/>
    <s v="Male"/>
    <m/>
    <s v="19-25"/>
    <m/>
    <x v="0"/>
    <m/>
    <s v="Australia"/>
    <m/>
  </r>
  <r>
    <d v="2018-11-16T02:37:37"/>
    <s v="Gameplay, Graphics, Crafting system"/>
    <s v="Duo, Premade Duo"/>
    <s v="Emotes"/>
    <s v="No"/>
    <m/>
    <s v="I've not made a purchase"/>
    <m/>
    <m/>
    <s v="Milloween"/>
    <m/>
    <s v="I like her perks "/>
    <m/>
    <s v="Diamond"/>
    <m/>
    <s v="100-200"/>
    <m/>
    <x v="701"/>
    <m/>
    <s v="3-4 times a week"/>
    <m/>
    <s v="Neither"/>
    <m/>
    <s v="Male"/>
    <m/>
    <s v="26-35"/>
    <m/>
    <x v="0"/>
    <m/>
    <s v="Finland"/>
    <m/>
  </r>
  <r>
    <d v="2018-11-16T02:50:20"/>
    <s v="Graphics"/>
    <s v="Solo, Duo"/>
    <s v="Arenas"/>
    <s v="No"/>
    <m/>
    <s v="I've not made a purchase"/>
    <s v="Yes"/>
    <m/>
    <s v="Stormbringer"/>
    <m/>
    <s v="helps with my deck build"/>
    <m/>
    <s v="Gold"/>
    <m/>
    <s v="25-100"/>
    <m/>
    <x v="702"/>
    <m/>
    <s v="Daily"/>
    <m/>
    <s v="Watch"/>
    <m/>
    <s v="Male"/>
    <m/>
    <s v="over 36"/>
    <m/>
    <x v="2"/>
    <m/>
    <s v="USA"/>
    <m/>
  </r>
  <r>
    <d v="2018-11-16T02:51:52"/>
    <s v="Gameplay"/>
    <s v="Duo"/>
    <s v="Arenas"/>
    <s v="No"/>
    <m/>
    <s v="I've not made a purchase"/>
    <m/>
    <m/>
    <m/>
    <m/>
    <m/>
    <m/>
    <s v="Bronze"/>
    <m/>
    <s v="5-25"/>
    <m/>
    <x v="4"/>
    <m/>
    <s v="Daily"/>
    <m/>
    <s v="Neither"/>
    <m/>
    <s v="I prefer not to say"/>
    <m/>
    <s v="19-25"/>
    <m/>
    <x v="0"/>
    <m/>
    <s v="I prefer not to say"/>
    <m/>
  </r>
  <r>
    <d v="2018-11-16T02:59:57"/>
    <s v="Gameplay, Competitions/Tournaments"/>
    <s v="Solo, Draft, Mayhem Solo"/>
    <m/>
    <s v="Yes"/>
    <s v="I wanted something, though I honestly don't recall what."/>
    <s v="Yes"/>
    <m/>
    <m/>
    <s v="King Puff"/>
    <m/>
    <s v="Interesting game mechanics. "/>
    <m/>
    <s v="Bronze"/>
    <m/>
    <s v="5-25"/>
    <m/>
    <x v="703"/>
    <m/>
    <s v="1-2 times a week"/>
    <m/>
    <s v="Neither"/>
    <m/>
    <s v="I prefer not to say"/>
    <m/>
    <s v="26-35"/>
    <m/>
    <x v="0"/>
    <m/>
    <s v="USA"/>
    <m/>
  </r>
  <r>
    <d v="2018-11-16T03:00:40"/>
    <s v="Collecting Cards/Masters"/>
    <s v="Duo"/>
    <s v="Master Skins"/>
    <s v="No"/>
    <m/>
    <s v="Yes"/>
    <m/>
    <m/>
    <s v="Stormbringer"/>
    <m/>
    <s v="idk"/>
    <m/>
    <s v="Platinum"/>
    <m/>
    <s v="5-25"/>
    <m/>
    <x v="704"/>
    <m/>
    <s v="5-6 times a week"/>
    <m/>
    <s v="Watch"/>
    <m/>
    <s v="Male"/>
    <m/>
    <s v="14-18"/>
    <m/>
    <x v="1"/>
    <m/>
    <s v="Brazil"/>
    <m/>
  </r>
  <r>
    <d v="2018-11-16T03:09:50"/>
    <s v="Gameplay"/>
    <s v="Duo"/>
    <s v="Master Skins"/>
    <s v="Yes"/>
    <s v="Season Pass"/>
    <s v="Yes"/>
    <s v="Crystal Archers, Crystal Golem, assassin, walking blind date, shock lancers, "/>
    <m/>
    <s v="Stormbringer"/>
    <m/>
    <s v="I like ranged attackers"/>
    <m/>
    <s v="Gold"/>
    <m/>
    <s v="25-100"/>
    <m/>
    <x v="705"/>
    <m/>
    <s v="Daily"/>
    <m/>
    <s v="Watch"/>
    <m/>
    <s v="Male"/>
    <m/>
    <s v="26-35"/>
    <m/>
    <x v="0"/>
    <m/>
    <s v="USA"/>
    <m/>
  </r>
  <r>
    <d v="2018-11-16T03:26:28"/>
    <s v="Gameplay"/>
    <s v="Duo, Premade Duo"/>
    <s v="Master Skins, Arenas, Emotes"/>
    <s v="No"/>
    <m/>
    <s v="I've not made a purchase"/>
    <s v="Blind Date, Walking Blind Date, Prowler, Mana Puff Madness, Bounty Sniper"/>
    <m/>
    <s v="Milloween"/>
    <m/>
    <s v="Fun interactions with spells and places emphasis on deck building"/>
    <m/>
    <s v="Gold"/>
    <m/>
    <s v="5-25"/>
    <m/>
    <x v="706"/>
    <m/>
    <s v="Daily"/>
    <m/>
    <s v="Neither"/>
    <m/>
    <s v="Male"/>
    <m/>
    <s v="14-18"/>
    <m/>
    <x v="1"/>
    <m/>
    <s v="USA"/>
    <m/>
  </r>
  <r>
    <d v="2018-11-16T03:27:28"/>
    <s v="Gameplay, Graphics, Collecting Cards/Masters, Crafting system"/>
    <s v="Solo, Expeditions"/>
    <s v="Emotes, Avatars"/>
    <s v="No"/>
    <m/>
    <s v="I've not made a purchase"/>
    <s v="no"/>
    <m/>
    <s v="Stormbringer"/>
    <m/>
    <s v="am new to the game"/>
    <m/>
    <s v="Bronze"/>
    <m/>
    <s v="5-25"/>
    <m/>
    <x v="707"/>
    <m/>
    <s v="Daily"/>
    <m/>
    <s v="Watch"/>
    <m/>
    <s v="Male"/>
    <m/>
    <s v="over 36"/>
    <m/>
    <x v="0"/>
    <m/>
    <s v="Sweden"/>
    <m/>
  </r>
  <r>
    <d v="2018-11-16T03:33:49"/>
    <s v="Gameplay, Graphics, Collecting Cards/Masters, Competitions/Tournaments, Crafting system"/>
    <s v="Solo, Duo"/>
    <s v="Master Skins, Arenas, Emotes, Avatars"/>
    <s v="No"/>
    <m/>
    <s v="I've not made a purchase"/>
    <m/>
    <m/>
    <s v="King Puff"/>
    <m/>
    <m/>
    <m/>
    <m/>
    <m/>
    <s v="0-5"/>
    <m/>
    <x v="4"/>
    <m/>
    <s v="Daily"/>
    <m/>
    <s v="Neither"/>
    <m/>
    <s v="Male"/>
    <m/>
    <s v="14-18"/>
    <m/>
    <x v="3"/>
    <m/>
    <s v="Canada"/>
    <m/>
  </r>
  <r>
    <d v="2018-11-16T03:36:56"/>
    <s v="Gameplay, Graphics, Collecting Cards/Masters"/>
    <s v="Solo, Expeditions"/>
    <s v="Master Skins"/>
    <s v="No"/>
    <m/>
    <s v="I've not made a purchase"/>
    <s v="stun lancers, plasma marines, cleaver, beam of DOOM, divine warrior  "/>
    <m/>
    <s v="King Puff"/>
    <m/>
    <s v="very good for complex strategy"/>
    <m/>
    <s v="Bronze"/>
    <m/>
    <s v="0-5"/>
    <m/>
    <x v="708"/>
    <m/>
    <s v="3-4 times a week"/>
    <m/>
    <s v="Watch, Stream"/>
    <m/>
    <s v="Male"/>
    <m/>
    <s v="14-18"/>
    <m/>
    <x v="0"/>
    <m/>
    <s v="USA"/>
    <m/>
  </r>
  <r>
    <d v="2018-11-16T03:53:41"/>
    <s v="Gameplay, Collecting Cards/Masters"/>
    <s v="Solo, Premade Duo"/>
    <s v="Emotes"/>
    <s v="Yes"/>
    <s v="Unlocking Masters, Buying Might Token"/>
    <s v="Yes"/>
    <s v="Red Golem, Succubus, Flying Monk, Shield Golem, Healing Plant"/>
    <m/>
    <s v="Mordar"/>
    <m/>
    <s v="He is really good in Solo when played right"/>
    <m/>
    <s v="Diamond"/>
    <m/>
    <s v="25-100"/>
    <m/>
    <x v="709"/>
    <m/>
    <s v="Occasionally"/>
    <m/>
    <s v="Watch, Stream"/>
    <m/>
    <s v="Male"/>
    <m/>
    <s v="19-25"/>
    <m/>
    <x v="0"/>
    <m/>
    <s v="Germany"/>
    <m/>
  </r>
  <r>
    <d v="2018-11-16T04:00:18"/>
    <s v="Gameplay"/>
    <s v="Solo, Premade Duo"/>
    <s v="Arenas"/>
    <s v="No"/>
    <m/>
    <s v="I've not made a purchase"/>
    <s v="Crossbow Guild, Crossbow Dudes, Cursebearer, Stunlancers + Bridge Buddies"/>
    <m/>
    <s v="Stormbringer"/>
    <m/>
    <s v="Not just because its default, but I prefer the perks."/>
    <m/>
    <s v="Stone"/>
    <m/>
    <s v="5-25"/>
    <m/>
    <x v="710"/>
    <m/>
    <s v="Daily"/>
    <m/>
    <s v="Watch, Stream"/>
    <m/>
    <s v="Male"/>
    <m/>
    <s v="26-35"/>
    <m/>
    <x v="2"/>
    <m/>
    <s v="United Kingdom"/>
    <m/>
  </r>
  <r>
    <d v="2018-11-16T04:03:38"/>
    <s v="Collecting Cards/Masters"/>
    <s v="Solo"/>
    <s v="Master Skins"/>
    <s v="No"/>
    <m/>
    <s v="I've not made a purchase"/>
    <s v="Demon Warrior, Demon Warrior, Demon Warrior, Demon Warrior, and lastly Demon Warrior"/>
    <m/>
    <s v="Stormbringer"/>
    <m/>
    <s v="First one that I chose"/>
    <m/>
    <s v="Master"/>
    <m/>
    <s v="25-100"/>
    <m/>
    <x v="711"/>
    <m/>
    <s v="3-4 times a week"/>
    <m/>
    <s v="Neither"/>
    <m/>
    <s v="Male"/>
    <m/>
    <s v="19-25"/>
    <m/>
    <x v="1"/>
    <m/>
    <s v="USA"/>
    <m/>
  </r>
  <r>
    <d v="2018-11-16T04:05:01"/>
    <s v="Gameplay, Graphics, Collecting Cards/Masters, Competitions/Tournaments, Crafting system"/>
    <s v="Solo, Premade Duo"/>
    <s v="Master Skins, Arenas"/>
    <s v="No"/>
    <m/>
    <s v="I've not made a purchase"/>
    <s v="Blastmaner, Collosus, Demon Warrior, Hypnosis, Call to Arms"/>
    <m/>
    <s v="Ratbo"/>
    <m/>
    <s v="I like the idea of make combos with the spells"/>
    <m/>
    <s v="Master"/>
    <m/>
    <s v="100-200"/>
    <m/>
    <x v="712"/>
    <m/>
    <s v="Daily"/>
    <m/>
    <s v="Watch, Stream"/>
    <m/>
    <s v="Male"/>
    <m/>
    <s v="26-35"/>
    <m/>
    <x v="3"/>
    <m/>
    <s v="Argentina"/>
    <m/>
  </r>
  <r>
    <d v="2018-11-16T04:11:05"/>
    <s v="Gameplay, Collecting Cards/Masters"/>
    <s v="Duo"/>
    <s v="Emotes"/>
    <s v="Yes"/>
    <s v="Part of DLC package"/>
    <s v="Yes"/>
    <s v="Incubus, Succubus, Undying Skeleton, Stun Lancers, Annihilator "/>
    <m/>
    <s v="King Puff"/>
    <m/>
    <s v="Because he's silly looking and easy to build for"/>
    <m/>
    <s v="Platinum"/>
    <m/>
    <s v="5-25"/>
    <m/>
    <x v="466"/>
    <m/>
    <s v="3-4 times a week"/>
    <m/>
    <s v="Watch"/>
    <m/>
    <s v="Male"/>
    <m/>
    <s v="26-35"/>
    <m/>
    <x v="0"/>
    <m/>
    <s v="USA"/>
    <m/>
  </r>
  <r>
    <d v="2018-11-16T04:34:17"/>
    <s v="Gameplay"/>
    <s v="Premade Duo"/>
    <s v="Arenas"/>
    <s v="No"/>
    <m/>
    <s v="I've not made a purchase"/>
    <s v="Walking blind date, Prowler, Wizard Puff , Harbinger, Battle Shi - Hou "/>
    <m/>
    <s v="Mordar"/>
    <m/>
    <s v="Has fun ability to ressurrect creatures"/>
    <m/>
    <s v="Diamond"/>
    <m/>
    <s v="5-25"/>
    <m/>
    <x v="713"/>
    <m/>
    <s v="Daily"/>
    <m/>
    <s v="Watch"/>
    <m/>
    <s v="Female"/>
    <m/>
    <s v="19-25"/>
    <m/>
    <x v="2"/>
    <m/>
    <s v="Lithuania"/>
    <m/>
  </r>
  <r>
    <d v="2018-11-16T04:42:58"/>
    <s v="Gameplay, Graphics, Collecting Cards/Masters, Competitions/Tournaments, Crafting system, Keep doing what your doing lads!"/>
    <s v="Solo, Draft"/>
    <s v="Master Skins, Arenas"/>
    <s v="No"/>
    <m/>
    <s v="I've not made a purchase"/>
    <s v="Oh jeez... 5. Scrat 4. Chain Lightning 3. Shock Rock 2. Ghost Tower 1. Colossus "/>
    <m/>
    <s v="Ratbo"/>
    <m/>
    <s v="I love swarm. Enough said, heh."/>
    <m/>
    <s v="Silver"/>
    <m/>
    <s v="5-25"/>
    <m/>
    <x v="714"/>
    <m/>
    <s v="Daily"/>
    <m/>
    <s v="Neither"/>
    <m/>
    <s v="I prefer not to say"/>
    <m/>
    <s v="I prefer not to say"/>
    <m/>
    <x v="1"/>
    <m/>
    <s v="USA"/>
    <m/>
  </r>
  <r>
    <d v="2018-11-16T04:46:02"/>
    <s v="Gameplay"/>
    <s v="Duo"/>
    <s v="Master Skins"/>
    <s v="Yes"/>
    <s v="cards"/>
    <s v="Yes"/>
    <s v="Living Statue, Sniper Squad, Whirly Scrat"/>
    <m/>
    <s v="Stormbringer"/>
    <m/>
    <s v="He can shoot things on the bridge"/>
    <m/>
    <s v="Diamond"/>
    <m/>
    <s v="100-200"/>
    <m/>
    <x v="4"/>
    <m/>
    <s v="5-6 times a week"/>
    <m/>
    <s v="Watch"/>
    <m/>
    <s v="Male"/>
    <m/>
    <s v="over 36"/>
    <m/>
    <x v="0"/>
    <m/>
    <s v="USA"/>
    <m/>
  </r>
  <r>
    <d v="2018-11-16T04:50:41"/>
    <s v="Gameplay, Competitions/Tournaments"/>
    <s v="Premade Duo"/>
    <s v="Emotes"/>
    <s v="No"/>
    <m/>
    <s v="Yes"/>
    <m/>
    <m/>
    <s v="Apep"/>
    <m/>
    <s v="swarms"/>
    <m/>
    <s v="Master"/>
    <m/>
    <s v="200-1000"/>
    <m/>
    <x v="4"/>
    <m/>
    <s v="Daily"/>
    <m/>
    <s v="Watch"/>
    <m/>
    <s v="Male"/>
    <m/>
    <s v="19-25"/>
    <m/>
    <x v="0"/>
    <m/>
    <s v="USA"/>
    <m/>
  </r>
  <r>
    <d v="2018-11-16T04:57:09"/>
    <s v="Gameplay"/>
    <s v="Duo"/>
    <s v="Arenas"/>
    <s v="Yes"/>
    <s v="for the account uprgade and battle pass"/>
    <s v="Yes"/>
    <s v="drone buzzers, plasma marines, fire imp, sniper scrat, morgrul the swarmer king"/>
    <m/>
    <s v="Stormbringer"/>
    <m/>
    <s v="i like the constant value and impact he has on the battlefield"/>
    <m/>
    <s v="Master"/>
    <m/>
    <s v="25-100"/>
    <m/>
    <x v="715"/>
    <m/>
    <s v="5-6 times a week"/>
    <m/>
    <s v="Watch"/>
    <m/>
    <s v="Male"/>
    <m/>
    <s v="26-35"/>
    <m/>
    <x v="1"/>
    <m/>
    <s v="USA"/>
    <m/>
  </r>
  <r>
    <d v="2018-11-16T04:58:27"/>
    <s v="Gameplay, Graphics"/>
    <s v="Premade Duo, Draft"/>
    <s v="Master Skins, Arenas"/>
    <s v="No"/>
    <m/>
    <s v="I've not made a purchase"/>
    <s v="Archer's guild, living statue, dragon whelp, divine warrior, blue golem"/>
    <m/>
    <s v="King Puff"/>
    <m/>
    <s v="tier 2 and 3 perk, mostly tier 2 because it makes heavy 4-5 builds interesting and makes rabid prowler easier to get full potential"/>
    <m/>
    <s v="Platinum"/>
    <m/>
    <s v="5-25"/>
    <m/>
    <x v="716"/>
    <m/>
    <s v="Daily"/>
    <m/>
    <s v="Watch"/>
    <m/>
    <s v="Male"/>
    <m/>
    <s v="19-25"/>
    <m/>
    <x v="0"/>
    <m/>
    <s v="Canada"/>
    <m/>
  </r>
  <r>
    <d v="2018-11-16T05:14:13"/>
    <s v="Collecting Cards/Masters, Competitions/Tournaments"/>
    <s v="Duo"/>
    <s v="Arenas"/>
    <s v="No"/>
    <m/>
    <s v="I've not made a purchase"/>
    <s v="Spirit vessel, crossbow guild, blind date"/>
    <m/>
    <s v="Stormbringer"/>
    <m/>
    <s v="He had a very well balanced skill on both attack and defence"/>
    <m/>
    <s v="Gold"/>
    <m/>
    <s v="25-100"/>
    <m/>
    <x v="717"/>
    <m/>
    <s v="Daily"/>
    <m/>
    <s v="Neither"/>
    <m/>
    <s v="Male"/>
    <m/>
    <s v="14-18"/>
    <m/>
    <x v="1"/>
    <m/>
    <s v="China"/>
    <m/>
  </r>
  <r>
    <d v="2018-11-16T05:28:34"/>
    <s v="Gameplay"/>
    <s v="Duo"/>
    <s v="Emotes"/>
    <s v="Yes"/>
    <s v="Battle Pass"/>
    <s v="Yes"/>
    <s v="No :\"/>
    <m/>
    <s v="Apep"/>
    <m/>
    <s v="When he was viable, his randomness offered variety. Every game was different."/>
    <m/>
    <s v="Master"/>
    <m/>
    <s v="200-1000"/>
    <m/>
    <x v="718"/>
    <m/>
    <s v="Daily"/>
    <m/>
    <s v="Neither"/>
    <m/>
    <s v="Male"/>
    <m/>
    <s v="26-35"/>
    <m/>
    <x v="0"/>
    <m/>
    <s v="USA"/>
    <m/>
  </r>
  <r>
    <d v="2018-11-16T05:37:52"/>
    <s v="Gameplay"/>
    <s v="Duo"/>
    <s v="Arenas"/>
    <s v="No"/>
    <m/>
    <s v="I've not made a purchase"/>
    <m/>
    <m/>
    <s v="Stormbringer"/>
    <m/>
    <s v="I like his global shooting"/>
    <m/>
    <s v="Platinum"/>
    <m/>
    <s v="25-100"/>
    <m/>
    <x v="719"/>
    <m/>
    <s v="Daily"/>
    <m/>
    <s v="Watch"/>
    <m/>
    <s v="Female"/>
    <m/>
    <s v="19-25"/>
    <m/>
    <x v="3"/>
    <m/>
    <s v="USA"/>
    <m/>
  </r>
  <r>
    <d v="2018-11-16T05:45:59"/>
    <s v="Gameplay"/>
    <s v="Solo, Duo, Premade Duo"/>
    <s v="Arenas"/>
    <s v="Yes"/>
    <s v="I wanted more cards and upgrades to the purpose of becoming better at the game."/>
    <s v="Yes"/>
    <s v="Milloween's golem, Lightening that Zaps one random minion/building, Xiao, Blind date and The flying gold guy that throws giant gold spears. Sorry I'm not good with names."/>
    <m/>
    <s v="Milloween"/>
    <m/>
    <s v="Milloween fits best with my deck's perks"/>
    <m/>
    <s v="Gold"/>
    <m/>
    <s v="25-100"/>
    <m/>
    <x v="720"/>
    <m/>
    <s v="Daily"/>
    <m/>
    <s v="Watch, Stream"/>
    <m/>
    <s v="Female"/>
    <m/>
    <s v="19-25"/>
    <m/>
    <x v="4"/>
    <m/>
    <s v="USA"/>
    <m/>
  </r>
  <r>
    <d v="2018-11-16T06:01:00"/>
    <s v="Gameplay"/>
    <s v="Solo, Duo, Premade Duo, Expeditions, Mayhem Solo"/>
    <s v="Arenas"/>
    <s v="Yes"/>
    <s v="Mayhem"/>
    <s v="Yes"/>
    <s v="1. Colossus 2.swarmer spawner building 3. Re boomer 4.incubus 5.swarmer king"/>
    <m/>
    <s v="Mordar"/>
    <m/>
    <s v="Resurection is super fun. He also doesnt restrict card pool like kimg puff with his 4 and 5 costs only"/>
    <m/>
    <s v="Master"/>
    <m/>
    <s v="100-200"/>
    <m/>
    <x v="721"/>
    <m/>
    <s v="5-6 times a week"/>
    <m/>
    <s v="Neither"/>
    <m/>
    <s v="Male"/>
    <m/>
    <s v="19-25"/>
    <m/>
    <x v="0"/>
    <m/>
    <s v="Poland"/>
    <m/>
  </r>
  <r>
    <d v="2018-11-16T06:07:01"/>
    <s v="Gameplay, Collecting Cards/Masters"/>
    <s v="Duo, Premade Duo, Mayhem Duo"/>
    <s v="Master Skins, Arenas"/>
    <s v="No"/>
    <m/>
    <s v="I've not made a purchase"/>
    <m/>
    <m/>
    <s v="King Puff"/>
    <m/>
    <s v="He's a cutie :D"/>
    <m/>
    <s v="Stone"/>
    <m/>
    <s v="0-5"/>
    <m/>
    <x v="722"/>
    <m/>
    <s v="Daily"/>
    <m/>
    <s v="Watch, Stream"/>
    <m/>
    <s v="Male"/>
    <m/>
    <s v="14-18"/>
    <m/>
    <x v="1"/>
    <m/>
    <s v="USA"/>
    <m/>
  </r>
  <r>
    <d v="2018-11-16T06:20:55"/>
    <s v="Collecting Cards/Masters"/>
    <s v="Solo, Duo, Draft"/>
    <s v="Arenas, Avatars"/>
    <s v="Yes"/>
    <s v="to buy the season pass"/>
    <s v="No"/>
    <s v="The Harbinger, Scrat Horde, Blastmancer, Stun lancers, Future Present "/>
    <m/>
    <s v="King Puff"/>
    <m/>
    <s v="his skills are really helpful, plus he's cute"/>
    <m/>
    <s v="Bronze"/>
    <m/>
    <s v="5-25"/>
    <m/>
    <x v="4"/>
    <m/>
    <s v="1-2 times a week"/>
    <m/>
    <s v="Neither"/>
    <m/>
    <s v="Male"/>
    <m/>
    <s v="14-18"/>
    <m/>
    <x v="1"/>
    <m/>
    <s v="USA"/>
    <m/>
  </r>
  <r>
    <d v="2018-11-16T06:35:36"/>
    <s v="Collecting Cards/Masters"/>
    <s v="Duo"/>
    <s v="Arenas"/>
    <s v="No"/>
    <m/>
    <s v="I've not made a purchase"/>
    <m/>
    <m/>
    <s v="Ravager"/>
    <m/>
    <m/>
    <m/>
    <s v="Silver"/>
    <m/>
    <s v="0-5"/>
    <m/>
    <x v="4"/>
    <m/>
    <s v="Occasionally"/>
    <m/>
    <s v="Stream"/>
    <m/>
    <s v="Male"/>
    <m/>
    <s v="26-35"/>
    <m/>
    <x v="0"/>
    <m/>
    <s v="Germany"/>
    <m/>
  </r>
  <r>
    <d v="2018-11-16T06:42:46"/>
    <s v="Just having something to casually play during queue times is nice and the game feels really balanced. Like no unit feels particularly more strong than another, which is a great experience."/>
    <s v="Solo, Duo, Draft"/>
    <m/>
    <s v="Yes"/>
    <s v="Getting the battle pass."/>
    <s v="No"/>
    <s v="I really can't because I'm not playing with the English client. &gt;.&lt;"/>
    <m/>
    <s v="Milloween"/>
    <m/>
    <s v="I just love her gameplay. Spell synergy feels great."/>
    <m/>
    <s v="Platinum"/>
    <m/>
    <s v="5-25"/>
    <m/>
    <x v="4"/>
    <m/>
    <s v="3-4 times a week"/>
    <m/>
    <s v="Stream"/>
    <m/>
    <s v="Male"/>
    <m/>
    <s v="19-25"/>
    <m/>
    <x v="1"/>
    <m/>
    <s v="Germany"/>
    <m/>
  </r>
  <r>
    <d v="2018-11-16T06:44:41"/>
    <s v="Gameplay, Competitions/Tournaments"/>
    <m/>
    <s v="Master Skins, Arenas"/>
    <s v="Yes"/>
    <s v="More cards"/>
    <s v="Yes"/>
    <s v="Xiao Long, Swarmer King, Troubador, Gor'Rak Brutes, Ghost"/>
    <m/>
    <s v="Ravager"/>
    <m/>
    <s v="I think his &quot;best bud&quot; relationship is charming and I love it when he says &quot;You picked the alpha&quot; :')"/>
    <m/>
    <s v="Gold"/>
    <m/>
    <s v="25-100"/>
    <m/>
    <x v="723"/>
    <m/>
    <s v="3-4 times a week"/>
    <m/>
    <s v="Watch"/>
    <m/>
    <s v="Female"/>
    <m/>
    <s v="26-35"/>
    <m/>
    <x v="0"/>
    <m/>
    <s v="USA"/>
    <m/>
  </r>
  <r>
    <d v="2018-11-16T06:49:07"/>
    <s v="Gameplay, Collecting Cards/Masters"/>
    <s v="Duo"/>
    <s v="Master Skins, Arenas"/>
    <s v="No"/>
    <m/>
    <s v="I've not made a purchase"/>
    <s v="I have not colected them all so no. I can say the Rammer is one."/>
    <m/>
    <s v="Ratbo"/>
    <m/>
    <s v="no real reason.i enjoy them all."/>
    <m/>
    <s v="Stone"/>
    <m/>
    <s v="5-25"/>
    <m/>
    <x v="724"/>
    <m/>
    <s v="Daily"/>
    <m/>
    <s v="Neither"/>
    <m/>
    <s v="Male"/>
    <m/>
    <s v="over 36"/>
    <m/>
    <x v="3"/>
    <m/>
    <s v="North America"/>
    <m/>
  </r>
  <r>
    <d v="2018-11-16T06:58:26"/>
    <s v="Gameplay, Collecting Cards/Masters"/>
    <s v="Solo, Premade Duo"/>
    <s v="Arenas"/>
    <s v="No"/>
    <m/>
    <s v="I've not made a purchase"/>
    <m/>
    <m/>
    <s v="Milloween"/>
    <m/>
    <s v="The arcane golem is fun to play around"/>
    <m/>
    <s v="Gold"/>
    <m/>
    <s v="25-100"/>
    <m/>
    <x v="725"/>
    <m/>
    <s v="Daily"/>
    <m/>
    <s v="Watch"/>
    <m/>
    <s v="Female"/>
    <m/>
    <s v="over 36"/>
    <m/>
    <x v="0"/>
    <m/>
    <s v="I prefer not to say"/>
    <m/>
  </r>
  <r>
    <d v="2018-11-16T07:04:00"/>
    <s v="Gameplay, Collecting Cards/Masters"/>
    <s v="Duo, Premade Duo, Expeditions, Mayhem Duo"/>
    <s v="Master Skins, Avatars"/>
    <s v="Yes"/>
    <s v="To support BetaDwarf."/>
    <s v="Yes"/>
    <s v="Xiao Long, Musketeer, Scott the Sensitive, Blastmancer, and Crystal Archers."/>
    <m/>
    <s v="Stormbringer"/>
    <m/>
    <s v="He was the default one and seems extremely powerful."/>
    <m/>
    <s v="Diamond"/>
    <m/>
    <s v="25-100"/>
    <m/>
    <x v="726"/>
    <m/>
    <s v="5-6 times a week"/>
    <m/>
    <s v="Watch, Stream"/>
    <m/>
    <s v="Male"/>
    <m/>
    <s v="19-25"/>
    <m/>
    <x v="1"/>
    <m/>
    <s v="USA"/>
    <m/>
  </r>
  <r>
    <d v="2018-11-16T07:22:06"/>
    <s v="Gameplay"/>
    <s v="Duo"/>
    <s v="Arenas"/>
    <s v="No"/>
    <s v="Hell no. Get  this away from the game. Nobody likes players who make themselves better just because of Money. You are not EA!"/>
    <s v="I've not made a purchase"/>
    <s v="Feuerteufel, Scratpazer, Verteidigungshäcksler, Fluchträger, Drachenwelpe. (Germany)"/>
    <m/>
    <s v="King Puff"/>
    <m/>
    <s v="Gorgeous"/>
    <m/>
    <s v="Gold"/>
    <m/>
    <s v="5-25"/>
    <m/>
    <x v="727"/>
    <m/>
    <s v="3-4 times a week"/>
    <m/>
    <s v="Neither"/>
    <m/>
    <s v="Male"/>
    <m/>
    <s v="26-35"/>
    <m/>
    <x v="0"/>
    <m/>
    <s v="Germany"/>
    <m/>
  </r>
  <r>
    <d v="2018-11-16T07:46:06"/>
    <s v="Gameplay, Graphics"/>
    <s v="Solo, Draft"/>
    <s v="Master Skins"/>
    <s v="Yes"/>
    <s v="Battle Pass, Premium Membership"/>
    <s v="Yes"/>
    <s v="Whirly Scrat, Warrior, Lightning Bolt, Soul Stealer, Plasma Marines"/>
    <m/>
    <s v="Ratbo"/>
    <m/>
    <s v="For the extra spawning scrats (bridge taking &amp; swarming the opponent)"/>
    <m/>
    <s v="Master"/>
    <m/>
    <s v="200-1000"/>
    <m/>
    <x v="728"/>
    <m/>
    <s v="Daily"/>
    <m/>
    <s v="Neither"/>
    <m/>
    <s v="Male"/>
    <m/>
    <s v="26-35"/>
    <m/>
    <x v="0"/>
    <m/>
    <s v="Cyprus"/>
    <m/>
  </r>
  <r>
    <d v="2018-11-16T07:47:57"/>
    <s v="Gameplay, Collecting Cards/Masters, Coop with friend"/>
    <s v="Premade Duo"/>
    <m/>
    <s v="Yes"/>
    <s v="Premium Account"/>
    <s v="Yes"/>
    <s v="Beam of doom, future past, heal puff (all puffs), "/>
    <m/>
    <s v="Settsu"/>
    <m/>
    <s v="Because of his look. I love space marines."/>
    <m/>
    <s v="Stone"/>
    <m/>
    <s v="0-5"/>
    <m/>
    <x v="729"/>
    <m/>
    <s v="1-2 times a week"/>
    <m/>
    <s v="Neither"/>
    <m/>
    <s v="Male"/>
    <m/>
    <s v="26-35"/>
    <m/>
    <x v="0"/>
    <m/>
    <s v="Germany"/>
    <m/>
  </r>
  <r>
    <d v="2018-11-16T08:17:24"/>
    <s v="Gameplay"/>
    <s v="Solo, Premade Duo"/>
    <m/>
    <s v="Yes"/>
    <s v="battle pass"/>
    <s v="Yes"/>
    <s v="Crystal archers"/>
    <m/>
    <s v="Stormbringer"/>
    <m/>
    <s v="Constant DPS, also attacks air"/>
    <m/>
    <s v="Silver"/>
    <m/>
    <s v="5-25"/>
    <m/>
    <x v="730"/>
    <m/>
    <s v="Daily"/>
    <m/>
    <s v="Watch"/>
    <m/>
    <s v="Male"/>
    <m/>
    <s v="19-25"/>
    <m/>
    <x v="0"/>
    <m/>
    <s v="USA"/>
    <m/>
  </r>
  <r>
    <d v="2018-11-16T08:26:27"/>
    <s v="Gameplay, Graphics, Collecting Cards/Masters, Competitions/Tournaments, Crafting system"/>
    <s v="Solo, Premade Duo"/>
    <s v="Master Skins, Arenas"/>
    <s v="Yes"/>
    <s v="jumpstart"/>
    <s v="Yes"/>
    <m/>
    <m/>
    <s v="Ravager"/>
    <m/>
    <s v="looks cool"/>
    <m/>
    <s v="Silver"/>
    <m/>
    <s v="5-25"/>
    <m/>
    <x v="18"/>
    <m/>
    <s v="3-4 times a week"/>
    <m/>
    <s v="Watch"/>
    <m/>
    <s v="Male"/>
    <m/>
    <s v="26-35"/>
    <m/>
    <x v="0"/>
    <m/>
    <s v="USA"/>
    <m/>
  </r>
  <r>
    <d v="2018-11-16T08:52:39"/>
    <s v="Gameplay"/>
    <s v="Solo, Premade Duo, Expeditions"/>
    <s v="Emotes"/>
    <s v="No"/>
    <s v="N/A"/>
    <s v="I've not made a purchase"/>
    <s v="Scrat pack, Gor'Rakk Sacrifice, Hypnotize, Crystal Archer, Banner Man"/>
    <m/>
    <s v="Settsu"/>
    <m/>
    <s v="Controlling the board is rewarding with her"/>
    <m/>
    <s v="Platinum"/>
    <m/>
    <s v="5-25"/>
    <m/>
    <x v="731"/>
    <m/>
    <s v="Daily"/>
    <m/>
    <s v="Watch, Stream"/>
    <m/>
    <s v="Male"/>
    <m/>
    <s v="19-25"/>
    <m/>
    <x v="1"/>
    <m/>
    <s v="USA"/>
    <m/>
  </r>
  <r>
    <d v="2018-11-16T08:53:18"/>
    <s v="Gameplay, Collecting Cards/Masters"/>
    <s v="Duo, Draft"/>
    <s v="Arenas"/>
    <s v="No"/>
    <m/>
    <s v="I've not made a purchase"/>
    <s v="colossus, mr bag pipe, the 5 mana fireball"/>
    <m/>
    <s v="King Puff"/>
    <m/>
    <s v="cool perks"/>
    <m/>
    <s v="Master"/>
    <m/>
    <s v="25-100"/>
    <m/>
    <x v="52"/>
    <m/>
    <s v="Daily"/>
    <m/>
    <s v="Neither"/>
    <m/>
    <s v="Male"/>
    <m/>
    <s v="26-35"/>
    <m/>
    <x v="0"/>
    <m/>
    <s v="Sweden"/>
    <m/>
  </r>
  <r>
    <d v="2018-11-16T08:54:10"/>
    <s v="Gameplay"/>
    <s v="Solo, Duo, Premade Duo, Mayhem Duo"/>
    <s v="Master Skins, Emotes"/>
    <s v="No"/>
    <m/>
    <s v="Yes"/>
    <s v="elite swarmer, scrat tank, cleaver, plasma marines, fireball "/>
    <m/>
    <s v="Stormbringer"/>
    <m/>
    <s v="Because it's beautiful"/>
    <m/>
    <s v="Grandmaster"/>
    <m/>
    <s v="200-1000"/>
    <m/>
    <x v="732"/>
    <m/>
    <s v="5-6 times a week"/>
    <m/>
    <s v="Watch"/>
    <m/>
    <s v="Female"/>
    <m/>
    <s v="19-25"/>
    <m/>
    <x v="2"/>
    <m/>
    <s v="Serbia"/>
    <m/>
  </r>
  <r>
    <d v="2018-11-16T09:00:49"/>
    <s v="Collecting Cards/Masters"/>
    <s v="Duo"/>
    <s v="Arenas"/>
    <s v="No"/>
    <m/>
    <s v="I've not made a purchase"/>
    <s v="colossus, dragon whelp, crystal archers, incubus, daggerfall"/>
    <m/>
    <s v="Stormbringer"/>
    <m/>
    <s v="ranged dps"/>
    <m/>
    <s v="Silver"/>
    <m/>
    <s v="5-25"/>
    <m/>
    <x v="279"/>
    <m/>
    <s v="3-4 times a week"/>
    <m/>
    <s v="Watch"/>
    <m/>
    <s v="Male"/>
    <m/>
    <s v="26-35"/>
    <m/>
    <x v="0"/>
    <m/>
    <s v="Belgium"/>
    <m/>
  </r>
  <r>
    <d v="2018-11-16T09:06:14"/>
    <s v="Gameplay, Graphics, Collecting Cards/Masters"/>
    <s v="Solo, Draft"/>
    <s v="Emotes, Avatars"/>
    <s v="No"/>
    <m/>
    <s v="I've not made a purchase"/>
    <s v="shock rock, future cards, monkeys! give us more monkeys!"/>
    <m/>
    <s v="Ratbo"/>
    <m/>
    <s v="i realy love ratbo KP and Apep.. ratbo becose i love using 1st perk to defend. , KP.. well hes a puff whats not to like there.. also bridge swap is grate!., and Apep i love RNG.."/>
    <m/>
    <s v="Grandmaster"/>
    <m/>
    <s v="1000+"/>
    <m/>
    <x v="733"/>
    <m/>
    <s v="Daily"/>
    <m/>
    <s v="Watch"/>
    <m/>
    <s v="Male"/>
    <m/>
    <s v="26-35"/>
    <m/>
    <x v="0"/>
    <m/>
    <s v="Israel"/>
    <m/>
  </r>
  <r>
    <d v="2018-11-16T09:06:21"/>
    <s v="Gameplay, Collecting Cards/Masters"/>
    <s v="Solo, Duo"/>
    <s v="Master Skins, Arenas, Emotes"/>
    <s v="No"/>
    <m/>
    <s v="I've not made a purchase"/>
    <s v="fire imp. defenco chopper. colossus. walking blind date,healing fire ball"/>
    <m/>
    <s v="Volco"/>
    <m/>
    <s v="its a good defence master and good for killing alot of minions"/>
    <m/>
    <s v="Gold"/>
    <m/>
    <s v="5-25"/>
    <m/>
    <x v="734"/>
    <m/>
    <s v="Daily"/>
    <m/>
    <s v="Watch"/>
    <m/>
    <s v="Male"/>
    <m/>
    <s v="14-18"/>
    <m/>
    <x v="1"/>
    <m/>
    <s v="Turkey"/>
    <m/>
  </r>
  <r>
    <d v="2018-11-16T09:10:58"/>
    <s v="Gameplay, Graphics"/>
    <s v="Mayhem Duo"/>
    <s v="Master Skins"/>
    <s v="Yes"/>
    <s v="yes"/>
    <s v="Yes"/>
    <m/>
    <m/>
    <s v="Stormbringer"/>
    <m/>
    <m/>
    <m/>
    <m/>
    <m/>
    <s v="0-5"/>
    <m/>
    <x v="4"/>
    <m/>
    <s v="Daily"/>
    <m/>
    <s v="Watch"/>
    <m/>
    <s v="I prefer not to say"/>
    <m/>
    <s v="over 36"/>
    <m/>
    <x v="3"/>
    <m/>
    <s v="I prefer not to say"/>
    <m/>
  </r>
  <r>
    <d v="2018-11-16T09:15:59"/>
    <s v="Gameplay"/>
    <s v="Solo, Duo, Premade Duo, Draft, Expeditions, Mayhem Solo"/>
    <s v="Master Skins"/>
    <s v="Yes"/>
    <s v="To unlock masters "/>
    <s v="Yes"/>
    <s v="xiao long Blastmancer divine warrior dragon whelp Cursebearer"/>
    <m/>
    <s v="Settsu"/>
    <m/>
    <s v="First one i bought like the drop into the fight aspect "/>
    <m/>
    <s v="Platinum"/>
    <m/>
    <s v="100-200"/>
    <m/>
    <x v="735"/>
    <m/>
    <s v="Daily"/>
    <m/>
    <s v="Watch"/>
    <m/>
    <s v="Male"/>
    <m/>
    <s v="26-35"/>
    <m/>
    <x v="2"/>
    <m/>
    <s v="Australia"/>
    <m/>
  </r>
  <r>
    <d v="2018-11-16T10:00:15"/>
    <s v="Gameplay, Collecting Cards/Masters"/>
    <s v="Duo, Premade Duo"/>
    <s v="Master Skins"/>
    <s v="Yes"/>
    <s v="Season pass"/>
    <s v="Yes"/>
    <s v="Empowered soul stealer, swarmer king, xiao long, commander azali, fire imp"/>
    <m/>
    <s v="Ravager"/>
    <m/>
    <s v="Brutus is sickkkkkkkk"/>
    <m/>
    <s v="Diamond"/>
    <m/>
    <s v="25-100"/>
    <m/>
    <x v="736"/>
    <m/>
    <s v="Daily"/>
    <m/>
    <s v="Neither"/>
    <m/>
    <s v="Male"/>
    <m/>
    <s v="19-25"/>
    <m/>
    <x v="0"/>
    <m/>
    <s v="United Kingdom"/>
    <m/>
  </r>
  <r>
    <d v="2018-11-16T10:00:20"/>
    <s v="Gameplay"/>
    <s v="Solo, Expeditions"/>
    <s v="Master Skins"/>
    <s v="No"/>
    <m/>
    <s v="I've not made a purchase"/>
    <m/>
    <m/>
    <s v="Mordar"/>
    <m/>
    <s v="Best suited for strong creature control"/>
    <m/>
    <s v="Diamond"/>
    <m/>
    <s v="25-100"/>
    <m/>
    <x v="737"/>
    <m/>
    <s v="Daily"/>
    <m/>
    <s v="Watch"/>
    <m/>
    <s v="Male"/>
    <m/>
    <s v="19-25"/>
    <m/>
    <x v="1"/>
    <m/>
    <s v="Russia"/>
    <m/>
  </r>
  <r>
    <d v="2018-11-16T10:21:34"/>
    <s v="Gameplay"/>
    <s v="Solo, Duo"/>
    <s v="Master Skins"/>
    <s v="No"/>
    <m/>
    <s v="Yes"/>
    <m/>
    <m/>
    <s v="Settsu"/>
    <m/>
    <s v="no"/>
    <m/>
    <s v="Wood"/>
    <m/>
    <s v="5-25"/>
    <m/>
    <x v="4"/>
    <m/>
    <s v="5-6 times a week"/>
    <m/>
    <s v="Watch"/>
    <m/>
    <s v="Male"/>
    <m/>
    <s v="over 36"/>
    <m/>
    <x v="3"/>
    <m/>
    <s v="The Netherlands"/>
    <m/>
  </r>
  <r>
    <d v="2018-11-16T10:25:03"/>
    <s v="Gameplay, Collecting Cards/Masters, Competitions/Tournaments"/>
    <s v="Solo, Duo, Expeditions"/>
    <s v="Master Skins"/>
    <s v="Yes"/>
    <s v="on sale and cheap"/>
    <s v="No"/>
    <s v="Lord-Sentinel Thelec, Wheel of Doom, Xiao Long, Gor'Rakk Brutes, Shars'Rak Twins"/>
    <m/>
    <s v="Ravager"/>
    <m/>
    <s v="free tank in rotation"/>
    <m/>
    <s v="Master"/>
    <m/>
    <s v="25-100"/>
    <m/>
    <x v="738"/>
    <m/>
    <s v="Daily"/>
    <m/>
    <s v="Neither"/>
    <m/>
    <s v="Male"/>
    <m/>
    <s v="26-35"/>
    <m/>
    <x v="0"/>
    <m/>
    <s v="USA"/>
    <m/>
  </r>
  <r>
    <d v="2018-11-16T10:34:45"/>
    <s v="Gameplay"/>
    <s v="Duo, Premade Duo, Mayhem Solo, Mayhem Duo"/>
    <s v="Arenas"/>
    <s v="No"/>
    <m/>
    <s v="I've not made a purchase"/>
    <s v="Cleaver, Chain Lighting, Styxi, Sniper Squad, Prowler"/>
    <m/>
    <s v="Ravager"/>
    <m/>
    <s v="Cause its aggressive"/>
    <m/>
    <s v="Platinum"/>
    <m/>
    <s v="25-100"/>
    <m/>
    <x v="156"/>
    <m/>
    <s v="3-4 times a week"/>
    <m/>
    <s v="Neither"/>
    <m/>
    <s v="Male"/>
    <m/>
    <s v="19-25"/>
    <m/>
    <x v="1"/>
    <m/>
    <s v="France"/>
    <m/>
  </r>
  <r>
    <d v="2018-11-16T11:03:59"/>
    <s v="Gameplay"/>
    <s v="Solo, Duo, Premade Duo"/>
    <s v="Master Skins"/>
    <s v="Yes"/>
    <s v="premium account, heroes"/>
    <s v="Yes"/>
    <m/>
    <m/>
    <s v="King Puff"/>
    <m/>
    <s v="flex"/>
    <m/>
    <s v="Grandmaster"/>
    <m/>
    <s v="25-100"/>
    <m/>
    <x v="547"/>
    <m/>
    <s v="Daily"/>
    <m/>
    <s v="Watch"/>
    <m/>
    <s v="Male"/>
    <m/>
    <s v="26-35"/>
    <m/>
    <x v="2"/>
    <m/>
    <s v="Russia"/>
    <m/>
  </r>
  <r>
    <d v="2018-11-16T11:07:17"/>
    <s v="Gameplay"/>
    <s v="Duo"/>
    <s v="Master Skins"/>
    <s v="Yes"/>
    <s v="season tickets"/>
    <s v="Yes"/>
    <m/>
    <m/>
    <s v="Mordar"/>
    <m/>
    <s v="I like the tombstones"/>
    <m/>
    <s v="Master"/>
    <m/>
    <s v="25-100"/>
    <m/>
    <x v="739"/>
    <m/>
    <s v="Daily"/>
    <m/>
    <s v="Stream"/>
    <m/>
    <s v="Female"/>
    <m/>
    <s v="19-25"/>
    <m/>
    <x v="0"/>
    <m/>
    <s v="Denmark"/>
    <m/>
  </r>
  <r>
    <d v="2018-11-16T11:12:30"/>
    <s v="Gameplay, Collecting Cards/Masters, Competitions/Tournaments"/>
    <s v="Duo"/>
    <s v="Master Skins, Arenas, Avatars"/>
    <s v="No"/>
    <m/>
    <s v="I've not made a purchase"/>
    <m/>
    <m/>
    <s v="Ravager"/>
    <m/>
    <s v="becose of skills"/>
    <m/>
    <s v="Silver"/>
    <m/>
    <s v="5-25"/>
    <m/>
    <x v="4"/>
    <m/>
    <s v="1-2 times a week"/>
    <m/>
    <s v="Neither"/>
    <m/>
    <s v="Male"/>
    <m/>
    <s v="I prefer not to say"/>
    <m/>
    <x v="3"/>
    <m/>
    <s v="I prefer not to say"/>
    <m/>
  </r>
  <r>
    <d v="2018-11-16T11:17:55"/>
    <s v="Gameplay, Graphics, Collecting Cards/Masters"/>
    <s v="Duo, Premade Duo, Draft, Expeditions"/>
    <s v="Master Skins, Arenas"/>
    <s v="No"/>
    <m/>
    <s v="I've not made a purchase"/>
    <s v="Fire imp, inhilliaror, succubus, whirly scrat, healing fireball"/>
    <m/>
    <s v="Milloween"/>
    <m/>
    <s v="I like to buff her pet and protect it"/>
    <m/>
    <s v="Grandmaster"/>
    <m/>
    <s v="200-1000"/>
    <m/>
    <x v="459"/>
    <m/>
    <s v="Daily"/>
    <m/>
    <s v="Neither"/>
    <m/>
    <s v="Female"/>
    <m/>
    <s v="26-35"/>
    <m/>
    <x v="2"/>
    <m/>
    <s v="The Netherlands "/>
    <m/>
  </r>
  <r>
    <d v="2018-11-16T11:42:13"/>
    <s v="Gameplay, Graphics, Crafting system"/>
    <s v="Solo, Premade Duo"/>
    <s v="Master Skins"/>
    <s v="Yes"/>
    <s v="buying a skin for a master"/>
    <s v="Yes"/>
    <s v="scrat horde dagger fall chain lighting crossbow guild prowler "/>
    <m/>
    <s v="Settsu"/>
    <m/>
    <s v="reminded me of War Hammer "/>
    <m/>
    <s v="Gold"/>
    <m/>
    <s v="25-100"/>
    <m/>
    <x v="740"/>
    <m/>
    <s v="Daily"/>
    <m/>
    <s v="Watch"/>
    <m/>
    <s v="Male"/>
    <m/>
    <s v="19-25"/>
    <m/>
    <x v="3"/>
    <m/>
    <s v="United Kingdom"/>
    <m/>
  </r>
  <r>
    <d v="2018-11-16T12:01:22"/>
    <s v="Gameplay"/>
    <s v="Duo, Premade Duo, Mayhem Solo"/>
    <s v="Emotes"/>
    <s v="Yes"/>
    <s v="Account Upgrade / Battlepass"/>
    <s v="Yes"/>
    <s v="Fire Imp, Walking Blind Date, Wheel of Doom, Scrat Launcher, Defenso Chopper"/>
    <m/>
    <s v="Stormbringer"/>
    <m/>
    <s v="Most Practise with him"/>
    <m/>
    <s v="Master"/>
    <m/>
    <s v="25-100"/>
    <m/>
    <x v="741"/>
    <m/>
    <s v="Daily"/>
    <m/>
    <s v="Watch, Stream"/>
    <m/>
    <s v="Male"/>
    <m/>
    <s v="26-35"/>
    <m/>
    <x v="0"/>
    <m/>
    <s v="Germany"/>
    <m/>
  </r>
  <r>
    <d v="2018-11-16T12:17:05"/>
    <s v="Gameplay, Graphics"/>
    <s v="Solo, Duo, Draft"/>
    <m/>
    <s v="No"/>
    <m/>
    <s v="I've not made a purchase"/>
    <s v="Gor'Rakk Sacrifice, Stun Lancers, Prowler, Assassin, Defenso Chopper (any order)"/>
    <m/>
    <s v="Volco"/>
    <m/>
    <s v="His effect is very beneficial with my deck."/>
    <m/>
    <s v="Bronze"/>
    <m/>
    <s v="25-100"/>
    <m/>
    <x v="742"/>
    <m/>
    <s v="5-6 times a week"/>
    <m/>
    <s v="Watch"/>
    <m/>
    <s v="I prefer not to say"/>
    <m/>
    <s v="I prefer not to say"/>
    <m/>
    <x v="1"/>
    <m/>
    <s v="Singapore"/>
    <m/>
  </r>
  <r>
    <d v="2018-11-16T12:21:43"/>
    <s v="Collecting Cards/Masters"/>
    <s v="Premade Duo"/>
    <s v="Avatars"/>
    <s v="Yes"/>
    <s v="Battle Pass and Tokens"/>
    <s v="Yes"/>
    <s v="Wizard Puff, Harbinger, empowered soul stealer, crystal construct, dragon whelp"/>
    <m/>
    <s v="Ravager"/>
    <m/>
    <s v="I like the names of his levels"/>
    <m/>
    <s v="Silver"/>
    <m/>
    <s v="5-25"/>
    <m/>
    <x v="743"/>
    <m/>
    <s v="Daily"/>
    <m/>
    <s v="Neither"/>
    <m/>
    <s v="Female"/>
    <m/>
    <s v="19-25"/>
    <m/>
    <x v="0"/>
    <m/>
    <s v="USA"/>
    <m/>
  </r>
  <r>
    <d v="2018-11-16T12:21:57"/>
    <s v="Gameplay, Collecting Cards/Masters, Crafting system"/>
    <s v="Solo, Premade Duo, Expeditions, Mayhem Duo"/>
    <s v="Emotes"/>
    <s v="Yes"/>
    <s v="power tokens, cards and battle pass"/>
    <s v="Yes"/>
    <s v="Succubus, Flightless Dragons, Divine Warrior, Dragon Ball and Legionnaires"/>
    <m/>
    <s v="King Puff"/>
    <m/>
    <s v="His Tier 2 perk"/>
    <m/>
    <s v="Master"/>
    <m/>
    <s v="100-200"/>
    <m/>
    <x v="744"/>
    <m/>
    <s v="Daily"/>
    <m/>
    <s v="Neither"/>
    <m/>
    <s v="Male"/>
    <m/>
    <s v="19-25"/>
    <m/>
    <x v="0"/>
    <m/>
    <s v="United Kingdom"/>
    <m/>
  </r>
  <r>
    <d v="2018-11-16T12:27:42"/>
    <s v="Gameplay, Graphics"/>
    <s v="Duo, Expeditions"/>
    <s v="Arenas, Emotes"/>
    <s v="No"/>
    <m/>
    <s v="I've not made a purchase"/>
    <m/>
    <m/>
    <s v="Ravager"/>
    <m/>
    <s v="Allow burst and nice skills"/>
    <m/>
    <s v="Silver"/>
    <m/>
    <s v="5-25"/>
    <m/>
    <x v="745"/>
    <m/>
    <s v="Daily"/>
    <m/>
    <s v="Watch"/>
    <m/>
    <s v="Male"/>
    <m/>
    <s v="14-18"/>
    <m/>
    <x v="1"/>
    <m/>
    <s v="France"/>
    <m/>
  </r>
  <r>
    <d v="2018-11-16T12:36:31"/>
    <s v="Gameplay"/>
    <s v="Duo"/>
    <s v="Arenas"/>
    <s v="No"/>
    <m/>
    <s v="I've not made a purchase"/>
    <s v="no"/>
    <m/>
    <s v="Stormbringer"/>
    <m/>
    <s v="He has a bow. I do archery"/>
    <m/>
    <s v="Bronze"/>
    <m/>
    <s v="5-25"/>
    <m/>
    <x v="746"/>
    <m/>
    <s v="1-2 times a week"/>
    <m/>
    <s v="Neither"/>
    <m/>
    <s v="Male"/>
    <m/>
    <s v="14-18"/>
    <m/>
    <x v="1"/>
    <m/>
    <s v="South Africa"/>
    <m/>
  </r>
  <r>
    <d v="2018-11-16T12:58:19"/>
    <s v="Gameplay"/>
    <m/>
    <s v="Master Skins"/>
    <m/>
    <m/>
    <s v="Yes"/>
    <m/>
    <m/>
    <s v="Volco"/>
    <m/>
    <m/>
    <m/>
    <m/>
    <m/>
    <s v="200-1000"/>
    <m/>
    <x v="4"/>
    <m/>
    <s v="3-4 times a week"/>
    <m/>
    <s v="Watch, Stream"/>
    <m/>
    <s v="Male"/>
    <m/>
    <s v="19-25"/>
    <m/>
    <x v="0"/>
    <m/>
    <s v="Iran"/>
    <m/>
  </r>
  <r>
    <d v="2018-11-16T13:03:30"/>
    <s v="Gameplay, Collecting Cards/Masters"/>
    <s v="Solo, Expeditions"/>
    <s v="Avatars"/>
    <s v="No"/>
    <m/>
    <s v="I've not made a purchase"/>
    <m/>
    <m/>
    <s v="Milloween"/>
    <m/>
    <m/>
    <m/>
    <s v="Silver"/>
    <m/>
    <s v="0-5"/>
    <m/>
    <x v="747"/>
    <m/>
    <s v="5-6 times a week"/>
    <m/>
    <s v="Watch, Stream"/>
    <m/>
    <s v="Male"/>
    <m/>
    <s v="26-35"/>
    <m/>
    <x v="0"/>
    <m/>
    <s v="Japan"/>
    <m/>
  </r>
  <r>
    <d v="2018-11-16T13:10:13"/>
    <s v="Gameplay, Collecting Cards/Masters, Competitions/Tournaments"/>
    <s v="Duo, Premade Duo"/>
    <s v="Master Skins, Arenas"/>
    <s v="Yes"/>
    <s v="Starter Bundle"/>
    <s v="Yes"/>
    <s v="Nope, I can't remember any by specific names. I just like all the crystal cards."/>
    <m/>
    <s v="Settsu"/>
    <m/>
    <s v="Because she's cool, and pretty efficient."/>
    <m/>
    <s v="Platinum"/>
    <m/>
    <s v="5-25"/>
    <m/>
    <x v="748"/>
    <m/>
    <s v="Daily"/>
    <m/>
    <s v="Watch, Stream"/>
    <m/>
    <s v="Female"/>
    <m/>
    <s v="14-18"/>
    <m/>
    <x v="1"/>
    <m/>
    <s v="United Kingdom"/>
    <m/>
  </r>
  <r>
    <d v="2018-11-16T13:11:41"/>
    <s v="Gameplay, Collecting Cards/Masters"/>
    <s v="Solo, Premade Duo, Draft"/>
    <s v="Master Skins"/>
    <s v="No"/>
    <m/>
    <s v="I've not made a purchase"/>
    <s v="crystal archers, fireball, blind date, prowler, fire imp "/>
    <m/>
    <s v="Apep"/>
    <m/>
    <s v="2 free cards with 0 cost is insane."/>
    <m/>
    <s v="Platinum"/>
    <m/>
    <s v="5-25"/>
    <m/>
    <x v="749"/>
    <m/>
    <s v="Daily"/>
    <m/>
    <s v="Neither"/>
    <m/>
    <s v="Male"/>
    <m/>
    <s v="26-35"/>
    <m/>
    <x v="0"/>
    <m/>
    <s v="Sweden"/>
    <m/>
  </r>
  <r>
    <d v="2018-11-16T13:20:34"/>
    <s v="Gameplay, Graphics"/>
    <s v="Premade Duo, Expeditions"/>
    <s v="Master Skins, Arenas"/>
    <s v="Yes"/>
    <s v="The Battle pass "/>
    <s v="Yes"/>
    <s v="Gambler's Ball, Bridge Shrine, Styxi, Incubus, Beam of DOOM"/>
    <m/>
    <s v="Apep"/>
    <m/>
    <s v="Abilities + Looks"/>
    <m/>
    <s v="Silver"/>
    <m/>
    <s v="5-25"/>
    <m/>
    <x v="750"/>
    <m/>
    <s v="Daily"/>
    <m/>
    <s v="Neither"/>
    <m/>
    <s v="Male"/>
    <m/>
    <s v="19-25"/>
    <m/>
    <x v="1"/>
    <m/>
    <s v="Germany"/>
    <m/>
  </r>
  <r>
    <d v="2018-11-16T13:20:39"/>
    <s v="Graphics"/>
    <s v="Premade Duo"/>
    <s v="Master Skins"/>
    <s v="No"/>
    <m/>
    <s v="I've not made a purchase"/>
    <s v="Styxi, Dagerfall, Bridgebuddies, Haarbinger,  Stunlancers"/>
    <m/>
    <s v="Stormbringer"/>
    <m/>
    <s v="I love Kardel from Dota 2"/>
    <m/>
    <s v="Silver"/>
    <m/>
    <s v="5-25"/>
    <m/>
    <x v="751"/>
    <m/>
    <s v="Daily"/>
    <m/>
    <s v="Watch, Stream"/>
    <m/>
    <s v="Male"/>
    <m/>
    <s v="14-18"/>
    <m/>
    <x v="0"/>
    <m/>
    <s v="Germany"/>
    <m/>
  </r>
  <r>
    <d v="2018-11-16T13:25:10"/>
    <s v="Gameplay"/>
    <s v="Solo, Duo"/>
    <m/>
    <s v="No"/>
    <m/>
    <s v="I've not made a purchase"/>
    <m/>
    <m/>
    <s v="Stormbringer"/>
    <m/>
    <s v="strongest in my opinion"/>
    <m/>
    <s v="Gold"/>
    <m/>
    <s v="0-5"/>
    <m/>
    <x v="752"/>
    <m/>
    <s v="Daily"/>
    <m/>
    <s v="Watch, Stream"/>
    <m/>
    <s v="Male"/>
    <m/>
    <s v="19-25"/>
    <m/>
    <x v="1"/>
    <m/>
    <s v="Turkey"/>
    <m/>
  </r>
  <r>
    <d v="2018-11-16T13:25:28"/>
    <s v="Gameplay, Graphics, Collecting Cards/Masters, Crafting system"/>
    <s v="Solo, Duo"/>
    <s v="Master Skins, Arenas, Avatars"/>
    <s v="No"/>
    <m/>
    <s v="I've not made a purchase"/>
    <s v="incubus, cleaver, golem, sniper scrat, divine warrior"/>
    <m/>
    <s v="Stormbringer"/>
    <m/>
    <s v="only one i have"/>
    <m/>
    <s v="Stone"/>
    <m/>
    <s v="0-5"/>
    <m/>
    <x v="156"/>
    <m/>
    <s v="Daily"/>
    <m/>
    <s v="Neither"/>
    <m/>
    <s v="Male"/>
    <m/>
    <s v="19-25"/>
    <m/>
    <x v="1"/>
    <m/>
    <s v="The Netherlands"/>
    <m/>
  </r>
  <r>
    <d v="2018-11-16T14:09:05"/>
    <s v="Collecting Cards/Masters"/>
    <s v="Duo"/>
    <s v="Arenas"/>
    <s v="No"/>
    <m/>
    <s v="I've not made a purchase"/>
    <s v="None"/>
    <m/>
    <s v="King Puff"/>
    <m/>
    <s v="Overpowered"/>
    <m/>
    <s v="Gold"/>
    <m/>
    <s v="25-100"/>
    <m/>
    <x v="753"/>
    <m/>
    <s v="Daily"/>
    <m/>
    <s v="Neither"/>
    <m/>
    <s v="Male"/>
    <m/>
    <s v="19-25"/>
    <m/>
    <x v="2"/>
    <m/>
    <s v="Germany"/>
    <m/>
  </r>
  <r>
    <d v="2018-11-16T14:09:48"/>
    <s v="Gameplay"/>
    <s v="Solo, Duo, Premade Duo, Expeditions"/>
    <m/>
    <s v="No"/>
    <m/>
    <m/>
    <m/>
    <m/>
    <m/>
    <m/>
    <m/>
    <m/>
    <s v="Master"/>
    <m/>
    <s v="100-200"/>
    <m/>
    <x v="4"/>
    <m/>
    <s v="Daily"/>
    <m/>
    <s v="Neither"/>
    <m/>
    <s v="Male"/>
    <m/>
    <s v="over 36"/>
    <m/>
    <x v="0"/>
    <m/>
    <s v="USA"/>
    <m/>
  </r>
  <r>
    <d v="2018-11-16T14:23:29"/>
    <s v="Gameplay"/>
    <s v="Solo"/>
    <s v="Avatars"/>
    <s v="No"/>
    <m/>
    <s v="No"/>
    <m/>
    <m/>
    <s v="Ravager"/>
    <m/>
    <m/>
    <m/>
    <s v="Diamond"/>
    <m/>
    <s v="25-100"/>
    <m/>
    <x v="754"/>
    <m/>
    <s v="5-6 times a week"/>
    <m/>
    <s v="Watch"/>
    <m/>
    <s v="Male"/>
    <m/>
    <s v="19-25"/>
    <m/>
    <x v="0"/>
    <m/>
    <s v="Brasil"/>
    <m/>
  </r>
  <r>
    <d v="2018-11-16T14:44:01"/>
    <s v="Gameplay"/>
    <s v="Premade Duo"/>
    <s v="Master Skins"/>
    <s v="No"/>
    <s v="I just bought the Battle Pass and the Milloween Dark Fury Skin"/>
    <s v="Yes"/>
    <s v="Black Hole, Hypnotize, Scott, Combustion, Re-Boomer"/>
    <m/>
    <s v="King Puff"/>
    <m/>
    <s v="I like his Perks and the Devil King Puff Skins"/>
    <m/>
    <s v="Grandmaster"/>
    <m/>
    <s v="200-1000"/>
    <m/>
    <x v="755"/>
    <m/>
    <s v="Daily"/>
    <m/>
    <s v="Watch, Stream"/>
    <m/>
    <s v="Male"/>
    <m/>
    <s v="14-18"/>
    <m/>
    <x v="1"/>
    <m/>
    <s v="Germany"/>
    <m/>
  </r>
  <r>
    <d v="2018-11-16T14:44:22"/>
    <s v="Gameplay, Competitions/Tournaments"/>
    <s v="Premade Duo"/>
    <s v="Master Skins"/>
    <s v="No"/>
    <m/>
    <s v="I've not made a purchase"/>
    <s v="Morgrul the swarmer king,sun burn,rammer,soul stealer,annihilator."/>
    <m/>
    <s v="Apep"/>
    <m/>
    <s v="Cuz i love my deck and my deck needs apep"/>
    <m/>
    <s v="Gold"/>
    <m/>
    <s v="25-100"/>
    <m/>
    <x v="756"/>
    <m/>
    <s v="Daily"/>
    <m/>
    <s v="Watch"/>
    <m/>
    <s v="Male"/>
    <m/>
    <s v="14-18"/>
    <m/>
    <x v="1"/>
    <m/>
    <s v="Cyprus"/>
    <m/>
  </r>
  <r>
    <d v="2018-11-16T14:57:06"/>
    <s v="Gameplay"/>
    <s v="Duo"/>
    <s v="Arenas"/>
    <s v="No"/>
    <m/>
    <s v="I've not made a purchase"/>
    <m/>
    <m/>
    <s v="Stormbringer"/>
    <m/>
    <s v="I like archers"/>
    <m/>
    <s v="Platinum"/>
    <m/>
    <s v="5-25"/>
    <m/>
    <x v="757"/>
    <m/>
    <s v="Daily"/>
    <m/>
    <s v="Neither"/>
    <m/>
    <s v="Male"/>
    <m/>
    <s v="19-25"/>
    <m/>
    <x v="1"/>
    <m/>
    <s v="USA"/>
    <m/>
  </r>
  <r>
    <d v="2018-11-16T15:04:49"/>
    <s v="Collecting Cards/Masters"/>
    <s v="Duo, Premade Duo"/>
    <s v="Arenas, Avatars"/>
    <s v="No"/>
    <m/>
    <s v="I've not made a purchase"/>
    <m/>
    <m/>
    <s v="Apep"/>
    <m/>
    <m/>
    <m/>
    <s v="Silver"/>
    <m/>
    <s v="5-25"/>
    <m/>
    <x v="4"/>
    <m/>
    <s v="Daily"/>
    <m/>
    <m/>
    <m/>
    <s v="Male"/>
    <m/>
    <s v="I prefer not to say"/>
    <m/>
    <x v="1"/>
    <m/>
    <s v="Canada"/>
    <m/>
  </r>
  <r>
    <d v="2018-11-16T15:19:38"/>
    <s v="Gameplay, Collecting Cards/Masters"/>
    <s v="Solo, Duo"/>
    <s v="Arenas"/>
    <s v="No"/>
    <m/>
    <s v="I've not made a purchase"/>
    <m/>
    <m/>
    <s v="Stormbringer"/>
    <m/>
    <s v="Synergy marksman"/>
    <m/>
    <s v="Bronze"/>
    <m/>
    <s v="5-25"/>
    <m/>
    <x v="399"/>
    <m/>
    <s v="Daily"/>
    <m/>
    <s v="Watch, Stream"/>
    <m/>
    <s v="Male"/>
    <m/>
    <s v="over 36"/>
    <m/>
    <x v="0"/>
    <m/>
    <s v="Australia"/>
    <m/>
  </r>
  <r>
    <d v="2018-11-16T15:25:07"/>
    <s v="Gameplay"/>
    <s v="Duo"/>
    <s v="Arenas"/>
    <s v="No"/>
    <m/>
    <s v="I've not made a purchase"/>
    <m/>
    <m/>
    <s v="Milloween"/>
    <m/>
    <s v="Because she's pretty powerful and sooooooo hot ;3."/>
    <m/>
    <s v="Silver"/>
    <m/>
    <s v="100-200"/>
    <m/>
    <x v="758"/>
    <m/>
    <s v="5-6 times a week"/>
    <m/>
    <s v="Neither"/>
    <m/>
    <s v="Male"/>
    <m/>
    <s v="14-18"/>
    <m/>
    <x v="1"/>
    <m/>
    <s v="Bosnia"/>
    <m/>
  </r>
  <r>
    <d v="2018-11-16T15:27:06"/>
    <s v="Gameplay"/>
    <s v="Premade Duo"/>
    <s v="Master Skins"/>
    <s v="No"/>
    <m/>
    <s v="I've not made a purchase"/>
    <s v="Colossus, Stun Blast, Bridge Buddies, Healing Fireball, Armored Escort"/>
    <m/>
    <s v="Milloween"/>
    <m/>
    <s v="Mana Golem"/>
    <m/>
    <s v="Master"/>
    <m/>
    <s v="200-1000"/>
    <m/>
    <x v="759"/>
    <m/>
    <s v="Daily"/>
    <m/>
    <s v="Neither"/>
    <m/>
    <s v="Male"/>
    <m/>
    <s v="over 36"/>
    <m/>
    <x v="0"/>
    <m/>
    <s v="Germany"/>
    <m/>
  </r>
  <r>
    <d v="2018-11-16T15:28:45"/>
    <s v="Gameplay, Strategy"/>
    <s v="Duo"/>
    <s v="Master Skins"/>
    <s v="No"/>
    <m/>
    <s v="I've not made a purchase"/>
    <s v="Spear Throwes, Boomer, Sniper Squad, Wall, Creaver (very nice game design)"/>
    <m/>
    <s v="Stormbringer"/>
    <m/>
    <s v="he is late gamer, he is very weak in early, and it is good,"/>
    <m/>
    <s v="Master"/>
    <m/>
    <s v="25-100"/>
    <m/>
    <x v="760"/>
    <m/>
    <s v="Occasionally"/>
    <m/>
    <s v="Neither"/>
    <m/>
    <s v="Male"/>
    <m/>
    <s v="26-35"/>
    <m/>
    <x v="0"/>
    <m/>
    <s v="Japan"/>
    <m/>
  </r>
  <r>
    <d v="2018-11-16T15:34:51"/>
    <s v="Collecting Cards/Masters"/>
    <s v="Solo, Duo"/>
    <s v="Master Skins"/>
    <s v="Yes"/>
    <s v="BUY STUFF"/>
    <s v="No"/>
    <s v="no.  the 2-5 cost card range are my favourites though"/>
    <m/>
    <s v="Stormbringer"/>
    <m/>
    <s v="Used to playing him.  Solid all round"/>
    <m/>
    <s v="Platinum"/>
    <m/>
    <s v="25-100"/>
    <m/>
    <x v="186"/>
    <m/>
    <s v="Daily"/>
    <m/>
    <s v="Neither"/>
    <m/>
    <s v="Male"/>
    <m/>
    <s v="over 36"/>
    <m/>
    <x v="0"/>
    <m/>
    <s v="Australia"/>
    <m/>
  </r>
  <r>
    <d v="2018-11-16T15:54:59"/>
    <s v="Gameplay"/>
    <s v="Solo, Premade Duo"/>
    <m/>
    <s v="No"/>
    <m/>
    <s v="I've not made a purchase"/>
    <m/>
    <m/>
    <m/>
    <m/>
    <m/>
    <m/>
    <s v="Platinum"/>
    <m/>
    <s v="25-100"/>
    <m/>
    <x v="4"/>
    <m/>
    <s v="Occasionally"/>
    <m/>
    <s v="Neither"/>
    <m/>
    <s v="Male"/>
    <m/>
    <s v="19-25"/>
    <m/>
    <x v="0"/>
    <m/>
    <s v="Germany"/>
    <m/>
  </r>
  <r>
    <d v="2018-11-16T15:57:15"/>
    <s v="Gameplay"/>
    <s v="Premade Duo"/>
    <s v="Arenas"/>
    <s v="Yes"/>
    <s v="Season Pass to Support the Game."/>
    <s v="Yes"/>
    <s v="Plasma Marines, Plasma Marines, Plasma Marines, Plasma Marines, Annihilator"/>
    <m/>
    <s v="Apep"/>
    <m/>
    <s v="Random means Fun."/>
    <m/>
    <s v="Master"/>
    <m/>
    <s v="100-200"/>
    <m/>
    <x v="761"/>
    <m/>
    <s v="Daily"/>
    <m/>
    <s v="Stream"/>
    <m/>
    <s v="Male"/>
    <m/>
    <s v="26-35"/>
    <m/>
    <x v="0"/>
    <m/>
    <s v="Germany"/>
    <m/>
  </r>
  <r>
    <d v="2018-11-16T15:57:44"/>
    <s v="Gameplay, Collecting Cards/Masters"/>
    <s v="Duo"/>
    <s v="Master Skins, Avatars"/>
    <s v="No"/>
    <m/>
    <s v="I've not made a purchase"/>
    <s v="Undying Skeleton, Fire Imp, Incubus, Scrat Launcher, Daggerfall"/>
    <m/>
    <s v="King Puff"/>
    <m/>
    <s v="He is a tactical master"/>
    <m/>
    <s v="Master"/>
    <m/>
    <s v="200-1000"/>
    <m/>
    <x v="4"/>
    <m/>
    <s v="Daily"/>
    <m/>
    <s v="Watch, Stream"/>
    <m/>
    <s v="Male"/>
    <m/>
    <s v="14-18"/>
    <m/>
    <x v="1"/>
    <m/>
    <s v="Germany"/>
    <m/>
  </r>
  <r>
    <d v="2018-11-16T16:01:48"/>
    <s v="Gameplay"/>
    <s v="Solo, Duo"/>
    <s v="Arenas"/>
    <s v="No"/>
    <m/>
    <s v="I've not made a purchase"/>
    <s v="don't have any"/>
    <m/>
    <s v="Volco"/>
    <m/>
    <s v="Because I think its strong"/>
    <m/>
    <s v="Silver"/>
    <m/>
    <s v="5-25"/>
    <m/>
    <x v="762"/>
    <m/>
    <s v="Daily"/>
    <m/>
    <s v="Watch"/>
    <m/>
    <s v="Male"/>
    <m/>
    <s v="14-18"/>
    <m/>
    <x v="1"/>
    <m/>
    <s v="The Netherlands"/>
    <m/>
  </r>
  <r>
    <d v="2018-11-16T16:02:25"/>
    <s v="Gameplay, in case i can't complain later in this survey. i only barely enjoy playing despite this toxic gamerbro vibe you got going on with the narrator and your memes in general."/>
    <s v="Solo, Duo"/>
    <s v="Avatars"/>
    <s v="No"/>
    <m/>
    <s v="I've not made a purchase"/>
    <s v="actual appealing/seriously designed critters. any of the imps, heal puff, any swarmers, prowlers, i guess the monkeys are cool too "/>
    <m/>
    <s v="Ravager"/>
    <m/>
    <s v="good design, summons good monsters. it's a close pick between this and apep/settsu "/>
    <m/>
    <s v="Gold"/>
    <m/>
    <s v="25-100"/>
    <m/>
    <x v="763"/>
    <m/>
    <s v="Daily"/>
    <m/>
    <s v="Watch"/>
    <m/>
    <s v="I prefer not to say"/>
    <m/>
    <s v="I prefer not to say"/>
    <m/>
    <x v="2"/>
    <m/>
    <s v="USA"/>
    <m/>
  </r>
  <r>
    <d v="2018-11-16T16:02:49"/>
    <s v="Collecting Cards/Masters"/>
    <s v="Duo, Premade Duo, Expeditions"/>
    <s v="Arenas"/>
    <s v="Yes"/>
    <s v="Power Tokens and Bundles"/>
    <s v="Yes"/>
    <s v="Muskateer, Scott, Crystal Glaive thrower, Crystal golem, dragon fireball"/>
    <m/>
    <s v="Stormbringer"/>
    <m/>
    <s v="He feels to be very strong in most situations where as other masters have a little bit of harder time adapting to every situation "/>
    <m/>
    <s v="Platinum"/>
    <m/>
    <s v="100-200"/>
    <m/>
    <x v="764"/>
    <m/>
    <s v="Daily"/>
    <m/>
    <s v="Watch, Stream"/>
    <m/>
    <s v="Female"/>
    <m/>
    <s v="19-25"/>
    <m/>
    <x v="0"/>
    <m/>
    <s v="USA"/>
    <m/>
  </r>
  <r>
    <d v="2018-11-16T16:11:51"/>
    <s v="Gameplay"/>
    <s v="Premade Duo, Draft"/>
    <s v="Master Skins"/>
    <s v="No"/>
    <m/>
    <s v="I've not made a purchase"/>
    <s v="Don't know english names... Pyro dude, scottish dude, incubus, xiao long, stealing ghost"/>
    <m/>
    <s v="King Puff"/>
    <m/>
    <s v="Haven't had Time to test them all yet sadly... But KP is pretty strong. I'm looking forward to try Apep, too"/>
    <m/>
    <s v="Platinum"/>
    <m/>
    <s v="25-100"/>
    <m/>
    <x v="765"/>
    <m/>
    <s v="Daily"/>
    <m/>
    <s v="Watch"/>
    <m/>
    <s v="Male"/>
    <m/>
    <s v="19-25"/>
    <m/>
    <x v="1"/>
    <m/>
    <s v="France"/>
    <m/>
  </r>
  <r>
    <d v="2018-11-16T16:15:17"/>
    <s v="Gameplay, Graphics, Collecting Cards/Masters"/>
    <s v="Solo, Duo"/>
    <s v="Master Skins, Arenas, Avatars"/>
    <s v="No"/>
    <m/>
    <s v="I've not made a purchase"/>
    <s v="Crossbow guild, living statue, dragon whelp, divine warrior, stun lancers"/>
    <m/>
    <s v="Volco"/>
    <m/>
    <s v="Her powers"/>
    <m/>
    <s v="Bronze"/>
    <m/>
    <s v="25-100"/>
    <m/>
    <x v="766"/>
    <m/>
    <s v="3-4 times a week"/>
    <m/>
    <s v="Neither"/>
    <m/>
    <s v="Female"/>
    <m/>
    <s v="19-25"/>
    <m/>
    <x v="1"/>
    <m/>
    <s v="USA"/>
    <m/>
  </r>
  <r>
    <d v="2018-11-16T16:22:50"/>
    <s v="Gameplay, Graphics, Collecting Cards/Masters, Competitions/Tournaments"/>
    <s v="Solo, Premade Duo, Draft"/>
    <s v="Arenas"/>
    <s v="No"/>
    <m/>
    <s v="I've not made a purchase"/>
    <s v="The big guy with spear, succubus, them rats, 2 soldiers, and lizard"/>
    <m/>
    <s v="Milloween"/>
    <m/>
    <s v="she get that card extra golem card"/>
    <m/>
    <s v="Gold"/>
    <m/>
    <s v="5-25"/>
    <m/>
    <x v="767"/>
    <m/>
    <s v="Daily"/>
    <m/>
    <s v="Stream"/>
    <m/>
    <s v="Male"/>
    <m/>
    <s v="14-18"/>
    <m/>
    <x v="1"/>
    <m/>
    <s v="United Kingdom"/>
    <m/>
  </r>
  <r>
    <d v="2018-11-16T16:28:20"/>
    <s v="Gameplay, Graphics, Playing with friends"/>
    <s v="Premade Duo, Expeditions, Mayhem Solo"/>
    <s v="Arenas, Emotes"/>
    <s v="No"/>
    <m/>
    <s v="I've not made a purchase"/>
    <s v="Rabid Prowler, Harbinger, Propeller Horde, Rammer"/>
    <m/>
    <s v="Volco"/>
    <m/>
    <s v="Afterburner, because Face is the Place!"/>
    <m/>
    <s v="Grandmaster"/>
    <m/>
    <s v="100-200"/>
    <m/>
    <x v="768"/>
    <m/>
    <s v="5-6 times a week"/>
    <m/>
    <s v="Watch"/>
    <m/>
    <s v="Male"/>
    <m/>
    <s v="19-25"/>
    <m/>
    <x v="0"/>
    <m/>
    <s v="Germany"/>
    <m/>
  </r>
  <r>
    <d v="2018-11-16T16:50:16"/>
    <s v="Gameplay, Graphics, Collecting Cards/Masters"/>
    <s v="Duo, Premade Duo, Expeditions, Mayhem Duo"/>
    <s v="Master Skins, Arenas"/>
    <s v="No"/>
    <s v="n/a"/>
    <s v="I've not made a purchase"/>
    <s v="Blind Date, Divine Warrior, Future Present, Living Statue, Whirly Scrat"/>
    <m/>
    <s v="King Puff"/>
    <m/>
    <s v="His rage / shield buffs helps boost my deck's power"/>
    <m/>
    <s v="Gold"/>
    <m/>
    <s v="25-100"/>
    <m/>
    <x v="769"/>
    <m/>
    <s v="Daily"/>
    <m/>
    <s v="Watch, Stream"/>
    <m/>
    <s v="Female"/>
    <m/>
    <s v="26-35"/>
    <m/>
    <x v="0"/>
    <m/>
    <s v="USA"/>
    <m/>
  </r>
  <r>
    <d v="2018-11-16T16:57:19"/>
    <s v="Gameplay, Graphics, smoothness"/>
    <s v="Duo, Draft"/>
    <s v="Arenas, Emotes, Avatars"/>
    <s v="No"/>
    <m/>
    <s v="I've not made a purchase"/>
    <s v="New, I can't remember."/>
    <m/>
    <s v="Volco"/>
    <m/>
    <s v="Name is cool"/>
    <m/>
    <s v="Wood"/>
    <m/>
    <s v="0-5"/>
    <m/>
    <x v="770"/>
    <m/>
    <s v="Occasionally"/>
    <m/>
    <s v="Watch, Stream"/>
    <m/>
    <s v="Male"/>
    <m/>
    <s v="I prefer not to say"/>
    <m/>
    <x v="2"/>
    <m/>
    <s v="Turkey"/>
    <m/>
  </r>
  <r>
    <d v="2018-11-16T16:58:57"/>
    <s v="Gameplay"/>
    <s v="Duo, Premade Duo, Expeditions"/>
    <s v="Master Skins"/>
    <s v="No"/>
    <m/>
    <s v="I've not made a purchase"/>
    <s v="xiao long, wheel of doom, harbringer, fireball, blind date"/>
    <m/>
    <s v="Milloween"/>
    <m/>
    <s v="I like her spell combo. "/>
    <m/>
    <s v="Diamond"/>
    <m/>
    <s v="200-1000"/>
    <m/>
    <x v="771"/>
    <m/>
    <s v="Daily"/>
    <m/>
    <s v="Watch, Stream"/>
    <m/>
    <s v="Female"/>
    <m/>
    <s v="26-35"/>
    <m/>
    <x v="0"/>
    <m/>
    <s v="The Netherlands"/>
    <m/>
  </r>
  <r>
    <d v="2018-11-16T17:04:51"/>
    <s v="Gameplay"/>
    <s v="Premade Duo"/>
    <s v="Master Skins"/>
    <s v="No"/>
    <m/>
    <s v="I've not made a purchase"/>
    <m/>
    <m/>
    <s v="Milloween"/>
    <m/>
    <s v="The synergy"/>
    <m/>
    <s v="Platinum"/>
    <m/>
    <s v="25-100"/>
    <m/>
    <x v="772"/>
    <m/>
    <s v="Daily"/>
    <m/>
    <s v="Watch"/>
    <m/>
    <s v="Male"/>
    <m/>
    <s v="26-35"/>
    <m/>
    <x v="0"/>
    <m/>
    <s v="France"/>
    <m/>
  </r>
  <r>
    <d v="2018-11-16T17:12:09"/>
    <s v="Gameplay"/>
    <s v="Premade Duo"/>
    <s v="Arenas"/>
    <s v="No"/>
    <m/>
    <s v="I've not made a purchase"/>
    <m/>
    <m/>
    <s v="Ratbo"/>
    <m/>
    <s v="his charge shot and the scat spam"/>
    <m/>
    <s v="Silver"/>
    <m/>
    <s v="5-25"/>
    <m/>
    <x v="773"/>
    <m/>
    <s v="Daily"/>
    <m/>
    <s v="Watch, Stream"/>
    <m/>
    <s v="Male"/>
    <m/>
    <s v="I prefer not to say"/>
    <m/>
    <x v="1"/>
    <m/>
    <s v="USA"/>
    <m/>
  </r>
  <r>
    <d v="2018-11-16T17:14:58"/>
    <s v="Gameplay, Graphics, Collecting Cards/Masters, Competitions/Tournaments, Crafting system, The game is great except some minor issues in balance and UI, thats all keep up the good work"/>
    <s v="Solo, Duo, Premade Duo, Expeditions"/>
    <s v="Master Skins, Arenas, Emotes"/>
    <s v="Yes"/>
    <s v="Battle pass, but honestly to support u guys a little bit for making this happen:i also purchased the game on steam for the same reason"/>
    <s v="Yes"/>
    <s v="plasma marines, scrat horde, dragon fireball, defenso chopper, fire imp "/>
    <m/>
    <s v="Stormbringer"/>
    <m/>
    <s v="I play to win, so i play the best, and in my oppinion he is curently the best"/>
    <m/>
    <s v="Grandmaster"/>
    <m/>
    <s v="200-1000"/>
    <m/>
    <x v="774"/>
    <m/>
    <s v="Daily"/>
    <m/>
    <s v="Watch"/>
    <m/>
    <s v="Male"/>
    <m/>
    <s v="26-35"/>
    <m/>
    <x v="0"/>
    <m/>
    <s v="Croatia"/>
    <m/>
  </r>
  <r>
    <d v="2018-11-16T17:25:02"/>
    <s v="Gameplay"/>
    <s v="Premade Duo"/>
    <s v="Arenas"/>
    <s v="No"/>
    <m/>
    <s v="I've not made a purchase"/>
    <s v="Assasin, Gax The World Bomber, Spirit Infusion, Dragon Nest, Re-Boomer"/>
    <m/>
    <s v="Apep"/>
    <m/>
    <s v="I like the perks espacially Level 1 And 3 And i think he kinda looks cool"/>
    <m/>
    <s v="Diamond"/>
    <m/>
    <s v="100-200"/>
    <m/>
    <x v="775"/>
    <m/>
    <s v="Daily"/>
    <m/>
    <s v="Watch, Stream"/>
    <m/>
    <s v="Male"/>
    <m/>
    <s v="14-18"/>
    <m/>
    <x v="1"/>
    <m/>
    <s v="Germany"/>
    <m/>
  </r>
  <r>
    <d v="2018-11-16T17:25:23"/>
    <s v="Gameplay, Graphics, Competitions/Tournaments"/>
    <s v="Duo, Premade Duo, Expeditions"/>
    <s v="Arenas"/>
    <s v="No"/>
    <m/>
    <s v="I've not made a purchase"/>
    <s v="ATG drone x8; Colossus; devine warrior; Annihilator;Blastmancer "/>
    <m/>
    <s v="Stormbringer"/>
    <m/>
    <s v="global range + marksman for ranged minions"/>
    <m/>
    <s v="Platinum"/>
    <m/>
    <s v="5-25"/>
    <m/>
    <x v="776"/>
    <m/>
    <s v="Daily"/>
    <m/>
    <s v="Watch, Stream"/>
    <m/>
    <s v="Male"/>
    <m/>
    <s v="19-25"/>
    <m/>
    <x v="1"/>
    <m/>
    <s v="Belgium"/>
    <m/>
  </r>
  <r>
    <d v="2018-11-16T17:38:03"/>
    <s v="Gameplay"/>
    <s v="Premade Duo, Draft"/>
    <s v="Arenas"/>
    <s v="No"/>
    <m/>
    <m/>
    <s v="Nope."/>
    <m/>
    <s v="Apep"/>
    <m/>
    <s v="Random free cards allows for variety."/>
    <m/>
    <s v="Platinum"/>
    <m/>
    <s v="5-25"/>
    <m/>
    <x v="777"/>
    <m/>
    <s v="Daily"/>
    <m/>
    <s v="Neither"/>
    <m/>
    <s v="Male"/>
    <m/>
    <s v="26-35"/>
    <m/>
    <x v="1"/>
    <m/>
    <s v="Sweden"/>
    <m/>
  </r>
  <r>
    <d v="2018-11-16T17:42:11"/>
    <s v="Gameplay, Graphics, Collecting Cards/Masters"/>
    <s v="Solo, Duo"/>
    <s v="Master Skins, Arenas"/>
    <s v="No"/>
    <m/>
    <s v="I've not made a purchase"/>
    <m/>
    <m/>
    <s v="Ratbo"/>
    <m/>
    <s v="Win"/>
    <m/>
    <s v="Silver"/>
    <m/>
    <s v="5-25"/>
    <m/>
    <x v="235"/>
    <m/>
    <s v="Daily"/>
    <m/>
    <s v="Neither"/>
    <m/>
    <s v="Male"/>
    <m/>
    <s v="19-25"/>
    <m/>
    <x v="1"/>
    <m/>
    <s v="Russia"/>
    <m/>
  </r>
  <r>
    <d v="2018-11-16T17:48:28"/>
    <s v="Gameplay, Competitions/Tournaments"/>
    <s v="Premade Duo"/>
    <s v="Arenas"/>
    <s v="No"/>
    <m/>
    <s v="I've not made a purchase"/>
    <m/>
    <m/>
    <s v="Stormbringer"/>
    <m/>
    <s v="Long range Map pressure"/>
    <m/>
    <s v="Gold"/>
    <m/>
    <s v="5-25"/>
    <m/>
    <x v="778"/>
    <m/>
    <s v="Daily"/>
    <m/>
    <s v="Watch"/>
    <m/>
    <s v="Male"/>
    <m/>
    <s v="19-25"/>
    <m/>
    <x v="3"/>
    <m/>
    <s v="France"/>
    <m/>
  </r>
  <r>
    <d v="2018-11-16T17:48:45"/>
    <s v="Gameplay, Collecting Cards/Masters"/>
    <s v="Solo, Duo"/>
    <s v="Master Skins, Arenas"/>
    <s v="No"/>
    <m/>
    <s v="I've not made a purchase"/>
    <m/>
    <m/>
    <s v="Ratbo"/>
    <m/>
    <s v="Swarm strategy"/>
    <m/>
    <s v="Bronze"/>
    <m/>
    <s v="5-25"/>
    <m/>
    <x v="779"/>
    <m/>
    <s v="Daily"/>
    <m/>
    <s v="Neither"/>
    <m/>
    <s v="Male"/>
    <m/>
    <s v="26-35"/>
    <m/>
    <x v="1"/>
    <m/>
    <s v="Brazil"/>
    <m/>
  </r>
  <r>
    <d v="2018-11-16T18:06:13"/>
    <s v="Gameplay, Graphics"/>
    <s v="Duo, Premade Duo, Expeditions"/>
    <m/>
    <s v="Yes"/>
    <s v="The premium upgrade, 2 weeks ago."/>
    <s v="Yes"/>
    <s v="Musketeer, Styxi, Colossus, Wheel of Doom and Scott."/>
    <m/>
    <s v="Milloween"/>
    <m/>
    <s v="She is by far my favorite one due to her gameplay, aspect and personality. (Specially the voice lines and her tone of voice) The second one would be Settsu."/>
    <m/>
    <s v="Platinum"/>
    <m/>
    <s v="100-200"/>
    <m/>
    <x v="780"/>
    <m/>
    <s v="Daily"/>
    <m/>
    <s v="Watch"/>
    <m/>
    <s v="Male"/>
    <m/>
    <s v="19-25"/>
    <m/>
    <x v="1"/>
    <m/>
    <s v="Spain"/>
    <m/>
  </r>
  <r>
    <d v="2018-11-16T18:18:36"/>
    <s v="Gameplay, Collecting Cards/Masters"/>
    <s v="Solo, Duo"/>
    <s v="Arenas"/>
    <s v="No"/>
    <m/>
    <s v="I've not made a purchase"/>
    <s v="hard to pick but i enjoy the mana gaurdian thing from the new season sneaky thing about getting one mana back from a 5 mana card i would like to get the incubus aswell"/>
    <m/>
    <s v="Mordar"/>
    <m/>
    <s v="i always enjoy the sticky coming back again and again kind of minions"/>
    <m/>
    <s v="Silver"/>
    <m/>
    <s v="5-25"/>
    <m/>
    <x v="781"/>
    <m/>
    <s v="Daily"/>
    <m/>
    <s v="Neither"/>
    <m/>
    <s v="Male"/>
    <m/>
    <s v="19-25"/>
    <m/>
    <x v="0"/>
    <m/>
    <s v="USA"/>
    <m/>
  </r>
  <r>
    <d v="2018-11-16T18:35:29"/>
    <s v="Gameplay, Collecting Cards/Masters"/>
    <s v="Duo, Draft"/>
    <s v="Emotes"/>
    <s v="No"/>
    <m/>
    <s v="I've not made a purchase"/>
    <s v="no"/>
    <m/>
    <s v="Mordar"/>
    <m/>
    <s v="good question"/>
    <m/>
    <s v="Grandmaster"/>
    <m/>
    <s v="200-1000"/>
    <m/>
    <x v="782"/>
    <m/>
    <s v="1-2 times a week"/>
    <m/>
    <s v="Watch, Stream"/>
    <m/>
    <s v="Male"/>
    <m/>
    <s v="19-25"/>
    <m/>
    <x v="1"/>
    <m/>
    <s v="France"/>
    <m/>
  </r>
  <r>
    <d v="2018-11-16T18:54:02"/>
    <s v="Gameplay"/>
    <s v="Duo"/>
    <s v="Master Skins"/>
    <s v="Yes"/>
    <s v="For Season Pass"/>
    <s v="Yes"/>
    <s v="It is hard to say... but I like both season legendaries and for the remaining 3 cards I would pick Wheel of Doom, Colossus and last but not least some classic Fireball."/>
    <m/>
    <s v="Milloween"/>
    <m/>
    <s v="I've always been drawn to mages. Casting spells is nice and she encourages it."/>
    <m/>
    <s v="Gold"/>
    <m/>
    <s v="25-100"/>
    <m/>
    <x v="783"/>
    <m/>
    <s v="Daily"/>
    <m/>
    <s v="Watch"/>
    <m/>
    <s v="Male"/>
    <m/>
    <s v="19-25"/>
    <m/>
    <x v="1"/>
    <m/>
    <s v="Poland"/>
    <m/>
  </r>
  <r>
    <d v="2018-11-16T19:36:42"/>
    <s v="Gameplay"/>
    <s v="Duo"/>
    <s v="Master Skins, Avatars"/>
    <s v="Yes"/>
    <s v="To buy seasonal levels"/>
    <s v="Yes"/>
    <m/>
    <m/>
    <s v="Mordar"/>
    <m/>
    <s v="The gravestone respawn"/>
    <m/>
    <s v="Gold"/>
    <m/>
    <s v="200-1000"/>
    <m/>
    <x v="784"/>
    <m/>
    <s v="Daily"/>
    <m/>
    <s v="Neither"/>
    <m/>
    <s v="Male"/>
    <m/>
    <s v="over 36"/>
    <m/>
    <x v="0"/>
    <m/>
    <s v="USA"/>
    <m/>
  </r>
  <r>
    <d v="2018-11-16T19:36:56"/>
    <s v="Gameplay"/>
    <s v="Draft"/>
    <s v="Master Skins"/>
    <s v="Yes"/>
    <s v="premium upgrade"/>
    <s v="Yes"/>
    <m/>
    <m/>
    <m/>
    <m/>
    <m/>
    <m/>
    <s v="Master"/>
    <m/>
    <s v="100-200"/>
    <m/>
    <x v="4"/>
    <m/>
    <s v="5-6 times a week"/>
    <m/>
    <s v="Watch"/>
    <m/>
    <s v="Male"/>
    <m/>
    <s v="26-35"/>
    <m/>
    <x v="2"/>
    <m/>
    <s v="Italy"/>
    <m/>
  </r>
  <r>
    <d v="2018-11-16T19:43:05"/>
    <s v="Gameplay"/>
    <s v="Solo, Duo"/>
    <s v="Master Skins"/>
    <s v="No"/>
    <m/>
    <s v="I've not made a purchase"/>
    <m/>
    <m/>
    <s v="Volco"/>
    <m/>
    <m/>
    <m/>
    <s v="Grandmaster"/>
    <m/>
    <s v="200-1000"/>
    <m/>
    <x v="4"/>
    <m/>
    <s v="Daily"/>
    <m/>
    <s v="Neither"/>
    <m/>
    <s v="Male"/>
    <m/>
    <s v="26-35"/>
    <m/>
    <x v="1"/>
    <m/>
    <s v="Germany"/>
    <m/>
  </r>
  <r>
    <d v="2018-11-16T20:03:34"/>
    <s v="Gameplay, Everything is ranked"/>
    <s v="Solo, Duo, Premade Duo"/>
    <s v="Master Skins, Arenas"/>
    <s v="Yes"/>
    <s v="After I asked if it was 5 copies of a legendary or just 5 glory (200 glory vs 5 made it worth)"/>
    <s v="Yes"/>
    <s v="Bannerman, Xin, Crossbow Hut, S.T.INT, Armored Escort (spell)"/>
    <m/>
    <s v="Stormbringer"/>
    <m/>
    <s v="First few games my cards matched him better than free rotation, played almost 1k games with him and almost none with others"/>
    <m/>
    <s v="Grandmaster"/>
    <m/>
    <s v="100-200"/>
    <m/>
    <x v="785"/>
    <m/>
    <s v="Daily"/>
    <m/>
    <s v="Watch"/>
    <m/>
    <s v="Male"/>
    <m/>
    <s v="26-35"/>
    <m/>
    <x v="1"/>
    <m/>
    <s v="USA"/>
    <m/>
  </r>
  <r>
    <d v="2018-11-16T20:17:43"/>
    <s v="Collecting Cards/Masters"/>
    <s v="Duo"/>
    <s v="Arenas"/>
    <s v="No"/>
    <m/>
    <s v="I've not made a purchase"/>
    <s v="The passive buildings, need more like that!"/>
    <m/>
    <s v="Stormbringer"/>
    <m/>
    <s v="Basic, easy"/>
    <m/>
    <s v="Silver"/>
    <m/>
    <s v="5-25"/>
    <m/>
    <x v="786"/>
    <m/>
    <s v="Daily"/>
    <m/>
    <s v="Neither"/>
    <m/>
    <s v="Male"/>
    <m/>
    <s v="26-35"/>
    <m/>
    <x v="2"/>
    <m/>
    <s v="USA"/>
    <m/>
  </r>
  <r>
    <d v="2018-11-16T20:31:47"/>
    <s v="Gameplay, Collecting Cards/Masters"/>
    <s v="Premade Duo"/>
    <s v="Master Skins, Arenas, Avatars"/>
    <s v="No"/>
    <m/>
    <s v="I've not made a purchase"/>
    <s v="1.Divine Warrior 2.Arcane Golem 3.Cleaver 4.Crossbow Guild 5.Stun Lancer"/>
    <m/>
    <s v="Milloween"/>
    <m/>
    <s v="She's cute"/>
    <m/>
    <s v="Bronze"/>
    <m/>
    <s v="5-25"/>
    <m/>
    <x v="4"/>
    <m/>
    <s v="3-4 times a week"/>
    <m/>
    <s v="Neither"/>
    <m/>
    <s v="Male"/>
    <m/>
    <s v="14-18"/>
    <m/>
    <x v="1"/>
    <m/>
    <s v="Thailand"/>
    <m/>
  </r>
  <r>
    <d v="2018-11-16T20:42:48"/>
    <s v="Gameplay, Collecting Cards/Masters, Crafting system"/>
    <s v="Solo, Duo, Draft"/>
    <s v="Master Skins, Arenas"/>
    <s v="Yes"/>
    <s v="b pass"/>
    <s v="Yes"/>
    <m/>
    <m/>
    <s v="Apep"/>
    <m/>
    <m/>
    <m/>
    <s v="Gold"/>
    <m/>
    <s v="5-25"/>
    <m/>
    <x v="787"/>
    <m/>
    <s v="Daily"/>
    <m/>
    <s v="Neither"/>
    <m/>
    <s v="Male"/>
    <m/>
    <s v="26-35"/>
    <m/>
    <x v="0"/>
    <m/>
    <s v="Switzerland"/>
    <m/>
  </r>
  <r>
    <d v="2018-11-16T20:43:01"/>
    <s v="Gameplay"/>
    <s v="Premade Duo"/>
    <s v="Master Skins"/>
    <s v="No"/>
    <m/>
    <s v="Yes"/>
    <m/>
    <m/>
    <s v="Ratbo"/>
    <m/>
    <m/>
    <m/>
    <s v="Gold"/>
    <m/>
    <s v="5-25"/>
    <m/>
    <x v="4"/>
    <m/>
    <s v="Daily"/>
    <m/>
    <s v="Neither"/>
    <m/>
    <s v="Male"/>
    <m/>
    <s v="19-25"/>
    <m/>
    <x v="1"/>
    <m/>
    <s v="I prefer not to say"/>
    <m/>
  </r>
  <r>
    <d v="2018-11-16T20:50:00"/>
    <s v="Gameplay, Graphics"/>
    <s v="Premade Duo"/>
    <s v="Master Skins"/>
    <s v="No"/>
    <m/>
    <s v="I've not made a purchase"/>
    <s v="1. walking blind date 2. cheese date 3. blind date 4. assasin 5. propeller horde"/>
    <m/>
    <s v="Milloween"/>
    <m/>
    <s v="she is cute and badass (second is king puff for the second perk)"/>
    <m/>
    <s v="Silver"/>
    <m/>
    <s v="25-100"/>
    <m/>
    <x v="788"/>
    <m/>
    <s v="Daily"/>
    <m/>
    <s v="Watch"/>
    <m/>
    <s v="Female"/>
    <m/>
    <s v="14-18"/>
    <m/>
    <x v="1"/>
    <m/>
    <s v="USA"/>
    <m/>
  </r>
  <r>
    <d v="2018-11-16T21:09:33"/>
    <s v="Gameplay"/>
    <s v="Solo, Duo, Mayhem Solo, Mayhem Duo"/>
    <s v="Arenas"/>
    <s v="No"/>
    <m/>
    <s v="I've not made a purchase"/>
    <m/>
    <m/>
    <s v="Milloween"/>
    <m/>
    <s v="Love her art and play style."/>
    <m/>
    <s v="Silver"/>
    <m/>
    <s v="25-100"/>
    <m/>
    <x v="789"/>
    <m/>
    <s v="3-4 times a week"/>
    <m/>
    <s v="Watch"/>
    <m/>
    <s v="Male"/>
    <m/>
    <s v="14-18"/>
    <m/>
    <x v="1"/>
    <m/>
    <s v="USA"/>
    <m/>
  </r>
  <r>
    <d v="2018-11-16T21:18:37"/>
    <s v="Gameplay"/>
    <s v="Premade Duo"/>
    <m/>
    <s v="No"/>
    <m/>
    <s v="I've not made a purchase"/>
    <m/>
    <m/>
    <m/>
    <m/>
    <m/>
    <m/>
    <s v="Gold"/>
    <m/>
    <s v="5-25"/>
    <m/>
    <x v="790"/>
    <m/>
    <s v="Daily"/>
    <m/>
    <s v="Watch"/>
    <m/>
    <s v="Male"/>
    <m/>
    <s v="19-25"/>
    <m/>
    <x v="1"/>
    <m/>
    <s v="Germany"/>
    <m/>
  </r>
  <r>
    <d v="2018-11-16T21:19:55"/>
    <s v="Gameplay"/>
    <s v="Duo, Premade Duo"/>
    <s v="Master Skins"/>
    <s v="Yes"/>
    <s v="Season Pass"/>
    <s v="Yes"/>
    <s v="Xiao Long, Morgrul, Plasma Marines, Dragon Ball, Cursebearer"/>
    <m/>
    <s v="Ravager"/>
    <m/>
    <s v="I like frenzy and his friends that he summons. :) He is also aggressive at ending early."/>
    <m/>
    <s v="Diamond"/>
    <m/>
    <s v="100-200"/>
    <m/>
    <x v="791"/>
    <m/>
    <s v="3-4 times a week"/>
    <m/>
    <s v="Watch, Stream"/>
    <m/>
    <s v="Male"/>
    <m/>
    <s v="19-25"/>
    <m/>
    <x v="0"/>
    <m/>
    <s v="USA"/>
    <m/>
  </r>
  <r>
    <d v="2018-11-16T21:27:15"/>
    <s v="Gameplay, Graphics, Collecting Cards/Masters, Competitions/Tournaments"/>
    <s v="Duo, Expeditions"/>
    <s v="Arenas"/>
    <s v="No"/>
    <m/>
    <s v="I've not made a purchase"/>
    <s v="Commander Azali, Stun Lancers, Blind Date, Undying Skeleton,Annihilator"/>
    <m/>
    <s v="Milloween"/>
    <m/>
    <s v="Can spawn a strong Arcane Golem"/>
    <m/>
    <s v="Gold"/>
    <m/>
    <s v="5-25"/>
    <m/>
    <x v="792"/>
    <m/>
    <s v="3-4 times a week"/>
    <m/>
    <s v="Neither"/>
    <m/>
    <s v="Male"/>
    <m/>
    <s v="19-25"/>
    <m/>
    <x v="1"/>
    <m/>
    <s v="The Netherlands"/>
    <m/>
  </r>
  <r>
    <d v="2018-11-16T21:27:46"/>
    <s v="Gameplay, Collecting Cards/Masters, Crafting system"/>
    <s v="Solo, Duo, Premade Duo, Draft"/>
    <s v="Arenas"/>
    <s v="Yes"/>
    <s v="battlepass"/>
    <s v="No"/>
    <s v="zukünftige gegenwart, laufende verabredung mit dem Unbekannten, Verabredung mit dem Umbekannten, Scott der sensible Barbar, Scraptpanzer"/>
    <m/>
    <s v="Settsu"/>
    <m/>
    <s v="She is kinda fun?"/>
    <m/>
    <s v="Platinum"/>
    <m/>
    <s v="25-100"/>
    <m/>
    <x v="793"/>
    <m/>
    <s v="Daily"/>
    <m/>
    <s v="Watch"/>
    <m/>
    <s v="Male"/>
    <m/>
    <s v="26-35"/>
    <m/>
    <x v="1"/>
    <m/>
    <s v="Austria"/>
    <m/>
  </r>
  <r>
    <d v="2018-11-16T21:34:16"/>
    <s v="Gameplay, Collecting Cards/Masters"/>
    <s v="Duo, Premade Duo"/>
    <s v="Arenas"/>
    <s v="Yes"/>
    <s v="Shards"/>
    <s v="Yes"/>
    <m/>
    <m/>
    <s v="Stormbringer"/>
    <m/>
    <s v="Global range"/>
    <m/>
    <s v="Platinum"/>
    <m/>
    <s v="5-25"/>
    <m/>
    <x v="666"/>
    <m/>
    <s v="Daily"/>
    <m/>
    <m/>
    <m/>
    <s v="Male"/>
    <m/>
    <s v="19-25"/>
    <m/>
    <x v="0"/>
    <m/>
    <s v="USA"/>
    <m/>
  </r>
  <r>
    <d v="2018-11-16T21:36:34"/>
    <s v="Gameplay, Graphics, Collecting Cards/Masters"/>
    <s v="Duo"/>
    <s v="Master Skins, Emotes, Avatars"/>
    <s v="No"/>
    <m/>
    <m/>
    <s v="Annhilateur"/>
    <m/>
    <s v="Stormbringer"/>
    <m/>
    <s v="range"/>
    <m/>
    <s v="Gold"/>
    <m/>
    <s v="5-25"/>
    <m/>
    <x v="794"/>
    <m/>
    <s v="Daily"/>
    <m/>
    <m/>
    <m/>
    <s v="Male"/>
    <m/>
    <s v="26-35"/>
    <m/>
    <x v="0"/>
    <m/>
    <s v="France"/>
    <m/>
  </r>
  <r>
    <d v="2018-11-16T21:38:31"/>
    <s v="Graphics, Collecting Cards/Masters"/>
    <s v="Solo, Duo"/>
    <s v="Arenas"/>
    <s v="No"/>
    <m/>
    <s v="I've not made a purchase"/>
    <s v="drone force one , colossus , ghost , xiao long"/>
    <m/>
    <s v="Ravager"/>
    <m/>
    <s v="skills"/>
    <m/>
    <s v="Platinum"/>
    <m/>
    <s v="100-200"/>
    <m/>
    <x v="795"/>
    <m/>
    <s v="3-4 times a week"/>
    <m/>
    <s v="Stream"/>
    <m/>
    <s v="Male"/>
    <m/>
    <s v="26-35"/>
    <m/>
    <x v="1"/>
    <m/>
    <s v="Italy"/>
    <m/>
  </r>
  <r>
    <d v="2018-11-16T21:49:42"/>
    <s v="Collecting Cards/Masters"/>
    <s v="Solo"/>
    <m/>
    <s v="No"/>
    <m/>
    <s v="I've not made a purchase"/>
    <m/>
    <m/>
    <s v="Ratbo"/>
    <m/>
    <s v="ONLY ONE IVE USED"/>
    <m/>
    <s v="Stone"/>
    <m/>
    <s v="0-5"/>
    <m/>
    <x v="796"/>
    <m/>
    <s v="5-6 times a week"/>
    <m/>
    <s v="Watch"/>
    <m/>
    <s v="Male"/>
    <m/>
    <s v="over 36"/>
    <m/>
    <x v="0"/>
    <m/>
    <s v="USA"/>
    <m/>
  </r>
  <r>
    <d v="2018-11-16T21:58:09"/>
    <s v="Gameplay"/>
    <s v="Duo"/>
    <m/>
    <s v="No"/>
    <m/>
    <s v="I've not made a purchase"/>
    <m/>
    <m/>
    <s v="Settsu"/>
    <m/>
    <s v="Good power spikes @ 1+3, can defend herself"/>
    <m/>
    <s v="Master"/>
    <m/>
    <s v="5-25"/>
    <m/>
    <x v="4"/>
    <m/>
    <m/>
    <m/>
    <s v="Neither"/>
    <m/>
    <m/>
    <m/>
    <s v="26-35"/>
    <m/>
    <x v="2"/>
    <m/>
    <s v="I prefer not to say"/>
    <m/>
  </r>
  <r>
    <d v="2018-11-16T22:00:03"/>
    <s v="Gameplay"/>
    <s v="Solo, Duo"/>
    <s v="Master Skins"/>
    <s v="No"/>
    <s v="not worth it at the moment. "/>
    <s v="I've not made a purchase"/>
    <s v="No."/>
    <m/>
    <s v="Volco"/>
    <m/>
    <s v="he look nice."/>
    <m/>
    <s v="Gold"/>
    <m/>
    <s v="25-100"/>
    <m/>
    <x v="797"/>
    <m/>
    <s v="Daily"/>
    <m/>
    <s v="Watch"/>
    <m/>
    <s v="Male"/>
    <m/>
    <s v="26-35"/>
    <m/>
    <x v="0"/>
    <m/>
    <s v="The Netherlands"/>
    <m/>
  </r>
  <r>
    <d v="2018-11-16T22:26:13"/>
    <s v="Gameplay, Collecting Cards/Masters"/>
    <s v="Premade Duo"/>
    <s v="Master Skins"/>
    <s v="Yes"/>
    <s v="Premium + season pass."/>
    <s v="Yes"/>
    <s v="Morgrul - Scott - Fireball - divine warrior - arcane missiles. "/>
    <m/>
    <s v="Milloween"/>
    <m/>
    <s v="Just like it."/>
    <m/>
    <s v="Platinum"/>
    <m/>
    <s v="5-25"/>
    <m/>
    <x v="798"/>
    <m/>
    <s v="5-6 times a week"/>
    <m/>
    <s v="Watch"/>
    <m/>
    <s v="Male"/>
    <m/>
    <s v="26-35"/>
    <m/>
    <x v="0"/>
    <m/>
    <s v="Argentina"/>
    <m/>
  </r>
  <r>
    <d v="2018-11-16T22:31:58"/>
    <s v="Gameplay, Graphics, Collecting Cards/Masters"/>
    <s v="Solo, Duo"/>
    <s v="Emotes"/>
    <s v="No"/>
    <m/>
    <s v="I've not made a purchase"/>
    <s v="The srong and fast one, Cleaver, magma cannon, minions and bomb guy"/>
    <m/>
    <s v="Stormbringer"/>
    <m/>
    <s v="Because he's got a bow which I like and he's the default."/>
    <m/>
    <m/>
    <m/>
    <s v="0-5"/>
    <m/>
    <x v="799"/>
    <m/>
    <s v="Daily"/>
    <m/>
    <s v="Neither"/>
    <m/>
    <s v="Male"/>
    <m/>
    <s v="14-18"/>
    <m/>
    <x v="1"/>
    <m/>
    <s v="USA"/>
    <m/>
  </r>
  <r>
    <d v="2018-11-16T22:37:49"/>
    <s v="Gameplay, Collecting Cards/Masters"/>
    <s v="Premade Duo"/>
    <s v="Emotes"/>
    <s v="No"/>
    <m/>
    <s v="I've not made a purchase"/>
    <m/>
    <m/>
    <s v="Milloween"/>
    <m/>
    <s v="Looks like a mage"/>
    <m/>
    <s v="Platinum"/>
    <m/>
    <s v="25-100"/>
    <m/>
    <x v="800"/>
    <m/>
    <s v="Daily"/>
    <m/>
    <s v="Neither"/>
    <m/>
    <s v="Male"/>
    <m/>
    <s v="14-18"/>
    <m/>
    <x v="1"/>
    <m/>
    <s v="France"/>
    <m/>
  </r>
  <r>
    <d v="2018-11-16T22:46:02"/>
    <s v="Gameplay, Graphics, Collecting Cards/Masters, Competitions/Tournaments"/>
    <s v="Solo, Duo, Premade Duo, Expeditions, Mayhem Solo"/>
    <s v="Master Skins, Avatars"/>
    <s v="Yes"/>
    <s v="season pass"/>
    <s v="Yes"/>
    <s v="Haven't"/>
    <m/>
    <s v="Volco"/>
    <m/>
    <s v="coolness"/>
    <m/>
    <s v="Diamond"/>
    <m/>
    <s v="100-200"/>
    <m/>
    <x v="121"/>
    <m/>
    <s v="5-6 times a week"/>
    <m/>
    <s v="Neither"/>
    <m/>
    <s v="Male"/>
    <m/>
    <s v="19-25"/>
    <m/>
    <x v="0"/>
    <m/>
    <s v="Germany"/>
    <m/>
  </r>
  <r>
    <d v="2018-11-16T22:55:29"/>
    <s v="Gameplay, Graphics, Collecting Cards/Masters"/>
    <s v="Solo, Premade Duo"/>
    <m/>
    <s v="No"/>
    <m/>
    <s v="I've not made a purchase"/>
    <m/>
    <m/>
    <s v="Stormbringer"/>
    <m/>
    <s v="I have only begun a few days ago and couldnt play any other master"/>
    <m/>
    <m/>
    <m/>
    <s v="0-5"/>
    <m/>
    <x v="801"/>
    <m/>
    <s v="Daily"/>
    <m/>
    <s v="Watch"/>
    <m/>
    <s v="Male"/>
    <m/>
    <s v="19-25"/>
    <m/>
    <x v="2"/>
    <m/>
    <s v="Germany"/>
    <m/>
  </r>
  <r>
    <d v="2018-11-16T23:05:23"/>
    <s v="Gameplay"/>
    <s v="Duo"/>
    <m/>
    <s v="No"/>
    <m/>
    <s v="I've not made a purchase"/>
    <s v="no"/>
    <m/>
    <s v="Stormbringer"/>
    <m/>
    <s v="he is the best for mp"/>
    <m/>
    <s v="Diamond"/>
    <m/>
    <s v="200-1000"/>
    <m/>
    <x v="802"/>
    <m/>
    <s v="Daily"/>
    <m/>
    <s v="Neither"/>
    <m/>
    <s v="I prefer not to say"/>
    <m/>
    <s v="I prefer not to say"/>
    <m/>
    <x v="2"/>
    <m/>
    <s v="Germany"/>
    <m/>
  </r>
  <r>
    <d v="2018-11-16T23:22:09"/>
    <s v="Gameplay, Collecting Cards/Masters, Crafting system"/>
    <s v="Duo"/>
    <s v="Emotes"/>
    <s v="No"/>
    <m/>
    <s v="I've not made a purchase"/>
    <m/>
    <m/>
    <s v="Apep"/>
    <m/>
    <s v="op"/>
    <m/>
    <s v="Bronze"/>
    <m/>
    <s v="0-5"/>
    <m/>
    <x v="132"/>
    <m/>
    <s v="Daily"/>
    <m/>
    <s v="Watch"/>
    <m/>
    <s v="I prefer not to say"/>
    <m/>
    <s v="I prefer not to say"/>
    <m/>
    <x v="1"/>
    <m/>
    <s v="I prefer not to say"/>
    <m/>
  </r>
  <r>
    <d v="2018-11-16T23:51:09"/>
    <s v="Gameplay"/>
    <s v="Draft"/>
    <m/>
    <s v="Yes"/>
    <s v="Once to support a quality game."/>
    <s v="Yes"/>
    <m/>
    <m/>
    <s v="Mordar"/>
    <m/>
    <s v="Risk vs Reward is very high.   Getting 5+ mana back from tombstone spawn can be very powerful."/>
    <m/>
    <s v="Master"/>
    <m/>
    <s v="25-100"/>
    <m/>
    <x v="4"/>
    <m/>
    <m/>
    <m/>
    <m/>
    <m/>
    <m/>
    <m/>
    <m/>
    <m/>
    <x v="2"/>
    <m/>
    <s v="I prefer not to say"/>
    <m/>
  </r>
  <r>
    <d v="2018-11-17T00:02:56"/>
    <s v="Gameplay, Graphics, Collecting Cards/Masters"/>
    <s v="Duo"/>
    <s v="Master Skins, Arenas"/>
    <s v="No"/>
    <m/>
    <s v="I've not made a purchase"/>
    <m/>
    <m/>
    <s v="Stormbringer"/>
    <m/>
    <s v="Stormbringer is the only master I have."/>
    <m/>
    <s v="Wood"/>
    <m/>
    <s v="0-5"/>
    <m/>
    <x v="4"/>
    <m/>
    <s v="Occasionally"/>
    <m/>
    <s v="Watch"/>
    <m/>
    <s v="I prefer not to say"/>
    <m/>
    <s v="I prefer not to say"/>
    <m/>
    <x v="2"/>
    <m/>
    <s v="I prefer not to say"/>
    <m/>
  </r>
  <r>
    <d v="2018-11-17T00:05:59"/>
    <s v="Collecting Cards/Masters"/>
    <s v="Duo"/>
    <s v="Arenas"/>
    <s v="No"/>
    <m/>
    <s v="I've not made a purchase"/>
    <m/>
    <m/>
    <s v="Volco"/>
    <m/>
    <m/>
    <m/>
    <s v="Silver"/>
    <m/>
    <s v="5-25"/>
    <m/>
    <x v="4"/>
    <m/>
    <s v="Daily"/>
    <m/>
    <s v="Watch, Stream"/>
    <m/>
    <s v="Male"/>
    <m/>
    <s v="19-25"/>
    <m/>
    <x v="0"/>
    <m/>
    <s v="I prefer not to say"/>
    <m/>
  </r>
  <r>
    <d v="2018-11-17T00:28:50"/>
    <s v="Graphics, Collecting Cards/Masters"/>
    <s v="Solo"/>
    <s v="Master Skins, Avatars"/>
    <s v="No"/>
    <m/>
    <s v="Yes"/>
    <m/>
    <m/>
    <s v="Stormbringer"/>
    <m/>
    <s v="I haven’t gotten any others"/>
    <m/>
    <s v="Bronze"/>
    <m/>
    <s v="5-25"/>
    <m/>
    <x v="803"/>
    <m/>
    <s v="3-4 times a week"/>
    <m/>
    <s v="Watch"/>
    <m/>
    <s v="Male"/>
    <m/>
    <s v="26-35"/>
    <m/>
    <x v="0"/>
    <m/>
    <s v="USA"/>
    <m/>
  </r>
  <r>
    <d v="2018-11-17T00:33:08"/>
    <s v="Gameplay"/>
    <s v="Premade Duo"/>
    <s v="Arenas"/>
    <s v="No"/>
    <m/>
    <s v="I've not made a purchase"/>
    <s v="Blastmancer, screaming scrat, scrat horde, propeller horde, and colossus "/>
    <m/>
    <s v="Ravager"/>
    <m/>
    <s v="Brutus is so fun to summon."/>
    <m/>
    <s v="Silver"/>
    <m/>
    <s v="25-100"/>
    <m/>
    <x v="804"/>
    <m/>
    <s v="Daily"/>
    <m/>
    <s v="Neither"/>
    <m/>
    <s v="Male"/>
    <m/>
    <s v="14-18"/>
    <m/>
    <x v="1"/>
    <m/>
    <s v="USA"/>
    <m/>
  </r>
  <r>
    <d v="2018-11-17T00:57:07"/>
    <s v="Gameplay"/>
    <s v="Solo, Duo, Expeditions, Mayhem Solo"/>
    <s v="Emotes"/>
    <s v="No"/>
    <m/>
    <s v="I've not made a purchase"/>
    <s v="Divine Warrior, Crystal Atchers, Dragon Ball, Morgrul, Stardart Bearer"/>
    <m/>
    <s v="Stormbringer"/>
    <m/>
    <s v="At first because you learn the game with it, then because I think his skills are really good."/>
    <m/>
    <s v="Master"/>
    <m/>
    <s v="100-200"/>
    <m/>
    <x v="805"/>
    <m/>
    <s v="Daily"/>
    <m/>
    <s v="Watch, Stream"/>
    <m/>
    <s v="Male"/>
    <m/>
    <s v="26-35"/>
    <m/>
    <x v="3"/>
    <m/>
    <s v="Brazil"/>
    <m/>
  </r>
  <r>
    <d v="2018-11-17T01:02:38"/>
    <s v="Gameplay, Graphics, Collecting Cards/Masters"/>
    <s v="Duo, Premade Duo, Expeditions"/>
    <s v="Master Skins, Arenas"/>
    <s v="No"/>
    <s v="No money xd"/>
    <s v="Yes"/>
    <s v="Need more english for that"/>
    <m/>
    <s v="Mordar"/>
    <m/>
    <s v="Can resurrect everything"/>
    <m/>
    <s v="Diamond"/>
    <m/>
    <s v="100-200"/>
    <m/>
    <x v="806"/>
    <m/>
    <s v="Daily"/>
    <m/>
    <s v="Watch"/>
    <m/>
    <s v="Female"/>
    <m/>
    <s v="19-25"/>
    <m/>
    <x v="1"/>
    <m/>
    <s v="Ecuador"/>
    <m/>
  </r>
  <r>
    <d v="2018-11-17T01:11:16"/>
    <s v="Gameplay, Collecting Cards/Masters"/>
    <s v="Duo, Expeditions, Mayhem Duo"/>
    <s v="Master Skins, Arenas"/>
    <s v="Yes"/>
    <s v="Premium Pass (when game first launched)"/>
    <s v="Yes"/>
    <s v="Xiao Long (I liked the old version where it would damage enemy master if a spell is played, and I also like Dragon cards in general), Harbinger, Raging Reinforcements, Guardian, Future Past"/>
    <m/>
    <s v="Apep"/>
    <m/>
    <s v="I find the RNG of getting random cards is fun, because it allows you to use cards you do not normally have access to."/>
    <m/>
    <s v="Gold"/>
    <m/>
    <s v="25-100"/>
    <m/>
    <x v="807"/>
    <m/>
    <s v="Daily"/>
    <m/>
    <s v="Watch"/>
    <m/>
    <s v="Male"/>
    <m/>
    <s v="19-25"/>
    <m/>
    <x v="1"/>
    <m/>
    <s v="Canada"/>
    <m/>
  </r>
  <r>
    <d v="2018-11-17T01:23:36"/>
    <s v="Gameplay"/>
    <s v="Solo"/>
    <s v="Arenas"/>
    <s v="Yes"/>
    <s v="To buy the battle pass"/>
    <s v="Yes"/>
    <s v="Armoured Escort, Assassin, Crossbow Guild, Whirly Scrat, Annihalator"/>
    <m/>
    <s v="Ravager"/>
    <m/>
    <s v="I like his aesthetic"/>
    <m/>
    <s v="Gold"/>
    <m/>
    <s v="25-100"/>
    <m/>
    <x v="808"/>
    <m/>
    <s v="Daily"/>
    <m/>
    <s v="Watch, Stream"/>
    <m/>
    <s v="Male"/>
    <m/>
    <s v="19-25"/>
    <m/>
    <x v="1"/>
    <m/>
    <s v="Canada"/>
    <m/>
  </r>
  <r>
    <d v="2018-11-17T01:26:30"/>
    <s v="Gameplay, Graphics, Collecting Cards/Masters"/>
    <s v="Solo, Duo"/>
    <s v="Master Skins"/>
    <s v="No"/>
    <s v=" to meme my friends"/>
    <s v="I've not made a purchase"/>
    <s v="red golem "/>
    <m/>
    <s v="Apep"/>
    <m/>
    <s v="give you random free cards"/>
    <m/>
    <s v="Bronze"/>
    <m/>
    <s v="0-5"/>
    <m/>
    <x v="809"/>
    <m/>
    <s v="1-2 times a week"/>
    <m/>
    <s v="Neither"/>
    <m/>
    <s v="I prefer not to say"/>
    <m/>
    <s v="14-18"/>
    <m/>
    <x v="1"/>
    <m/>
    <s v="USA"/>
    <m/>
  </r>
  <r>
    <d v="2018-11-17T01:36:45"/>
    <s v="Gameplay, Collecting Cards/Masters"/>
    <s v="Duo, Expeditions, Mayhem Duo"/>
    <s v="Emotes"/>
    <s v="Yes"/>
    <m/>
    <s v="Yes"/>
    <m/>
    <m/>
    <s v="Stormbringer"/>
    <m/>
    <m/>
    <m/>
    <s v="Master"/>
    <m/>
    <s v="200-1000"/>
    <m/>
    <x v="4"/>
    <m/>
    <s v="Daily"/>
    <m/>
    <s v="Neither"/>
    <m/>
    <s v="Male"/>
    <m/>
    <s v="26-35"/>
    <m/>
    <x v="0"/>
    <m/>
    <s v="Russia"/>
    <m/>
  </r>
  <r>
    <d v="2018-11-17T01:55:49"/>
    <s v="Gameplay"/>
    <s v="Premade Duo"/>
    <s v="Arenas, Avatars"/>
    <s v="No"/>
    <m/>
    <s v="I've not made a purchase"/>
    <s v="Daggerfall, Stun Lancers, Cleaver, (i am not very far into the game)"/>
    <m/>
    <s v="Stormbringer"/>
    <m/>
    <s v="He has nice starter stats for a beginner like me."/>
    <m/>
    <s v="Stone"/>
    <m/>
    <s v="5-25"/>
    <m/>
    <x v="4"/>
    <m/>
    <s v="Daily"/>
    <m/>
    <s v="Watch"/>
    <m/>
    <s v="Female"/>
    <m/>
    <s v="I prefer not to say"/>
    <m/>
    <x v="1"/>
    <m/>
    <s v="USA"/>
    <m/>
  </r>
  <r>
    <d v="2018-11-17T02:09:35"/>
    <s v="Gameplay"/>
    <s v="Duo, Premade Duo"/>
    <s v="Master Skins"/>
    <s v="Yes"/>
    <s v="Bundles"/>
    <s v="No"/>
    <s v="xiao long"/>
    <m/>
    <s v="Stormbringer"/>
    <m/>
    <s v="He's strong no matter what"/>
    <m/>
    <s v="Diamond"/>
    <m/>
    <s v="25-100"/>
    <m/>
    <x v="810"/>
    <m/>
    <s v="Daily"/>
    <m/>
    <s v="Neither"/>
    <m/>
    <s v="Male"/>
    <m/>
    <s v="26-35"/>
    <m/>
    <x v="0"/>
    <m/>
    <s v="Canada"/>
    <m/>
  </r>
  <r>
    <d v="2018-11-17T02:22:50"/>
    <s v="Gameplay"/>
    <s v="Duo"/>
    <s v="Arenas"/>
    <s v="Yes"/>
    <s v="мама"/>
    <s v="Yes"/>
    <s v="мамам"/>
    <m/>
    <s v="Volco"/>
    <m/>
    <s v="мама"/>
    <m/>
    <s v="Bronze"/>
    <m/>
    <s v="5-25"/>
    <m/>
    <x v="4"/>
    <m/>
    <s v="5-6 times a week"/>
    <m/>
    <s v="Watch"/>
    <m/>
    <s v="Male"/>
    <m/>
    <s v="26-35"/>
    <m/>
    <x v="0"/>
    <m/>
    <s v="I prefer not to say"/>
    <m/>
  </r>
  <r>
    <d v="2018-11-17T03:06:08"/>
    <s v="Gameplay, Graphics"/>
    <s v="Solo, Premade Duo"/>
    <s v="Arenas"/>
    <s v="No"/>
    <m/>
    <s v="I've not made a purchase"/>
    <s v="Whirly scrat, plasma marines, cheese date, troubadour, and chain lightning"/>
    <m/>
    <s v="Stormbringer"/>
    <m/>
    <s v="Default starter master"/>
    <m/>
    <s v="Silver"/>
    <m/>
    <s v="5-25"/>
    <m/>
    <x v="811"/>
    <m/>
    <s v="5-6 times a week"/>
    <m/>
    <s v="Watch"/>
    <m/>
    <s v="Female"/>
    <m/>
    <s v="26-35"/>
    <m/>
    <x v="2"/>
    <m/>
    <s v="USA"/>
    <m/>
  </r>
  <r>
    <d v="2018-11-17T03:06:33"/>
    <s v="Gameplay, Graphics, Collecting Cards/Masters"/>
    <s v="Solo, Premade Duo, Expeditions, Mayhem Solo"/>
    <s v="Master Skins, Arenas"/>
    <s v="No"/>
    <m/>
    <s v="I've not made a purchase"/>
    <s v="Morgrul the swarmer king, Xiao long, harbinger, shars'rakk twins, dragon ball"/>
    <m/>
    <s v="King Puff"/>
    <m/>
    <s v="Because of his second buff"/>
    <m/>
    <s v="Diamond"/>
    <m/>
    <s v="200-1000"/>
    <m/>
    <x v="812"/>
    <m/>
    <s v="Daily"/>
    <m/>
    <s v="Neither"/>
    <m/>
    <s v="Male"/>
    <m/>
    <s v="19-25"/>
    <m/>
    <x v="0"/>
    <m/>
    <s v="Canada"/>
    <m/>
  </r>
  <r>
    <d v="2018-11-17T03:40:31"/>
    <s v="Gameplay"/>
    <s v="Duo"/>
    <s v="Master Skins"/>
    <s v="No"/>
    <m/>
    <s v="I've not made a purchase"/>
    <m/>
    <m/>
    <s v="Stormbringer"/>
    <m/>
    <s v="His ranged attacks offer me the most stable lategame"/>
    <m/>
    <s v="Platinum"/>
    <m/>
    <s v="25-100"/>
    <m/>
    <x v="813"/>
    <m/>
    <s v="Daily"/>
    <m/>
    <s v="Watch"/>
    <m/>
    <s v="Male"/>
    <m/>
    <s v="26-35"/>
    <m/>
    <x v="0"/>
    <m/>
    <s v="USA"/>
    <m/>
  </r>
  <r>
    <d v="2018-11-17T03:54:19"/>
    <s v="Gameplay, Graphics, Collecting Cards/Masters"/>
    <s v="Solo, Duo, Premade Duo, Draft, Expeditions, Mayhem Solo, Mayhem Duo"/>
    <s v="Master Skins"/>
    <s v="Yes"/>
    <s v="Master Skins, battle pass, Emotes, Token"/>
    <s v="Yes"/>
    <s v="Hypnotisieren, Magmasturm, Explosionsbeschwörer, Verabredung mit dem Unbekannten, Brückenkumpel"/>
    <m/>
    <s v="Milloween"/>
    <m/>
    <s v="She is the perfect Mage, and nice"/>
    <m/>
    <s v="Platinum"/>
    <m/>
    <s v="100-200"/>
    <m/>
    <x v="814"/>
    <m/>
    <s v="Daily"/>
    <m/>
    <s v="Neither"/>
    <m/>
    <s v="Female"/>
    <m/>
    <s v="26-35"/>
    <m/>
    <x v="0"/>
    <m/>
    <s v="Austria"/>
    <m/>
  </r>
  <r>
    <d v="2018-11-17T03:57:12"/>
    <s v="Gameplay"/>
    <s v="Duo, Expeditions"/>
    <s v="Arenas"/>
    <s v="No"/>
    <s v="n/a"/>
    <s v="I've not made a purchase"/>
    <m/>
    <m/>
    <s v="Apep"/>
    <m/>
    <s v="I like having extra random cards"/>
    <m/>
    <s v="Platinum"/>
    <m/>
    <s v="100-200"/>
    <m/>
    <x v="815"/>
    <m/>
    <s v="Daily"/>
    <m/>
    <s v="Neither"/>
    <m/>
    <s v="Male"/>
    <m/>
    <s v="over 36"/>
    <m/>
    <x v="0"/>
    <m/>
    <s v="Canada"/>
    <m/>
  </r>
  <r>
    <d v="2018-11-17T04:00:04"/>
    <s v="Gameplay, Graphics, Collecting Cards/Masters, Competitions/Tournaments, Crafting system"/>
    <s v="Solo, Duo, Expeditions"/>
    <s v="Master Skins, Arenas"/>
    <s v="No"/>
    <m/>
    <s v="Yes"/>
    <m/>
    <m/>
    <s v="Stormbringer"/>
    <m/>
    <m/>
    <m/>
    <s v="Wood"/>
    <m/>
    <s v="0-5"/>
    <m/>
    <x v="816"/>
    <m/>
    <s v="5-6 times a week"/>
    <m/>
    <s v="Watch"/>
    <m/>
    <s v="Male"/>
    <m/>
    <s v="19-25"/>
    <m/>
    <x v="0"/>
    <m/>
    <s v="Taiwan"/>
    <m/>
  </r>
  <r>
    <d v="2018-11-17T04:07:45"/>
    <s v="Competitions/Tournaments"/>
    <s v="Duo"/>
    <s v="Master Skins"/>
    <s v="No"/>
    <m/>
    <s v="I've not made a purchase"/>
    <s v="No"/>
    <m/>
    <s v="Ratbo"/>
    <m/>
    <s v="Has a funny voice"/>
    <m/>
    <s v="Stone"/>
    <m/>
    <s v="5-25"/>
    <m/>
    <x v="817"/>
    <m/>
    <s v="Daily"/>
    <m/>
    <s v="Neither"/>
    <m/>
    <s v="I prefer not to say"/>
    <m/>
    <s v="I prefer not to say"/>
    <m/>
    <x v="2"/>
    <m/>
    <s v="I prefer not to say"/>
    <m/>
  </r>
  <r>
    <d v="2018-11-17T04:35:28"/>
    <s v="Gameplay, Graphics, Collecting Cards/Masters"/>
    <s v="Duo, Premade Duo"/>
    <s v="Master Skins, Arenas"/>
    <s v="No"/>
    <m/>
    <m/>
    <m/>
    <m/>
    <s v="Apep"/>
    <m/>
    <s v="Fun RNG mechanics"/>
    <m/>
    <s v="Gold"/>
    <m/>
    <s v="5-25"/>
    <m/>
    <x v="818"/>
    <m/>
    <s v="5-6 times a week"/>
    <m/>
    <s v="Watch"/>
    <m/>
    <s v="Male"/>
    <m/>
    <s v="19-25"/>
    <m/>
    <x v="0"/>
    <m/>
    <s v="Brazil"/>
    <m/>
  </r>
  <r>
    <d v="2018-11-17T04:43:38"/>
    <s v="Gameplay"/>
    <s v="Duo, Premade Duo, Expeditions"/>
    <s v="Master Skins"/>
    <s v="Yes"/>
    <s v="battle pass"/>
    <s v="Yes"/>
    <s v="Rammer assasin divine warrior prowler harbinger"/>
    <m/>
    <s v="Apep"/>
    <m/>
    <s v="random cool cards"/>
    <m/>
    <s v="Diamond"/>
    <m/>
    <s v="100-200"/>
    <m/>
    <x v="819"/>
    <m/>
    <s v="Daily"/>
    <m/>
    <s v="Watch, Stream"/>
    <m/>
    <s v="Male"/>
    <m/>
    <s v="26-35"/>
    <m/>
    <x v="0"/>
    <m/>
    <s v="Sweden"/>
    <m/>
  </r>
  <r>
    <d v="2018-11-17T04:47:29"/>
    <s v="Gameplay, Graphics"/>
    <s v="Solo, Duo, Premade Duo, Draft, Expeditions"/>
    <s v="Master Skins, Emotes"/>
    <s v="No"/>
    <m/>
    <s v="I've not made a purchase"/>
    <s v="Fire Imp, Defenso chopper, Shield Totem, Xiao Long, Divine Warrior"/>
    <m/>
    <s v="Apep"/>
    <m/>
    <s v="RNG-focused skills which can either be helpful or not, and the shield totem can save you in a pinch."/>
    <m/>
    <s v="Master"/>
    <m/>
    <s v="100-200"/>
    <m/>
    <x v="820"/>
    <m/>
    <s v="Daily"/>
    <m/>
    <s v="Watch"/>
    <m/>
    <s v="Male"/>
    <m/>
    <s v="19-25"/>
    <m/>
    <x v="3"/>
    <m/>
    <s v="Philippines"/>
    <m/>
  </r>
  <r>
    <d v="2018-11-17T04:52:30"/>
    <s v="Gameplay"/>
    <s v="Duo"/>
    <s v="Arenas"/>
    <s v="No"/>
    <m/>
    <s v="I've not made a purchase"/>
    <s v="rammer, Gor'rakk sacrifice, whirly scrat,annhilator, and morgrul the swarmer king"/>
    <m/>
    <s v="Volco"/>
    <m/>
    <s v="It had a free code  and I really liked his play style"/>
    <m/>
    <s v="Silver"/>
    <m/>
    <s v="25-100"/>
    <m/>
    <x v="821"/>
    <m/>
    <s v="5-6 times a week"/>
    <m/>
    <s v="Neither"/>
    <m/>
    <s v="Male"/>
    <m/>
    <s v="14-18"/>
    <m/>
    <x v="1"/>
    <m/>
    <s v="I prefer not to say"/>
    <m/>
  </r>
  <r>
    <d v="2018-11-17T05:09:59"/>
    <s v="i like the silly cards that most strategy games wouldnt use "/>
    <s v="Duo"/>
    <s v="Arenas"/>
    <s v="No"/>
    <m/>
    <s v="I've not made a purchase"/>
    <s v="combustion, netherstep, cheese, propeller rats, and imps"/>
    <m/>
    <s v="Ratbo"/>
    <m/>
    <s v="cause he's retarded looking and spammy lmfao"/>
    <m/>
    <s v="Platinum"/>
    <m/>
    <s v="25-100"/>
    <m/>
    <x v="822"/>
    <m/>
    <s v="Daily"/>
    <m/>
    <s v="Neither"/>
    <m/>
    <s v="Male"/>
    <m/>
    <s v="19-25"/>
    <m/>
    <x v="2"/>
    <m/>
    <s v="USA"/>
    <m/>
  </r>
  <r>
    <d v="2018-11-17T05:16:36"/>
    <s v="Gameplay"/>
    <s v="Premade Duo"/>
    <s v="Arenas"/>
    <s v="No"/>
    <m/>
    <s v="I've not made a purchase"/>
    <m/>
    <m/>
    <s v="Milloween"/>
    <m/>
    <m/>
    <m/>
    <s v="Platinum"/>
    <m/>
    <s v="5-25"/>
    <m/>
    <x v="823"/>
    <m/>
    <s v="Daily"/>
    <m/>
    <s v="Watch"/>
    <m/>
    <s v="Male"/>
    <m/>
    <s v="19-25"/>
    <m/>
    <x v="0"/>
    <m/>
    <s v="USA"/>
    <m/>
  </r>
  <r>
    <d v="2018-11-17T05:42:59"/>
    <s v="Gameplay"/>
    <s v="Duo"/>
    <s v="Master Skins, Arenas"/>
    <s v="No"/>
    <m/>
    <s v="I've not made a purchase"/>
    <s v="Arqueiros de Cristal, Guerreira Divina, Portador da Maldição, Fuzileiros de Plasma e Monstrinho de Mana (porque é fofo)"/>
    <m/>
    <s v="Stormbringer"/>
    <m/>
    <s v="Por meu deck ter vantagens com precisão"/>
    <m/>
    <s v="Bronze"/>
    <m/>
    <s v="0-5"/>
    <m/>
    <x v="824"/>
    <m/>
    <s v="Daily"/>
    <m/>
    <s v="Neither"/>
    <m/>
    <s v="Male"/>
    <m/>
    <s v="19-25"/>
    <m/>
    <x v="3"/>
    <m/>
    <s v="Brasil"/>
    <m/>
  </r>
  <r>
    <d v="2018-11-17T06:21:02"/>
    <s v="Gameplay, Collecting Cards/Masters"/>
    <s v="Solo, Duo"/>
    <s v="Master Skins"/>
    <s v="Yes"/>
    <s v="To get a legendary card"/>
    <s v="Yes"/>
    <s v="Plasma Marines, Xiao Long, Defenso Chopper,  Spear Throwers, Dragon Ball"/>
    <m/>
    <s v="Stormbringer"/>
    <m/>
    <s v="Range on attack."/>
    <m/>
    <s v="Gold"/>
    <m/>
    <s v="25-100"/>
    <m/>
    <x v="52"/>
    <m/>
    <s v="3-4 times a week"/>
    <m/>
    <s v="Watch"/>
    <m/>
    <s v="Male"/>
    <m/>
    <s v="over 36"/>
    <m/>
    <x v="2"/>
    <m/>
    <s v="USA"/>
    <m/>
  </r>
  <r>
    <d v="2018-11-17T07:34:01"/>
    <s v="Gameplay, Collecting Cards/Masters"/>
    <s v="Solo, Duo"/>
    <s v="Master Skins, Avatars"/>
    <s v="No"/>
    <m/>
    <s v="I've not made a purchase"/>
    <m/>
    <m/>
    <s v="Milloween"/>
    <m/>
    <m/>
    <m/>
    <s v="Stone"/>
    <m/>
    <s v="0-5"/>
    <m/>
    <x v="4"/>
    <m/>
    <s v="Daily"/>
    <m/>
    <s v="Watch"/>
    <m/>
    <s v="Male"/>
    <m/>
    <s v="I prefer not to say"/>
    <m/>
    <x v="2"/>
    <m/>
    <s v="I prefer not to say"/>
    <m/>
  </r>
  <r>
    <d v="2018-11-17T08:45:13"/>
    <s v="Gameplay"/>
    <s v="Solo, Draft"/>
    <s v="Emotes"/>
    <s v="No"/>
    <m/>
    <s v="I've not made a purchase"/>
    <m/>
    <m/>
    <s v="Stormbringer"/>
    <m/>
    <s v="I enjoy playing cost effective defense and bridge control"/>
    <m/>
    <s v="Diamond"/>
    <m/>
    <s v="100-200"/>
    <m/>
    <x v="825"/>
    <m/>
    <s v="3-4 times a week"/>
    <m/>
    <s v="Watch"/>
    <m/>
    <s v="Male"/>
    <m/>
    <s v="26-35"/>
    <m/>
    <x v="4"/>
    <m/>
    <s v="Poland"/>
    <m/>
  </r>
  <r>
    <d v="2018-11-17T09:03:31"/>
    <s v="Gameplay, Graphics, Collecting Cards/Masters, Competitions/Tournaments, Crafting system"/>
    <s v="Solo, Duo, Expeditions, Mayhem Solo, Mayhem Duo"/>
    <m/>
    <s v="No"/>
    <m/>
    <s v="I've not made a purchase"/>
    <m/>
    <m/>
    <m/>
    <m/>
    <s v="I don't remember names, just pictures sorry"/>
    <m/>
    <s v="Master"/>
    <m/>
    <s v="100-200"/>
    <m/>
    <x v="4"/>
    <m/>
    <s v="Daily"/>
    <m/>
    <s v="Watch, Stream"/>
    <m/>
    <s v="Male"/>
    <m/>
    <s v="19-25"/>
    <m/>
    <x v="2"/>
    <m/>
    <s v="USA"/>
    <m/>
  </r>
  <r>
    <d v="2018-11-17T09:07:57"/>
    <s v="Gameplay, Collecting Cards/Masters"/>
    <s v="Solo"/>
    <s v="Arenas, Avatars"/>
    <s v="No"/>
    <m/>
    <s v="I've not made a purchase"/>
    <m/>
    <m/>
    <m/>
    <m/>
    <m/>
    <m/>
    <s v="Wood"/>
    <m/>
    <s v="0-5"/>
    <m/>
    <x v="4"/>
    <m/>
    <s v="3-4 times a week"/>
    <m/>
    <s v="Neither"/>
    <m/>
    <s v="Male"/>
    <m/>
    <s v="over 36"/>
    <m/>
    <x v="0"/>
    <m/>
    <s v="USA"/>
    <m/>
  </r>
  <r>
    <d v="2018-11-17T09:26:38"/>
    <s v="Gameplay, Graphics"/>
    <s v="Premade Duo, Expeditions"/>
    <s v="Arenas"/>
    <s v="No"/>
    <m/>
    <s v="I've not made a purchase"/>
    <s v="Mana Puff, Mana Puff Madness, Guardian, Cheese Date, Heal Puffs"/>
    <m/>
    <s v="Apep"/>
    <m/>
    <s v="His two free cards are a great addition to any team &amp; the Shield Totem has many uses."/>
    <m/>
    <s v="Silver"/>
    <m/>
    <s v="25-100"/>
    <m/>
    <x v="826"/>
    <m/>
    <s v="Daily"/>
    <m/>
    <s v="Watch"/>
    <m/>
    <s v="Male"/>
    <m/>
    <s v="14-18"/>
    <m/>
    <x v="1"/>
    <m/>
    <s v="Czech Republic"/>
    <m/>
  </r>
  <r>
    <d v="2018-11-17T09:43:32"/>
    <s v="Gameplay, Collecting Cards/Masters"/>
    <s v="Duo"/>
    <s v="Master Skins, Arenas"/>
    <s v="Yes"/>
    <s v="having a decent set of cards to start playing"/>
    <s v="Yes"/>
    <s v="game in french so... prêtresse et squelette immortel"/>
    <m/>
    <s v="Mordar"/>
    <m/>
    <s v="revive dead minion"/>
    <m/>
    <s v="Gold"/>
    <m/>
    <s v="25-100"/>
    <m/>
    <x v="4"/>
    <m/>
    <s v="5-6 times a week"/>
    <m/>
    <s v="Neither"/>
    <m/>
    <s v="Male"/>
    <m/>
    <s v="26-35"/>
    <m/>
    <x v="0"/>
    <m/>
    <s v="Belgium"/>
    <m/>
  </r>
  <r>
    <d v="2018-11-17T09:51:49"/>
    <s v="Collecting Cards/Masters"/>
    <s v="Solo"/>
    <s v="Master Skins"/>
    <s v="No"/>
    <m/>
    <s v="I've not made a purchase"/>
    <s v="rammer incube succube scott gardien"/>
    <m/>
    <s v="Ratbo"/>
    <m/>
    <m/>
    <m/>
    <s v="Silver"/>
    <m/>
    <s v="5-25"/>
    <m/>
    <x v="4"/>
    <m/>
    <s v="3-4 times a week"/>
    <m/>
    <s v="Stream"/>
    <m/>
    <s v="Male"/>
    <m/>
    <s v="over 36"/>
    <m/>
    <x v="0"/>
    <m/>
    <s v="France"/>
    <m/>
  </r>
  <r>
    <d v="2018-11-17T10:22:02"/>
    <s v="Gameplay, Collecting Cards/Masters"/>
    <s v="Solo, Duo, Draft"/>
    <s v="Master Skins"/>
    <s v="No"/>
    <m/>
    <s v="I've not made a purchase"/>
    <m/>
    <m/>
    <s v="King Puff"/>
    <m/>
    <s v="Cute and some cool abilities"/>
    <m/>
    <s v="Stone"/>
    <m/>
    <s v="0-5"/>
    <m/>
    <x v="827"/>
    <m/>
    <s v="Daily"/>
    <m/>
    <s v="Watch"/>
    <m/>
    <s v="Male"/>
    <m/>
    <s v="19-25"/>
    <m/>
    <x v="3"/>
    <m/>
    <s v="USA"/>
    <m/>
  </r>
  <r>
    <d v="2018-11-17T10:35:22"/>
    <s v="Gameplay, Graphics, Collecting Cards/Masters, Crafting system"/>
    <s v="Duo, Premade Duo, Mayhem Duo"/>
    <s v="Arenas, Emotes"/>
    <s v="No"/>
    <m/>
    <s v="I've not made a purchase"/>
    <m/>
    <m/>
    <s v="Milloween"/>
    <m/>
    <s v="because i like spells"/>
    <m/>
    <s v="Gold"/>
    <m/>
    <s v="5-25"/>
    <m/>
    <x v="828"/>
    <m/>
    <s v="Daily"/>
    <m/>
    <s v="Neither"/>
    <m/>
    <s v="Male"/>
    <m/>
    <s v="14-18"/>
    <m/>
    <x v="1"/>
    <m/>
    <s v="Saudi Arabia"/>
    <m/>
  </r>
  <r>
    <d v="2018-11-17T10:49:02"/>
    <s v="Gameplay, Collecting Cards/Masters"/>
    <s v="Solo, Duo, Premade Duo"/>
    <s v="Master Skins"/>
    <s v="Yes"/>
    <m/>
    <s v="Yes"/>
    <m/>
    <m/>
    <s v="Milloween"/>
    <m/>
    <m/>
    <m/>
    <s v="Diamond"/>
    <m/>
    <s v="100-200"/>
    <m/>
    <x v="4"/>
    <m/>
    <s v="Daily"/>
    <m/>
    <s v="Watch"/>
    <m/>
    <s v="Male"/>
    <m/>
    <s v="26-35"/>
    <m/>
    <x v="0"/>
    <m/>
    <s v="I prefer not to say"/>
    <m/>
  </r>
  <r>
    <d v="2018-11-17T10:54:53"/>
    <s v="Gameplay, Collecting Cards/Masters, Competitions/Tournaments"/>
    <s v="Premade Duo"/>
    <s v="Master Skins, Arenas"/>
    <s v="No"/>
    <m/>
    <s v="I've not made a purchase"/>
    <m/>
    <m/>
    <s v="King Puff"/>
    <m/>
    <s v="it's hella cute"/>
    <m/>
    <s v="Gold"/>
    <m/>
    <s v="0-5"/>
    <m/>
    <x v="829"/>
    <m/>
    <s v="3-4 times a week"/>
    <m/>
    <s v="Watch, Stream"/>
    <m/>
    <s v="Male"/>
    <m/>
    <s v="19-25"/>
    <m/>
    <x v="0"/>
    <m/>
    <s v="Sweden"/>
    <m/>
  </r>
  <r>
    <d v="2018-11-17T10:58:21"/>
    <s v="Gameplay"/>
    <s v="Duo, Premade Duo"/>
    <s v="Arenas"/>
    <s v="No"/>
    <m/>
    <s v="I've not made a purchase"/>
    <s v="Rammer, Whirly Scrat, Plasma Marines, Styxi, Spear Throwers"/>
    <m/>
    <s v="Volco"/>
    <m/>
    <s v="I dunno, I just kinda stumbled upon it during free rotation. When I put him to premade 2v2 with my friend he worked like a charm. Burn The Bridges is ridiculous, perk 3 is great for vain pushing with Rammer, and Afterburner also does that one bit of damage away from victory."/>
    <m/>
    <s v="Platinum"/>
    <m/>
    <s v="5-25"/>
    <m/>
    <x v="830"/>
    <m/>
    <s v="5-6 times a week"/>
    <m/>
    <s v="Watch"/>
    <m/>
    <s v="Male"/>
    <m/>
    <s v="14-18"/>
    <m/>
    <x v="1"/>
    <m/>
    <s v="Vietnam"/>
    <m/>
  </r>
  <r>
    <d v="2018-11-17T11:09:36"/>
    <s v="Gameplay, Collecting Cards/Masters"/>
    <s v="Duo, Expeditions"/>
    <s v="Master Skins, Emotes"/>
    <s v="Yes"/>
    <s v="too get the battlepass"/>
    <s v="Yes"/>
    <s v="spiritmancer armored escort commander azali lightning bolt fire imp"/>
    <m/>
    <s v="Mordar"/>
    <m/>
    <s v="cause i can implement outmaneuver strategies"/>
    <m/>
    <s v="Platinum"/>
    <m/>
    <s v="25-100"/>
    <m/>
    <x v="831"/>
    <m/>
    <s v="Daily"/>
    <m/>
    <s v="Watch"/>
    <m/>
    <s v="Male"/>
    <m/>
    <s v="19-25"/>
    <m/>
    <x v="1"/>
    <m/>
    <s v="Philippines"/>
    <m/>
  </r>
  <r>
    <d v="2018-11-17T11:26:52"/>
    <s v="Collecting Cards/Masters"/>
    <s v="Duo"/>
    <s v="Avatars"/>
    <s v="No"/>
    <m/>
    <s v="No"/>
    <m/>
    <m/>
    <s v="King Puff"/>
    <m/>
    <s v="cute"/>
    <m/>
    <s v="Bronze"/>
    <m/>
    <s v="5-25"/>
    <m/>
    <x v="4"/>
    <m/>
    <s v="Daily"/>
    <m/>
    <s v="Watch"/>
    <m/>
    <s v="Male"/>
    <m/>
    <s v="26-35"/>
    <m/>
    <x v="2"/>
    <m/>
    <s v="Thailand"/>
    <m/>
  </r>
  <r>
    <d v="2018-11-17T11:44:59"/>
    <s v="Gameplay"/>
    <s v="Premade Duo"/>
    <s v="Master Skins"/>
    <s v="Yes"/>
    <s v="A daily deal pack"/>
    <s v="Yes"/>
    <s v="Morgul, elven archer, goblin pyromancer, doom wheel and blue golem"/>
    <m/>
    <s v="Ravager"/>
    <m/>
    <s v="Brutus"/>
    <m/>
    <s v="Platinum"/>
    <m/>
    <s v="5-25"/>
    <m/>
    <x v="832"/>
    <m/>
    <s v="Occasionally"/>
    <m/>
    <s v="Neither"/>
    <m/>
    <s v="Male"/>
    <m/>
    <s v="19-25"/>
    <m/>
    <x v="0"/>
    <m/>
    <s v="Finland"/>
    <m/>
  </r>
  <r>
    <d v="2018-11-17T12:10:21"/>
    <s v="Gameplay, Collecting Cards/Masters, Crafting system"/>
    <s v="Duo, Premade Duo, Draft"/>
    <s v="Master Skins, Arenas"/>
    <s v="Yes"/>
    <s v="to buy masters"/>
    <s v="Yes"/>
    <s v="1: harbinger 2: defenso chopper 3: divine warrior 4: rammer 5: scrat launcher"/>
    <m/>
    <s v="Ravager"/>
    <m/>
    <s v="i like that he spawns the big minions when he levels up, it gives good oportunities to attack "/>
    <m/>
    <s v="Diamond"/>
    <m/>
    <s v="100-200"/>
    <m/>
    <x v="833"/>
    <m/>
    <s v="5-6 times a week"/>
    <m/>
    <s v="Watch"/>
    <m/>
    <s v="Male"/>
    <m/>
    <s v="19-25"/>
    <m/>
    <x v="1"/>
    <m/>
    <s v="Denmark"/>
    <m/>
  </r>
  <r>
    <d v="2018-11-17T12:16:22"/>
    <s v="Gameplay, Graphics"/>
    <s v="Duo"/>
    <s v="Avatars"/>
    <s v="No"/>
    <m/>
    <s v="I've not made a purchase"/>
    <s v="Grenadier Drachenwelpe Incubus Betäubungssulan S.T.INT"/>
    <m/>
    <s v="Milloween"/>
    <m/>
    <s v="Best look, nice skills. Even more childish (without breasts) it still makes her look better than others. I don't wanna win for an ugly alien."/>
    <m/>
    <s v="Stone"/>
    <m/>
    <s v="5-25"/>
    <m/>
    <x v="834"/>
    <m/>
    <s v="Daily"/>
    <m/>
    <s v="Watch"/>
    <m/>
    <s v="I prefer not to say"/>
    <m/>
    <s v="I prefer not to say"/>
    <m/>
    <x v="3"/>
    <m/>
    <s v="Germany"/>
    <m/>
  </r>
  <r>
    <d v="2018-11-17T12:43:25"/>
    <s v="Gameplay"/>
    <s v="Premade Duo"/>
    <s v="Arenas"/>
    <s v="No"/>
    <m/>
    <s v="I've not made a purchase"/>
    <s v="Defenso chopper, Scott, Harbringer, Incubus, Plasma Marines"/>
    <m/>
    <s v="King Puff"/>
    <m/>
    <s v="Strong 2nd perk"/>
    <m/>
    <s v="Grandmaster"/>
    <m/>
    <s v="100-200"/>
    <m/>
    <x v="835"/>
    <m/>
    <s v="5-6 times a week"/>
    <m/>
    <s v="Watch, Stream"/>
    <m/>
    <s v="Male"/>
    <m/>
    <s v="26-35"/>
    <m/>
    <x v="0"/>
    <m/>
    <s v="Czech Republic"/>
    <m/>
  </r>
  <r>
    <d v="2018-11-17T12:56:17"/>
    <s v="Gameplay"/>
    <s v="Duo, Premade Duo, Draft"/>
    <s v="Master Skins, Emotes"/>
    <s v="Yes"/>
    <s v="To get the battle pass"/>
    <s v="Yes"/>
    <s v="Spiritmancer, Soul Stealer, Wall, Colosus, Healing Shrine"/>
    <m/>
    <s v="Ravager"/>
    <m/>
    <s v="I like his 2nd perk, it feels great to use it to it's fullest potential although it's hard to set up properly"/>
    <m/>
    <s v="Diamond"/>
    <m/>
    <s v="200-1000"/>
    <m/>
    <x v="836"/>
    <m/>
    <s v="Daily"/>
    <m/>
    <s v="Neither"/>
    <m/>
    <s v="Female"/>
    <m/>
    <s v="19-25"/>
    <m/>
    <x v="3"/>
    <m/>
    <s v="The Netherlands"/>
    <m/>
  </r>
  <r>
    <d v="2018-11-17T12:58:20"/>
    <s v="Gameplay"/>
    <s v="Duo"/>
    <s v="Master Skins, Avatars"/>
    <s v="No"/>
    <m/>
    <s v="I've not made a purchase"/>
    <m/>
    <m/>
    <s v="Stormbringer"/>
    <m/>
    <m/>
    <m/>
    <s v="Gold"/>
    <m/>
    <s v="5-25"/>
    <m/>
    <x v="4"/>
    <m/>
    <s v="1-2 times a week"/>
    <m/>
    <s v="Watch"/>
    <m/>
    <s v="Male"/>
    <m/>
    <s v="19-25"/>
    <m/>
    <x v="0"/>
    <m/>
    <s v="Algeria"/>
    <m/>
  </r>
  <r>
    <d v="2018-11-17T12:58:32"/>
    <s v="Gameplay, Collecting Cards/Masters"/>
    <s v="Solo, Draft"/>
    <s v="Arenas"/>
    <s v="No"/>
    <m/>
    <s v="Yes"/>
    <m/>
    <m/>
    <s v="Stormbringer"/>
    <m/>
    <s v="Ranged attack"/>
    <m/>
    <s v="Platinum"/>
    <m/>
    <s v="5-25"/>
    <m/>
    <x v="837"/>
    <m/>
    <s v="Daily"/>
    <m/>
    <s v="Neither"/>
    <m/>
    <s v="Male"/>
    <m/>
    <s v="26-35"/>
    <m/>
    <x v="0"/>
    <m/>
    <s v="Estonia"/>
    <m/>
  </r>
  <r>
    <d v="2018-11-17T13:04:09"/>
    <s v="Competitions/Tournaments"/>
    <s v="Solo"/>
    <s v="Master Skins"/>
    <s v="Yes"/>
    <s v="Season Battle Pass"/>
    <s v="Yes"/>
    <s v="Morgul, Drone Buzzers, Daggerfall, Mana Puff Madness, Plasma Marines"/>
    <m/>
    <s v="Mordar"/>
    <m/>
    <s v="My mordar deck is my best deck."/>
    <m/>
    <s v="Master"/>
    <m/>
    <s v="200-1000"/>
    <m/>
    <x v="838"/>
    <m/>
    <s v="Daily"/>
    <m/>
    <s v="Watch, Stream"/>
    <m/>
    <s v="Male"/>
    <m/>
    <s v="14-18"/>
    <m/>
    <x v="1"/>
    <m/>
    <s v="USA"/>
    <m/>
  </r>
  <r>
    <d v="2018-11-17T13:36:09"/>
    <s v="Gameplay, Graphics"/>
    <s v="Duo"/>
    <s v="Arenas, Avatars"/>
    <s v="No"/>
    <m/>
    <s v="I've not made a purchase"/>
    <s v="no"/>
    <m/>
    <s v="King Puff"/>
    <m/>
    <s v="really interesting"/>
    <m/>
    <s v="Stone"/>
    <m/>
    <s v="5-25"/>
    <m/>
    <x v="839"/>
    <m/>
    <s v="Daily"/>
    <m/>
    <s v="Neither"/>
    <m/>
    <s v="Female"/>
    <m/>
    <s v="I prefer not to say"/>
    <m/>
    <x v="2"/>
    <m/>
    <s v="USA"/>
    <m/>
  </r>
  <r>
    <d v="2018-11-17T13:50:57"/>
    <s v="Gameplay"/>
    <s v="Premade Duo, Expeditions"/>
    <s v="Master Skins"/>
    <s v="Yes"/>
    <s v="offers in shop, and extra cards"/>
    <s v="Yes"/>
    <s v="Soul stealer, fire imp, walking blind date, blind date and blastmancer "/>
    <m/>
    <s v="Apep"/>
    <m/>
    <s v="fun to play with some RNG elements"/>
    <m/>
    <s v="Platinum"/>
    <m/>
    <s v="25-100"/>
    <m/>
    <x v="206"/>
    <m/>
    <s v="Daily"/>
    <m/>
    <s v="Neither"/>
    <m/>
    <s v="Male"/>
    <m/>
    <s v="19-25"/>
    <m/>
    <x v="1"/>
    <m/>
    <s v="Sweden"/>
    <m/>
  </r>
  <r>
    <d v="2018-11-17T14:13:12"/>
    <s v="Gameplay"/>
    <s v="Solo, Duo"/>
    <s v="Master Skins"/>
    <s v="No"/>
    <m/>
    <s v="I've not made a purchase"/>
    <m/>
    <m/>
    <s v="Stormbringer"/>
    <m/>
    <m/>
    <m/>
    <s v="Diamond"/>
    <m/>
    <s v="25-100"/>
    <m/>
    <x v="4"/>
    <m/>
    <s v="5-6 times a week"/>
    <m/>
    <m/>
    <m/>
    <s v="Male"/>
    <m/>
    <s v="over 36"/>
    <m/>
    <x v="3"/>
    <m/>
    <s v="I prefer not to say"/>
    <m/>
  </r>
  <r>
    <d v="2018-11-17T14:18:45"/>
    <s v="Gameplay"/>
    <s v="Duo"/>
    <s v="Master Skins"/>
    <s v="Yes"/>
    <s v="reward track / account upgrade"/>
    <s v="Yes"/>
    <s v="Mana Puff, Hypnotize, Future Present, Scrat Pack, Divine Warrior"/>
    <m/>
    <s v="Apep"/>
    <m/>
    <s v="I like the free cards and defensive options"/>
    <m/>
    <s v="Grandmaster"/>
    <m/>
    <s v="200-1000"/>
    <m/>
    <x v="840"/>
    <m/>
    <s v="Daily"/>
    <m/>
    <s v="Watch"/>
    <m/>
    <s v="Male"/>
    <m/>
    <s v="26-35"/>
    <m/>
    <x v="0"/>
    <m/>
    <s v="USA"/>
    <m/>
  </r>
  <r>
    <d v="2018-11-17T14:52:19"/>
    <s v="Gameplay"/>
    <s v="Solo, Duo"/>
    <m/>
    <s v="Yes"/>
    <s v="For a particular legendary &amp; to support the dev's"/>
    <s v="Yes"/>
    <m/>
    <m/>
    <m/>
    <m/>
    <m/>
    <m/>
    <s v="Platinum"/>
    <m/>
    <s v="25-100"/>
    <m/>
    <x v="4"/>
    <m/>
    <s v="Daily"/>
    <m/>
    <m/>
    <m/>
    <s v="Male"/>
    <m/>
    <s v="over 36"/>
    <m/>
    <x v="2"/>
    <m/>
    <s v="I prefer not to say"/>
    <m/>
  </r>
  <r>
    <d v="2018-11-17T15:08:23"/>
    <s v="Gameplay, Collecting Cards/Masters, Competitions/Tournaments"/>
    <s v="Solo, Premade Duo"/>
    <s v="Emotes"/>
    <s v="No"/>
    <m/>
    <s v="I've not made a purchase"/>
    <m/>
    <m/>
    <s v="King Puff"/>
    <m/>
    <s v="The third power is really interesting."/>
    <m/>
    <s v="Gold"/>
    <m/>
    <s v="5-25"/>
    <m/>
    <x v="841"/>
    <m/>
    <s v="Daily"/>
    <m/>
    <s v="Watch, Stream"/>
    <m/>
    <s v="Male"/>
    <m/>
    <s v="19-25"/>
    <m/>
    <x v="1"/>
    <m/>
    <s v="Sweden"/>
    <m/>
  </r>
  <r>
    <d v="2018-11-17T15:09:55"/>
    <s v="Gameplay, Collecting Cards/Masters"/>
    <s v="Solo, Premade Duo, Expeditions"/>
    <s v="Master Skins, Arenas"/>
    <s v="No"/>
    <m/>
    <s v="Yes"/>
    <s v="Prowler, Assassin, Swarmer King, Gor'Rakk Sacrifice, Walking Blind Date"/>
    <m/>
    <s v="Ravager"/>
    <m/>
    <s v="He looks cool aesthetically and gameplay wise "/>
    <m/>
    <s v="Gold"/>
    <m/>
    <s v="5-25"/>
    <m/>
    <x v="842"/>
    <m/>
    <s v="Daily"/>
    <m/>
    <s v="Neither"/>
    <m/>
    <s v="Male"/>
    <m/>
    <s v="19-25"/>
    <m/>
    <x v="0"/>
    <m/>
    <s v="Portugal"/>
    <m/>
  </r>
  <r>
    <d v="2018-11-17T15:45:19"/>
    <s v="Gameplay, Collecting Cards/Masters, Competitions/Tournaments"/>
    <s v="Solo, Duo, Premade Duo, Mayhem Duo"/>
    <s v="Master Skins, Arenas, Avatars"/>
    <s v="No"/>
    <m/>
    <s v="I've not made a purchase"/>
    <m/>
    <m/>
    <s v="Stormbringer"/>
    <m/>
    <s v="default"/>
    <m/>
    <m/>
    <m/>
    <s v="5-25"/>
    <m/>
    <x v="52"/>
    <m/>
    <s v="3-4 times a week"/>
    <m/>
    <s v="Watch"/>
    <m/>
    <s v="Male"/>
    <m/>
    <s v="26-35"/>
    <m/>
    <x v="0"/>
    <m/>
    <s v="I prefer not to say"/>
    <m/>
  </r>
  <r>
    <d v="2018-11-17T16:03:16"/>
    <s v="Gameplay, Graphics, Collecting Cards/Masters"/>
    <s v="Premade Duo, Expeditions"/>
    <s v="Master Skins"/>
    <s v="Yes"/>
    <s v="Battle pass"/>
    <s v="Yes"/>
    <s v="Telec, arcane Archers, the gleve guy, Milloweens Turtle and the laser beam"/>
    <m/>
    <s v="Milloween"/>
    <m/>
    <s v="Appearance and i like the magic turtle ^^"/>
    <m/>
    <s v="Silver"/>
    <m/>
    <s v="5-25"/>
    <m/>
    <x v="843"/>
    <m/>
    <s v="Daily"/>
    <m/>
    <s v="Stream"/>
    <m/>
    <s v="Male"/>
    <m/>
    <s v="19-25"/>
    <m/>
    <x v="0"/>
    <m/>
    <s v="Germany"/>
    <m/>
  </r>
  <r>
    <d v="2018-11-17T16:10:25"/>
    <s v="Gameplay, Graphics, Collecting Cards/Masters"/>
    <s v="Duo"/>
    <s v="Master Skins, Arenas, Emotes, Avatars"/>
    <s v="No"/>
    <m/>
    <s v="I've not made a purchase"/>
    <s v="Stun Lancers, Shock Rock, and more"/>
    <m/>
    <s v="Ratbo"/>
    <m/>
    <s v="because of its powers of a MACHINE GUN!!"/>
    <m/>
    <s v="Silver"/>
    <m/>
    <s v="5-25"/>
    <m/>
    <x v="844"/>
    <m/>
    <s v="3-4 times a week"/>
    <m/>
    <s v="Watch"/>
    <m/>
    <s v="Male"/>
    <m/>
    <s v="I prefer not to say"/>
    <m/>
    <x v="1"/>
    <m/>
    <s v="Canada"/>
    <m/>
  </r>
  <r>
    <d v="2018-11-17T16:10:38"/>
    <s v="Gameplay, Free to play solo/duo pvp experience"/>
    <s v="Duo, Premade Duo"/>
    <s v="Arenas"/>
    <s v="No"/>
    <m/>
    <s v="I've not made a purchase"/>
    <m/>
    <m/>
    <s v="Stormbringer"/>
    <m/>
    <s v="Forced nostalgia"/>
    <m/>
    <s v="Bronze"/>
    <m/>
    <s v="5-25"/>
    <m/>
    <x v="845"/>
    <m/>
    <s v="Daily"/>
    <m/>
    <s v="Watch"/>
    <m/>
    <s v="Male"/>
    <m/>
    <s v="19-25"/>
    <m/>
    <x v="1"/>
    <m/>
    <s v="Poland"/>
    <m/>
  </r>
  <r>
    <d v="2018-11-17T16:22:10"/>
    <s v="Gameplay, Graphics, Collecting Cards/Masters"/>
    <s v="Premade Duo, Draft, Expeditions"/>
    <s v="Master Skins"/>
    <s v="No"/>
    <m/>
    <s v="I've not made a purchase"/>
    <s v="Just started. Can't pick yet"/>
    <m/>
    <s v="Ratbo"/>
    <m/>
    <s v="His swarm-based ability seemed fun"/>
    <m/>
    <s v="Stone"/>
    <m/>
    <s v="0-5"/>
    <m/>
    <x v="846"/>
    <m/>
    <s v="Daily"/>
    <m/>
    <s v="Neither"/>
    <m/>
    <s v="Male"/>
    <m/>
    <s v="over 36"/>
    <m/>
    <x v="0"/>
    <m/>
    <s v="USA"/>
    <m/>
  </r>
  <r>
    <d v="2018-11-17T16:26:07"/>
    <s v="Gameplay"/>
    <s v="Duo, Premade Duo"/>
    <s v="Master Skins"/>
    <s v="No"/>
    <m/>
    <s v="Yes"/>
    <m/>
    <m/>
    <s v="Stormbringer"/>
    <m/>
    <m/>
    <m/>
    <s v="Diamond"/>
    <m/>
    <s v="25-100"/>
    <m/>
    <x v="4"/>
    <m/>
    <s v="Daily"/>
    <m/>
    <s v="Watch"/>
    <m/>
    <s v="Male"/>
    <m/>
    <s v="26-35"/>
    <m/>
    <x v="2"/>
    <m/>
    <s v="Poland"/>
    <m/>
  </r>
  <r>
    <d v="2018-11-17T17:02:33"/>
    <s v="Collecting Cards/Masters"/>
    <s v="Duo"/>
    <s v="Master Skins"/>
    <s v="No"/>
    <m/>
    <s v="I've not made a purchase"/>
    <s v="Red Golem, Harbinger, re-boomer, future past, and succubus"/>
    <m/>
    <s v="Settsu"/>
    <m/>
    <s v="the fact that it can destroy hordes and enter the arena"/>
    <m/>
    <s v="Silver"/>
    <m/>
    <s v="5-25"/>
    <m/>
    <x v="77"/>
    <m/>
    <s v="Daily"/>
    <m/>
    <s v="Neither"/>
    <m/>
    <s v="I prefer not to say"/>
    <m/>
    <s v="I prefer not to say"/>
    <m/>
    <x v="2"/>
    <m/>
    <s v="USA"/>
    <m/>
  </r>
  <r>
    <d v="2018-11-17T17:19:14"/>
    <s v="Gameplay, Collecting Cards/Masters"/>
    <s v="Duo, Premade Duo, Draft, Expeditions"/>
    <s v="Arenas, Avatars"/>
    <s v="No"/>
    <m/>
    <s v="I've not made a purchase"/>
    <m/>
    <m/>
    <s v="Ravager"/>
    <m/>
    <s v="The lvl1 skill and lvl3"/>
    <m/>
    <s v="Platinum"/>
    <m/>
    <s v="100-200"/>
    <m/>
    <x v="847"/>
    <m/>
    <s v="Daily"/>
    <m/>
    <s v="Neither"/>
    <m/>
    <s v="I prefer not to say"/>
    <m/>
    <s v="I prefer not to say"/>
    <m/>
    <x v="2"/>
    <m/>
    <s v="I prefer not to say"/>
    <m/>
  </r>
  <r>
    <d v="2018-11-17T17:20:27"/>
    <s v="Gameplay, Graphics, Collecting Cards/Masters, Competitions/Tournaments, Crafting system"/>
    <s v="Premade Duo, Expeditions"/>
    <s v="Master Skins, Arenas"/>
    <s v="No"/>
    <m/>
    <s v="I've not made a purchase"/>
    <s v="Undying Skeleton, Flightless Dragons, Defenso Choper, Rammer, Crossbow Guild"/>
    <m/>
    <s v="Settsu"/>
    <m/>
    <m/>
    <m/>
    <s v="Platinum"/>
    <m/>
    <s v="100-200"/>
    <m/>
    <x v="848"/>
    <m/>
    <s v="Daily"/>
    <m/>
    <s v="Neither"/>
    <m/>
    <s v="Female"/>
    <m/>
    <s v="19-25"/>
    <m/>
    <x v="0"/>
    <m/>
    <s v="Greece"/>
    <m/>
  </r>
  <r>
    <d v="2018-11-17T17:41:49"/>
    <s v="Gameplay"/>
    <s v="Solo"/>
    <s v="Master Skins"/>
    <s v="Yes"/>
    <s v="Just got the premium upgrade pack because it seemed like a good deal and I was (and still am) really enjoying the game"/>
    <s v="Yes"/>
    <s v="starting from number 5: Crossbow Guild, Future Past or Present, Cheese Date, Cannon Roller, Bridge Shrine."/>
    <m/>
    <s v="Apep"/>
    <m/>
    <s v="The 0-Cost cards make for very interesting gameplay and I love that bridge shrine lets you play some super cool control based stall decks."/>
    <m/>
    <s v="Diamond"/>
    <m/>
    <s v="25-100"/>
    <m/>
    <x v="849"/>
    <m/>
    <s v="Daily"/>
    <m/>
    <s v="Watch"/>
    <m/>
    <s v="Male"/>
    <m/>
    <s v="14-18"/>
    <m/>
    <x v="1"/>
    <m/>
    <s v="USA"/>
    <m/>
  </r>
  <r>
    <d v="2018-11-17T18:29:41"/>
    <s v="Gameplay"/>
    <s v="Solo, Duo, Premade Duo, Draft"/>
    <s v="Master Skins, Arenas"/>
    <s v="No"/>
    <m/>
    <s v="I've not made a purchase"/>
    <s v="Divine Warrior, Plasma Marines, Succubus, Scott the Sensitive Barbarian, Troubadour"/>
    <m/>
    <s v="King Puff"/>
    <m/>
    <s v="I like his character design"/>
    <m/>
    <s v="Platinum"/>
    <m/>
    <s v="25-100"/>
    <m/>
    <x v="850"/>
    <m/>
    <s v="Daily"/>
    <m/>
    <s v="Watch"/>
    <m/>
    <s v="Male"/>
    <m/>
    <s v="26-35"/>
    <m/>
    <x v="0"/>
    <m/>
    <s v="USA"/>
    <m/>
  </r>
  <r>
    <d v="2018-11-17T18:45:18"/>
    <s v="Gameplay, Collecting Cards/Masters, Crafting system"/>
    <s v="Duo, Expeditions"/>
    <s v="Emotes"/>
    <s v="No"/>
    <m/>
    <s v="I've not made a purchase"/>
    <s v="Not yet, I'm new"/>
    <m/>
    <s v="Stormbringer"/>
    <m/>
    <s v="Don't know"/>
    <m/>
    <s v="Silver"/>
    <m/>
    <s v="25-100"/>
    <m/>
    <x v="851"/>
    <m/>
    <s v="5-6 times a week"/>
    <m/>
    <s v="Neither"/>
    <m/>
    <s v="Male"/>
    <m/>
    <s v="over 36"/>
    <m/>
    <x v="0"/>
    <m/>
    <s v="Germany"/>
    <m/>
  </r>
  <r>
    <d v="2018-11-17T18:52:11"/>
    <s v="Gameplay, Graphics, Collecting Cards/Masters"/>
    <s v="Solo, Duo, Draft, Expeditions, Mayhem Solo"/>
    <s v="Master Skins, Arenas, Emotes, Avatars"/>
    <s v="Yes"/>
    <s v="Battle Pass, Premium, Shop Discounts"/>
    <s v="Yes"/>
    <s v="Blastmancer, Incubus, Spiritmancer, Xiao Long , Crystal Arcanist"/>
    <m/>
    <s v="Settsu"/>
    <m/>
    <s v="Mobility and Range"/>
    <m/>
    <s v="Diamond"/>
    <m/>
    <s v="200-1000"/>
    <m/>
    <x v="523"/>
    <m/>
    <s v="Daily"/>
    <m/>
    <s v="Neither"/>
    <m/>
    <s v="Male"/>
    <m/>
    <s v="over 36"/>
    <m/>
    <x v="0"/>
    <m/>
    <s v="Germany"/>
    <m/>
  </r>
  <r>
    <d v="2018-11-17T18:58:28"/>
    <s v="Gameplay, The Streamer Integration"/>
    <s v="Premade Duo"/>
    <s v="Master Skins, Arenas"/>
    <s v="Yes"/>
    <s v="For Battle Pass"/>
    <s v="Yes"/>
    <s v="Gor'Rakk Sacrafice, Healing Fireball, Fireball, Rampage, Cleaver"/>
    <m/>
    <s v="Settsu"/>
    <m/>
    <s v="The ability to traverse the arena"/>
    <m/>
    <s v="Platinum"/>
    <m/>
    <s v="25-100"/>
    <m/>
    <x v="852"/>
    <m/>
    <s v="Daily"/>
    <m/>
    <s v="Watch, Stream"/>
    <m/>
    <s v="Male"/>
    <m/>
    <s v="26-35"/>
    <m/>
    <x v="0"/>
    <m/>
    <s v="USA"/>
    <m/>
  </r>
  <r>
    <d v="2018-11-17T19:06:28"/>
    <s v="Gameplay, Collecting Cards/Masters"/>
    <s v="Premade Duo, Mayhem Duo"/>
    <s v="Arenas"/>
    <s v="No"/>
    <m/>
    <s v="Yes"/>
    <m/>
    <m/>
    <s v="Stormbringer"/>
    <m/>
    <s v="Global range"/>
    <m/>
    <s v="Diamond"/>
    <m/>
    <s v="5-25"/>
    <m/>
    <x v="4"/>
    <m/>
    <s v="3-4 times a week"/>
    <m/>
    <s v="Watch"/>
    <m/>
    <s v="Male"/>
    <m/>
    <s v="over 36"/>
    <m/>
    <x v="0"/>
    <m/>
    <s v="I prefer not to say"/>
    <m/>
  </r>
  <r>
    <d v="2018-11-17T19:08:22"/>
    <s v="Gameplay, Collecting Cards/Masters"/>
    <s v="Premade Duo, Draft"/>
    <s v="Arenas"/>
    <s v="Yes"/>
    <s v="To support your game."/>
    <s v="Yes"/>
    <s v="Walking Blind Date, Blind Date, Defenso Chopper, Divine Warrior, Walking Statue"/>
    <m/>
    <s v="Settsu"/>
    <m/>
    <s v="I like their look.   I always play stormbringer though because his power is too good to compete without"/>
    <m/>
    <s v="Silver"/>
    <m/>
    <s v="25-100"/>
    <m/>
    <x v="4"/>
    <m/>
    <s v="Occasionally"/>
    <m/>
    <s v="Neither"/>
    <m/>
    <s v="Male"/>
    <m/>
    <s v="over 36"/>
    <m/>
    <x v="0"/>
    <m/>
    <s v="USA"/>
    <m/>
  </r>
  <r>
    <d v="2018-11-17T19:09:24"/>
    <s v="Gameplay"/>
    <s v="Duo"/>
    <s v="Master Skins"/>
    <s v="Yes"/>
    <s v="Unlocking Battlepass and a Master"/>
    <s v="Yes"/>
    <s v="Succubus, Red Golem, Hypnosis, Blastmancer, Harbringer"/>
    <m/>
    <s v="Ravager"/>
    <m/>
    <s v="Love the early pressure with brutus + the Rage bonus later on"/>
    <m/>
    <s v="Diamond"/>
    <m/>
    <s v="5-25"/>
    <m/>
    <x v="853"/>
    <m/>
    <s v="Daily"/>
    <m/>
    <s v="Neither"/>
    <m/>
    <s v="Male"/>
    <m/>
    <s v="19-25"/>
    <m/>
    <x v="0"/>
    <m/>
    <s v="Germany"/>
    <m/>
  </r>
  <r>
    <d v="2018-11-17T19:19:36"/>
    <s v="Gameplay, Collecting Cards/Masters"/>
    <s v="Solo, Premade Duo"/>
    <s v="Master Skins"/>
    <s v="Yes"/>
    <s v="Just to support your cause."/>
    <s v="Yes"/>
    <s v="Mordar, XiaoLong, Crawler, Priest and Scott"/>
    <m/>
    <s v="King Puff"/>
    <m/>
    <s v="Because his skills sounded the most fun to play."/>
    <m/>
    <s v="Diamond"/>
    <m/>
    <s v="25-100"/>
    <m/>
    <x v="854"/>
    <m/>
    <s v="Daily"/>
    <m/>
    <s v="Watch"/>
    <m/>
    <s v="Male"/>
    <m/>
    <s v="19-25"/>
    <m/>
    <x v="1"/>
    <m/>
    <s v="Germany"/>
    <m/>
  </r>
  <r>
    <d v="2018-11-17T19:44:52"/>
    <s v="you put in cards like heal and a heal person , the variations ,give it more custom for the players like custom masters"/>
    <s v="Duo"/>
    <s v="Master Skins"/>
    <s v="Yes"/>
    <s v="shards for compleating all cards ... "/>
    <s v="Yes"/>
    <s v="guardian heal priest (the old pre nerv) bannerman soul infusion and rage "/>
    <m/>
    <s v="Ravager"/>
    <m/>
    <s v="cuzz itz hard to get frienzie on your monsters , make a card pls"/>
    <m/>
    <s v="Master"/>
    <m/>
    <s v="200-1000"/>
    <m/>
    <x v="855"/>
    <m/>
    <s v="Occasionally"/>
    <m/>
    <s v="Neither"/>
    <m/>
    <s v="Male"/>
    <m/>
    <s v="19-25"/>
    <m/>
    <x v="0"/>
    <m/>
    <s v="Germany"/>
    <m/>
  </r>
  <r>
    <d v="2018-11-17T19:52:55"/>
    <s v="Gameplay"/>
    <s v="Duo"/>
    <m/>
    <s v="Yes"/>
    <m/>
    <s v="Yes"/>
    <m/>
    <m/>
    <s v="Ravager"/>
    <m/>
    <m/>
    <m/>
    <s v="Platinum"/>
    <m/>
    <s v="5-25"/>
    <m/>
    <x v="4"/>
    <m/>
    <s v="5-6 times a week"/>
    <m/>
    <s v="Neither"/>
    <m/>
    <s v="Male"/>
    <m/>
    <s v="26-35"/>
    <m/>
    <x v="0"/>
    <m/>
    <s v="I prefer not to say"/>
    <m/>
  </r>
  <r>
    <d v="2018-11-17T19:55:26"/>
    <s v="Gameplay, Graphics"/>
    <s v="Premade Duo"/>
    <s v="Master Skins"/>
    <s v="No"/>
    <m/>
    <s v="I've not made a purchase"/>
    <s v="I'm playing in german, so apologize, if I get the names wrong :P It's the explosion summoner, the guy hurling lightning thingies and getting stacks for attack speed, the crossbow guild (I love spawning dudes, gimme more!),  the demon warrior lady that gets stronger when played 5 times and...I dunno, the little fluffy wizard! They're so cute!"/>
    <m/>
    <s v="Apep"/>
    <m/>
    <s v="I love playing high cards while also gettin some for free"/>
    <m/>
    <s v="Platinum"/>
    <m/>
    <s v="5-25"/>
    <m/>
    <x v="856"/>
    <m/>
    <s v="Daily"/>
    <m/>
    <s v="Watch"/>
    <m/>
    <s v="Male"/>
    <m/>
    <s v="26-35"/>
    <m/>
    <x v="1"/>
    <m/>
    <s v="Germany"/>
    <m/>
  </r>
  <r>
    <d v="2018-11-17T19:55:59"/>
    <s v="Gameplay, Graphics, Collecting Cards/Masters, Crafting system"/>
    <s v="Solo, Duo, Expeditions"/>
    <s v="Master Skins, Arenas, Emotes, Avatars"/>
    <s v="No"/>
    <m/>
    <s v="I've not made a purchase"/>
    <s v="collosus, crossbow guild, demon warrior,stun lancers,  crystal construct"/>
    <m/>
    <s v="Milloween"/>
    <m/>
    <s v="She is a lot of fun and i enjoy girl masters"/>
    <m/>
    <s v="Silver"/>
    <m/>
    <s v="5-25"/>
    <m/>
    <x v="857"/>
    <m/>
    <s v="Daily"/>
    <m/>
    <s v="Neither"/>
    <m/>
    <s v="Female"/>
    <m/>
    <s v="over 36"/>
    <m/>
    <x v="0"/>
    <m/>
    <s v="USA"/>
    <m/>
  </r>
  <r>
    <d v="2018-11-17T20:01:51"/>
    <s v="Collecting Cards/Masters"/>
    <s v="Premade Duo"/>
    <s v="Master Skins"/>
    <s v="No"/>
    <m/>
    <s v="I've not made a purchase"/>
    <m/>
    <m/>
    <s v="Stormbringer"/>
    <m/>
    <m/>
    <m/>
    <s v="Gold"/>
    <m/>
    <s v="5-25"/>
    <m/>
    <x v="4"/>
    <m/>
    <s v="Daily"/>
    <m/>
    <s v="Neither"/>
    <m/>
    <s v="Male"/>
    <m/>
    <s v="19-25"/>
    <m/>
    <x v="0"/>
    <m/>
    <s v="France"/>
    <m/>
  </r>
  <r>
    <d v="2018-11-17T20:02:32"/>
    <s v="Gameplay"/>
    <s v="Duo"/>
    <s v="Master Skins"/>
    <s v="Yes"/>
    <m/>
    <s v="Yes"/>
    <m/>
    <m/>
    <s v="Milloween"/>
    <m/>
    <m/>
    <m/>
    <s v="Silver"/>
    <m/>
    <s v="5-25"/>
    <m/>
    <x v="4"/>
    <m/>
    <s v="Daily"/>
    <m/>
    <s v="Watch"/>
    <m/>
    <s v="Male"/>
    <m/>
    <s v="19-25"/>
    <m/>
    <x v="1"/>
    <m/>
    <s v="I prefer not to say"/>
    <m/>
  </r>
  <r>
    <d v="2018-11-17T20:08:52"/>
    <s v="Gameplay, Collecting Cards/Masters"/>
    <s v="Solo, Duo, Draft"/>
    <s v="Master Skins"/>
    <s v="Yes"/>
    <s v="to get the secondary rewards of the battlepass"/>
    <s v="Yes"/>
    <s v="xiao long, "/>
    <m/>
    <s v="Settsu"/>
    <m/>
    <s v="because I like her &quot;Space Marine&quot; outfit and her playstyle."/>
    <m/>
    <s v="Platinum"/>
    <m/>
    <s v="25-100"/>
    <m/>
    <x v="858"/>
    <m/>
    <s v="Daily"/>
    <m/>
    <s v="Neither"/>
    <m/>
    <s v="Male"/>
    <m/>
    <s v="26-35"/>
    <m/>
    <x v="0"/>
    <m/>
    <s v="Germany"/>
    <m/>
  </r>
  <r>
    <d v="2018-11-17T20:11:16"/>
    <s v="Collecting Cards/Masters"/>
    <s v="Solo, Premade Duo"/>
    <s v="Master Skins, Avatars"/>
    <s v="No"/>
    <m/>
    <s v="I've not made a purchase"/>
    <s v="harbinger"/>
    <m/>
    <s v="Ravager"/>
    <m/>
    <s v="Reminds me of Dehaka from SC2"/>
    <m/>
    <s v="Silver"/>
    <m/>
    <s v="5-25"/>
    <m/>
    <x v="4"/>
    <m/>
    <s v="Occasionally"/>
    <m/>
    <s v="Neither"/>
    <m/>
    <s v="Female"/>
    <m/>
    <s v="19-25"/>
    <m/>
    <x v="1"/>
    <m/>
    <s v="Canada "/>
    <m/>
  </r>
  <r>
    <d v="2018-11-17T20:11:50"/>
    <s v="Gameplay, Graphics, Collecting Cards/Masters"/>
    <s v="Solo, Duo"/>
    <s v="Master Skins, Arenas, Emotes, Avatars"/>
    <s v="No"/>
    <m/>
    <s v="I've not made a purchase"/>
    <m/>
    <m/>
    <s v="Stormbringer"/>
    <m/>
    <m/>
    <m/>
    <m/>
    <m/>
    <s v="0-5"/>
    <m/>
    <x v="859"/>
    <m/>
    <s v="Daily"/>
    <m/>
    <s v="Neither"/>
    <m/>
    <s v="Male"/>
    <m/>
    <s v="14-18"/>
    <m/>
    <x v="1"/>
    <m/>
    <s v="USA"/>
    <m/>
  </r>
  <r>
    <d v="2018-11-17T20:29:16"/>
    <s v="Gameplay"/>
    <s v="Duo, Premade Duo, Draft"/>
    <s v="Master Skins"/>
    <s v="Yes"/>
    <s v="to purchase tokens"/>
    <s v="Yes"/>
    <s v="Blind Date, Divine Warrior, Whirly Scrat, Plasma Marines, Fire Imp"/>
    <m/>
    <s v="Volco"/>
    <m/>
    <s v="His second perk to burn the bridges is key to turning battles"/>
    <m/>
    <s v="Platinum"/>
    <m/>
    <s v="25-100"/>
    <m/>
    <x v="860"/>
    <m/>
    <s v="Daily"/>
    <m/>
    <s v="Watch"/>
    <m/>
    <s v="Male"/>
    <m/>
    <s v="over 36"/>
    <m/>
    <x v="0"/>
    <m/>
    <s v="USA"/>
    <m/>
  </r>
  <r>
    <d v="2018-11-17T20:39:17"/>
    <s v="Gameplay"/>
    <s v="Solo, Expeditions"/>
    <s v="Avatars"/>
    <s v="No"/>
    <m/>
    <s v="I've not made a purchase"/>
    <s v="Stun Lancers, Dragon Ball, SharsRakk Twins, Annilator, Blue Golem"/>
    <m/>
    <s v="Stormbringer"/>
    <m/>
    <s v="Used him most. Easy to use."/>
    <m/>
    <s v="Gold"/>
    <m/>
    <s v="5-25"/>
    <m/>
    <x v="861"/>
    <m/>
    <s v="Daily"/>
    <m/>
    <s v="Neither"/>
    <m/>
    <s v="Female"/>
    <m/>
    <s v="over 36"/>
    <m/>
    <x v="3"/>
    <m/>
    <s v="USA"/>
    <m/>
  </r>
  <r>
    <d v="2018-11-17T20:47:32"/>
    <s v="Gameplay"/>
    <s v="Solo"/>
    <s v="Avatars"/>
    <s v="No"/>
    <m/>
    <s v="I've not made a purchase"/>
    <m/>
    <m/>
    <s v="Stormbringer"/>
    <m/>
    <s v="He ist the best"/>
    <m/>
    <s v="Gold"/>
    <m/>
    <s v="5-25"/>
    <m/>
    <x v="862"/>
    <m/>
    <s v="Daily"/>
    <m/>
    <s v="Watch"/>
    <m/>
    <s v="Male"/>
    <m/>
    <s v="over 36"/>
    <m/>
    <x v="0"/>
    <m/>
    <s v="Germany"/>
    <m/>
  </r>
  <r>
    <d v="2018-11-17T20:59:29"/>
    <s v="Gameplay, Competitions/Tournaments, The great harmony of the complicated in-game mechanics"/>
    <s v="Solo, Premade Duo"/>
    <m/>
    <s v="No"/>
    <s v="I would like to in the future, but i just haven't played much yet"/>
    <s v="I've not made a purchase"/>
    <s v="banner man, divine warrior, priestess, lord-sentinell Thelec, Shars'rakk twins and prowler"/>
    <m/>
    <s v="Stormbringer"/>
    <m/>
    <s v="He was a great beginner hero for me, and i like his constant support on the field. He is very simple for a new player like me, but i like the fact that most/all heros affect the kind of deck u wanna play with them."/>
    <m/>
    <s v="Platinum"/>
    <m/>
    <s v="0-5"/>
    <m/>
    <x v="863"/>
    <m/>
    <s v="Daily"/>
    <m/>
    <s v="Watch"/>
    <m/>
    <s v="Male"/>
    <m/>
    <s v="14-18"/>
    <m/>
    <x v="1"/>
    <m/>
    <s v="Denmark"/>
    <m/>
  </r>
  <r>
    <d v="2018-11-17T21:08:08"/>
    <s v="Gameplay, Collecting Cards/Masters"/>
    <s v="Premade Duo, Mayhem Duo"/>
    <s v="Arenas"/>
    <s v="Yes"/>
    <s v="Getting the Battle pass"/>
    <s v="Yes"/>
    <m/>
    <m/>
    <s v="Stormbringer"/>
    <m/>
    <s v="I'll having two of him in duo's"/>
    <m/>
    <s v="Gold"/>
    <m/>
    <s v="5-25"/>
    <m/>
    <x v="864"/>
    <m/>
    <s v="Daily"/>
    <m/>
    <s v="Neither"/>
    <m/>
    <s v="Male"/>
    <m/>
    <s v="19-25"/>
    <m/>
    <x v="3"/>
    <m/>
    <s v="Denmark"/>
    <m/>
  </r>
  <r>
    <d v="2018-11-17T21:08:31"/>
    <s v="Gameplay"/>
    <s v="Duo"/>
    <s v="Avatars"/>
    <s v="Yes"/>
    <m/>
    <s v="I've not made a purchase"/>
    <m/>
    <m/>
    <s v="Ratbo"/>
    <m/>
    <m/>
    <m/>
    <m/>
    <m/>
    <s v="5-25"/>
    <m/>
    <x v="4"/>
    <m/>
    <s v="Daily"/>
    <m/>
    <s v="Neither"/>
    <m/>
    <s v="I prefer not to say"/>
    <m/>
    <s v="I prefer not to say"/>
    <m/>
    <x v="2"/>
    <m/>
    <s v="I prefer not to say"/>
    <m/>
  </r>
  <r>
    <d v="2018-11-17T21:32:11"/>
    <s v="Gameplay, Coming up with stupid decks that actualy win"/>
    <s v="Solo, Expeditions"/>
    <s v="Arenas"/>
    <s v="No"/>
    <m/>
    <s v="I've not made a purchase"/>
    <s v="Fencer, Scrat Tank, Tranquil Shi-Hou, Prowler, Whirly Scrat"/>
    <m/>
    <s v="King Puff"/>
    <m/>
    <s v="My favorite deck is all 4&amp;5 cost cards and puff is sweet when it comes to the buffs. My deck is literaly named &quot;Puff Buff&quot;."/>
    <m/>
    <s v="Gold"/>
    <m/>
    <s v="100-200"/>
    <m/>
    <x v="865"/>
    <m/>
    <s v="Daily"/>
    <m/>
    <s v="Watch, Stream"/>
    <m/>
    <s v="Female"/>
    <m/>
    <s v="14-18"/>
    <m/>
    <x v="1"/>
    <m/>
    <s v="USA"/>
    <m/>
  </r>
  <r>
    <d v="2018-11-17T21:37:48"/>
    <s v="Gameplay"/>
    <s v="Solo, Duo, Draft"/>
    <s v="Avatars"/>
    <s v="No"/>
    <m/>
    <s v="I've not made a purchase"/>
    <m/>
    <m/>
    <s v="King Puff"/>
    <m/>
    <s v="KAWAII. And Bridge Swap Magic"/>
    <m/>
    <s v="Master"/>
    <m/>
    <s v="200-1000"/>
    <m/>
    <x v="866"/>
    <m/>
    <s v="Daily"/>
    <m/>
    <s v="Watch"/>
    <m/>
    <s v="Male"/>
    <m/>
    <s v="26-35"/>
    <m/>
    <x v="3"/>
    <m/>
    <s v="Germany"/>
    <m/>
  </r>
  <r>
    <d v="2018-11-17T21:38:07"/>
    <s v="Gameplay"/>
    <s v="Solo, Draft"/>
    <s v="Master Skins"/>
    <s v="No"/>
    <m/>
    <s v="I've not made a purchase"/>
    <m/>
    <m/>
    <s v="Stormbringer"/>
    <m/>
    <s v="i like control"/>
    <m/>
    <s v="Grandmaster"/>
    <m/>
    <s v="200-1000"/>
    <m/>
    <x v="867"/>
    <m/>
    <s v="5-6 times a week"/>
    <m/>
    <s v="Watch"/>
    <m/>
    <s v="Male"/>
    <m/>
    <s v="26-35"/>
    <m/>
    <x v="0"/>
    <m/>
    <s v="Spain"/>
    <m/>
  </r>
  <r>
    <d v="2018-11-17T21:39:51"/>
    <s v="Gameplay"/>
    <s v="Solo, Duo"/>
    <s v="Emotes"/>
    <s v="No"/>
    <m/>
    <s v="I've not made a purchase"/>
    <s v="Blastmancer, Scrat Launcher, Blast Entry, Re-Boomer, Gax "/>
    <m/>
    <s v="Settsu"/>
    <m/>
    <s v="They're fun."/>
    <m/>
    <s v="Gold"/>
    <m/>
    <s v="25-100"/>
    <m/>
    <x v="868"/>
    <m/>
    <s v="Daily"/>
    <m/>
    <s v="Watch"/>
    <m/>
    <s v="Female"/>
    <m/>
    <s v="14-18"/>
    <m/>
    <x v="1"/>
    <m/>
    <s v="USA"/>
    <m/>
  </r>
  <r>
    <d v="2018-11-17T21:40:07"/>
    <s v="Gameplay, Graphics, Collecting Cards/Masters, Competitions/Tournaments, Crafting system"/>
    <s v="Solo, Premade Duo, Draft, Expeditions"/>
    <s v="Master Skins, Arenas"/>
    <s v="Yes"/>
    <s v="Support the devs and get in game stuff!"/>
    <s v="Yes"/>
    <s v="colossus, and idk all of them!!"/>
    <m/>
    <s v="Apep"/>
    <m/>
    <s v="looks cool"/>
    <m/>
    <s v="Platinum"/>
    <m/>
    <s v="25-100"/>
    <m/>
    <x v="869"/>
    <m/>
    <s v="5-6 times a week"/>
    <m/>
    <s v="Watch, Stream"/>
    <m/>
    <s v="Male"/>
    <m/>
    <s v="19-25"/>
    <m/>
    <x v="1"/>
    <m/>
    <s v="USA"/>
    <m/>
  </r>
  <r>
    <d v="2018-11-17T21:40:35"/>
    <s v="Gameplay, Collecting Cards/Masters"/>
    <s v="Duo, Premade Duo, Draft, Expeditions, Mayhem Duo"/>
    <s v="Master Skins, Arenas, Emotes, Avatars"/>
    <s v="Yes"/>
    <s v="shop offers"/>
    <s v="Yes"/>
    <s v="Xiao Long, Musketeer, Priestess, Divine Warrior, Blind Date"/>
    <m/>
    <s v="Ravager"/>
    <m/>
    <s v="It has a free lizard that can grant you a win if the enemy is unprepared for it. Especially the level 3 one :D"/>
    <m/>
    <s v="Master"/>
    <m/>
    <s v="100-200"/>
    <m/>
    <x v="870"/>
    <m/>
    <s v="Daily"/>
    <m/>
    <s v="Watch"/>
    <m/>
    <s v="Male"/>
    <m/>
    <s v="26-35"/>
    <m/>
    <x v="0"/>
    <m/>
    <s v="Italy"/>
    <m/>
  </r>
  <r>
    <d v="2018-11-17T21:50:39"/>
    <s v="Graphics, Collecting Cards/Masters"/>
    <s v="Duo"/>
    <s v="Arenas"/>
    <s v="No"/>
    <m/>
    <s v="I've not made a purchase"/>
    <m/>
    <m/>
    <s v="Milloween"/>
    <m/>
    <m/>
    <m/>
    <s v="Silver"/>
    <m/>
    <s v="5-25"/>
    <m/>
    <x v="4"/>
    <m/>
    <m/>
    <m/>
    <m/>
    <m/>
    <s v="Male"/>
    <m/>
    <s v="26-35"/>
    <m/>
    <x v="1"/>
    <m/>
    <s v="Haiti"/>
    <m/>
  </r>
  <r>
    <d v="2018-11-17T22:01:20"/>
    <s v="Gameplay, Collecting Cards/Masters"/>
    <s v="Solo, Duo, Premade Duo, Expeditions"/>
    <s v="Master Skins, Arenas, Emotes"/>
    <s v="No"/>
    <m/>
    <s v="I've not made a purchase"/>
    <s v="Unsterbliches Skelett, Plasmasoldaten, Vernichter, Himmelskriegerin,  Einerkapfdrohne"/>
    <m/>
    <s v="Apep"/>
    <m/>
    <s v="More+free Cards"/>
    <m/>
    <s v="Platinum"/>
    <m/>
    <s v="100-200"/>
    <m/>
    <x v="871"/>
    <m/>
    <s v="Daily"/>
    <m/>
    <s v="Watch"/>
    <m/>
    <s v="Male"/>
    <m/>
    <s v="26-35"/>
    <m/>
    <x v="1"/>
    <m/>
    <s v="Germany"/>
    <m/>
  </r>
  <r>
    <d v="2018-11-17T22:28:07"/>
    <s v="Gameplay, Collecting Cards/Masters"/>
    <s v="Duo, Premade Duo"/>
    <s v="Arenas"/>
    <s v="Yes"/>
    <s v="season"/>
    <s v="Yes"/>
    <s v="scrat tank, blue golem, rammer, lord sentinel thelec, daggerfall"/>
    <m/>
    <s v="Apep"/>
    <m/>
    <s v="bonus cards"/>
    <m/>
    <s v="Silver"/>
    <m/>
    <s v="25-100"/>
    <m/>
    <x v="121"/>
    <m/>
    <s v="Daily"/>
    <m/>
    <s v="Stream"/>
    <m/>
    <s v="Male"/>
    <m/>
    <s v="over 36"/>
    <m/>
    <x v="3"/>
    <m/>
    <s v="Australia"/>
    <m/>
  </r>
  <r>
    <d v="2018-11-17T22:32:26"/>
    <s v="Gameplay, Collecting Cards/Masters"/>
    <s v="Duo, Premade Duo, Expeditions"/>
    <s v="Master Skins"/>
    <s v="No"/>
    <m/>
    <s v="I've not made a purchase"/>
    <s v="Dragon Ball /  Priestess / Xiao Long / Daggerfall /Healing Fireball "/>
    <m/>
    <s v="Ravager"/>
    <m/>
    <s v="brutus is a strong body"/>
    <m/>
    <s v="Platinum"/>
    <m/>
    <s v="25-100"/>
    <m/>
    <x v="872"/>
    <m/>
    <s v="5-6 times a week"/>
    <m/>
    <s v="Watch"/>
    <m/>
    <s v="Male"/>
    <m/>
    <s v="over 36"/>
    <m/>
    <x v="0"/>
    <m/>
    <s v="France"/>
    <m/>
  </r>
  <r>
    <d v="2018-11-17T22:32:27"/>
    <s v="Gameplay"/>
    <s v="Solo, Duo, Premade Duo, Expeditions, Mayhem Solo"/>
    <s v="Master Skins, Emotes, Avatars"/>
    <s v="No"/>
    <m/>
    <s v="I've not made a purchase"/>
    <s v="Walking Blind Date, Blind Date, Future Past, Future Present, Divine Warrior"/>
    <m/>
    <s v="Ratbo"/>
    <m/>
    <s v="Works well with rush decks, with constant control over bridges."/>
    <m/>
    <s v="Silver"/>
    <m/>
    <s v="5-25"/>
    <m/>
    <x v="873"/>
    <m/>
    <s v="Daily"/>
    <m/>
    <s v="Neither"/>
    <m/>
    <s v="Male"/>
    <m/>
    <s v="14-18"/>
    <m/>
    <x v="1"/>
    <m/>
    <s v="USA"/>
    <m/>
  </r>
  <r>
    <d v="2018-11-17T22:59:03"/>
    <s v="Gameplay, Collecting Cards/Masters"/>
    <s v="Solo"/>
    <s v="Master Skins, Arenas, Emotes, Avatars"/>
    <s v="No"/>
    <m/>
    <s v="I've not made a purchase"/>
    <s v="succubus, succubus, succubus, succubus, succubus, "/>
    <m/>
    <s v="Settsu"/>
    <m/>
    <s v="i want him, abilities sounds awesome"/>
    <m/>
    <s v="Wood"/>
    <m/>
    <s v="0-5"/>
    <m/>
    <x v="874"/>
    <m/>
    <s v="Daily"/>
    <m/>
    <s v="Watch"/>
    <m/>
    <s v="Male"/>
    <m/>
    <s v="19-25"/>
    <m/>
    <x v="0"/>
    <m/>
    <s v="Russia"/>
    <m/>
  </r>
  <r>
    <d v="2018-11-17T23:17:12"/>
    <s v="Gameplay, Graphics, Collecting Cards/Masters, Competitions/Tournaments, Crafting system"/>
    <s v="Solo, Duo, Premade Duo, Draft, Expeditions"/>
    <s v="Master Skins, Arenas"/>
    <s v="Yes"/>
    <s v="I cant remember"/>
    <s v="Yes"/>
    <s v="Fire Imp, uhhh...... Stun lancers for sure..."/>
    <m/>
    <s v="Stormbringer"/>
    <m/>
    <m/>
    <m/>
    <s v="Gold"/>
    <m/>
    <s v="25-100"/>
    <m/>
    <x v="875"/>
    <m/>
    <s v="Daily"/>
    <m/>
    <s v="Neither"/>
    <m/>
    <s v="Male"/>
    <m/>
    <s v="19-25"/>
    <m/>
    <x v="0"/>
    <m/>
    <s v="USA"/>
    <m/>
  </r>
  <r>
    <d v="2018-11-17T23:26:49"/>
    <s v="Gameplay, Graphics"/>
    <s v="Solo, Duo, Draft"/>
    <s v="Arenas, Emotes, Avatars"/>
    <s v="No"/>
    <m/>
    <s v="I've not made a purchase"/>
    <s v="Dragon Whelp, Plasma Marines, Stun lancers, fireball, annihilator"/>
    <m/>
    <s v="Stormbringer"/>
    <m/>
    <s v="Started with him and I like him. "/>
    <m/>
    <s v="Bronze"/>
    <m/>
    <s v="0-5"/>
    <m/>
    <x v="876"/>
    <m/>
    <s v="3-4 times a week"/>
    <m/>
    <s v="Watch"/>
    <m/>
    <s v="Male"/>
    <m/>
    <s v="26-35"/>
    <m/>
    <x v="0"/>
    <m/>
    <s v="Canada"/>
    <m/>
  </r>
  <r>
    <d v="2018-11-17T23:40:40"/>
    <s v="Gameplay"/>
    <s v="Solo"/>
    <s v="Master Skins"/>
    <s v="Yes"/>
    <s v="Because i wanted to finish some decks faster and help de the devs"/>
    <s v="Yes"/>
    <s v="Spear Throwers, Defenso Chopper, Infiltration, Cleaver, Dragon Ball"/>
    <m/>
    <s v="King Puff"/>
    <m/>
    <s v="It's just too OP and versatile"/>
    <m/>
    <s v="Grandmaster"/>
    <m/>
    <s v="25-100"/>
    <m/>
    <x v="877"/>
    <m/>
    <s v="Daily"/>
    <m/>
    <s v="Neither"/>
    <m/>
    <s v="Male"/>
    <m/>
    <s v="19-25"/>
    <m/>
    <x v="0"/>
    <m/>
    <s v="Argentina"/>
    <m/>
  </r>
  <r>
    <d v="2018-11-17T23:41:15"/>
    <s v="Gameplay, Collecting Cards/Masters"/>
    <s v="Duo"/>
    <s v="Master Skins"/>
    <s v="Yes"/>
    <s v="for the battlepass"/>
    <s v="Yes"/>
    <s v="blind date, walking blind date, reboomer, bazooka scrat, scrat pack "/>
    <m/>
    <s v="Apep"/>
    <m/>
    <s v="It looked like a fun take on the colletable card game"/>
    <m/>
    <s v="Diamond"/>
    <m/>
    <s v="200-1000"/>
    <m/>
    <x v="878"/>
    <m/>
    <s v="Daily"/>
    <m/>
    <s v="Neither"/>
    <m/>
    <s v="Male"/>
    <m/>
    <s v="26-35"/>
    <m/>
    <x v="0"/>
    <m/>
    <s v="USA"/>
    <m/>
  </r>
  <r>
    <d v="2018-11-17T23:42:28"/>
    <s v="Gameplay, Graphics, Collecting Cards/Masters"/>
    <s v="Solo, Duo, Premade Duo, Expeditions"/>
    <s v="Master Skins"/>
    <s v="Yes"/>
    <s v="battle pass"/>
    <s v="No"/>
    <s v="combustion, netherstep, sucubo, "/>
    <m/>
    <s v="Milloween"/>
    <m/>
    <s v="the turtle"/>
    <m/>
    <s v="Diamond"/>
    <m/>
    <s v="200-1000"/>
    <m/>
    <x v="879"/>
    <m/>
    <s v="Daily"/>
    <m/>
    <s v="Watch"/>
    <m/>
    <s v="Male"/>
    <m/>
    <s v="over 36"/>
    <m/>
    <x v="3"/>
    <m/>
    <s v="Spain"/>
    <m/>
  </r>
  <r>
    <d v="2018-11-17T23:50:28"/>
    <s v="Gameplay, Graphics, Competitions/Tournaments"/>
    <s v="Duo"/>
    <s v="Master Skins"/>
    <s v="No"/>
    <m/>
    <s v="I've not made a purchase"/>
    <s v="Walking Blind Date, Empower Soul Stealer, and I cant remember anymore"/>
    <m/>
    <s v="Mordar"/>
    <m/>
    <s v="He's the first guy you get and seems good"/>
    <m/>
    <s v="Bronze"/>
    <m/>
    <s v="5-25"/>
    <m/>
    <x v="880"/>
    <m/>
    <s v="Daily"/>
    <m/>
    <s v="Watch, Stream"/>
    <m/>
    <s v="Male"/>
    <m/>
    <s v="19-25"/>
    <m/>
    <x v="0"/>
    <m/>
    <s v="USA"/>
    <m/>
  </r>
  <r>
    <d v="2018-11-18T00:03:53"/>
    <s v="Gameplay, Graphics, Collecting Cards/Masters"/>
    <s v="Duo, Premade Duo"/>
    <m/>
    <s v="Yes"/>
    <m/>
    <s v="Yes"/>
    <m/>
    <m/>
    <s v="Ravager"/>
    <m/>
    <m/>
    <m/>
    <s v="Grandmaster"/>
    <m/>
    <s v="200-1000"/>
    <m/>
    <x v="4"/>
    <m/>
    <s v="5-6 times a week"/>
    <m/>
    <s v="Watch"/>
    <m/>
    <s v="Male"/>
    <m/>
    <s v="26-35"/>
    <m/>
    <x v="0"/>
    <m/>
    <s v="I prefer not to say"/>
    <m/>
  </r>
  <r>
    <d v="2018-11-18T00:08:03"/>
    <s v="Gameplay, Collecting Cards/Masters"/>
    <s v="Duo, Premade Duo"/>
    <s v="Arenas"/>
    <s v="No"/>
    <m/>
    <s v="I've not made a purchase"/>
    <m/>
    <m/>
    <s v="Milloween"/>
    <m/>
    <m/>
    <m/>
    <s v="Gold"/>
    <m/>
    <s v="5-25"/>
    <m/>
    <x v="881"/>
    <m/>
    <s v="5-6 times a week"/>
    <m/>
    <s v="Watch"/>
    <m/>
    <s v="Male"/>
    <m/>
    <s v="19-25"/>
    <m/>
    <x v="0"/>
    <m/>
    <s v="USA"/>
    <m/>
  </r>
  <r>
    <d v="2018-11-18T00:24:48"/>
    <s v="Gameplay, Graphics, Collecting Cards/Masters, Competitions/Tournaments"/>
    <s v="Duo, Draft, Expeditions"/>
    <s v="Arenas"/>
    <s v="No"/>
    <m/>
    <s v="I've not made a purchase"/>
    <s v="Cleaver, Divine Warrior, Demon Warrior, Blue Golem, Annihilator"/>
    <m/>
    <s v="Apep"/>
    <m/>
    <s v="The high attack rate with high cards on hand"/>
    <m/>
    <s v="Gold"/>
    <m/>
    <s v="5-25"/>
    <m/>
    <x v="4"/>
    <m/>
    <s v="5-6 times a week"/>
    <m/>
    <s v="Neither"/>
    <m/>
    <s v="Male"/>
    <m/>
    <s v="19-25"/>
    <m/>
    <x v="1"/>
    <m/>
    <s v="Germany"/>
    <m/>
  </r>
  <r>
    <d v="2018-11-18T01:21:23"/>
    <s v="Gameplay"/>
    <s v="Solo"/>
    <s v="Master Skins"/>
    <s v="No"/>
    <m/>
    <s v="I've not made a purchase"/>
    <m/>
    <m/>
    <s v="Mordar"/>
    <m/>
    <s v="tombs"/>
    <m/>
    <s v="Stone"/>
    <m/>
    <s v="0-5"/>
    <m/>
    <x v="882"/>
    <m/>
    <s v="Daily"/>
    <m/>
    <s v="Watch"/>
    <m/>
    <s v="Male"/>
    <m/>
    <s v="14-18"/>
    <m/>
    <x v="1"/>
    <m/>
    <s v="USA"/>
    <m/>
  </r>
  <r>
    <d v="2018-11-18T01:49:12"/>
    <s v="Gameplay"/>
    <s v="Duo"/>
    <s v="Master Skins"/>
    <s v="No"/>
    <m/>
    <s v="I've not made a purchase"/>
    <s v="Harbinger is my favorite"/>
    <m/>
    <s v="Stormbringer"/>
    <m/>
    <s v="He's the only one I have played with I enjoy"/>
    <m/>
    <s v="Silver"/>
    <m/>
    <s v="5-25"/>
    <m/>
    <x v="883"/>
    <m/>
    <s v="Daily"/>
    <m/>
    <s v="Watch"/>
    <m/>
    <s v="Male"/>
    <m/>
    <s v="19-25"/>
    <m/>
    <x v="1"/>
    <m/>
    <s v="USA"/>
    <m/>
  </r>
  <r>
    <d v="2018-11-18T02:00:53"/>
    <s v="Gameplay"/>
    <s v="Solo"/>
    <s v="Arenas"/>
    <s v="No"/>
    <m/>
    <s v="I've not made a purchase"/>
    <m/>
    <m/>
    <s v="Settsu"/>
    <m/>
    <s v="Versatile and straight-forward mechanically."/>
    <m/>
    <s v="Silver"/>
    <m/>
    <s v="25-100"/>
    <m/>
    <x v="884"/>
    <m/>
    <s v="5-6 times a week"/>
    <m/>
    <s v="Watch, Stream"/>
    <m/>
    <s v="Male"/>
    <m/>
    <s v="26-35"/>
    <m/>
    <x v="1"/>
    <m/>
    <s v="Brazil"/>
    <m/>
  </r>
  <r>
    <d v="2018-11-18T02:48:25"/>
    <s v="Gameplay"/>
    <s v="Solo, Duo"/>
    <s v="Master Skins"/>
    <s v="No"/>
    <m/>
    <s v="I've not made a purchase"/>
    <s v="Crossbow Guild, Mana Puff, Daggerfall, Defenso, Beam of Doom"/>
    <m/>
    <s v="Apep"/>
    <m/>
    <s v="Perks"/>
    <m/>
    <s v="Gold"/>
    <m/>
    <s v="25-100"/>
    <m/>
    <x v="52"/>
    <m/>
    <s v="Daily"/>
    <m/>
    <s v="Watch"/>
    <m/>
    <s v="Male"/>
    <m/>
    <s v="over 36"/>
    <m/>
    <x v="0"/>
    <m/>
    <s v="USA"/>
    <m/>
  </r>
  <r>
    <d v="2018-11-18T02:50:41"/>
    <s v="Gameplay, Collecting Cards/Masters"/>
    <s v="Solo, Premade Duo, Draft"/>
    <s v="Master Skins"/>
    <s v="Yes"/>
    <s v="Battle pass."/>
    <s v="Yes"/>
    <m/>
    <m/>
    <s v="Milloween"/>
    <m/>
    <s v="The perks are fun and i enjoy spells"/>
    <m/>
    <s v="Gold"/>
    <m/>
    <s v="25-100"/>
    <m/>
    <x v="4"/>
    <m/>
    <s v="Daily"/>
    <m/>
    <s v="Watch"/>
    <m/>
    <s v="Female"/>
    <m/>
    <s v="19-25"/>
    <m/>
    <x v="1"/>
    <m/>
    <s v="New Zealand"/>
    <m/>
  </r>
  <r>
    <d v="2018-11-18T02:51:24"/>
    <s v="Gameplay, Collecting Cards/Masters"/>
    <s v="Draft"/>
    <s v="Arenas"/>
    <s v="No"/>
    <m/>
    <s v="I've not made a purchase"/>
    <s v="Succubus, Rampag, Whirly Scrat, Spiritmancer, Cleaver"/>
    <m/>
    <s v="Mordar"/>
    <m/>
    <s v="I like playing tumbstone card its always good have a free minion"/>
    <m/>
    <s v="Diamond"/>
    <m/>
    <s v="100-200"/>
    <m/>
    <x v="885"/>
    <m/>
    <s v="3-4 times a week"/>
    <m/>
    <s v="Watch"/>
    <m/>
    <s v="Male"/>
    <m/>
    <s v="19-25"/>
    <m/>
    <x v="1"/>
    <m/>
    <s v="Poland"/>
    <m/>
  </r>
  <r>
    <d v="2018-11-18T03:05:15"/>
    <s v="Gameplay"/>
    <s v="Duo, Expeditions"/>
    <s v="Avatars"/>
    <s v="No"/>
    <m/>
    <s v="I've not made a purchase"/>
    <s v="blue golem, plasma marines, harbinger, arcane golem, styxi"/>
    <m/>
    <s v="Mordar"/>
    <m/>
    <s v="card value"/>
    <m/>
    <s v="Gold"/>
    <m/>
    <s v="25-100"/>
    <m/>
    <x v="886"/>
    <m/>
    <s v="5-6 times a week"/>
    <m/>
    <s v="Watch"/>
    <m/>
    <s v="Male"/>
    <m/>
    <s v="19-25"/>
    <m/>
    <x v="1"/>
    <m/>
    <s v="USA"/>
    <m/>
  </r>
  <r>
    <d v="2018-11-18T03:22:03"/>
    <s v="Gameplay, Collecting Cards/Masters"/>
    <s v="Solo, Duo, Premade Duo, Expeditions"/>
    <s v="Arenas, Emotes, Avatars"/>
    <s v="No"/>
    <m/>
    <s v="I've not made a purchase"/>
    <s v="scrat launcher, Red Golem, Gor'Rakk Sacrifice, blood imps and Demon Warrior (I wish the card was playable but without cleave it just dies.)"/>
    <m/>
    <s v="Mordar"/>
    <m/>
    <s v="while mordar isn't good right now and I don't have good cards for him, I still like the amount of flexibility his graves have"/>
    <m/>
    <s v="Diamond"/>
    <m/>
    <s v="25-100"/>
    <m/>
    <x v="887"/>
    <m/>
    <s v="5-6 times a week"/>
    <m/>
    <s v="Watch"/>
    <m/>
    <s v="Male"/>
    <m/>
    <s v="14-18"/>
    <m/>
    <x v="1"/>
    <m/>
    <s v="USA"/>
    <m/>
  </r>
  <r>
    <d v="2018-11-18T03:28:51"/>
    <s v="Gameplay"/>
    <s v="Solo, Duo"/>
    <m/>
    <s v="No"/>
    <m/>
    <s v="I've not made a purchase"/>
    <m/>
    <m/>
    <s v="Stormbringer"/>
    <m/>
    <m/>
    <m/>
    <s v="Platinum"/>
    <m/>
    <s v="25-100"/>
    <m/>
    <x v="4"/>
    <m/>
    <s v="3-4 times a week"/>
    <m/>
    <s v="Watch"/>
    <m/>
    <s v="Male"/>
    <m/>
    <s v="26-35"/>
    <m/>
    <x v="0"/>
    <m/>
    <s v="I prefer not to say"/>
    <m/>
  </r>
  <r>
    <d v="2018-11-18T03:40:33"/>
    <s v="Collecting Cards/Masters"/>
    <s v="Duo"/>
    <s v="Avatars"/>
    <s v="Yes"/>
    <m/>
    <s v="Yes"/>
    <m/>
    <m/>
    <s v="Ravager"/>
    <m/>
    <m/>
    <m/>
    <s v="Silver"/>
    <m/>
    <s v="5-25"/>
    <m/>
    <x v="4"/>
    <m/>
    <s v="3-4 times a week"/>
    <m/>
    <s v="Stream"/>
    <m/>
    <s v="Male"/>
    <m/>
    <s v="I prefer not to say"/>
    <m/>
    <x v="2"/>
    <m/>
    <s v="I prefer not to say"/>
    <m/>
  </r>
  <r>
    <d v="2018-11-18T03:57:59"/>
    <s v="Competitions/Tournaments"/>
    <s v="Solo, Draft"/>
    <s v="Emotes"/>
    <s v="Yes"/>
    <s v="Cosmetics, and to support a company that doesn't care to listen to its community."/>
    <s v="No"/>
    <s v="Screaming Scrat, Black Hole, Combustion, Call to Arms, Gax the World Bomb"/>
    <m/>
    <s v="Volco"/>
    <m/>
    <s v="Because he's underplayed"/>
    <m/>
    <s v="Grandmaster"/>
    <m/>
    <s v="200-1000"/>
    <m/>
    <x v="888"/>
    <m/>
    <s v="3-4 times a week"/>
    <m/>
    <s v="Watch, Stream"/>
    <m/>
    <s v="Male"/>
    <m/>
    <s v="26-35"/>
    <m/>
    <x v="0"/>
    <m/>
    <s v="USA"/>
    <m/>
  </r>
  <r>
    <d v="2018-11-18T06:05:57"/>
    <s v="Gameplay, Graphics, Collecting Cards/Masters"/>
    <s v="Duo, Premade Duo, Draft"/>
    <s v="Arenas"/>
    <s v="No"/>
    <m/>
    <s v="I've not made a purchase"/>
    <s v="The floating guy that gets faster after each kill, the gax big bomb guy, the tanky guy who when closed cant get hurt by range, the big guy who takes the damage until he dies, the hiding sniper guy"/>
    <m/>
    <s v="Apep"/>
    <m/>
    <s v="because he is the one I play best"/>
    <m/>
    <s v="Platinum"/>
    <m/>
    <s v="100-200"/>
    <m/>
    <x v="4"/>
    <m/>
    <s v="3-4 times a week"/>
    <m/>
    <s v="Neither"/>
    <m/>
    <s v="Female"/>
    <m/>
    <s v="19-25"/>
    <m/>
    <x v="0"/>
    <m/>
    <s v="USA"/>
    <m/>
  </r>
  <r>
    <d v="2018-11-18T06:08:36"/>
    <s v="Gameplay"/>
    <s v="Solo, Duo, Expeditions"/>
    <s v="Master Skins"/>
    <s v="No"/>
    <m/>
    <s v="I've not made a purchase"/>
    <s v="blastmancer bounty_sniper armored_escort infiltration prowler"/>
    <m/>
    <s v="Settsu"/>
    <m/>
    <s v="I just love to send my master to the battlefield"/>
    <m/>
    <s v="Master"/>
    <m/>
    <s v="200-1000"/>
    <m/>
    <x v="889"/>
    <m/>
    <s v="Daily"/>
    <m/>
    <s v="Neither"/>
    <m/>
    <s v="Male"/>
    <m/>
    <s v="19-25"/>
    <m/>
    <x v="1"/>
    <m/>
    <s v="USA"/>
    <m/>
  </r>
  <r>
    <d v="2018-11-18T06:48:49"/>
    <s v="Gameplay, Graphics, Collecting Cards/Masters"/>
    <s v="Solo"/>
    <s v="Master Skins, Arenas"/>
    <s v="Yes"/>
    <s v="few awesome skins"/>
    <s v="Yes"/>
    <s v="Xiao Long, Succubus, Scrat Horde, Divine Warrior, Armored Escort"/>
    <m/>
    <s v="Settsu"/>
    <m/>
    <s v="interesting gameplay and effective skills with low cost"/>
    <m/>
    <s v="Platinum"/>
    <m/>
    <s v="25-100"/>
    <m/>
    <x v="890"/>
    <m/>
    <s v="Daily"/>
    <m/>
    <s v="Stream"/>
    <m/>
    <s v="Male"/>
    <m/>
    <s v="26-35"/>
    <m/>
    <x v="4"/>
    <m/>
    <s v="Russia"/>
    <m/>
  </r>
  <r>
    <d v="2018-11-18T06:53:14"/>
    <s v="Gameplay"/>
    <s v="Solo, Duo, Premade Duo, Draft, Mayhem Solo, Mayhem Duo"/>
    <s v="Arenas"/>
    <s v="Yes"/>
    <s v="battlepass"/>
    <s v="Yes"/>
    <s v="cleaver, dragonball, flightless dragons, combustion, harbinger"/>
    <m/>
    <s v="Settsu"/>
    <m/>
    <s v="suited the deck"/>
    <m/>
    <s v="Diamond"/>
    <m/>
    <s v="25-100"/>
    <m/>
    <x v="891"/>
    <m/>
    <s v="Daily"/>
    <m/>
    <s v="Watch"/>
    <m/>
    <s v="Male"/>
    <m/>
    <s v="26-35"/>
    <m/>
    <x v="2"/>
    <m/>
    <s v="USA"/>
    <m/>
  </r>
  <r>
    <d v="2018-11-18T07:17:12"/>
    <s v="Gameplay, Collecting Cards/Masters"/>
    <s v="Premade Duo"/>
    <s v="Arenas"/>
    <s v="No"/>
    <m/>
    <s v="I've not made a purchase"/>
    <m/>
    <m/>
    <s v="Apep"/>
    <m/>
    <m/>
    <m/>
    <s v="Gold"/>
    <m/>
    <s v="25-100"/>
    <m/>
    <x v="4"/>
    <m/>
    <s v="Daily"/>
    <m/>
    <s v="Watch"/>
    <m/>
    <m/>
    <m/>
    <m/>
    <m/>
    <x v="2"/>
    <m/>
    <s v="I prefer not to say"/>
    <m/>
  </r>
  <r>
    <d v="2018-11-18T08:13:12"/>
    <s v="Gameplay"/>
    <s v="Mayhem Duo"/>
    <s v="Master Skins"/>
    <s v="No"/>
    <m/>
    <s v="I've not made a purchase"/>
    <m/>
    <m/>
    <s v="Volco"/>
    <m/>
    <m/>
    <m/>
    <s v="Platinum"/>
    <m/>
    <s v="100-200"/>
    <m/>
    <x v="478"/>
    <m/>
    <s v="Daily"/>
    <m/>
    <s v="Watch"/>
    <m/>
    <s v="Male"/>
    <m/>
    <s v="19-25"/>
    <m/>
    <x v="0"/>
    <m/>
    <s v="United Kingdom"/>
    <m/>
  </r>
  <r>
    <d v="2018-11-18T08:42:18"/>
    <s v="Gameplay"/>
    <s v="Solo, Duo"/>
    <s v="Arenas, Emotes"/>
    <s v="No"/>
    <m/>
    <s v="I've not made a purchase"/>
    <s v="no"/>
    <m/>
    <s v="Stormbringer"/>
    <m/>
    <s v="no"/>
    <m/>
    <s v="Silver"/>
    <m/>
    <s v="5-25"/>
    <m/>
    <x v="892"/>
    <m/>
    <s v="Daily"/>
    <m/>
    <s v="Watch"/>
    <m/>
    <s v="Male"/>
    <m/>
    <s v="26-35"/>
    <m/>
    <x v="3"/>
    <m/>
    <s v="Canada"/>
    <m/>
  </r>
  <r>
    <d v="2018-11-18T08:48:12"/>
    <s v="Gameplay"/>
    <s v="Solo, Duo"/>
    <s v="Master Skins"/>
    <s v="Yes"/>
    <s v="Battle Pass, Masters"/>
    <s v="Yes"/>
    <s v="combustion, annihilator, propeller horde, divine warrior, crystal archers"/>
    <m/>
    <s v="King Puff"/>
    <m/>
    <s v="good perks"/>
    <m/>
    <s v="Master"/>
    <m/>
    <s v="25-100"/>
    <m/>
    <x v="893"/>
    <m/>
    <s v="Daily"/>
    <m/>
    <s v="Watch, Stream"/>
    <m/>
    <s v="Male"/>
    <m/>
    <s v="26-35"/>
    <m/>
    <x v="0"/>
    <m/>
    <s v="Ukraine"/>
    <m/>
  </r>
  <r>
    <d v="2018-11-18T09:17:19"/>
    <s v="Gameplay"/>
    <s v="Premade Duo"/>
    <s v="Master Skins"/>
    <s v="Yes"/>
    <s v="Bought 20$ pack, spend it on the legendary thing."/>
    <s v="Yes"/>
    <m/>
    <m/>
    <s v="Stormbringer"/>
    <m/>
    <s v="Dragon Ball, Incubus, S Twins, Xiao Long, Bounty Sniper"/>
    <m/>
    <s v="Gold"/>
    <m/>
    <s v="5-25"/>
    <m/>
    <x v="894"/>
    <m/>
    <s v="Daily"/>
    <m/>
    <s v="Watch, Stream"/>
    <m/>
    <s v="Male"/>
    <m/>
    <s v="19-25"/>
    <m/>
    <x v="1"/>
    <m/>
    <s v="USA"/>
    <m/>
  </r>
  <r>
    <d v="2018-11-18T09:25:31"/>
    <s v="Graphics"/>
    <s v="Premade Duo"/>
    <s v="Avatars"/>
    <s v="No"/>
    <m/>
    <s v="I've not made a purchase"/>
    <m/>
    <m/>
    <s v="King Puff"/>
    <m/>
    <m/>
    <m/>
    <s v="Bronze"/>
    <m/>
    <s v="5-25"/>
    <m/>
    <x v="4"/>
    <m/>
    <s v="Daily"/>
    <m/>
    <s v="Watch"/>
    <m/>
    <s v="Male"/>
    <m/>
    <s v="19-25"/>
    <m/>
    <x v="1"/>
    <m/>
    <s v="USA"/>
    <m/>
  </r>
  <r>
    <d v="2018-11-18T09:27:24"/>
    <s v="Gameplay"/>
    <s v="Solo, Duo"/>
    <s v="Arenas"/>
    <s v="No"/>
    <m/>
    <s v="I've not made a purchase"/>
    <m/>
    <m/>
    <s v="Stormbringer"/>
    <m/>
    <m/>
    <m/>
    <s v="Gold"/>
    <m/>
    <s v="5-25"/>
    <m/>
    <x v="156"/>
    <m/>
    <s v="5-6 times a week"/>
    <m/>
    <s v="Neither"/>
    <m/>
    <s v="Male"/>
    <m/>
    <s v="19-25"/>
    <m/>
    <x v="1"/>
    <m/>
    <s v="United Kingdom"/>
    <m/>
  </r>
  <r>
    <d v="2018-11-18T09:35:48"/>
    <s v="Gameplay, Graphics, Collecting Cards/Masters"/>
    <s v="Solo, Duo, Premade Duo"/>
    <s v="Master Skins"/>
    <s v="Yes"/>
    <s v="Battle Pass"/>
    <s v="Yes"/>
    <s v="Arcane Golem, Chain Lightning, Crystal Construct, Harbringer, Gax The World Bomb"/>
    <m/>
    <s v="Milloween"/>
    <m/>
    <s v="I felt this was the best mater suited to my best deck."/>
    <m/>
    <s v="Silver"/>
    <m/>
    <s v="5-25"/>
    <m/>
    <x v="895"/>
    <m/>
    <s v="Daily"/>
    <m/>
    <s v="Watch"/>
    <m/>
    <s v="Male"/>
    <m/>
    <s v="19-25"/>
    <m/>
    <x v="1"/>
    <m/>
    <s v="I prefer not to say"/>
    <m/>
  </r>
  <r>
    <d v="2018-11-18T10:11:35"/>
    <s v="Gameplay"/>
    <s v="Duo"/>
    <s v="Master Skins"/>
    <s v="Yes"/>
    <s v="Passport"/>
    <s v="Yes"/>
    <s v="Morgrul the swarmer king/ Xiao Long/Wizard Puff/Scrat tank/Arcane Bolt"/>
    <m/>
    <s v="Settsu"/>
    <m/>
    <s v="Air Strike"/>
    <m/>
    <s v="Diamond"/>
    <m/>
    <s v="25-100"/>
    <m/>
    <x v="896"/>
    <m/>
    <s v="Daily"/>
    <m/>
    <s v="Watch, Stream"/>
    <m/>
    <s v="Male"/>
    <m/>
    <s v="19-25"/>
    <m/>
    <x v="1"/>
    <m/>
    <s v="France"/>
    <m/>
  </r>
  <r>
    <d v="2018-11-18T10:33:07"/>
    <s v="Gameplay"/>
    <s v="Solo, Duo, Premade Duo, Draft"/>
    <s v="Master Skins"/>
    <s v="No"/>
    <m/>
    <s v="I've not made a purchase"/>
    <s v="Gax the world bomb, Styxi, Mana puf madness, Rammer, hypnotize"/>
    <m/>
    <s v="Mordar"/>
    <m/>
    <s v="AOE damage, tombstone fear retaining"/>
    <m/>
    <s v="Diamond"/>
    <m/>
    <s v="200-1000"/>
    <m/>
    <x v="466"/>
    <m/>
    <s v="Daily"/>
    <m/>
    <s v="Watch"/>
    <m/>
    <s v="Male"/>
    <m/>
    <s v="19-25"/>
    <m/>
    <x v="0"/>
    <m/>
    <s v="Russia"/>
    <m/>
  </r>
  <r>
    <d v="2018-11-18T10:51:54"/>
    <s v="Gameplay, Competitions/Tournaments"/>
    <s v="Solo, Premade Duo"/>
    <s v="Master Skins, Arenas"/>
    <s v="Yes"/>
    <s v="Premium/Battlepass"/>
    <s v="Yes"/>
    <s v="Koloss,Golem,Attenäter,Vernichter,Drone"/>
    <m/>
    <s v="Milloween"/>
    <m/>
    <m/>
    <m/>
    <s v="Platinum"/>
    <m/>
    <s v="100-200"/>
    <m/>
    <x v="4"/>
    <m/>
    <s v="Daily"/>
    <m/>
    <s v="Watch, Stream"/>
    <m/>
    <s v="Male"/>
    <m/>
    <s v="26-35"/>
    <m/>
    <x v="0"/>
    <m/>
    <s v="Germany"/>
    <m/>
  </r>
  <r>
    <d v="2018-11-18T11:56:34"/>
    <s v="Gameplay, Graphics, Collecting Cards/Masters, Competitions/Tournaments, Crafting system"/>
    <s v="Solo, Duo, Premade Duo, Expeditions"/>
    <s v="Master Skins, Arenas, Emotes"/>
    <s v="No"/>
    <m/>
    <s v="I've not made a purchase"/>
    <s v="xiao long,defenso chopper,scrat tank,crossbow guild,living statue"/>
    <m/>
    <s v="King Puff"/>
    <m/>
    <s v="because of his 1st and 2nd perk, they enable some interesting plays"/>
    <m/>
    <s v="Grandmaster"/>
    <m/>
    <s v="200-1000"/>
    <m/>
    <x v="897"/>
    <m/>
    <s v="Daily"/>
    <m/>
    <s v="Watch"/>
    <m/>
    <s v="Female"/>
    <m/>
    <s v="26-35"/>
    <m/>
    <x v="0"/>
    <m/>
    <s v="Croatia"/>
    <m/>
  </r>
  <r>
    <d v="2018-11-18T12:11:17"/>
    <s v="Gameplay"/>
    <s v="Solo, Duo"/>
    <s v="Arenas"/>
    <s v="No"/>
    <m/>
    <s v="I've not made a purchase"/>
    <s v="cleaver, dragon whelp . "/>
    <m/>
    <s v="Volco"/>
    <m/>
    <s v="hes a hot head"/>
    <m/>
    <s v="Stone"/>
    <m/>
    <s v="25-100"/>
    <m/>
    <x v="4"/>
    <m/>
    <s v="Daily"/>
    <m/>
    <s v="Neither"/>
    <m/>
    <s v="Male"/>
    <m/>
    <s v="14-18"/>
    <m/>
    <x v="2"/>
    <m/>
    <s v="Australia"/>
    <m/>
  </r>
  <r>
    <d v="2018-11-18T12:26:00"/>
    <s v="Gameplay"/>
    <s v="Duo"/>
    <s v="Master Skins"/>
    <s v="No"/>
    <m/>
    <s v="I've not made a purchase"/>
    <s v="Crossbow dudes, Lady with 8 second shield, Soul Stealer, Crossbow guild and the living statue"/>
    <m/>
    <s v="Stormbringer"/>
    <m/>
    <s v="I Like his commentary. He's pretty funny."/>
    <m/>
    <s v="Silver"/>
    <m/>
    <s v="5-25"/>
    <m/>
    <x v="898"/>
    <m/>
    <s v="3-4 times a week"/>
    <m/>
    <s v="Neither"/>
    <m/>
    <s v="Male"/>
    <m/>
    <s v="14-18"/>
    <m/>
    <x v="1"/>
    <m/>
    <s v="United Kingdom"/>
    <m/>
  </r>
  <r>
    <d v="2018-11-18T12:38:18"/>
    <s v="Gameplay"/>
    <s v="Solo"/>
    <s v="Master Skins"/>
    <s v="No"/>
    <m/>
    <s v="Yes"/>
    <s v="fire imp, chain lightning, assassin, infiltration, soulstealer"/>
    <m/>
    <s v="Ravager"/>
    <m/>
    <s v="he is good in aggro"/>
    <m/>
    <s v="Diamond"/>
    <m/>
    <s v="25-100"/>
    <m/>
    <x v="899"/>
    <m/>
    <s v="Daily"/>
    <m/>
    <s v="Neither"/>
    <m/>
    <s v="Male"/>
    <m/>
    <s v="14-18"/>
    <m/>
    <x v="1"/>
    <m/>
    <s v="Germany"/>
    <m/>
  </r>
  <r>
    <d v="2018-11-18T12:49:29"/>
    <s v="Gameplay"/>
    <s v="Duo"/>
    <s v="Master Skins"/>
    <s v="No"/>
    <m/>
    <s v="Yes"/>
    <m/>
    <m/>
    <s v="Ravager"/>
    <m/>
    <m/>
    <m/>
    <s v="Platinum"/>
    <m/>
    <s v="25-100"/>
    <m/>
    <x v="4"/>
    <m/>
    <s v="5-6 times a week"/>
    <m/>
    <s v="Watch"/>
    <m/>
    <s v="Male"/>
    <m/>
    <s v="19-25"/>
    <m/>
    <x v="1"/>
    <m/>
    <s v="I prefer not to say"/>
    <m/>
  </r>
  <r>
    <d v="2018-11-18T12:52:02"/>
    <s v="Gameplay, Collecting Cards/Masters"/>
    <s v="Solo, Draft"/>
    <s v="Arenas"/>
    <s v="No"/>
    <m/>
    <s v="I've not made a purchase"/>
    <s v="Assasin, Rammer, STINT, Blind Date, Cheese"/>
    <m/>
    <s v="Settsu"/>
    <m/>
    <s v="Her perks are kinda cool, also I just like robotics stuffs."/>
    <m/>
    <s v="Diamond"/>
    <m/>
    <s v="25-100"/>
    <m/>
    <x v="900"/>
    <m/>
    <s v="Daily"/>
    <m/>
    <s v="Watch"/>
    <m/>
    <s v="Male"/>
    <m/>
    <s v="14-18"/>
    <m/>
    <x v="1"/>
    <m/>
    <s v="Philippines"/>
    <m/>
  </r>
  <r>
    <d v="2018-11-18T13:16:56"/>
    <s v="Gameplay, Collecting Cards/Masters, collecting rewards"/>
    <s v="Solo, Duo, Expeditions"/>
    <s v="Arenas, Emotes, Avatars"/>
    <s v="No"/>
    <m/>
    <s v="I've not made a purchase"/>
    <s v="crossbow guild, sniper squad, blind date, hypnotize, annihilator"/>
    <m/>
    <s v="Stormbringer"/>
    <m/>
    <s v="had an ability to perform global shot"/>
    <m/>
    <s v="Bronze"/>
    <m/>
    <s v="5-25"/>
    <m/>
    <x v="4"/>
    <m/>
    <s v="Daily"/>
    <m/>
    <s v="Watch"/>
    <m/>
    <s v="Male"/>
    <m/>
    <s v="26-35"/>
    <m/>
    <x v="2"/>
    <m/>
    <s v="Indonesia"/>
    <m/>
  </r>
  <r>
    <d v="2018-11-18T13:22:18"/>
    <s v="Gameplay, Graphics, Collecting Cards/Masters"/>
    <s v="Solo, Expeditions"/>
    <s v="Emotes"/>
    <s v="Yes"/>
    <s v="for season passes and weekly featured offers"/>
    <s v="Yes"/>
    <s v="Incubus, Succubus, Whirly Scrat, Demon warrior, Ghost"/>
    <m/>
    <s v="Stormbringer"/>
    <m/>
    <s v="No complex skills and straightforward attack."/>
    <m/>
    <s v="Master"/>
    <m/>
    <s v="200-1000"/>
    <m/>
    <x v="901"/>
    <m/>
    <s v="Daily"/>
    <m/>
    <s v="Watch"/>
    <m/>
    <s v="Male"/>
    <m/>
    <s v="26-35"/>
    <m/>
    <x v="0"/>
    <m/>
    <s v="Turkey"/>
    <m/>
  </r>
  <r>
    <d v="2018-11-18T14:10:47"/>
    <s v="Competitions/Tournaments"/>
    <s v="Solo, Premade Duo, Draft"/>
    <s v="Emotes"/>
    <s v="Yes"/>
    <s v="Support BetaDwarf"/>
    <s v="Yes"/>
    <s v="Scrat Pack, Shock Rock, Screaming Scrat, cursebearer and cleaver"/>
    <m/>
    <s v="Volco"/>
    <m/>
    <s v="It's one of the most oppressive masters, and his second perk is one of the best in getting value."/>
    <m/>
    <s v="Grandmaster"/>
    <m/>
    <s v="1000+"/>
    <m/>
    <x v="902"/>
    <m/>
    <s v="Daily"/>
    <m/>
    <s v="Watch"/>
    <m/>
    <s v="Male"/>
    <m/>
    <s v="19-25"/>
    <m/>
    <x v="0"/>
    <m/>
    <s v="Argentina"/>
    <m/>
  </r>
  <r>
    <d v="2018-11-18T14:12:49"/>
    <s v="Graphics"/>
    <s v="Duo, Premade Duo"/>
    <s v="Avatars"/>
    <s v="Yes"/>
    <s v="Para comprar a un campeon"/>
    <s v="No"/>
    <s v="Arqueras "/>
    <m/>
    <s v="Stormbringer"/>
    <m/>
    <m/>
    <m/>
    <s v="Gold"/>
    <m/>
    <s v="25-100"/>
    <m/>
    <x v="4"/>
    <m/>
    <s v="Occasionally"/>
    <m/>
    <s v="Stream"/>
    <m/>
    <s v="Male"/>
    <m/>
    <s v="19-25"/>
    <m/>
    <x v="2"/>
    <m/>
    <s v="Spain"/>
    <m/>
  </r>
  <r>
    <d v="2018-11-18T14:44:11"/>
    <s v="Gameplay, Graphics, Collecting Cards/Masters, Competitions/Tournaments, Crafting system"/>
    <s v="Solo, Duo"/>
    <s v="Master Skins, Arenas, Avatars"/>
    <s v="No"/>
    <m/>
    <s v="I've not made a purchase"/>
    <m/>
    <m/>
    <s v="Stormbringer"/>
    <m/>
    <m/>
    <m/>
    <s v="Silver"/>
    <m/>
    <s v="5-25"/>
    <m/>
    <x v="77"/>
    <m/>
    <s v="Daily"/>
    <m/>
    <s v="Watch"/>
    <m/>
    <s v="Male"/>
    <m/>
    <s v="26-35"/>
    <m/>
    <x v="0"/>
    <m/>
    <s v="Egypt"/>
    <m/>
  </r>
  <r>
    <d v="2018-11-18T14:48:22"/>
    <s v="Gameplay, Graphics, Collecting Cards/Masters"/>
    <s v="Duo"/>
    <s v="Master Skins, Arenas"/>
    <s v="Yes"/>
    <s v="for important stuff"/>
    <s v="Yes"/>
    <s v="magma storm fireball cleaver stun lancer and demon warrior "/>
    <m/>
    <s v="Settsu"/>
    <m/>
    <s v="cause hes powerful"/>
    <m/>
    <s v="Silver"/>
    <m/>
    <s v="0-5"/>
    <m/>
    <x v="4"/>
    <m/>
    <s v="Daily"/>
    <m/>
    <s v="Neither"/>
    <m/>
    <s v="Male"/>
    <m/>
    <s v="19-25"/>
    <m/>
    <x v="2"/>
    <m/>
    <s v="North America"/>
    <m/>
  </r>
  <r>
    <d v="2018-11-18T15:09:31"/>
    <s v="Gameplay, Graphics"/>
    <s v="Duo, Draft"/>
    <s v="Arenas"/>
    <s v="No"/>
    <s v=" "/>
    <s v="I've not made a purchase"/>
    <s v="Scrat Launcher, Daggerfall, Whirly Scrat, Gax the World Bomb, Heal Puff"/>
    <m/>
    <s v="Stormbringer"/>
    <m/>
    <s v="Whole arena range"/>
    <m/>
    <s v="Platinum"/>
    <m/>
    <s v="25-100"/>
    <m/>
    <x v="903"/>
    <m/>
    <s v="Daily"/>
    <m/>
    <s v="Neither"/>
    <m/>
    <s v="Male"/>
    <m/>
    <s v="19-25"/>
    <m/>
    <x v="1"/>
    <m/>
    <s v="Czech Republic"/>
    <m/>
  </r>
  <r>
    <d v="2018-11-18T15:18:17"/>
    <s v="Gameplay, Collecting Cards/Masters"/>
    <s v="Solo, Duo, Premade Duo"/>
    <s v="Master Skins"/>
    <s v="Yes"/>
    <s v="for the season pass"/>
    <s v="Yes"/>
    <m/>
    <m/>
    <s v="Volco"/>
    <m/>
    <s v="i like his skills "/>
    <m/>
    <s v="Platinum"/>
    <m/>
    <s v="25-100"/>
    <m/>
    <x v="904"/>
    <m/>
    <s v="5-6 times a week"/>
    <m/>
    <s v="Watch"/>
    <m/>
    <s v="Male"/>
    <m/>
    <s v="19-25"/>
    <m/>
    <x v="1"/>
    <m/>
    <s v="Germany"/>
    <m/>
  </r>
  <r>
    <d v="2018-11-18T15:23:02"/>
    <s v="Gameplay, Very short time till a match is found, short match time, fast paced action."/>
    <s v="Solo, Duo, Draft"/>
    <s v="Master Skins, Arenas"/>
    <s v="Yes"/>
    <s v="To buy the premium upgrade for lifetime more exp and gold gain"/>
    <s v="Yes"/>
    <s v="1. Mana Puff, 2. Dragon Ball, 3. Morgul the Swarmer King, 4. Rammer, 5. Styxi"/>
    <m/>
    <s v="King Puff"/>
    <m/>
    <s v="Cute as hell ?!?"/>
    <m/>
    <s v="Diamond"/>
    <m/>
    <s v="25-100"/>
    <m/>
    <x v="905"/>
    <m/>
    <s v="5-6 times a week"/>
    <m/>
    <s v="Watch"/>
    <m/>
    <s v="Male"/>
    <m/>
    <s v="26-35"/>
    <m/>
    <x v="0"/>
    <m/>
    <s v="Germany"/>
    <m/>
  </r>
  <r>
    <d v="2018-11-18T15:45:21"/>
    <s v="Gameplay, Collecting Cards/Masters"/>
    <s v="Premade Duo"/>
    <s v="Arenas"/>
    <s v="No"/>
    <m/>
    <s v="I've not made a purchase"/>
    <s v="1. Colossus 2. Harbinger 3. Undying Skeleton 4. Rammer 5. Living Statue"/>
    <m/>
    <s v="Apep"/>
    <m/>
    <s v="I love the random quality his abilities give."/>
    <m/>
    <s v="Gold"/>
    <m/>
    <s v="25-100"/>
    <m/>
    <x v="906"/>
    <m/>
    <s v="3-4 times a week"/>
    <m/>
    <s v="Watch"/>
    <m/>
    <s v="Male"/>
    <m/>
    <s v="19-25"/>
    <m/>
    <x v="0"/>
    <m/>
    <s v="USA"/>
    <m/>
  </r>
  <r>
    <d v="2018-11-18T16:05:31"/>
    <s v="Gameplay, Collecting Cards/Masters"/>
    <s v="Duo, Premade Duo, Mayhem Duo"/>
    <s v="Master Skins, Avatars"/>
    <s v="No"/>
    <m/>
    <s v="I've not made a purchase"/>
    <s v="Harbinger, armored escort, rampage, dagger fall, crystal arcanist "/>
    <m/>
    <s v="Mordar"/>
    <m/>
    <s v="love his perks havent tried the other since i haven't bought them"/>
    <m/>
    <s v="Silver"/>
    <m/>
    <s v="5-25"/>
    <m/>
    <x v="907"/>
    <m/>
    <s v="Daily"/>
    <m/>
    <s v="Watch, Stream"/>
    <m/>
    <s v="Male"/>
    <m/>
    <s v="14-18"/>
    <m/>
    <x v="1"/>
    <m/>
    <s v="USA"/>
    <m/>
  </r>
  <r>
    <d v="2018-11-18T17:07:29"/>
    <s v="Graphics, Collecting Cards/Masters, Crafting system"/>
    <s v="Solo, Duo, Premade Duo"/>
    <s v="Master Skins, Emotes"/>
    <s v="Yes"/>
    <s v="to recive battlepass"/>
    <s v="Yes"/>
    <s v="Stixy,Colossus,Priestess,Divine Warrior,Succubus,"/>
    <m/>
    <s v="King Puff"/>
    <m/>
    <s v="Its a king :D"/>
    <m/>
    <s v="Platinum"/>
    <m/>
    <s v="200-1000"/>
    <m/>
    <x v="908"/>
    <m/>
    <s v="Daily"/>
    <m/>
    <s v="Neither"/>
    <m/>
    <s v="Male"/>
    <m/>
    <s v="19-25"/>
    <m/>
    <x v="1"/>
    <m/>
    <s v="Romania"/>
    <m/>
  </r>
  <r>
    <d v="2018-11-18T17:11:54"/>
    <s v="Gameplay, Collecting Cards/Masters, Competitions/Tournaments"/>
    <s v="Duo, Expeditions, Mayhem Solo"/>
    <s v="Arenas, Avatars"/>
    <s v="Yes"/>
    <s v="Battle Pass"/>
    <s v="Yes"/>
    <m/>
    <m/>
    <s v="Stormbringer"/>
    <m/>
    <s v="Because it's free"/>
    <m/>
    <s v="Platinum"/>
    <m/>
    <s v="5-25"/>
    <m/>
    <x v="909"/>
    <m/>
    <s v="5-6 times a week"/>
    <m/>
    <s v="Watch, Stream"/>
    <m/>
    <s v="Male"/>
    <m/>
    <s v="19-25"/>
    <m/>
    <x v="1"/>
    <m/>
    <s v="Chile"/>
    <m/>
  </r>
  <r>
    <d v="2018-11-18T17:26:09"/>
    <s v="Collecting Cards/Masters"/>
    <s v="Duo"/>
    <s v="Master Skins"/>
    <s v="Yes"/>
    <s v="Battle pass"/>
    <s v="Yes"/>
    <s v="Lightning tank guy, triple dragon ground dudes, annihilator, fencer, daggerfall"/>
    <m/>
    <s v="Mordar"/>
    <m/>
    <s v="Skeletons are dope"/>
    <m/>
    <s v="Gold"/>
    <m/>
    <s v="5-25"/>
    <m/>
    <x v="910"/>
    <m/>
    <s v="Daily"/>
    <m/>
    <s v="Neither"/>
    <m/>
    <s v="Male"/>
    <m/>
    <s v="19-25"/>
    <m/>
    <x v="0"/>
    <m/>
    <s v="USA"/>
    <m/>
  </r>
  <r>
    <d v="2018-11-18T17:37:27"/>
    <s v="Gameplay, Collecting Cards/Masters, Competitions/Tournaments, Jokes and humour"/>
    <s v="Solo, Duo, Draft, Expeditions"/>
    <s v="Arenas, Avatars"/>
    <s v="No"/>
    <m/>
    <s v="I've not made a purchase"/>
    <s v="Mana puff, Bridge Buddies, Heal Puff, Shock Lancers, , Gor'rakk Sacrifice"/>
    <m/>
    <s v="King Puff"/>
    <m/>
    <s v="I think he has good potential synergy with the deck and the map. Allows to create powerful combinations based on his skills"/>
    <m/>
    <s v="Bronze"/>
    <m/>
    <s v="5-25"/>
    <m/>
    <x v="911"/>
    <m/>
    <s v="Daily"/>
    <m/>
    <s v="Neither"/>
    <m/>
    <s v="Male"/>
    <m/>
    <s v="19-25"/>
    <m/>
    <x v="1"/>
    <m/>
    <s v="Russia"/>
    <m/>
  </r>
  <r>
    <d v="2018-11-18T17:53:32"/>
    <s v="Gameplay"/>
    <s v="Duo, Draft, Expeditions"/>
    <s v="Master Skins, Arenas"/>
    <s v="Yes"/>
    <s v="account upgrades"/>
    <s v="Yes"/>
    <s v="sniper scrat, mana puff, screaming scrat, living statue"/>
    <m/>
    <s v="Stormbringer"/>
    <m/>
    <s v="range is pretty powerfull tactical advantage"/>
    <m/>
    <s v="Gold"/>
    <m/>
    <s v="25-100"/>
    <m/>
    <x v="912"/>
    <m/>
    <s v="3-4 times a week"/>
    <m/>
    <s v="Watch"/>
    <m/>
    <s v="Male"/>
    <m/>
    <s v="26-35"/>
    <m/>
    <x v="0"/>
    <m/>
    <s v="The Netherlands"/>
    <m/>
  </r>
  <r>
    <d v="2018-11-18T17:57:24"/>
    <s v="Gameplay, Collecting Cards/Masters, Crafting system"/>
    <s v="Duo"/>
    <s v="Master Skins"/>
    <s v="No"/>
    <m/>
    <s v="I've not made a purchase"/>
    <m/>
    <m/>
    <s v="Milloween"/>
    <m/>
    <m/>
    <m/>
    <m/>
    <m/>
    <s v="5-25"/>
    <m/>
    <x v="4"/>
    <m/>
    <s v="Daily"/>
    <m/>
    <s v="Neither"/>
    <m/>
    <s v="I prefer not to say"/>
    <m/>
    <s v="26-35"/>
    <m/>
    <x v="3"/>
    <m/>
    <s v="I prefer not to say"/>
    <m/>
  </r>
  <r>
    <d v="2018-11-18T18:00:48"/>
    <s v="Competitions/Tournaments"/>
    <s v="Duo"/>
    <s v="Emotes"/>
    <s v="No"/>
    <m/>
    <s v="I've not made a purchase"/>
    <m/>
    <m/>
    <s v="Stormbringer"/>
    <m/>
    <m/>
    <m/>
    <s v="Silver"/>
    <m/>
    <s v="5-25"/>
    <m/>
    <x v="4"/>
    <m/>
    <s v="Daily"/>
    <m/>
    <s v="Watch, Stream"/>
    <m/>
    <s v="Male"/>
    <m/>
    <s v="26-35"/>
    <m/>
    <x v="2"/>
    <m/>
    <s v="Spain"/>
    <m/>
  </r>
  <r>
    <d v="2018-11-18T18:07:02"/>
    <s v="Gameplay"/>
    <s v="Solo, Duo"/>
    <s v="Master Skins"/>
    <s v="Yes"/>
    <s v="Battlepass"/>
    <s v="No"/>
    <m/>
    <m/>
    <s v="King Puff"/>
    <m/>
    <s v="Perks"/>
    <m/>
    <s v="Gold"/>
    <m/>
    <s v="5-25"/>
    <m/>
    <x v="913"/>
    <m/>
    <s v="Occasionally"/>
    <m/>
    <s v="Watch, Stream"/>
    <m/>
    <s v="Male"/>
    <m/>
    <s v="26-35"/>
    <m/>
    <x v="0"/>
    <m/>
    <s v="USA"/>
    <m/>
  </r>
  <r>
    <d v="2018-11-18T18:10:05"/>
    <s v="Gameplay"/>
    <s v="Solo, Duo, Premade Duo, Expeditions"/>
    <s v="Master Skins"/>
    <s v="No"/>
    <m/>
    <s v="Yes"/>
    <m/>
    <m/>
    <s v="Settsu"/>
    <m/>
    <s v="Jumping skill is the thing i need"/>
    <m/>
    <s v="Diamond"/>
    <m/>
    <s v="25-100"/>
    <m/>
    <x v="914"/>
    <m/>
    <s v="Daily"/>
    <m/>
    <s v="Neither"/>
    <m/>
    <s v="Male"/>
    <m/>
    <s v="26-35"/>
    <m/>
    <x v="0"/>
    <m/>
    <s v="Turkey"/>
    <m/>
  </r>
  <r>
    <d v="2018-11-18T18:16:06"/>
    <s v="Gameplay"/>
    <s v="Solo"/>
    <s v="Master Skins"/>
    <s v="Yes"/>
    <s v="battlepass"/>
    <s v="Yes"/>
    <s v="Flameimp rammer succubus, twins dragonwhelp"/>
    <m/>
    <s v="Ravager"/>
    <m/>
    <s v="first perk"/>
    <m/>
    <s v="Grandmaster"/>
    <m/>
    <s v="200-1000"/>
    <m/>
    <x v="915"/>
    <m/>
    <s v="Daily"/>
    <m/>
    <s v="Watch, Stream"/>
    <m/>
    <s v="Male"/>
    <m/>
    <s v="14-18"/>
    <m/>
    <x v="1"/>
    <m/>
    <s v="The Netherlands"/>
    <m/>
  </r>
  <r>
    <d v="2018-11-18T18:16:35"/>
    <s v="Collecting Cards/Masters, Competitions/Tournaments"/>
    <s v="Solo, Premade Duo, Draft"/>
    <s v="Emotes"/>
    <s v="No"/>
    <m/>
    <s v="I've not made a purchase"/>
    <s v="hypnotize, nether step, assassin, styxi and walking blind-date."/>
    <m/>
    <s v="King Puff"/>
    <m/>
    <s v="because he can be really fun to play with and really good for trolls!"/>
    <m/>
    <s v="Gold"/>
    <m/>
    <s v="200-1000"/>
    <m/>
    <x v="916"/>
    <m/>
    <s v="Daily"/>
    <m/>
    <s v="Watch"/>
    <m/>
    <s v="Male"/>
    <m/>
    <s v="I prefer not to say"/>
    <m/>
    <x v="1"/>
    <m/>
    <s v="Ireland"/>
    <m/>
  </r>
  <r>
    <d v="2018-11-18T18:23:30"/>
    <s v="Gameplay, Collecting Cards/Masters, Crafting system"/>
    <s v="Solo, Premade Duo, Draft"/>
    <s v="Master Skins"/>
    <s v="Yes"/>
    <s v="Buying Power Tokens"/>
    <s v="Yes"/>
    <s v="Screaming Scrat, Spear Throwers, Xiao Long, Plasma Marines, Black Hole "/>
    <m/>
    <s v="King Puff"/>
    <m/>
    <s v="Love the bridge swap and his second perk"/>
    <m/>
    <s v="Master"/>
    <m/>
    <s v="200-1000"/>
    <m/>
    <x v="917"/>
    <m/>
    <s v="1-2 times a week"/>
    <m/>
    <s v="Watch"/>
    <m/>
    <s v="Male"/>
    <m/>
    <s v="19-25"/>
    <m/>
    <x v="0"/>
    <m/>
    <s v="Germany"/>
    <m/>
  </r>
  <r>
    <d v="2018-11-18T18:27:16"/>
    <s v="Gameplay, Collecting Cards/Masters"/>
    <s v="Solo, Premade Duo, Mayhem Duo"/>
    <s v="Arenas"/>
    <s v="No"/>
    <m/>
    <s v="I've not made a purchase"/>
    <m/>
    <m/>
    <s v="Apep"/>
    <m/>
    <s v="because even though its for high maa decks i realy like the 0 elixir cards and the invincibility is always great but i liked it the most when it did combo with blood imps :) "/>
    <m/>
    <s v="Grandmaster"/>
    <m/>
    <s v="200-1000"/>
    <m/>
    <x v="918"/>
    <m/>
    <s v="Daily"/>
    <m/>
    <s v="Neither"/>
    <m/>
    <s v="Male"/>
    <m/>
    <s v="19-25"/>
    <m/>
    <x v="1"/>
    <m/>
    <s v="Portugal"/>
    <m/>
  </r>
  <r>
    <d v="2018-11-18T18:30:36"/>
    <s v="Gameplay, Collecting Cards/Masters"/>
    <s v="Duo, Premade Duo, Draft, Expeditions"/>
    <s v="Arenas"/>
    <s v="No"/>
    <m/>
    <s v="I've not made a purchase"/>
    <m/>
    <m/>
    <s v="King Puff"/>
    <m/>
    <m/>
    <m/>
    <s v="Gold"/>
    <m/>
    <s v="25-100"/>
    <m/>
    <x v="919"/>
    <m/>
    <s v="Daily"/>
    <m/>
    <s v="Watch, Stream"/>
    <m/>
    <s v="Male"/>
    <m/>
    <s v="26-35"/>
    <m/>
    <x v="0"/>
    <m/>
    <s v="Slovenia"/>
    <m/>
  </r>
  <r>
    <d v="2018-11-18T18:34:19"/>
    <s v="Gameplay"/>
    <s v="Premade Duo"/>
    <s v="Master Skins"/>
    <s v="No"/>
    <m/>
    <s v="I've not made a purchase"/>
    <s v="Rammer, Dragon Ball, Dragon Whelp, Shars'Rakk Twins, Scrat Pack"/>
    <m/>
    <s v="Ravager"/>
    <m/>
    <s v="He was affordable and the tempo allowed by Brutus is really strong"/>
    <m/>
    <s v="Silver"/>
    <m/>
    <s v="0-5"/>
    <m/>
    <x v="920"/>
    <m/>
    <s v="Daily"/>
    <m/>
    <s v="Watch"/>
    <m/>
    <s v="Male"/>
    <m/>
    <s v="14-18"/>
    <m/>
    <x v="1"/>
    <m/>
    <s v="USA"/>
    <m/>
  </r>
  <r>
    <d v="2018-11-18T18:47:08"/>
    <s v="Gameplay, Collecting Cards/Masters"/>
    <s v="Solo, Premade Duo"/>
    <s v="Avatars"/>
    <s v="No"/>
    <m/>
    <s v="I've not made a purchase"/>
    <s v="Fire Imp, Armored Escort, Assassin, Harbringer, Divine Warrior"/>
    <m/>
    <s v="Apep"/>
    <m/>
    <s v="Free Cards"/>
    <m/>
    <s v="Gold"/>
    <m/>
    <s v="5-25"/>
    <m/>
    <x v="921"/>
    <m/>
    <s v="Daily"/>
    <m/>
    <s v="Watch"/>
    <m/>
    <s v="Male"/>
    <m/>
    <s v="19-25"/>
    <m/>
    <x v="1"/>
    <m/>
    <s v="Luxembourg"/>
    <m/>
  </r>
  <r>
    <d v="2018-11-18T18:56:48"/>
    <s v="Crafting system"/>
    <s v="Solo, Duo, Premade Duo, Draft, Expeditions, Mayhem Solo, Mayhem Duo"/>
    <s v="Arenas"/>
    <s v="Yes"/>
    <s v="plas"/>
    <s v="Yes"/>
    <s v="pls"/>
    <m/>
    <s v="Ravager"/>
    <m/>
    <m/>
    <m/>
    <s v="Stone"/>
    <m/>
    <s v="100-200"/>
    <m/>
    <x v="922"/>
    <m/>
    <s v="1-2 times a week"/>
    <m/>
    <s v="Neither"/>
    <m/>
    <s v="Female"/>
    <m/>
    <s v="26-35"/>
    <m/>
    <x v="2"/>
    <m/>
    <s v="I prefer not to say"/>
    <m/>
  </r>
  <r>
    <d v="2018-11-18T19:03:29"/>
    <s v="Gameplay"/>
    <s v="Solo, Premade Duo"/>
    <s v="Arenas"/>
    <s v="No"/>
    <m/>
    <s v="I've not made a purchase"/>
    <s v="firedevil, ghost, ram , hound, heavy gunner"/>
    <m/>
    <s v="Mordar"/>
    <m/>
    <s v="because of its AOE attack and the reviving function"/>
    <m/>
    <s v="Platinum"/>
    <m/>
    <s v="25-100"/>
    <m/>
    <x v="923"/>
    <m/>
    <s v="Daily"/>
    <m/>
    <s v="Watch, Stream"/>
    <m/>
    <s v="Male"/>
    <m/>
    <s v="26-35"/>
    <m/>
    <x v="0"/>
    <m/>
    <s v="Germany"/>
    <m/>
  </r>
  <r>
    <d v="2018-11-18T19:29:09"/>
    <s v="Gameplay, Collecting Cards/Masters"/>
    <s v="Solo, Duo"/>
    <s v="Master Skins, Avatars"/>
    <s v="No"/>
    <m/>
    <s v="I've not made a purchase"/>
    <m/>
    <m/>
    <s v="Ravager"/>
    <m/>
    <m/>
    <m/>
    <m/>
    <m/>
    <s v="0-5"/>
    <m/>
    <x v="4"/>
    <m/>
    <s v="5-6 times a week"/>
    <m/>
    <m/>
    <m/>
    <s v="I prefer not to say"/>
    <m/>
    <s v="I prefer not to say"/>
    <m/>
    <x v="2"/>
    <m/>
    <s v="I prefer not to say"/>
    <m/>
  </r>
  <r>
    <d v="2018-11-18T19:36:58"/>
    <s v="Gameplay"/>
    <s v="Duo, Premade Duo, Mayhem Solo, Mayhem Duo"/>
    <s v="Arenas"/>
    <s v="No"/>
    <s v="I bought the premium upgrade, which isn't technically rubies, but still wanted to mention."/>
    <s v="Yes"/>
    <s v="My best/most used cards: Marines, Scratpack, Xiao, DivWarry, Daggerfall. My &quot;love to play for fun&quot; despite may or may not being good cards: Styxi, Blastmancer, Harbinger, Guild, Ghost"/>
    <m/>
    <s v="Stormbringer"/>
    <m/>
    <s v="When I climb back to GM at the start of every month, it's nice to have a master who interacts continuously with your opponent (also why I like Settsu, KP, and Ravager) even if you spend most of the game on the enemy field. Also just fits my play style, I've played him the longest, etc."/>
    <m/>
    <s v="Grandmaster"/>
    <m/>
    <s v="200-1000"/>
    <m/>
    <x v="924"/>
    <m/>
    <s v="Daily"/>
    <m/>
    <s v="Watch"/>
    <m/>
    <s v="Male"/>
    <m/>
    <s v="26-35"/>
    <m/>
    <x v="0"/>
    <m/>
    <s v="USA"/>
    <m/>
  </r>
  <r>
    <d v="2018-11-18T19:44:50"/>
    <s v="Gameplay"/>
    <s v="Duo, Premade Duo"/>
    <s v="Master Skins, Arenas, Emotes, Avatars"/>
    <s v="Yes"/>
    <s v="FIlling out my card collection  "/>
    <s v="Yes"/>
    <s v="Stun Lancers, Stun Lancers, Stun Lancers, Stun Lancers, Stun Lancers"/>
    <m/>
    <s v="Stormbringer"/>
    <m/>
    <s v="I enjoy seeing a game come together after gaining marksmanship"/>
    <m/>
    <s v="Gold"/>
    <m/>
    <s v="5-25"/>
    <m/>
    <x v="925"/>
    <m/>
    <s v="5-6 times a week"/>
    <m/>
    <s v="Watch"/>
    <m/>
    <s v="I prefer not to say"/>
    <m/>
    <s v="19-25"/>
    <m/>
    <x v="0"/>
    <m/>
    <s v="United Kingdom"/>
    <m/>
  </r>
  <r>
    <d v="2018-11-18T19:51:06"/>
    <s v="Gameplay"/>
    <s v="Solo, Duo"/>
    <s v="Master Skins"/>
    <s v="Yes"/>
    <m/>
    <s v="Yes"/>
    <m/>
    <m/>
    <s v="Mordar"/>
    <m/>
    <m/>
    <m/>
    <m/>
    <m/>
    <s v="25-100"/>
    <m/>
    <x v="4"/>
    <m/>
    <s v="5-6 times a week"/>
    <m/>
    <s v="Stream"/>
    <m/>
    <s v="Female"/>
    <m/>
    <s v="26-35"/>
    <m/>
    <x v="3"/>
    <m/>
    <s v="I prefer not to say"/>
    <m/>
  </r>
  <r>
    <d v="2018-11-18T19:56:51"/>
    <s v="Gameplay, Collecting Cards/Masters"/>
    <s v="Duo, Draft"/>
    <s v="Arenas"/>
    <m/>
    <m/>
    <s v="I've not made a purchase"/>
    <m/>
    <m/>
    <s v="Stormbringer"/>
    <m/>
    <s v="Passive global impact for the majority of game"/>
    <m/>
    <s v="Gold"/>
    <m/>
    <s v="5-25"/>
    <m/>
    <x v="926"/>
    <m/>
    <s v="5-6 times a week"/>
    <m/>
    <s v="Neither"/>
    <m/>
    <s v="I prefer not to say"/>
    <m/>
    <s v="26-35"/>
    <m/>
    <x v="4"/>
    <m/>
    <s v="USA"/>
    <m/>
  </r>
  <r>
    <d v="2018-11-18T20:09:45"/>
    <s v="Gameplay, Collecting Cards/Masters"/>
    <s v="Duo"/>
    <s v="Emotes, Avatars"/>
    <s v="Yes"/>
    <s v="Battle Pass"/>
    <s v="Yes"/>
    <s v="Styxi - Blue golem - incubus - priestess"/>
    <m/>
    <s v="Mordar"/>
    <m/>
    <s v="Tombstone"/>
    <m/>
    <s v="Diamond"/>
    <m/>
    <s v="200-1000"/>
    <m/>
    <x v="927"/>
    <m/>
    <s v="Daily"/>
    <m/>
    <s v="Watch"/>
    <m/>
    <s v="Male"/>
    <m/>
    <s v="26-35"/>
    <m/>
    <x v="0"/>
    <m/>
    <s v="Turkey"/>
    <m/>
  </r>
  <r>
    <d v="2018-11-18T20:15:47"/>
    <s v="Competitions/Tournaments, it's not pay to win. I LOVE IT"/>
    <s v="Duo, Premade Duo, Expeditions, Mayhem Solo"/>
    <s v="Arenas"/>
    <s v="No"/>
    <m/>
    <s v="I've not made a purchase"/>
    <s v="Spiritmancer, wizard puff, plasma marines, cursebearer"/>
    <m/>
    <s v="Apep"/>
    <m/>
    <s v="free cards is overhelming power"/>
    <m/>
    <s v="Platinum"/>
    <m/>
    <s v="25-100"/>
    <m/>
    <x v="928"/>
    <m/>
    <s v="Daily"/>
    <m/>
    <s v="Neither"/>
    <m/>
    <s v="Male"/>
    <m/>
    <s v="26-35"/>
    <m/>
    <x v="0"/>
    <m/>
    <s v="I prefer not to say"/>
    <m/>
  </r>
  <r>
    <d v="2018-11-18T20:16:19"/>
    <s v="Gameplay, Graphics, Collecting Cards/Masters, Competitions/Tournaments, Crafting system"/>
    <s v="Premade Duo, Draft, Expeditions"/>
    <s v="Master Skins, Arenas"/>
    <s v="No"/>
    <m/>
    <s v="I've not made a purchase"/>
    <m/>
    <m/>
    <s v="Milloween"/>
    <m/>
    <m/>
    <m/>
    <s v="Bronze"/>
    <m/>
    <s v="5-25"/>
    <m/>
    <x v="4"/>
    <m/>
    <s v="Daily"/>
    <m/>
    <s v="Neither"/>
    <m/>
    <s v="Male"/>
    <m/>
    <s v="19-25"/>
    <m/>
    <x v="0"/>
    <m/>
    <s v="Germany"/>
    <m/>
  </r>
  <r>
    <d v="2018-11-18T20:23:30"/>
    <s v="Gameplay, Collecting Cards/Masters"/>
    <s v="Solo, Premade Duo"/>
    <s v="Arenas"/>
    <s v="Yes"/>
    <s v="season pass"/>
    <s v="Yes"/>
    <s v="last stand - wheel of doom - bounty sniper -  scrat horde - combustion"/>
    <m/>
    <s v="Mordar"/>
    <m/>
    <s v="i like it"/>
    <m/>
    <s v="Diamond"/>
    <m/>
    <s v="0-5"/>
    <m/>
    <x v="4"/>
    <m/>
    <s v="Daily"/>
    <m/>
    <s v="Watch"/>
    <m/>
    <s v="Male"/>
    <m/>
    <s v="19-25"/>
    <m/>
    <x v="0"/>
    <m/>
    <s v="United Kingdom"/>
    <m/>
  </r>
  <r>
    <d v="2018-11-18T20:59:51"/>
    <s v="Gameplay, Competitions/Tournaments"/>
    <s v="Solo, Premade Duo"/>
    <s v="Arenas"/>
    <s v="Yes"/>
    <s v="To support the company in hopes that my money would help somewhat with development."/>
    <s v="Yes"/>
    <s v="Xiao Long (Even tho i don't have him YET), Divine Warrior, Scrat Tank, Incubus and all the tank characters."/>
    <m/>
    <s v="Mordar"/>
    <m/>
    <s v="The revival feature."/>
    <m/>
    <s v="Gold"/>
    <m/>
    <s v="25-100"/>
    <m/>
    <x v="4"/>
    <m/>
    <s v="Daily"/>
    <m/>
    <s v="Watch"/>
    <m/>
    <s v="Male"/>
    <m/>
    <s v="19-25"/>
    <m/>
    <x v="1"/>
    <m/>
    <s v="North America"/>
    <m/>
  </r>
  <r>
    <d v="2018-11-18T21:13:59"/>
    <s v="Gameplay"/>
    <s v="Duo"/>
    <s v="Master Skins"/>
    <s v="No"/>
    <m/>
    <s v="I've not made a purchase"/>
    <s v="Crossbow Guild"/>
    <m/>
    <s v="Stormbringer"/>
    <m/>
    <s v="Killing off minions automatically at any range"/>
    <m/>
    <s v="Platinum"/>
    <m/>
    <s v="5-25"/>
    <m/>
    <x v="929"/>
    <m/>
    <s v="5-6 times a week"/>
    <m/>
    <s v="Watch, Stream"/>
    <m/>
    <s v="Male"/>
    <m/>
    <s v="over 36"/>
    <m/>
    <x v="0"/>
    <m/>
    <s v="Norway"/>
    <m/>
  </r>
  <r>
    <d v="2018-11-18T21:38:50"/>
    <s v="Gameplay, Collecting Cards/Masters"/>
    <s v="Solo, Duo, Premade Duo, Expeditions"/>
    <s v="Arenas"/>
    <s v="No"/>
    <m/>
    <m/>
    <s v="Harbringer, Daggerfall, last stand, Scrat tank, scrat horde"/>
    <m/>
    <s v="Stormbringer"/>
    <m/>
    <m/>
    <m/>
    <s v="Silver"/>
    <m/>
    <s v="5-25"/>
    <m/>
    <x v="4"/>
    <m/>
    <s v="Daily"/>
    <m/>
    <s v="Neither"/>
    <m/>
    <s v="I prefer not to say"/>
    <m/>
    <s v="I prefer not to say"/>
    <m/>
    <x v="2"/>
    <m/>
    <s v="I prefer not to say"/>
    <m/>
  </r>
  <r>
    <d v="2018-11-18T21:39:46"/>
    <s v="Gameplay, Graphics, Collecting Cards/Masters, Crafting system"/>
    <s v="Solo, Duo, Draft, Expeditions"/>
    <s v="Master Skins"/>
    <s v="Yes"/>
    <s v="Battle Pass, Masters"/>
    <s v="Yes"/>
    <s v="Troubadour, Xiao-Long, Snake Druid, Cursebearer, Crystal Construct"/>
    <m/>
    <s v="King Puff"/>
    <m/>
    <s v="He´s the cutest!"/>
    <m/>
    <s v="Diamond"/>
    <m/>
    <s v="200-1000"/>
    <m/>
    <x v="930"/>
    <m/>
    <s v="Daily"/>
    <m/>
    <s v="Neither"/>
    <m/>
    <s v="Female"/>
    <m/>
    <s v="26-35"/>
    <m/>
    <x v="1"/>
    <m/>
    <s v="Germany"/>
    <m/>
  </r>
  <r>
    <d v="2018-11-18T21:46:33"/>
    <s v="Gameplay, Collecting Cards/Masters, Competitions/Tournaments"/>
    <s v="Duo, Premade Duo"/>
    <s v="Master Skins, Arenas"/>
    <s v="No"/>
    <m/>
    <s v="I've not made a purchase"/>
    <s v="Colossus, Beam of Doom, Priestess, Heal Buff, Dragon Whelp"/>
    <m/>
    <s v="Stormbringer"/>
    <m/>
    <s v="because of his global shot ability"/>
    <m/>
    <s v="Diamond"/>
    <m/>
    <s v="25-100"/>
    <m/>
    <x v="931"/>
    <m/>
    <s v="3-4 times a week"/>
    <m/>
    <s v="Watch"/>
    <m/>
    <s v="Male"/>
    <m/>
    <s v="26-35"/>
    <m/>
    <x v="0"/>
    <m/>
    <s v="Germany"/>
    <m/>
  </r>
  <r>
    <d v="2018-11-18T21:46:56"/>
    <s v="Gameplay, Collecting Cards/Masters"/>
    <s v="Premade Duo, Expeditions"/>
    <s v="Master Skins, Arenas"/>
    <s v="No"/>
    <m/>
    <s v="I've not made a purchase"/>
    <s v="Guerrier, Le defenseur, Reprouve, diablotin de feu, Rodeur"/>
    <m/>
    <s v="Stormbringer"/>
    <m/>
    <s v="His buffs are good"/>
    <m/>
    <s v="Master"/>
    <m/>
    <s v="25-100"/>
    <m/>
    <x v="932"/>
    <m/>
    <s v="Daily"/>
    <m/>
    <s v="Watch"/>
    <m/>
    <s v="Male"/>
    <m/>
    <s v="26-35"/>
    <m/>
    <x v="0"/>
    <m/>
    <s v="France"/>
    <m/>
  </r>
  <r>
    <d v="2018-11-18T22:12:05"/>
    <s v="Gameplay, Collecting Cards/Masters"/>
    <s v="Solo, Premade Duo"/>
    <s v="Arenas"/>
    <s v="Yes"/>
    <s v="season pass"/>
    <s v="Yes"/>
    <s v="last stand - wheel of doom - bounty sniper -  scrat horde - combustion"/>
    <m/>
    <s v="Mordar"/>
    <m/>
    <s v="i like it"/>
    <m/>
    <s v="Diamond"/>
    <m/>
    <s v="0-5"/>
    <m/>
    <x v="4"/>
    <m/>
    <s v="Daily"/>
    <m/>
    <s v="Watch"/>
    <m/>
    <s v="Male"/>
    <m/>
    <s v="19-25"/>
    <m/>
    <x v="0"/>
    <m/>
    <s v="United Kingdom"/>
    <m/>
  </r>
  <r>
    <d v="2018-11-18T22:12:48"/>
    <s v="Gameplay, Graphics, Crafting system"/>
    <s v="Solo, Expeditions"/>
    <s v="Master Skins, Arenas"/>
    <s v="No"/>
    <m/>
    <s v="I've not made a purchase"/>
    <s v="Scrat tank, blue golem, annihilator, plasma marines, "/>
    <m/>
    <s v="Stormbringer"/>
    <m/>
    <s v="like the look and the distance battles"/>
    <m/>
    <s v="Bronze"/>
    <m/>
    <s v="5-25"/>
    <m/>
    <x v="933"/>
    <m/>
    <s v="1-2 times a week"/>
    <m/>
    <s v="Neither"/>
    <m/>
    <s v="Male"/>
    <m/>
    <s v="over 36"/>
    <m/>
    <x v="0"/>
    <m/>
    <s v="USA"/>
    <m/>
  </r>
  <r>
    <d v="2018-11-18T22:33:05"/>
    <s v="Gameplay, Crafting system"/>
    <s v="Premade Duo, Mayhem Duo"/>
    <s v="Arenas, Emotes"/>
    <s v="Yes"/>
    <s v="Season pass (100% worth it imo &lt;3 )"/>
    <s v="Yes"/>
    <s v="Mirage drone, immortal skeleton, phoenix priest, guardian, healing jar"/>
    <m/>
    <s v="Mordar"/>
    <m/>
    <s v="i like to stack my skeleton in duo Q, also works well with drones !"/>
    <m/>
    <s v="Grandmaster"/>
    <m/>
    <s v="100-200"/>
    <m/>
    <x v="934"/>
    <m/>
    <s v="Daily"/>
    <m/>
    <s v="Watch, Stream"/>
    <m/>
    <s v="Male"/>
    <m/>
    <s v="19-25"/>
    <m/>
    <x v="1"/>
    <m/>
    <s v="Belgium "/>
    <m/>
  </r>
  <r>
    <d v="2018-11-18T22:47:17"/>
    <s v="Gameplay, Collecting Cards/Masters, Competitions/Tournaments, Crafting system"/>
    <s v="Duo"/>
    <s v="Avatars"/>
    <s v="No"/>
    <m/>
    <s v="I've not made a purchase"/>
    <s v="Stun Lancers, Stun Lancers, Stun Lancers, Stun Lancers, Beam of Doom"/>
    <m/>
    <s v="Ratbo"/>
    <m/>
    <s v="Minigun"/>
    <m/>
    <s v="Gold"/>
    <m/>
    <s v="5-25"/>
    <m/>
    <x v="935"/>
    <m/>
    <s v="Occasionally"/>
    <m/>
    <m/>
    <m/>
    <s v="I prefer not to say"/>
    <m/>
    <s v="I prefer not to say"/>
    <m/>
    <x v="2"/>
    <m/>
    <s v="Mexico"/>
    <m/>
  </r>
  <r>
    <d v="2018-11-18T22:49:58"/>
    <s v="Gameplay"/>
    <s v="Duo"/>
    <s v="Emotes, Avatars"/>
    <s v="No"/>
    <m/>
    <s v="I've not made a purchase"/>
    <m/>
    <m/>
    <s v="Settsu"/>
    <m/>
    <m/>
    <m/>
    <s v="Silver"/>
    <m/>
    <s v="0-5"/>
    <m/>
    <x v="936"/>
    <m/>
    <s v="Daily"/>
    <m/>
    <s v="Watch"/>
    <m/>
    <s v="Male"/>
    <m/>
    <s v="19-25"/>
    <m/>
    <x v="0"/>
    <m/>
    <s v="Croatia"/>
    <m/>
  </r>
  <r>
    <d v="2018-11-18T22:52:36"/>
    <s v="Gameplay, Collecting Cards/Masters"/>
    <s v="Solo, Duo"/>
    <s v="Arenas"/>
    <s v="No"/>
    <m/>
    <s v="I've not made a purchase"/>
    <s v="Defenso Chopper, Fire Imp, Swarmers, Chain Lightening, and Dragon Ball"/>
    <m/>
    <s v="Volco"/>
    <m/>
    <s v="his abilities are best suited to my play style"/>
    <m/>
    <s v="Silver"/>
    <m/>
    <s v="5-25"/>
    <m/>
    <x v="937"/>
    <m/>
    <s v="Daily"/>
    <m/>
    <s v="Stream"/>
    <m/>
    <s v="Male"/>
    <m/>
    <s v="19-25"/>
    <m/>
    <x v="0"/>
    <m/>
    <s v="USA"/>
    <m/>
  </r>
  <r>
    <d v="2018-11-18T23:23:01"/>
    <s v="Gameplay, Graphics, Collecting Cards/Masters"/>
    <s v="Duo"/>
    <s v="Arenas"/>
    <s v="No"/>
    <m/>
    <s v="I've not made a purchase"/>
    <m/>
    <m/>
    <s v="Settsu"/>
    <m/>
    <m/>
    <m/>
    <s v="Gold"/>
    <m/>
    <s v="25-100"/>
    <m/>
    <x v="4"/>
    <m/>
    <s v="Daily"/>
    <m/>
    <s v="Watch"/>
    <m/>
    <s v="Male"/>
    <m/>
    <s v="26-35"/>
    <m/>
    <x v="0"/>
    <m/>
    <s v="I prefer not to say"/>
    <m/>
  </r>
  <r>
    <d v="2018-11-18T23:25:10"/>
    <s v="Gameplay"/>
    <s v="Solo, Duo, Draft"/>
    <s v="Master Skins, Arenas"/>
    <s v="No"/>
    <m/>
    <s v="Yes"/>
    <m/>
    <m/>
    <s v="Mordar"/>
    <m/>
    <m/>
    <m/>
    <s v="Master"/>
    <m/>
    <s v="200-1000"/>
    <m/>
    <x v="4"/>
    <m/>
    <s v="5-6 times a week"/>
    <m/>
    <s v="Neither"/>
    <m/>
    <s v="Male"/>
    <m/>
    <s v="over 36"/>
    <m/>
    <x v="2"/>
    <m/>
    <s v="I prefer not to say"/>
    <m/>
  </r>
  <r>
    <d v="2018-11-18T23:33:13"/>
    <s v="Graphics"/>
    <s v="Duo, Draft, Expeditions"/>
    <s v="Arenas"/>
    <s v="No"/>
    <m/>
    <s v="Yes"/>
    <m/>
    <m/>
    <s v="King Puff"/>
    <m/>
    <s v="He's able to use the switch bridges ability and just fun to play with."/>
    <m/>
    <s v="Silver"/>
    <m/>
    <s v="25-100"/>
    <m/>
    <x v="4"/>
    <m/>
    <s v="Daily"/>
    <m/>
    <s v="Watch, Stream"/>
    <m/>
    <s v="Male"/>
    <m/>
    <s v="19-25"/>
    <m/>
    <x v="0"/>
    <m/>
    <s v="United Kingdom"/>
    <m/>
  </r>
  <r>
    <d v="2018-11-18T23:52:44"/>
    <s v="Gameplay, Graphics, Collecting Cards/Masters, Competitions/Tournaments"/>
    <s v="Solo, Duo, Premade Duo, Draft, Expeditions"/>
    <s v="Master Skins, Arenas, Emotes, Avatars"/>
    <s v="Yes"/>
    <s v="The premium account boost"/>
    <s v="Yes"/>
    <s v="Soul Stealer, Dragon Ball, Prowler, Morgrul, Spiritmancer"/>
    <m/>
    <s v="King Puff"/>
    <m/>
    <s v="I love control play"/>
    <m/>
    <s v="Platinum"/>
    <m/>
    <s v="25-100"/>
    <m/>
    <x v="938"/>
    <m/>
    <s v="5-6 times a week"/>
    <m/>
    <s v="Watch, Stream"/>
    <m/>
    <s v="Male"/>
    <m/>
    <s v="26-35"/>
    <m/>
    <x v="3"/>
    <m/>
    <s v="USA"/>
    <m/>
  </r>
  <r>
    <d v="2018-11-19T00:54:20"/>
    <s v="Gameplay"/>
    <s v="Expeditions"/>
    <s v="Master Skins"/>
    <s v="No"/>
    <m/>
    <s v="I've not made a purchase"/>
    <s v="Battle Shi-Hou Blue Golem Stun Lancers blood imps Dragon Whelp "/>
    <m/>
    <s v="Volco"/>
    <m/>
    <s v="tough"/>
    <m/>
    <s v="Silver"/>
    <m/>
    <s v="5-25"/>
    <m/>
    <x v="939"/>
    <m/>
    <s v="Daily"/>
    <m/>
    <s v="Neither"/>
    <m/>
    <s v="Male"/>
    <m/>
    <s v="over 36"/>
    <m/>
    <x v="3"/>
    <m/>
    <s v="USA"/>
    <m/>
  </r>
  <r>
    <d v="2018-11-19T01:09:12"/>
    <s v="Gameplay"/>
    <s v="Premade Duo, Mayhem Duo"/>
    <s v="Master Skins"/>
    <s v="No"/>
    <m/>
    <s v="I've not made a purchase"/>
    <s v="mana puff, plasma marine, wallllzz, sniperino, banner dude"/>
    <m/>
    <s v="Volco"/>
    <m/>
    <s v="Cause i'm allll about dmg"/>
    <m/>
    <s v="Master"/>
    <m/>
    <s v="100-200"/>
    <m/>
    <x v="940"/>
    <m/>
    <s v="3-4 times a week"/>
    <m/>
    <s v="Neither"/>
    <m/>
    <s v="Male"/>
    <m/>
    <s v="19-25"/>
    <m/>
    <x v="0"/>
    <m/>
    <s v="Canada"/>
    <m/>
  </r>
  <r>
    <d v="2018-11-19T01:24:33"/>
    <s v="Gameplay, Collecting Cards/Masters, Making unorthodox decks that win"/>
    <s v="Solo, Duo, Premade Duo"/>
    <s v="Arenas, Emotes"/>
    <s v="No"/>
    <m/>
    <s v="I've not made a purchase"/>
    <s v="Colossus, Troubador, Hypnosis, Scrat Cannon, Styxi (needs a buff, 10 seconds is too long!)  "/>
    <m/>
    <s v="Mordar"/>
    <m/>
    <s v="Fits my deck and playstyle"/>
    <m/>
    <s v="Platinum"/>
    <m/>
    <s v="25-100"/>
    <m/>
    <x v="941"/>
    <m/>
    <s v="Daily"/>
    <m/>
    <s v="Neither"/>
    <m/>
    <s v="Male"/>
    <m/>
    <s v="26-35"/>
    <m/>
    <x v="3"/>
    <m/>
    <s v="USA"/>
    <m/>
  </r>
  <r>
    <d v="2018-11-19T01:25:01"/>
    <s v="Gameplay"/>
    <s v="Solo"/>
    <s v="Master Skins"/>
    <s v="Yes"/>
    <s v="Skins &amp; Battle Pass"/>
    <s v="Yes"/>
    <m/>
    <m/>
    <s v="Stormbringer"/>
    <m/>
    <s v="First one I was introduced to and what I got to Plat on."/>
    <m/>
    <s v="Platinum"/>
    <m/>
    <s v="100-200"/>
    <m/>
    <x v="942"/>
    <m/>
    <s v="Daily"/>
    <m/>
    <s v="Watch, Stream"/>
    <m/>
    <s v="Female"/>
    <m/>
    <s v="26-35"/>
    <m/>
    <x v="0"/>
    <m/>
    <s v="USA"/>
    <m/>
  </r>
  <r>
    <d v="2018-11-19T02:21:02"/>
    <s v="Gameplay, Collecting Cards/Masters, Crafting system"/>
    <s v="Solo"/>
    <s v="Arenas"/>
    <s v="Yes"/>
    <s v="cards"/>
    <s v="Yes"/>
    <m/>
    <m/>
    <s v="King Puff"/>
    <m/>
    <s v="cute"/>
    <m/>
    <s v="Platinum"/>
    <m/>
    <s v="25-100"/>
    <m/>
    <x v="4"/>
    <m/>
    <s v="Daily"/>
    <m/>
    <s v="Watch"/>
    <m/>
    <s v="Male"/>
    <m/>
    <s v="26-35"/>
    <m/>
    <x v="0"/>
    <m/>
    <s v="USA"/>
    <m/>
  </r>
  <r>
    <d v="2018-11-19T03:04:45"/>
    <s v="Gameplay"/>
    <s v="Duo"/>
    <s v="Master Skins, Avatars"/>
    <s v="No"/>
    <m/>
    <s v="I've not made a purchase"/>
    <s v="No"/>
    <m/>
    <s v="Volco"/>
    <m/>
    <s v="Looks awesome"/>
    <m/>
    <s v="Bronze"/>
    <m/>
    <s v="25-100"/>
    <m/>
    <x v="4"/>
    <m/>
    <s v="Daily"/>
    <m/>
    <s v="Neither"/>
    <m/>
    <s v="I prefer not to say"/>
    <m/>
    <s v="I prefer not to say"/>
    <m/>
    <x v="2"/>
    <m/>
    <s v="Canada"/>
    <m/>
  </r>
  <r>
    <d v="2018-11-19T03:51:37"/>
    <s v="Gameplay"/>
    <s v="Duo, Premade Duo"/>
    <s v="Emotes"/>
    <s v="No"/>
    <m/>
    <s v="I've not made a purchase"/>
    <m/>
    <m/>
    <s v="King Puff"/>
    <m/>
    <s v="He is cute and OP"/>
    <m/>
    <s v="Gold"/>
    <m/>
    <s v="25-100"/>
    <m/>
    <x v="943"/>
    <m/>
    <s v="Daily"/>
    <m/>
    <s v="Stream"/>
    <m/>
    <s v="Male"/>
    <m/>
    <s v="19-25"/>
    <m/>
    <x v="0"/>
    <m/>
    <s v="USA"/>
    <m/>
  </r>
  <r>
    <d v="2018-11-19T03:53:54"/>
    <s v="Collecting Cards/Masters"/>
    <s v="Duo"/>
    <s v="Emotes"/>
    <s v="No"/>
    <m/>
    <s v="I've not made a purchase"/>
    <s v="Guardian, ReBloomer, Preist, Succubus Divine warrior"/>
    <m/>
    <s v="Stormbringer"/>
    <m/>
    <s v="I love ranged mastery and his abilites"/>
    <m/>
    <s v="Gold"/>
    <m/>
    <s v="5-25"/>
    <m/>
    <x v="944"/>
    <m/>
    <s v="Daily"/>
    <m/>
    <s v="Watch, Stream"/>
    <m/>
    <s v="Male"/>
    <m/>
    <s v="26-35"/>
    <m/>
    <x v="0"/>
    <m/>
    <s v="USA"/>
    <m/>
  </r>
  <r>
    <d v="2018-11-19T03:54:06"/>
    <s v="Gameplay, Graphics"/>
    <s v="Solo, Duo, Premade Duo, Expeditions"/>
    <s v="Emotes"/>
    <s v="No"/>
    <m/>
    <s v="Yes"/>
    <s v="Dragon Ball, Spirit Mancer, Soul Stealer, ahnihilator(?), Guardian"/>
    <m/>
    <s v="Mordar"/>
    <m/>
    <s v="The ability to turn a game around, playing the long game."/>
    <m/>
    <s v="Master"/>
    <m/>
    <s v="200-1000"/>
    <m/>
    <x v="945"/>
    <m/>
    <s v="5-6 times a week"/>
    <m/>
    <s v="Watch"/>
    <m/>
    <s v="Male"/>
    <m/>
    <s v="19-25"/>
    <m/>
    <x v="3"/>
    <m/>
    <s v="Central America"/>
    <m/>
  </r>
  <r>
    <d v="2018-11-19T04:14:38"/>
    <s v="Gameplay, Collecting Cards/Masters"/>
    <s v="Solo, Premade Duo, Expeditions"/>
    <s v="Master Skins, Arenas"/>
    <s v="No"/>
    <m/>
    <s v="I've not made a purchase"/>
    <m/>
    <m/>
    <s v="Stormbringer"/>
    <m/>
    <m/>
    <m/>
    <s v="Platinum"/>
    <m/>
    <s v="25-100"/>
    <m/>
    <x v="700"/>
    <m/>
    <s v="Daily"/>
    <m/>
    <s v="Watch, Stream"/>
    <m/>
    <s v="Male"/>
    <m/>
    <s v="19-25"/>
    <m/>
    <x v="0"/>
    <m/>
    <s v="USA"/>
    <m/>
  </r>
  <r>
    <d v="2018-11-19T05:30:16"/>
    <m/>
    <s v="Solo, Duo, Draft, Expeditions"/>
    <s v="Arenas, Emotes"/>
    <s v="No"/>
    <m/>
    <s v="I've not made a purchase"/>
    <s v="mana puff, incubus, living statue, stun lancers, beam of DOOM!"/>
    <m/>
    <s v="Stormbringer"/>
    <m/>
    <s v="Free and can easily be used offensively"/>
    <m/>
    <s v="Bronze"/>
    <m/>
    <s v="0-5"/>
    <m/>
    <x v="946"/>
    <m/>
    <s v="Daily"/>
    <m/>
    <s v="Watch"/>
    <m/>
    <s v="Male"/>
    <m/>
    <s v="19-25"/>
    <m/>
    <x v="1"/>
    <m/>
    <s v="Australia"/>
    <m/>
  </r>
  <r>
    <d v="2018-11-19T05:41:46"/>
    <s v="Graphics, Collecting Cards/Masters, Competitions/Tournaments"/>
    <s v="Solo, Duo, Expeditions"/>
    <s v="Master Skins, Arenas, Emotes"/>
    <s v="No"/>
    <m/>
    <s v="I've not made a purchase"/>
    <m/>
    <m/>
    <s v="Ravager"/>
    <m/>
    <m/>
    <m/>
    <m/>
    <m/>
    <s v="5-25"/>
    <m/>
    <x v="4"/>
    <m/>
    <s v="5-6 times a week"/>
    <m/>
    <s v="Watch, Stream"/>
    <m/>
    <s v="Male"/>
    <m/>
    <s v="over 36"/>
    <m/>
    <x v="2"/>
    <m/>
    <s v="I prefer not to say"/>
    <m/>
  </r>
  <r>
    <d v="2018-11-19T05:53:20"/>
    <s v="Graphics"/>
    <s v="Draft"/>
    <s v="Master Skins"/>
    <s v="No"/>
    <m/>
    <s v="I've not made a purchase"/>
    <m/>
    <m/>
    <s v="King Puff"/>
    <m/>
    <s v="King Derp"/>
    <m/>
    <s v="Silver"/>
    <m/>
    <s v="25-100"/>
    <m/>
    <x v="4"/>
    <m/>
    <s v="Daily"/>
    <m/>
    <s v="Watch"/>
    <m/>
    <s v="Male"/>
    <m/>
    <s v="14-18"/>
    <m/>
    <x v="1"/>
    <m/>
    <s v="USA"/>
    <m/>
  </r>
  <r>
    <d v="2018-11-19T06:57:40"/>
    <s v="Gameplay"/>
    <s v="Premade Duo"/>
    <s v="Arenas"/>
    <s v="No"/>
    <m/>
    <s v="I've not made a purchase"/>
    <m/>
    <m/>
    <s v="Mordar"/>
    <m/>
    <s v="I like his ability"/>
    <m/>
    <s v="Platinum"/>
    <m/>
    <s v="25-100"/>
    <m/>
    <x v="947"/>
    <m/>
    <s v="Daily"/>
    <m/>
    <s v="Neither"/>
    <m/>
    <s v="Male"/>
    <m/>
    <s v="19-25"/>
    <m/>
    <x v="0"/>
    <m/>
    <s v="USA"/>
    <m/>
  </r>
  <r>
    <d v="2018-11-19T06:59:15"/>
    <s v="Gameplay"/>
    <s v="Duo, Premade Duo, Expeditions"/>
    <s v="Arenas"/>
    <s v="No"/>
    <m/>
    <s v="I've not made a purchase"/>
    <s v="Blasto-mancer, Swarmer king, Scrat Tank, Priestess, Healing Puff"/>
    <m/>
    <s v="Apep"/>
    <m/>
    <s v="I like his Abilities"/>
    <m/>
    <s v="Master"/>
    <m/>
    <s v="100-200"/>
    <m/>
    <x v="948"/>
    <m/>
    <s v="Daily"/>
    <m/>
    <s v="Neither"/>
    <m/>
    <s v="Male"/>
    <m/>
    <s v="19-25"/>
    <m/>
    <x v="0"/>
    <m/>
    <s v="USA"/>
    <m/>
  </r>
  <r>
    <d v="2018-11-19T07:10:19"/>
    <s v="Gameplay, Graphics, Collecting Cards/Masters, Competitions/Tournaments, Crafting system"/>
    <s v="Duo, Premade Duo, Expeditions"/>
    <s v="Emotes, Avatars"/>
    <s v="No"/>
    <m/>
    <s v="I've not made a purchase"/>
    <m/>
    <m/>
    <s v="Apep"/>
    <m/>
    <m/>
    <m/>
    <s v="Grandmaster"/>
    <m/>
    <s v="200-1000"/>
    <m/>
    <x v="4"/>
    <m/>
    <s v="Daily"/>
    <m/>
    <s v="Watch"/>
    <m/>
    <s v="I prefer not to say"/>
    <m/>
    <s v="26-35"/>
    <m/>
    <x v="2"/>
    <m/>
    <s v="I prefer not to say"/>
    <m/>
  </r>
  <r>
    <d v="2018-11-19T07:37:35"/>
    <s v="Gameplay"/>
    <s v="Solo"/>
    <s v="Master Skins"/>
    <s v="No"/>
    <m/>
    <s v="I've not made a purchase"/>
    <m/>
    <m/>
    <s v="Settsu"/>
    <m/>
    <s v="Although I haven't played as Settsu, it looks cool and has the unique ability of jumping onto the battlefield."/>
    <m/>
    <s v="Stone"/>
    <m/>
    <s v="0-5"/>
    <m/>
    <x v="949"/>
    <m/>
    <s v="Daily"/>
    <m/>
    <s v="Watch"/>
    <m/>
    <s v="Male"/>
    <m/>
    <s v="14-18"/>
    <m/>
    <x v="1"/>
    <m/>
    <s v="Australia"/>
    <m/>
  </r>
  <r>
    <d v="2018-11-19T07:43:03"/>
    <s v="Gameplay, Graphics, Collecting Cards/Masters"/>
    <s v="Solo"/>
    <s v="Arenas"/>
    <s v="No"/>
    <m/>
    <s v="I've not made a purchase"/>
    <s v="1. Succubus 2. Incubus 3. Annihilator 4.Stun Lancers 5. Crystal Construct"/>
    <m/>
    <s v="Stormbringer"/>
    <m/>
    <s v="Started recentally"/>
    <m/>
    <s v="Bronze"/>
    <m/>
    <s v="5-25"/>
    <m/>
    <x v="950"/>
    <m/>
    <s v="Daily"/>
    <m/>
    <s v="Watch"/>
    <m/>
    <s v="Male"/>
    <m/>
    <s v="19-25"/>
    <m/>
    <x v="3"/>
    <m/>
    <s v="USA"/>
    <m/>
  </r>
  <r>
    <d v="2018-11-19T09:17:02"/>
    <s v="Gameplay, Collecting Cards/Masters, Competitions/Tournaments"/>
    <s v="Solo, Premade Duo"/>
    <s v="Master Skins, Emotes, Avatars"/>
    <s v="No"/>
    <m/>
    <s v="I've not made a purchase"/>
    <m/>
    <m/>
    <s v="King Puff"/>
    <m/>
    <s v="cute"/>
    <m/>
    <s v="Diamond"/>
    <m/>
    <s v="5-25"/>
    <m/>
    <x v="951"/>
    <m/>
    <s v="Daily"/>
    <m/>
    <s v="Watch, Stream"/>
    <m/>
    <s v="Male"/>
    <m/>
    <s v="19-25"/>
    <m/>
    <x v="1"/>
    <m/>
    <s v="USA"/>
    <m/>
  </r>
  <r>
    <d v="2018-11-19T09:32:20"/>
    <s v="Gameplay, Collecting Cards/Masters, Competitions/Tournaments"/>
    <s v="Duo, Expeditions"/>
    <s v="Master Skins, Avatars"/>
    <s v="No"/>
    <m/>
    <s v="I've not made a purchase"/>
    <s v="Guardian,Blue Golem, flying Scrat,death from above,wut"/>
    <m/>
    <s v="Settsu"/>
    <m/>
    <s v="SHE CAN FIN FIGHT "/>
    <m/>
    <s v="Stone"/>
    <m/>
    <s v="25-100"/>
    <m/>
    <x v="952"/>
    <m/>
    <s v="3-4 times a week"/>
    <m/>
    <s v="Neither"/>
    <m/>
    <s v="Male"/>
    <m/>
    <s v="I prefer not to say"/>
    <m/>
    <x v="1"/>
    <m/>
    <s v="Kenya"/>
    <m/>
  </r>
  <r>
    <d v="2018-11-19T09:58:22"/>
    <s v="Gameplay, Graphics, Collecting Cards/Masters"/>
    <s v="Duo, Premade Duo"/>
    <s v="Master Skins, Emotes"/>
    <s v="No"/>
    <m/>
    <s v="I've not made a purchase"/>
    <m/>
    <m/>
    <s v="Milloween"/>
    <m/>
    <s v="Because of her unique playstyle and her special cards along with their special combos"/>
    <m/>
    <s v="Stone"/>
    <m/>
    <s v="25-100"/>
    <m/>
    <x v="953"/>
    <m/>
    <s v="1-2 times a week"/>
    <m/>
    <s v="Watch"/>
    <m/>
    <s v="Male"/>
    <m/>
    <s v="14-18"/>
    <m/>
    <x v="1"/>
    <m/>
    <s v="Indonesia"/>
    <m/>
  </r>
  <r>
    <d v="2018-11-19T11:05:55"/>
    <s v="Gameplay"/>
    <s v="Duo, Premade Duo"/>
    <s v="Arenas"/>
    <s v="No"/>
    <m/>
    <s v="I've not made a purchase"/>
    <m/>
    <m/>
    <s v="Mordar"/>
    <m/>
    <s v="For the Big"/>
    <m/>
    <s v="Diamond"/>
    <m/>
    <s v="25-100"/>
    <m/>
    <x v="954"/>
    <m/>
    <s v="Occasionally"/>
    <m/>
    <s v="Neither"/>
    <m/>
    <s v="Male"/>
    <m/>
    <s v="26-35"/>
    <m/>
    <x v="2"/>
    <m/>
    <s v="Germany"/>
    <m/>
  </r>
  <r>
    <d v="2018-11-19T11:09:26"/>
    <s v="Gameplay"/>
    <s v="Duo"/>
    <m/>
    <s v="No"/>
    <m/>
    <s v="Yes"/>
    <s v="invicible 5 sec kinght , rolling cannon , minotaur , that big flying laser, and resuresting skelly"/>
    <m/>
    <s v="Stormbringer"/>
    <m/>
    <s v="becouse i like his pasives"/>
    <m/>
    <s v="Diamond"/>
    <m/>
    <s v="25-100"/>
    <m/>
    <x v="955"/>
    <m/>
    <s v="Daily"/>
    <m/>
    <s v="Watch"/>
    <m/>
    <s v="Male"/>
    <m/>
    <s v="26-35"/>
    <m/>
    <x v="3"/>
    <m/>
    <s v="Poland"/>
    <m/>
  </r>
  <r>
    <d v="2018-11-19T11:19:11"/>
    <s v="Gameplay, Collecting Cards/Masters"/>
    <s v="Duo, Draft"/>
    <s v="Avatars"/>
    <s v="No"/>
    <m/>
    <s v="I've not made a purchase"/>
    <s v="Morgul the swarmer king,scrat launcher,blue golem,incubus,crystal archer"/>
    <m/>
    <s v="Stormbringer"/>
    <m/>
    <s v="because he is the easiest and he makes a good combo with all my ranged troops"/>
    <m/>
    <s v="Gold"/>
    <m/>
    <s v="5-25"/>
    <m/>
    <x v="956"/>
    <m/>
    <s v="Daily"/>
    <m/>
    <s v="Neither"/>
    <m/>
    <s v="Male"/>
    <m/>
    <s v="14-18"/>
    <m/>
    <x v="2"/>
    <m/>
    <s v="Croatia"/>
    <m/>
  </r>
  <r>
    <d v="2018-11-19T11:38:34"/>
    <s v="Gameplay, Graphics"/>
    <s v="Solo, Premade Duo"/>
    <s v="Master Skins, Arenas, Avatars"/>
    <s v="No"/>
    <m/>
    <s v="I've not made a purchase"/>
    <s v="Not yet"/>
    <m/>
    <s v="King Puff"/>
    <m/>
    <s v="So f*cking cute &lt;3"/>
    <m/>
    <s v="Wood"/>
    <m/>
    <s v="0-5"/>
    <m/>
    <x v="156"/>
    <m/>
    <s v="Daily"/>
    <m/>
    <s v="Neither"/>
    <m/>
    <s v="Male"/>
    <m/>
    <s v="14-18"/>
    <m/>
    <x v="1"/>
    <m/>
    <s v="Sweden"/>
    <m/>
  </r>
  <r>
    <d v="2018-11-19T11:40:26"/>
    <s v="Gameplay, Graphics, Collecting Cards/Masters, Competitions/Tournaments"/>
    <s v="Solo, Premade Duo"/>
    <s v="Master Skins, Arenas"/>
    <s v="No"/>
    <m/>
    <m/>
    <m/>
    <m/>
    <s v="Stormbringer"/>
    <m/>
    <m/>
    <m/>
    <s v="Master"/>
    <m/>
    <s v="200-1000"/>
    <m/>
    <x v="4"/>
    <m/>
    <s v="Daily"/>
    <m/>
    <s v="Watch, Stream"/>
    <m/>
    <s v="Male"/>
    <m/>
    <s v="26-35"/>
    <m/>
    <x v="0"/>
    <m/>
    <s v="Russia"/>
    <m/>
  </r>
  <r>
    <d v="2018-11-19T12:01:02"/>
    <s v="Gameplay, Competitions/Tournaments"/>
    <s v="Duo, Premade Duo"/>
    <s v="Emotes"/>
    <s v="No"/>
    <m/>
    <s v="I've not made a purchase"/>
    <s v="I a french player soo, name of the card in french sorry, : A l'aveuglette ; Mirage drone ; lanceurs étourdissants ; Trou noir ; Puff soigneur"/>
    <m/>
    <s v="Mordar"/>
    <m/>
    <s v="I love the gameplay the grave add, it's super usefull and I found mordar cool in general"/>
    <m/>
    <s v="Bronze"/>
    <m/>
    <s v="25-100"/>
    <m/>
    <x v="957"/>
    <m/>
    <s v="5-6 times a week"/>
    <m/>
    <s v="Watch"/>
    <m/>
    <s v="Male"/>
    <m/>
    <s v="19-25"/>
    <m/>
    <x v="1"/>
    <m/>
    <s v="France"/>
    <m/>
  </r>
  <r>
    <d v="2018-11-19T12:03:00"/>
    <s v="Gameplay"/>
    <s v="Duo"/>
    <m/>
    <s v="Yes"/>
    <s v="to support the game. and get  some rubies."/>
    <s v="Yes"/>
    <s v="Thelic, colosus, preistess, beam of doom"/>
    <m/>
    <s v="Mordar"/>
    <m/>
    <s v="tombstones"/>
    <m/>
    <s v="Platinum"/>
    <m/>
    <s v="25-100"/>
    <m/>
    <x v="4"/>
    <m/>
    <m/>
    <m/>
    <s v="Neither"/>
    <m/>
    <s v="Male"/>
    <m/>
    <s v="over 36"/>
    <m/>
    <x v="2"/>
    <m/>
    <s v="USA"/>
    <m/>
  </r>
  <r>
    <d v="2018-11-19T12:03:23"/>
    <s v="Gameplay, Collecting Cards/Masters, Crafting system"/>
    <s v="Solo, Premade Duo"/>
    <s v="Master Skins, Avatars"/>
    <s v="No"/>
    <m/>
    <s v="I've not made a purchase"/>
    <m/>
    <m/>
    <s v="Stormbringer"/>
    <m/>
    <m/>
    <m/>
    <s v="Diamond"/>
    <m/>
    <s v="25-100"/>
    <m/>
    <x v="4"/>
    <m/>
    <s v="5-6 times a week"/>
    <m/>
    <s v="Watch"/>
    <m/>
    <s v="I prefer not to say"/>
    <m/>
    <s v="19-25"/>
    <m/>
    <x v="2"/>
    <m/>
    <s v="I prefer not to say"/>
    <m/>
  </r>
  <r>
    <d v="2018-11-19T12:25:34"/>
    <s v="Competitions/Tournaments"/>
    <s v="Solo"/>
    <s v="Emotes"/>
    <s v="No"/>
    <m/>
    <s v="I've not made a purchase"/>
    <m/>
    <m/>
    <s v="Ravager"/>
    <m/>
    <s v="base attack"/>
    <m/>
    <s v="Master"/>
    <m/>
    <s v="200-1000"/>
    <m/>
    <x v="4"/>
    <m/>
    <s v="Daily"/>
    <m/>
    <s v="Stream"/>
    <m/>
    <s v="Male"/>
    <m/>
    <s v="over 36"/>
    <m/>
    <x v="3"/>
    <m/>
    <s v="Canada"/>
    <m/>
  </r>
  <r>
    <d v="2018-11-19T12:35:10"/>
    <m/>
    <s v="Duo, Premade Duo, Mayhem Duo"/>
    <m/>
    <s v="Yes"/>
    <m/>
    <s v="No"/>
    <m/>
    <m/>
    <m/>
    <m/>
    <m/>
    <m/>
    <s v="Grandmaster"/>
    <m/>
    <s v="200-1000"/>
    <m/>
    <x v="4"/>
    <m/>
    <s v="Daily"/>
    <m/>
    <m/>
    <m/>
    <s v="I prefer not to say"/>
    <m/>
    <s v="over 36"/>
    <m/>
    <x v="0"/>
    <m/>
    <s v="I prefer not to say"/>
    <m/>
  </r>
  <r>
    <d v="2018-11-19T12:37:40"/>
    <s v="Gameplay, Graphics, Collecting Cards/Masters, Crafting system"/>
    <s v="Duo, Premade Duo, Mayhem Duo"/>
    <s v="Arenas, Emotes"/>
    <s v="Yes"/>
    <m/>
    <s v="Yes"/>
    <s v="blood gobelin, Buddy of the Bridges, stixy, black hole, all puff and spell puff :p"/>
    <m/>
    <s v="Stormbringer"/>
    <m/>
    <s v="just i like puff :p"/>
    <m/>
    <s v="Diamond"/>
    <m/>
    <s v="25-100"/>
    <m/>
    <x v="958"/>
    <m/>
    <s v="Daily"/>
    <m/>
    <s v="Stream"/>
    <m/>
    <s v="Male"/>
    <m/>
    <s v="19-25"/>
    <m/>
    <x v="3"/>
    <m/>
    <s v="France"/>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706A31F6-5373-4AA2-9599-ADAFD397A061}" name="Tableau croisé dynamique1" cacheId="3"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location ref="A3:H964" firstHeaderRow="1" firstDataRow="2" firstDataCol="1"/>
  <pivotFields count="31">
    <pivotField numFmtId="164"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Row" dataField="1" showAll="0">
      <items count="960">
        <item x="581"/>
        <item x="809"/>
        <item x="428"/>
        <item x="257"/>
        <item x="670"/>
        <item x="829"/>
        <item x="223"/>
        <item x="728"/>
        <item x="46"/>
        <item x="537"/>
        <item x="770"/>
        <item x="744"/>
        <item x="673"/>
        <item x="919"/>
        <item x="729"/>
        <item x="760"/>
        <item x="495"/>
        <item x="672"/>
        <item x="740"/>
        <item x="776"/>
        <item x="375"/>
        <item x="619"/>
        <item x="133"/>
        <item x="267"/>
        <item x="622"/>
        <item x="118"/>
        <item x="116"/>
        <item x="198"/>
        <item x="742"/>
        <item x="333"/>
        <item x="580"/>
        <item x="265"/>
        <item x="200"/>
        <item x="460"/>
        <item x="771"/>
        <item x="443"/>
        <item x="348"/>
        <item x="101"/>
        <item x="739"/>
        <item x="483"/>
        <item x="479"/>
        <item x="137"/>
        <item x="578"/>
        <item x="231"/>
        <item x="515"/>
        <item x="336"/>
        <item x="634"/>
        <item x="502"/>
        <item x="650"/>
        <item x="792"/>
        <item x="345"/>
        <item x="242"/>
        <item x="927"/>
        <item x="28"/>
        <item x="893"/>
        <item x="686"/>
        <item x="201"/>
        <item x="372"/>
        <item x="579"/>
        <item x="363"/>
        <item x="475"/>
        <item x="465"/>
        <item x="158"/>
        <item x="743"/>
        <item x="819"/>
        <item x="246"/>
        <item x="227"/>
        <item x="165"/>
        <item x="362"/>
        <item x="733"/>
        <item x="241"/>
        <item x="855"/>
        <item x="76"/>
        <item x="554"/>
        <item x="400"/>
        <item x="852"/>
        <item x="37"/>
        <item x="254"/>
        <item x="815"/>
        <item x="623"/>
        <item x="671"/>
        <item x="204"/>
        <item x="797"/>
        <item x="866"/>
        <item x="802"/>
        <item x="837"/>
        <item x="675"/>
        <item x="505"/>
        <item x="57"/>
        <item x="442"/>
        <item x="544"/>
        <item x="119"/>
        <item x="192"/>
        <item x="403"/>
        <item x="822"/>
        <item x="511"/>
        <item x="532"/>
        <item x="592"/>
        <item x="545"/>
        <item x="530"/>
        <item x="812"/>
        <item x="646"/>
        <item x="145"/>
        <item x="738"/>
        <item x="795"/>
        <item x="644"/>
        <item x="645"/>
        <item x="902"/>
        <item x="99"/>
        <item x="261"/>
        <item x="904"/>
        <item x="823"/>
        <item x="651"/>
        <item x="814"/>
        <item x="298"/>
        <item x="72"/>
        <item x="312"/>
        <item x="152"/>
        <item x="235"/>
        <item x="953"/>
        <item x="632"/>
        <item x="674"/>
        <item x="153"/>
        <item x="748"/>
        <item x="607"/>
        <item x="591"/>
        <item x="297"/>
        <item x="80"/>
        <item x="633"/>
        <item x="790"/>
        <item x="647"/>
        <item x="879"/>
        <item x="380"/>
        <item x="444"/>
        <item x="141"/>
        <item x="346"/>
        <item x="608"/>
        <item x="311"/>
        <item x="292"/>
        <item x="193"/>
        <item x="942"/>
        <item x="291"/>
        <item x="925"/>
        <item x="29"/>
        <item x="485"/>
        <item x="954"/>
        <item x="838"/>
        <item x="685"/>
        <item x="64"/>
        <item x="780"/>
        <item x="350"/>
        <item x="525"/>
        <item x="751"/>
        <item x="388"/>
        <item x="404"/>
        <item x="244"/>
        <item x="104"/>
        <item x="239"/>
        <item x="87"/>
        <item x="719"/>
        <item x="934"/>
        <item x="432"/>
        <item x="147"/>
        <item x="850"/>
        <item x="907"/>
        <item x="361"/>
        <item x="9"/>
        <item x="339"/>
        <item x="344"/>
        <item x="163"/>
        <item x="835"/>
        <item x="689"/>
        <item x="61"/>
        <item x="936"/>
        <item x="865"/>
        <item x="750"/>
        <item x="643"/>
        <item x="482"/>
        <item x="669"/>
        <item x="277"/>
        <item x="293"/>
        <item x="16"/>
        <item x="410"/>
        <item x="831"/>
        <item x="946"/>
        <item x="89"/>
        <item x="454"/>
        <item x="912"/>
        <item x="553"/>
        <item x="791"/>
        <item x="589"/>
        <item x="774"/>
        <item x="528"/>
        <item x="343"/>
        <item x="106"/>
        <item x="662"/>
        <item x="931"/>
        <item x="625"/>
        <item x="233"/>
        <item x="834"/>
        <item x="140"/>
        <item x="690"/>
        <item x="376"/>
        <item x="900"/>
        <item x="425"/>
        <item x="7"/>
        <item x="899"/>
        <item x="784"/>
        <item x="641"/>
        <item x="892"/>
        <item x="566"/>
        <item x="951"/>
        <item x="761"/>
        <item x="655"/>
        <item x="91"/>
        <item x="664"/>
        <item x="159"/>
        <item x="901"/>
        <item x="143"/>
        <item x="94"/>
        <item x="25"/>
        <item x="874"/>
        <item x="520"/>
        <item x="785"/>
        <item x="710"/>
        <item x="512"/>
        <item x="420"/>
        <item x="818"/>
        <item x="56"/>
        <item x="205"/>
        <item x="862"/>
        <item x="660"/>
        <item x="110"/>
        <item x="69"/>
        <item x="288"/>
        <item x="933"/>
        <item x="732"/>
        <item x="230"/>
        <item x="930"/>
        <item x="864"/>
        <item x="449"/>
        <item x="125"/>
        <item x="881"/>
        <item x="248"/>
        <item x="19"/>
        <item x="853"/>
        <item x="916"/>
        <item x="640"/>
        <item x="618"/>
        <item x="321"/>
        <item x="843"/>
        <item x="526"/>
        <item x="469"/>
        <item x="782"/>
        <item x="356"/>
        <item x="749"/>
        <item x="77"/>
        <item x="303"/>
        <item x="830"/>
        <item x="367"/>
        <item x="730"/>
        <item x="26"/>
        <item x="435"/>
        <item x="613"/>
        <item x="452"/>
        <item x="487"/>
        <item x="355"/>
        <item x="414"/>
        <item x="289"/>
        <item x="317"/>
        <item x="875"/>
        <item x="832"/>
        <item x="653"/>
        <item x="457"/>
        <item x="427"/>
        <item x="474"/>
        <item x="60"/>
        <item x="14"/>
        <item x="827"/>
        <item x="38"/>
        <item x="816"/>
        <item x="680"/>
        <item x="766"/>
        <item x="586"/>
        <item x="523"/>
        <item x="22"/>
        <item x="724"/>
        <item x="549"/>
        <item x="417"/>
        <item x="652"/>
        <item x="921"/>
        <item x="285"/>
        <item x="436"/>
        <item x="307"/>
        <item x="844"/>
        <item x="183"/>
        <item x="598"/>
        <item x="52"/>
        <item x="113"/>
        <item x="735"/>
        <item x="251"/>
        <item x="319"/>
        <item x="325"/>
        <item x="517"/>
        <item x="58"/>
        <item x="217"/>
        <item x="122"/>
        <item x="369"/>
        <item x="577"/>
        <item x="374"/>
        <item x="176"/>
        <item x="576"/>
        <item x="387"/>
        <item x="759"/>
        <item x="43"/>
        <item x="905"/>
        <item x="408"/>
        <item x="717"/>
        <item x="501"/>
        <item x="726"/>
        <item x="594"/>
        <item x="456"/>
        <item x="300"/>
        <item x="950"/>
        <item x="450"/>
        <item x="923"/>
        <item x="282"/>
        <item x="493"/>
        <item x="419"/>
        <item x="872"/>
        <item x="441"/>
        <item x="825"/>
        <item x="631"/>
        <item x="504"/>
        <item x="279"/>
        <item x="413"/>
        <item x="894"/>
        <item x="958"/>
        <item x="131"/>
        <item x="462"/>
        <item x="409"/>
        <item x="181"/>
        <item x="870"/>
        <item x="503"/>
        <item x="824"/>
        <item x="448"/>
        <item x="68"/>
        <item x="421"/>
        <item x="602"/>
        <item x="507"/>
        <item x="310"/>
        <item x="856"/>
        <item x="932"/>
        <item x="731"/>
        <item x="477"/>
        <item x="39"/>
        <item x="895"/>
        <item x="615"/>
        <item x="956"/>
        <item x="610"/>
        <item x="700"/>
        <item x="624"/>
        <item x="550"/>
        <item x="115"/>
        <item x="423"/>
        <item x="426"/>
        <item x="92"/>
        <item x="445"/>
        <item x="44"/>
        <item x="447"/>
        <item x="185"/>
        <item x="845"/>
        <item x="160"/>
        <item x="171"/>
        <item x="499"/>
        <item x="793"/>
        <item x="463"/>
        <item x="45"/>
        <item x="903"/>
        <item x="488"/>
        <item x="890"/>
        <item x="314"/>
        <item x="943"/>
        <item x="783"/>
        <item x="941"/>
        <item x="588"/>
        <item x="630"/>
        <item x="863"/>
        <item x="263"/>
        <item x="281"/>
        <item x="756"/>
        <item x="461"/>
        <item x="468"/>
        <item x="370"/>
        <item x="75"/>
        <item x="518"/>
        <item x="328"/>
        <item x="70"/>
        <item x="555"/>
        <item x="117"/>
        <item x="718"/>
        <item x="1"/>
        <item x="0"/>
        <item x="18"/>
        <item x="665"/>
        <item x="127"/>
        <item x="508"/>
        <item x="772"/>
        <item x="156"/>
        <item x="828"/>
        <item x="649"/>
        <item x="100"/>
        <item x="340"/>
        <item x="918"/>
        <item x="486"/>
        <item x="536"/>
        <item x="224"/>
        <item x="62"/>
        <item x="353"/>
        <item x="820"/>
        <item x="305"/>
        <item x="255"/>
        <item x="396"/>
        <item x="869"/>
        <item x="585"/>
        <item x="808"/>
        <item x="868"/>
        <item x="805"/>
        <item x="391"/>
        <item x="704"/>
        <item x="360"/>
        <item x="642"/>
        <item x="699"/>
        <item x="302"/>
        <item x="453"/>
        <item x="811"/>
        <item x="840"/>
        <item x="614"/>
        <item x="222"/>
        <item x="232"/>
        <item x="199"/>
        <item x="777"/>
        <item x="767"/>
        <item x="330"/>
        <item x="663"/>
        <item x="604"/>
        <item x="42"/>
        <item x="572"/>
        <item x="920"/>
        <item x="381"/>
        <item x="626"/>
        <item x="247"/>
        <item x="66"/>
        <item x="769"/>
        <item x="938"/>
        <item x="471"/>
        <item x="593"/>
        <item x="877"/>
        <item x="278"/>
        <item x="202"/>
        <item x="128"/>
        <item x="59"/>
        <item x="597"/>
        <item x="639"/>
        <item x="481"/>
        <item x="582"/>
        <item x="570"/>
        <item x="778"/>
        <item x="411"/>
        <item x="296"/>
        <item x="218"/>
        <item x="804"/>
        <item x="548"/>
        <item x="433"/>
        <item x="519"/>
        <item x="287"/>
        <item x="524"/>
        <item x="86"/>
        <item x="316"/>
        <item x="365"/>
        <item x="237"/>
        <item x="556"/>
        <item x="5"/>
        <item x="373"/>
        <item x="368"/>
        <item x="711"/>
        <item x="697"/>
        <item x="144"/>
        <item x="17"/>
        <item x="197"/>
        <item x="216"/>
        <item x="558"/>
        <item x="687"/>
        <item x="148"/>
        <item x="684"/>
        <item x="73"/>
        <item x="786"/>
        <item x="162"/>
        <item x="190"/>
        <item x="480"/>
        <item x="721"/>
        <item x="371"/>
        <item x="315"/>
        <item x="896"/>
        <item x="601"/>
        <item x="335"/>
        <item x="357"/>
        <item x="393"/>
        <item x="382"/>
        <item x="392"/>
        <item x="49"/>
        <item x="605"/>
        <item x="273"/>
        <item x="178"/>
        <item x="621"/>
        <item x="696"/>
        <item x="386"/>
        <item x="434"/>
        <item x="424"/>
        <item x="757"/>
        <item x="637"/>
        <item x="752"/>
        <item x="924"/>
        <item x="596"/>
        <item x="891"/>
        <item x="27"/>
        <item x="329"/>
        <item x="290"/>
        <item x="359"/>
        <item x="182"/>
        <item x="656"/>
        <item x="85"/>
        <item x="620"/>
        <item x="306"/>
        <item x="63"/>
        <item x="737"/>
        <item x="6"/>
        <item x="801"/>
        <item x="678"/>
        <item x="161"/>
        <item x="399"/>
        <item x="139"/>
        <item x="657"/>
        <item x="727"/>
        <item x="883"/>
        <item x="940"/>
        <item x="494"/>
        <item x="108"/>
        <item x="600"/>
        <item x="926"/>
        <item x="422"/>
        <item x="703"/>
        <item x="695"/>
        <item x="611"/>
        <item x="96"/>
        <item x="322"/>
        <item x="516"/>
        <item x="763"/>
        <item x="196"/>
        <item x="754"/>
        <item x="266"/>
        <item x="764"/>
        <item x="258"/>
        <item x="98"/>
        <item x="416"/>
        <item x="384"/>
        <item x="154"/>
        <item x="817"/>
        <item x="320"/>
        <item x="112"/>
        <item x="79"/>
        <item x="271"/>
        <item x="807"/>
        <item x="31"/>
        <item x="270"/>
        <item x="327"/>
        <item x="168"/>
        <item x="522"/>
        <item x="911"/>
        <item x="847"/>
        <item x="848"/>
        <item x="318"/>
        <item x="274"/>
        <item x="745"/>
        <item x="81"/>
        <item x="854"/>
        <item x="83"/>
        <item x="105"/>
        <item x="437"/>
        <item x="846"/>
        <item x="567"/>
        <item x="709"/>
        <item x="917"/>
        <item x="97"/>
        <item x="908"/>
        <item x="725"/>
        <item x="294"/>
        <item x="24"/>
        <item x="693"/>
        <item x="203"/>
        <item x="667"/>
        <item x="90"/>
        <item x="858"/>
        <item x="885"/>
        <item x="575"/>
        <item x="886"/>
        <item x="150"/>
        <item x="884"/>
        <item x="789"/>
        <item x="3"/>
        <item x="698"/>
        <item x="214"/>
        <item x="799"/>
        <item x="429"/>
        <item x="415"/>
        <item x="638"/>
        <item x="326"/>
        <item x="412"/>
        <item x="909"/>
        <item x="768"/>
        <item x="720"/>
        <item x="102"/>
        <item x="527"/>
        <item x="563"/>
        <item x="736"/>
        <item x="648"/>
        <item x="497"/>
        <item x="264"/>
        <item x="539"/>
        <item x="681"/>
        <item x="723"/>
        <item x="430"/>
        <item x="55"/>
        <item x="506"/>
        <item x="794"/>
        <item x="707"/>
        <item x="10"/>
        <item x="590"/>
        <item x="682"/>
        <item x="758"/>
        <item x="157"/>
        <item x="13"/>
        <item x="40"/>
        <item x="397"/>
        <item x="32"/>
        <item x="179"/>
        <item x="849"/>
        <item x="584"/>
        <item x="332"/>
        <item x="34"/>
        <item x="2"/>
        <item x="659"/>
        <item x="54"/>
        <item x="111"/>
        <item x="521"/>
        <item x="753"/>
        <item x="467"/>
        <item x="765"/>
        <item x="284"/>
        <item x="701"/>
        <item x="803"/>
        <item x="569"/>
        <item x="184"/>
        <item x="338"/>
        <item x="126"/>
        <item x="787"/>
        <item x="188"/>
        <item x="212"/>
        <item x="679"/>
        <item x="692"/>
        <item x="945"/>
        <item x="82"/>
        <item x="747"/>
        <item x="542"/>
        <item x="498"/>
        <item x="688"/>
        <item x="871"/>
        <item x="668"/>
        <item x="887"/>
        <item x="897"/>
        <item x="603"/>
        <item x="283"/>
        <item x="836"/>
        <item x="762"/>
        <item x="313"/>
        <item x="470"/>
        <item x="683"/>
        <item x="249"/>
        <item x="12"/>
        <item x="658"/>
        <item x="541"/>
        <item x="120"/>
        <item x="708"/>
        <item x="53"/>
        <item x="142"/>
        <item x="568"/>
        <item x="407"/>
        <item x="174"/>
        <item x="268"/>
        <item x="531"/>
        <item x="406"/>
        <item x="741"/>
        <item x="195"/>
        <item x="636"/>
        <item x="50"/>
        <item x="949"/>
        <item x="210"/>
        <item x="922"/>
        <item x="561"/>
        <item x="78"/>
        <item x="842"/>
        <item x="280"/>
        <item x="146"/>
        <item x="177"/>
        <item x="272"/>
        <item x="299"/>
        <item x="390"/>
        <item x="187"/>
        <item x="859"/>
        <item x="535"/>
        <item x="191"/>
        <item x="208"/>
        <item x="716"/>
        <item x="880"/>
        <item x="509"/>
        <item x="51"/>
        <item x="490"/>
        <item x="220"/>
        <item x="906"/>
        <item x="773"/>
        <item x="431"/>
        <item x="225"/>
        <item x="164"/>
        <item x="180"/>
        <item x="95"/>
        <item x="378"/>
        <item x="873"/>
        <item x="269"/>
        <item x="734"/>
        <item x="169"/>
        <item x="395"/>
        <item x="8"/>
        <item x="260"/>
        <item x="35"/>
        <item x="354"/>
        <item x="219"/>
        <item x="253"/>
        <item x="234"/>
        <item x="876"/>
        <item x="476"/>
        <item x="394"/>
        <item x="715"/>
        <item x="929"/>
        <item x="36"/>
        <item x="71"/>
        <item x="132"/>
        <item x="451"/>
        <item x="788"/>
        <item x="952"/>
        <item x="243"/>
        <item x="107"/>
        <item x="334"/>
        <item x="839"/>
        <item x="492"/>
        <item x="478"/>
        <item x="914"/>
        <item x="867"/>
        <item x="209"/>
        <item x="173"/>
        <item x="245"/>
        <item x="383"/>
        <item x="473"/>
        <item x="238"/>
        <item x="529"/>
        <item x="755"/>
        <item x="813"/>
        <item x="405"/>
        <item x="347"/>
        <item x="533"/>
        <item x="93"/>
        <item x="860"/>
        <item x="796"/>
        <item x="500"/>
        <item x="250"/>
        <item x="560"/>
        <item x="337"/>
        <item x="276"/>
        <item x="331"/>
        <item x="538"/>
        <item x="534"/>
        <item x="573"/>
        <item x="489"/>
        <item x="595"/>
        <item x="612"/>
        <item x="438"/>
        <item x="928"/>
        <item x="559"/>
        <item x="440"/>
        <item x="33"/>
        <item x="694"/>
        <item x="379"/>
        <item x="712"/>
        <item x="609"/>
        <item x="779"/>
        <item x="207"/>
        <item x="587"/>
        <item x="458"/>
        <item x="366"/>
        <item x="661"/>
        <item x="677"/>
        <item x="166"/>
        <item x="341"/>
        <item x="466"/>
        <item x="358"/>
        <item x="806"/>
        <item x="484"/>
        <item x="240"/>
        <item x="301"/>
        <item x="775"/>
        <item x="439"/>
        <item x="944"/>
        <item x="800"/>
        <item x="713"/>
        <item x="41"/>
        <item x="491"/>
        <item x="221"/>
        <item x="189"/>
        <item x="851"/>
        <item x="446"/>
        <item x="23"/>
        <item x="861"/>
        <item x="833"/>
        <item x="629"/>
        <item x="206"/>
        <item x="540"/>
        <item x="810"/>
        <item x="888"/>
        <item x="552"/>
        <item x="702"/>
        <item x="565"/>
        <item x="352"/>
        <item x="910"/>
        <item x="628"/>
        <item x="15"/>
        <item x="599"/>
        <item x="236"/>
        <item x="175"/>
        <item x="134"/>
        <item x="228"/>
        <item x="364"/>
        <item x="103"/>
        <item x="826"/>
        <item x="898"/>
        <item x="259"/>
        <item x="706"/>
        <item x="129"/>
        <item x="304"/>
        <item x="935"/>
        <item x="226"/>
        <item x="714"/>
        <item x="947"/>
        <item x="402"/>
        <item x="513"/>
        <item x="215"/>
        <item x="349"/>
        <item x="722"/>
        <item x="170"/>
        <item x="213"/>
        <item x="635"/>
        <item x="167"/>
        <item x="571"/>
        <item x="262"/>
        <item x="275"/>
        <item x="295"/>
        <item x="74"/>
        <item x="385"/>
        <item x="606"/>
        <item x="915"/>
        <item x="88"/>
        <item x="172"/>
        <item x="186"/>
        <item x="309"/>
        <item x="583"/>
        <item x="323"/>
        <item x="510"/>
        <item x="109"/>
        <item x="418"/>
        <item x="705"/>
        <item x="65"/>
        <item x="948"/>
        <item x="939"/>
        <item x="211"/>
        <item x="21"/>
        <item x="455"/>
        <item x="514"/>
        <item x="666"/>
        <item x="20"/>
        <item x="937"/>
        <item x="124"/>
        <item x="121"/>
        <item x="627"/>
        <item x="889"/>
        <item x="123"/>
        <item x="114"/>
        <item x="654"/>
        <item x="821"/>
        <item x="286"/>
        <item x="564"/>
        <item x="913"/>
        <item x="136"/>
        <item x="48"/>
        <item x="130"/>
        <item x="324"/>
        <item x="84"/>
        <item x="11"/>
        <item x="252"/>
        <item x="691"/>
        <item x="557"/>
        <item x="472"/>
        <item x="377"/>
        <item x="464"/>
        <item x="149"/>
        <item x="194"/>
        <item x="781"/>
        <item x="957"/>
        <item x="857"/>
        <item x="746"/>
        <item x="135"/>
        <item x="459"/>
        <item x="543"/>
        <item x="229"/>
        <item x="342"/>
        <item x="574"/>
        <item x="256"/>
        <item x="30"/>
        <item x="308"/>
        <item x="67"/>
        <item x="551"/>
        <item x="676"/>
        <item x="547"/>
        <item x="798"/>
        <item x="562"/>
        <item x="138"/>
        <item x="398"/>
        <item x="389"/>
        <item x="546"/>
        <item x="617"/>
        <item x="401"/>
        <item x="841"/>
        <item x="351"/>
        <item x="955"/>
        <item x="496"/>
        <item x="882"/>
        <item x="616"/>
        <item x="47"/>
        <item x="878"/>
        <item x="151"/>
        <item x="155"/>
        <item x="4"/>
        <item t="default"/>
      </items>
    </pivotField>
    <pivotField showAll="0"/>
    <pivotField showAll="0"/>
    <pivotField showAll="0"/>
    <pivotField showAll="0"/>
    <pivotField showAll="0"/>
    <pivotField showAll="0"/>
    <pivotField showAll="0"/>
    <pivotField showAll="0"/>
    <pivotField showAll="0"/>
    <pivotField axis="axisCol" showAll="0">
      <items count="7">
        <item x="0"/>
        <item x="2"/>
        <item x="5"/>
        <item x="4"/>
        <item x="1"/>
        <item x="3"/>
        <item t="default"/>
      </items>
    </pivotField>
    <pivotField showAll="0"/>
    <pivotField showAll="0"/>
    <pivotField showAll="0"/>
  </pivotFields>
  <rowFields count="1">
    <field x="17"/>
  </rowFields>
  <rowItems count="960">
    <i>
      <x/>
    </i>
    <i>
      <x v="1"/>
    </i>
    <i>
      <x v="2"/>
    </i>
    <i>
      <x v="3"/>
    </i>
    <i>
      <x v="4"/>
    </i>
    <i>
      <x v="5"/>
    </i>
    <i>
      <x v="6"/>
    </i>
    <i>
      <x v="7"/>
    </i>
    <i>
      <x v="8"/>
    </i>
    <i>
      <x v="9"/>
    </i>
    <i>
      <x v="10"/>
    </i>
    <i>
      <x v="11"/>
    </i>
    <i>
      <x v="12"/>
    </i>
    <i>
      <x v="13"/>
    </i>
    <i>
      <x v="14"/>
    </i>
    <i>
      <x v="15"/>
    </i>
    <i>
      <x v="16"/>
    </i>
    <i>
      <x v="17"/>
    </i>
    <i>
      <x v="18"/>
    </i>
    <i>
      <x v="19"/>
    </i>
    <i>
      <x v="20"/>
    </i>
    <i>
      <x v="21"/>
    </i>
    <i>
      <x v="22"/>
    </i>
    <i>
      <x v="23"/>
    </i>
    <i>
      <x v="24"/>
    </i>
    <i>
      <x v="25"/>
    </i>
    <i>
      <x v="26"/>
    </i>
    <i>
      <x v="27"/>
    </i>
    <i>
      <x v="28"/>
    </i>
    <i>
      <x v="29"/>
    </i>
    <i>
      <x v="30"/>
    </i>
    <i>
      <x v="31"/>
    </i>
    <i>
      <x v="32"/>
    </i>
    <i>
      <x v="33"/>
    </i>
    <i>
      <x v="34"/>
    </i>
    <i>
      <x v="35"/>
    </i>
    <i>
      <x v="36"/>
    </i>
    <i>
      <x v="37"/>
    </i>
    <i>
      <x v="38"/>
    </i>
    <i>
      <x v="39"/>
    </i>
    <i>
      <x v="40"/>
    </i>
    <i>
      <x v="41"/>
    </i>
    <i>
      <x v="42"/>
    </i>
    <i>
      <x v="43"/>
    </i>
    <i>
      <x v="44"/>
    </i>
    <i>
      <x v="45"/>
    </i>
    <i>
      <x v="46"/>
    </i>
    <i>
      <x v="47"/>
    </i>
    <i>
      <x v="48"/>
    </i>
    <i>
      <x v="49"/>
    </i>
    <i>
      <x v="50"/>
    </i>
    <i>
      <x v="51"/>
    </i>
    <i>
      <x v="52"/>
    </i>
    <i>
      <x v="53"/>
    </i>
    <i>
      <x v="54"/>
    </i>
    <i>
      <x v="55"/>
    </i>
    <i>
      <x v="56"/>
    </i>
    <i>
      <x v="57"/>
    </i>
    <i>
      <x v="58"/>
    </i>
    <i>
      <x v="59"/>
    </i>
    <i>
      <x v="60"/>
    </i>
    <i>
      <x v="61"/>
    </i>
    <i>
      <x v="62"/>
    </i>
    <i>
      <x v="63"/>
    </i>
    <i>
      <x v="64"/>
    </i>
    <i>
      <x v="65"/>
    </i>
    <i>
      <x v="66"/>
    </i>
    <i>
      <x v="67"/>
    </i>
    <i>
      <x v="68"/>
    </i>
    <i>
      <x v="69"/>
    </i>
    <i>
      <x v="70"/>
    </i>
    <i>
      <x v="71"/>
    </i>
    <i>
      <x v="72"/>
    </i>
    <i>
      <x v="73"/>
    </i>
    <i>
      <x v="74"/>
    </i>
    <i>
      <x v="75"/>
    </i>
    <i>
      <x v="76"/>
    </i>
    <i>
      <x v="77"/>
    </i>
    <i>
      <x v="78"/>
    </i>
    <i>
      <x v="79"/>
    </i>
    <i>
      <x v="80"/>
    </i>
    <i>
      <x v="81"/>
    </i>
    <i>
      <x v="82"/>
    </i>
    <i>
      <x v="83"/>
    </i>
    <i>
      <x v="84"/>
    </i>
    <i>
      <x v="85"/>
    </i>
    <i>
      <x v="86"/>
    </i>
    <i>
      <x v="87"/>
    </i>
    <i>
      <x v="88"/>
    </i>
    <i>
      <x v="89"/>
    </i>
    <i>
      <x v="90"/>
    </i>
    <i>
      <x v="91"/>
    </i>
    <i>
      <x v="92"/>
    </i>
    <i>
      <x v="93"/>
    </i>
    <i>
      <x v="94"/>
    </i>
    <i>
      <x v="95"/>
    </i>
    <i>
      <x v="96"/>
    </i>
    <i>
      <x v="97"/>
    </i>
    <i>
      <x v="98"/>
    </i>
    <i>
      <x v="99"/>
    </i>
    <i>
      <x v="100"/>
    </i>
    <i>
      <x v="101"/>
    </i>
    <i>
      <x v="102"/>
    </i>
    <i>
      <x v="103"/>
    </i>
    <i>
      <x v="104"/>
    </i>
    <i>
      <x v="105"/>
    </i>
    <i>
      <x v="106"/>
    </i>
    <i>
      <x v="107"/>
    </i>
    <i>
      <x v="108"/>
    </i>
    <i>
      <x v="109"/>
    </i>
    <i>
      <x v="110"/>
    </i>
    <i>
      <x v="111"/>
    </i>
    <i>
      <x v="112"/>
    </i>
    <i>
      <x v="113"/>
    </i>
    <i>
      <x v="114"/>
    </i>
    <i>
      <x v="115"/>
    </i>
    <i>
      <x v="116"/>
    </i>
    <i>
      <x v="117"/>
    </i>
    <i>
      <x v="118"/>
    </i>
    <i>
      <x v="119"/>
    </i>
    <i>
      <x v="120"/>
    </i>
    <i>
      <x v="121"/>
    </i>
    <i>
      <x v="122"/>
    </i>
    <i>
      <x v="123"/>
    </i>
    <i>
      <x v="124"/>
    </i>
    <i>
      <x v="125"/>
    </i>
    <i>
      <x v="126"/>
    </i>
    <i>
      <x v="127"/>
    </i>
    <i>
      <x v="128"/>
    </i>
    <i>
      <x v="129"/>
    </i>
    <i>
      <x v="130"/>
    </i>
    <i>
      <x v="131"/>
    </i>
    <i>
      <x v="132"/>
    </i>
    <i>
      <x v="133"/>
    </i>
    <i>
      <x v="134"/>
    </i>
    <i>
      <x v="135"/>
    </i>
    <i>
      <x v="136"/>
    </i>
    <i>
      <x v="137"/>
    </i>
    <i>
      <x v="138"/>
    </i>
    <i>
      <x v="139"/>
    </i>
    <i>
      <x v="140"/>
    </i>
    <i>
      <x v="141"/>
    </i>
    <i>
      <x v="142"/>
    </i>
    <i>
      <x v="143"/>
    </i>
    <i>
      <x v="144"/>
    </i>
    <i>
      <x v="145"/>
    </i>
    <i>
      <x v="146"/>
    </i>
    <i>
      <x v="147"/>
    </i>
    <i>
      <x v="148"/>
    </i>
    <i>
      <x v="149"/>
    </i>
    <i>
      <x v="150"/>
    </i>
    <i>
      <x v="151"/>
    </i>
    <i>
      <x v="152"/>
    </i>
    <i>
      <x v="153"/>
    </i>
    <i>
      <x v="154"/>
    </i>
    <i>
      <x v="155"/>
    </i>
    <i>
      <x v="156"/>
    </i>
    <i>
      <x v="157"/>
    </i>
    <i>
      <x v="158"/>
    </i>
    <i>
      <x v="159"/>
    </i>
    <i>
      <x v="160"/>
    </i>
    <i>
      <x v="161"/>
    </i>
    <i>
      <x v="162"/>
    </i>
    <i>
      <x v="163"/>
    </i>
    <i>
      <x v="164"/>
    </i>
    <i>
      <x v="165"/>
    </i>
    <i>
      <x v="166"/>
    </i>
    <i>
      <x v="167"/>
    </i>
    <i>
      <x v="168"/>
    </i>
    <i>
      <x v="169"/>
    </i>
    <i>
      <x v="170"/>
    </i>
    <i>
      <x v="171"/>
    </i>
    <i>
      <x v="172"/>
    </i>
    <i>
      <x v="173"/>
    </i>
    <i>
      <x v="174"/>
    </i>
    <i>
      <x v="175"/>
    </i>
    <i>
      <x v="176"/>
    </i>
    <i>
      <x v="177"/>
    </i>
    <i>
      <x v="178"/>
    </i>
    <i>
      <x v="179"/>
    </i>
    <i>
      <x v="180"/>
    </i>
    <i>
      <x v="181"/>
    </i>
    <i>
      <x v="182"/>
    </i>
    <i>
      <x v="183"/>
    </i>
    <i>
      <x v="184"/>
    </i>
    <i>
      <x v="185"/>
    </i>
    <i>
      <x v="186"/>
    </i>
    <i>
      <x v="187"/>
    </i>
    <i>
      <x v="188"/>
    </i>
    <i>
      <x v="189"/>
    </i>
    <i>
      <x v="190"/>
    </i>
    <i>
      <x v="191"/>
    </i>
    <i>
      <x v="192"/>
    </i>
    <i>
      <x v="193"/>
    </i>
    <i>
      <x v="194"/>
    </i>
    <i>
      <x v="195"/>
    </i>
    <i>
      <x v="196"/>
    </i>
    <i>
      <x v="197"/>
    </i>
    <i>
      <x v="198"/>
    </i>
    <i>
      <x v="199"/>
    </i>
    <i>
      <x v="200"/>
    </i>
    <i>
      <x v="201"/>
    </i>
    <i>
      <x v="202"/>
    </i>
    <i>
      <x v="203"/>
    </i>
    <i>
      <x v="204"/>
    </i>
    <i>
      <x v="205"/>
    </i>
    <i>
      <x v="206"/>
    </i>
    <i>
      <x v="207"/>
    </i>
    <i>
      <x v="208"/>
    </i>
    <i>
      <x v="209"/>
    </i>
    <i>
      <x v="210"/>
    </i>
    <i>
      <x v="211"/>
    </i>
    <i>
      <x v="212"/>
    </i>
    <i>
      <x v="213"/>
    </i>
    <i>
      <x v="214"/>
    </i>
    <i>
      <x v="215"/>
    </i>
    <i>
      <x v="216"/>
    </i>
    <i>
      <x v="217"/>
    </i>
    <i>
      <x v="218"/>
    </i>
    <i>
      <x v="219"/>
    </i>
    <i>
      <x v="220"/>
    </i>
    <i>
      <x v="221"/>
    </i>
    <i>
      <x v="222"/>
    </i>
    <i>
      <x v="223"/>
    </i>
    <i>
      <x v="224"/>
    </i>
    <i>
      <x v="225"/>
    </i>
    <i>
      <x v="226"/>
    </i>
    <i>
      <x v="227"/>
    </i>
    <i>
      <x v="228"/>
    </i>
    <i>
      <x v="229"/>
    </i>
    <i>
      <x v="230"/>
    </i>
    <i>
      <x v="231"/>
    </i>
    <i>
      <x v="232"/>
    </i>
    <i>
      <x v="233"/>
    </i>
    <i>
      <x v="234"/>
    </i>
    <i>
      <x v="235"/>
    </i>
    <i>
      <x v="236"/>
    </i>
    <i>
      <x v="237"/>
    </i>
    <i>
      <x v="238"/>
    </i>
    <i>
      <x v="239"/>
    </i>
    <i>
      <x v="240"/>
    </i>
    <i>
      <x v="241"/>
    </i>
    <i>
      <x v="242"/>
    </i>
    <i>
      <x v="243"/>
    </i>
    <i>
      <x v="244"/>
    </i>
    <i>
      <x v="245"/>
    </i>
    <i>
      <x v="246"/>
    </i>
    <i>
      <x v="247"/>
    </i>
    <i>
      <x v="248"/>
    </i>
    <i>
      <x v="249"/>
    </i>
    <i>
      <x v="250"/>
    </i>
    <i>
      <x v="251"/>
    </i>
    <i>
      <x v="252"/>
    </i>
    <i>
      <x v="253"/>
    </i>
    <i>
      <x v="254"/>
    </i>
    <i>
      <x v="255"/>
    </i>
    <i>
      <x v="256"/>
    </i>
    <i>
      <x v="257"/>
    </i>
    <i>
      <x v="258"/>
    </i>
    <i>
      <x v="259"/>
    </i>
    <i>
      <x v="260"/>
    </i>
    <i>
      <x v="261"/>
    </i>
    <i>
      <x v="262"/>
    </i>
    <i>
      <x v="263"/>
    </i>
    <i>
      <x v="264"/>
    </i>
    <i>
      <x v="265"/>
    </i>
    <i>
      <x v="266"/>
    </i>
    <i>
      <x v="267"/>
    </i>
    <i>
      <x v="268"/>
    </i>
    <i>
      <x v="269"/>
    </i>
    <i>
      <x v="270"/>
    </i>
    <i>
      <x v="271"/>
    </i>
    <i>
      <x v="272"/>
    </i>
    <i>
      <x v="273"/>
    </i>
    <i>
      <x v="274"/>
    </i>
    <i>
      <x v="275"/>
    </i>
    <i>
      <x v="276"/>
    </i>
    <i>
      <x v="277"/>
    </i>
    <i>
      <x v="278"/>
    </i>
    <i>
      <x v="279"/>
    </i>
    <i>
      <x v="280"/>
    </i>
    <i>
      <x v="281"/>
    </i>
    <i>
      <x v="282"/>
    </i>
    <i>
      <x v="283"/>
    </i>
    <i>
      <x v="284"/>
    </i>
    <i>
      <x v="285"/>
    </i>
    <i>
      <x v="286"/>
    </i>
    <i>
      <x v="287"/>
    </i>
    <i>
      <x v="288"/>
    </i>
    <i>
      <x v="289"/>
    </i>
    <i>
      <x v="290"/>
    </i>
    <i>
      <x v="291"/>
    </i>
    <i>
      <x v="292"/>
    </i>
    <i>
      <x v="293"/>
    </i>
    <i>
      <x v="294"/>
    </i>
    <i>
      <x v="295"/>
    </i>
    <i>
      <x v="296"/>
    </i>
    <i>
      <x v="297"/>
    </i>
    <i>
      <x v="298"/>
    </i>
    <i>
      <x v="299"/>
    </i>
    <i>
      <x v="300"/>
    </i>
    <i>
      <x v="301"/>
    </i>
    <i>
      <x v="302"/>
    </i>
    <i>
      <x v="303"/>
    </i>
    <i>
      <x v="304"/>
    </i>
    <i>
      <x v="305"/>
    </i>
    <i>
      <x v="306"/>
    </i>
    <i>
      <x v="307"/>
    </i>
    <i>
      <x v="308"/>
    </i>
    <i>
      <x v="309"/>
    </i>
    <i>
      <x v="310"/>
    </i>
    <i>
      <x v="311"/>
    </i>
    <i>
      <x v="312"/>
    </i>
    <i>
      <x v="313"/>
    </i>
    <i>
      <x v="314"/>
    </i>
    <i>
      <x v="315"/>
    </i>
    <i>
      <x v="316"/>
    </i>
    <i>
      <x v="317"/>
    </i>
    <i>
      <x v="318"/>
    </i>
    <i>
      <x v="319"/>
    </i>
    <i>
      <x v="320"/>
    </i>
    <i>
      <x v="321"/>
    </i>
    <i>
      <x v="322"/>
    </i>
    <i>
      <x v="323"/>
    </i>
    <i>
      <x v="324"/>
    </i>
    <i>
      <x v="325"/>
    </i>
    <i>
      <x v="326"/>
    </i>
    <i>
      <x v="327"/>
    </i>
    <i>
      <x v="328"/>
    </i>
    <i>
      <x v="329"/>
    </i>
    <i>
      <x v="330"/>
    </i>
    <i>
      <x v="331"/>
    </i>
    <i>
      <x v="332"/>
    </i>
    <i>
      <x v="333"/>
    </i>
    <i>
      <x v="334"/>
    </i>
    <i>
      <x v="335"/>
    </i>
    <i>
      <x v="336"/>
    </i>
    <i>
      <x v="337"/>
    </i>
    <i>
      <x v="338"/>
    </i>
    <i>
      <x v="339"/>
    </i>
    <i>
      <x v="340"/>
    </i>
    <i>
      <x v="341"/>
    </i>
    <i>
      <x v="342"/>
    </i>
    <i>
      <x v="343"/>
    </i>
    <i>
      <x v="344"/>
    </i>
    <i>
      <x v="345"/>
    </i>
    <i>
      <x v="346"/>
    </i>
    <i>
      <x v="347"/>
    </i>
    <i>
      <x v="348"/>
    </i>
    <i>
      <x v="349"/>
    </i>
    <i>
      <x v="350"/>
    </i>
    <i>
      <x v="351"/>
    </i>
    <i>
      <x v="352"/>
    </i>
    <i>
      <x v="353"/>
    </i>
    <i>
      <x v="354"/>
    </i>
    <i>
      <x v="355"/>
    </i>
    <i>
      <x v="356"/>
    </i>
    <i>
      <x v="357"/>
    </i>
    <i>
      <x v="358"/>
    </i>
    <i>
      <x v="359"/>
    </i>
    <i>
      <x v="360"/>
    </i>
    <i>
      <x v="361"/>
    </i>
    <i>
      <x v="362"/>
    </i>
    <i>
      <x v="363"/>
    </i>
    <i>
      <x v="364"/>
    </i>
    <i>
      <x v="365"/>
    </i>
    <i>
      <x v="366"/>
    </i>
    <i>
      <x v="367"/>
    </i>
    <i>
      <x v="368"/>
    </i>
    <i>
      <x v="369"/>
    </i>
    <i>
      <x v="370"/>
    </i>
    <i>
      <x v="371"/>
    </i>
    <i>
      <x v="372"/>
    </i>
    <i>
      <x v="373"/>
    </i>
    <i>
      <x v="374"/>
    </i>
    <i>
      <x v="375"/>
    </i>
    <i>
      <x v="376"/>
    </i>
    <i>
      <x v="377"/>
    </i>
    <i>
      <x v="378"/>
    </i>
    <i>
      <x v="379"/>
    </i>
    <i>
      <x v="380"/>
    </i>
    <i>
      <x v="381"/>
    </i>
    <i>
      <x v="382"/>
    </i>
    <i>
      <x v="383"/>
    </i>
    <i>
      <x v="384"/>
    </i>
    <i>
      <x v="385"/>
    </i>
    <i>
      <x v="386"/>
    </i>
    <i>
      <x v="387"/>
    </i>
    <i>
      <x v="388"/>
    </i>
    <i>
      <x v="389"/>
    </i>
    <i>
      <x v="390"/>
    </i>
    <i>
      <x v="391"/>
    </i>
    <i>
      <x v="392"/>
    </i>
    <i>
      <x v="393"/>
    </i>
    <i>
      <x v="394"/>
    </i>
    <i>
      <x v="395"/>
    </i>
    <i>
      <x v="396"/>
    </i>
    <i>
      <x v="397"/>
    </i>
    <i>
      <x v="398"/>
    </i>
    <i>
      <x v="399"/>
    </i>
    <i>
      <x v="400"/>
    </i>
    <i>
      <x v="401"/>
    </i>
    <i>
      <x v="402"/>
    </i>
    <i>
      <x v="403"/>
    </i>
    <i>
      <x v="404"/>
    </i>
    <i>
      <x v="405"/>
    </i>
    <i>
      <x v="406"/>
    </i>
    <i>
      <x v="407"/>
    </i>
    <i>
      <x v="408"/>
    </i>
    <i>
      <x v="409"/>
    </i>
    <i>
      <x v="410"/>
    </i>
    <i>
      <x v="411"/>
    </i>
    <i>
      <x v="412"/>
    </i>
    <i>
      <x v="413"/>
    </i>
    <i>
      <x v="414"/>
    </i>
    <i>
      <x v="415"/>
    </i>
    <i>
      <x v="416"/>
    </i>
    <i>
      <x v="417"/>
    </i>
    <i>
      <x v="418"/>
    </i>
    <i>
      <x v="419"/>
    </i>
    <i>
      <x v="420"/>
    </i>
    <i>
      <x v="421"/>
    </i>
    <i>
      <x v="422"/>
    </i>
    <i>
      <x v="423"/>
    </i>
    <i>
      <x v="424"/>
    </i>
    <i>
      <x v="425"/>
    </i>
    <i>
      <x v="426"/>
    </i>
    <i>
      <x v="427"/>
    </i>
    <i>
      <x v="428"/>
    </i>
    <i>
      <x v="429"/>
    </i>
    <i>
      <x v="430"/>
    </i>
    <i>
      <x v="431"/>
    </i>
    <i>
      <x v="432"/>
    </i>
    <i>
      <x v="433"/>
    </i>
    <i>
      <x v="434"/>
    </i>
    <i>
      <x v="435"/>
    </i>
    <i>
      <x v="436"/>
    </i>
    <i>
      <x v="437"/>
    </i>
    <i>
      <x v="438"/>
    </i>
    <i>
      <x v="439"/>
    </i>
    <i>
      <x v="440"/>
    </i>
    <i>
      <x v="441"/>
    </i>
    <i>
      <x v="442"/>
    </i>
    <i>
      <x v="443"/>
    </i>
    <i>
      <x v="444"/>
    </i>
    <i>
      <x v="445"/>
    </i>
    <i>
      <x v="446"/>
    </i>
    <i>
      <x v="447"/>
    </i>
    <i>
      <x v="448"/>
    </i>
    <i>
      <x v="449"/>
    </i>
    <i>
      <x v="450"/>
    </i>
    <i>
      <x v="451"/>
    </i>
    <i>
      <x v="452"/>
    </i>
    <i>
      <x v="453"/>
    </i>
    <i>
      <x v="454"/>
    </i>
    <i>
      <x v="455"/>
    </i>
    <i>
      <x v="456"/>
    </i>
    <i>
      <x v="457"/>
    </i>
    <i>
      <x v="458"/>
    </i>
    <i>
      <x v="459"/>
    </i>
    <i>
      <x v="460"/>
    </i>
    <i>
      <x v="461"/>
    </i>
    <i>
      <x v="462"/>
    </i>
    <i>
      <x v="463"/>
    </i>
    <i>
      <x v="464"/>
    </i>
    <i>
      <x v="465"/>
    </i>
    <i>
      <x v="466"/>
    </i>
    <i>
      <x v="467"/>
    </i>
    <i>
      <x v="468"/>
    </i>
    <i>
      <x v="469"/>
    </i>
    <i>
      <x v="470"/>
    </i>
    <i>
      <x v="471"/>
    </i>
    <i>
      <x v="472"/>
    </i>
    <i>
      <x v="473"/>
    </i>
    <i>
      <x v="474"/>
    </i>
    <i>
      <x v="475"/>
    </i>
    <i>
      <x v="476"/>
    </i>
    <i>
      <x v="477"/>
    </i>
    <i>
      <x v="478"/>
    </i>
    <i>
      <x v="479"/>
    </i>
    <i>
      <x v="480"/>
    </i>
    <i>
      <x v="481"/>
    </i>
    <i>
      <x v="482"/>
    </i>
    <i>
      <x v="483"/>
    </i>
    <i>
      <x v="484"/>
    </i>
    <i>
      <x v="485"/>
    </i>
    <i>
      <x v="486"/>
    </i>
    <i>
      <x v="487"/>
    </i>
    <i>
      <x v="488"/>
    </i>
    <i>
      <x v="489"/>
    </i>
    <i>
      <x v="490"/>
    </i>
    <i>
      <x v="491"/>
    </i>
    <i>
      <x v="492"/>
    </i>
    <i>
      <x v="493"/>
    </i>
    <i>
      <x v="494"/>
    </i>
    <i>
      <x v="495"/>
    </i>
    <i>
      <x v="496"/>
    </i>
    <i>
      <x v="497"/>
    </i>
    <i>
      <x v="498"/>
    </i>
    <i>
      <x v="499"/>
    </i>
    <i>
      <x v="500"/>
    </i>
    <i>
      <x v="501"/>
    </i>
    <i>
      <x v="502"/>
    </i>
    <i>
      <x v="503"/>
    </i>
    <i>
      <x v="504"/>
    </i>
    <i>
      <x v="505"/>
    </i>
    <i>
      <x v="506"/>
    </i>
    <i>
      <x v="507"/>
    </i>
    <i>
      <x v="508"/>
    </i>
    <i>
      <x v="509"/>
    </i>
    <i>
      <x v="510"/>
    </i>
    <i>
      <x v="511"/>
    </i>
    <i>
      <x v="512"/>
    </i>
    <i>
      <x v="513"/>
    </i>
    <i>
      <x v="514"/>
    </i>
    <i>
      <x v="515"/>
    </i>
    <i>
      <x v="516"/>
    </i>
    <i>
      <x v="517"/>
    </i>
    <i>
      <x v="518"/>
    </i>
    <i>
      <x v="519"/>
    </i>
    <i>
      <x v="520"/>
    </i>
    <i>
      <x v="521"/>
    </i>
    <i>
      <x v="522"/>
    </i>
    <i>
      <x v="523"/>
    </i>
    <i>
      <x v="524"/>
    </i>
    <i>
      <x v="525"/>
    </i>
    <i>
      <x v="526"/>
    </i>
    <i>
      <x v="527"/>
    </i>
    <i>
      <x v="528"/>
    </i>
    <i>
      <x v="529"/>
    </i>
    <i>
      <x v="530"/>
    </i>
    <i>
      <x v="531"/>
    </i>
    <i>
      <x v="532"/>
    </i>
    <i>
      <x v="533"/>
    </i>
    <i>
      <x v="534"/>
    </i>
    <i>
      <x v="535"/>
    </i>
    <i>
      <x v="536"/>
    </i>
    <i>
      <x v="537"/>
    </i>
    <i>
      <x v="538"/>
    </i>
    <i>
      <x v="539"/>
    </i>
    <i>
      <x v="540"/>
    </i>
    <i>
      <x v="541"/>
    </i>
    <i>
      <x v="542"/>
    </i>
    <i>
      <x v="543"/>
    </i>
    <i>
      <x v="544"/>
    </i>
    <i>
      <x v="545"/>
    </i>
    <i>
      <x v="546"/>
    </i>
    <i>
      <x v="547"/>
    </i>
    <i>
      <x v="548"/>
    </i>
    <i>
      <x v="549"/>
    </i>
    <i>
      <x v="550"/>
    </i>
    <i>
      <x v="551"/>
    </i>
    <i>
      <x v="552"/>
    </i>
    <i>
      <x v="553"/>
    </i>
    <i>
      <x v="554"/>
    </i>
    <i>
      <x v="555"/>
    </i>
    <i>
      <x v="556"/>
    </i>
    <i>
      <x v="557"/>
    </i>
    <i>
      <x v="558"/>
    </i>
    <i>
      <x v="559"/>
    </i>
    <i>
      <x v="560"/>
    </i>
    <i>
      <x v="561"/>
    </i>
    <i>
      <x v="562"/>
    </i>
    <i>
      <x v="563"/>
    </i>
    <i>
      <x v="564"/>
    </i>
    <i>
      <x v="565"/>
    </i>
    <i>
      <x v="566"/>
    </i>
    <i>
      <x v="567"/>
    </i>
    <i>
      <x v="568"/>
    </i>
    <i>
      <x v="569"/>
    </i>
    <i>
      <x v="570"/>
    </i>
    <i>
      <x v="571"/>
    </i>
    <i>
      <x v="572"/>
    </i>
    <i>
      <x v="573"/>
    </i>
    <i>
      <x v="574"/>
    </i>
    <i>
      <x v="575"/>
    </i>
    <i>
      <x v="576"/>
    </i>
    <i>
      <x v="577"/>
    </i>
    <i>
      <x v="578"/>
    </i>
    <i>
      <x v="579"/>
    </i>
    <i>
      <x v="580"/>
    </i>
    <i>
      <x v="581"/>
    </i>
    <i>
      <x v="582"/>
    </i>
    <i>
      <x v="583"/>
    </i>
    <i>
      <x v="584"/>
    </i>
    <i>
      <x v="585"/>
    </i>
    <i>
      <x v="586"/>
    </i>
    <i>
      <x v="587"/>
    </i>
    <i>
      <x v="588"/>
    </i>
    <i>
      <x v="589"/>
    </i>
    <i>
      <x v="590"/>
    </i>
    <i>
      <x v="591"/>
    </i>
    <i>
      <x v="592"/>
    </i>
    <i>
      <x v="593"/>
    </i>
    <i>
      <x v="594"/>
    </i>
    <i>
      <x v="595"/>
    </i>
    <i>
      <x v="596"/>
    </i>
    <i>
      <x v="597"/>
    </i>
    <i>
      <x v="598"/>
    </i>
    <i>
      <x v="599"/>
    </i>
    <i>
      <x v="600"/>
    </i>
    <i>
      <x v="601"/>
    </i>
    <i>
      <x v="602"/>
    </i>
    <i>
      <x v="603"/>
    </i>
    <i>
      <x v="604"/>
    </i>
    <i>
      <x v="605"/>
    </i>
    <i>
      <x v="606"/>
    </i>
    <i>
      <x v="607"/>
    </i>
    <i>
      <x v="608"/>
    </i>
    <i>
      <x v="609"/>
    </i>
    <i>
      <x v="610"/>
    </i>
    <i>
      <x v="611"/>
    </i>
    <i>
      <x v="612"/>
    </i>
    <i>
      <x v="613"/>
    </i>
    <i>
      <x v="614"/>
    </i>
    <i>
      <x v="615"/>
    </i>
    <i>
      <x v="616"/>
    </i>
    <i>
      <x v="617"/>
    </i>
    <i>
      <x v="618"/>
    </i>
    <i>
      <x v="619"/>
    </i>
    <i>
      <x v="620"/>
    </i>
    <i>
      <x v="621"/>
    </i>
    <i>
      <x v="622"/>
    </i>
    <i>
      <x v="623"/>
    </i>
    <i>
      <x v="624"/>
    </i>
    <i>
      <x v="625"/>
    </i>
    <i>
      <x v="626"/>
    </i>
    <i>
      <x v="627"/>
    </i>
    <i>
      <x v="628"/>
    </i>
    <i>
      <x v="629"/>
    </i>
    <i>
      <x v="630"/>
    </i>
    <i>
      <x v="631"/>
    </i>
    <i>
      <x v="632"/>
    </i>
    <i>
      <x v="633"/>
    </i>
    <i>
      <x v="634"/>
    </i>
    <i>
      <x v="635"/>
    </i>
    <i>
      <x v="636"/>
    </i>
    <i>
      <x v="637"/>
    </i>
    <i>
      <x v="638"/>
    </i>
    <i>
      <x v="639"/>
    </i>
    <i>
      <x v="640"/>
    </i>
    <i>
      <x v="641"/>
    </i>
    <i>
      <x v="642"/>
    </i>
    <i>
      <x v="643"/>
    </i>
    <i>
      <x v="644"/>
    </i>
    <i>
      <x v="645"/>
    </i>
    <i>
      <x v="646"/>
    </i>
    <i>
      <x v="647"/>
    </i>
    <i>
      <x v="648"/>
    </i>
    <i>
      <x v="649"/>
    </i>
    <i>
      <x v="650"/>
    </i>
    <i>
      <x v="651"/>
    </i>
    <i>
      <x v="652"/>
    </i>
    <i>
      <x v="653"/>
    </i>
    <i>
      <x v="654"/>
    </i>
    <i>
      <x v="655"/>
    </i>
    <i>
      <x v="656"/>
    </i>
    <i>
      <x v="657"/>
    </i>
    <i>
      <x v="658"/>
    </i>
    <i>
      <x v="659"/>
    </i>
    <i>
      <x v="660"/>
    </i>
    <i>
      <x v="661"/>
    </i>
    <i>
      <x v="662"/>
    </i>
    <i>
      <x v="663"/>
    </i>
    <i>
      <x v="664"/>
    </i>
    <i>
      <x v="665"/>
    </i>
    <i>
      <x v="666"/>
    </i>
    <i>
      <x v="667"/>
    </i>
    <i>
      <x v="668"/>
    </i>
    <i>
      <x v="669"/>
    </i>
    <i>
      <x v="670"/>
    </i>
    <i>
      <x v="671"/>
    </i>
    <i>
      <x v="672"/>
    </i>
    <i>
      <x v="673"/>
    </i>
    <i>
      <x v="674"/>
    </i>
    <i>
      <x v="675"/>
    </i>
    <i>
      <x v="676"/>
    </i>
    <i>
      <x v="677"/>
    </i>
    <i>
      <x v="678"/>
    </i>
    <i>
      <x v="679"/>
    </i>
    <i>
      <x v="680"/>
    </i>
    <i>
      <x v="681"/>
    </i>
    <i>
      <x v="682"/>
    </i>
    <i>
      <x v="683"/>
    </i>
    <i>
      <x v="684"/>
    </i>
    <i>
      <x v="685"/>
    </i>
    <i>
      <x v="686"/>
    </i>
    <i>
      <x v="687"/>
    </i>
    <i>
      <x v="688"/>
    </i>
    <i>
      <x v="689"/>
    </i>
    <i>
      <x v="690"/>
    </i>
    <i>
      <x v="691"/>
    </i>
    <i>
      <x v="692"/>
    </i>
    <i>
      <x v="693"/>
    </i>
    <i>
      <x v="694"/>
    </i>
    <i>
      <x v="695"/>
    </i>
    <i>
      <x v="696"/>
    </i>
    <i>
      <x v="697"/>
    </i>
    <i>
      <x v="698"/>
    </i>
    <i>
      <x v="699"/>
    </i>
    <i>
      <x v="700"/>
    </i>
    <i>
      <x v="701"/>
    </i>
    <i>
      <x v="702"/>
    </i>
    <i>
      <x v="703"/>
    </i>
    <i>
      <x v="704"/>
    </i>
    <i>
      <x v="705"/>
    </i>
    <i>
      <x v="706"/>
    </i>
    <i>
      <x v="707"/>
    </i>
    <i>
      <x v="708"/>
    </i>
    <i>
      <x v="709"/>
    </i>
    <i>
      <x v="710"/>
    </i>
    <i>
      <x v="711"/>
    </i>
    <i>
      <x v="712"/>
    </i>
    <i>
      <x v="713"/>
    </i>
    <i>
      <x v="714"/>
    </i>
    <i>
      <x v="715"/>
    </i>
    <i>
      <x v="716"/>
    </i>
    <i>
      <x v="717"/>
    </i>
    <i>
      <x v="718"/>
    </i>
    <i>
      <x v="719"/>
    </i>
    <i>
      <x v="720"/>
    </i>
    <i>
      <x v="721"/>
    </i>
    <i>
      <x v="722"/>
    </i>
    <i>
      <x v="723"/>
    </i>
    <i>
      <x v="724"/>
    </i>
    <i>
      <x v="725"/>
    </i>
    <i>
      <x v="726"/>
    </i>
    <i>
      <x v="727"/>
    </i>
    <i>
      <x v="728"/>
    </i>
    <i>
      <x v="729"/>
    </i>
    <i>
      <x v="730"/>
    </i>
    <i>
      <x v="731"/>
    </i>
    <i>
      <x v="732"/>
    </i>
    <i>
      <x v="733"/>
    </i>
    <i>
      <x v="734"/>
    </i>
    <i>
      <x v="735"/>
    </i>
    <i>
      <x v="736"/>
    </i>
    <i>
      <x v="737"/>
    </i>
    <i>
      <x v="738"/>
    </i>
    <i>
      <x v="739"/>
    </i>
    <i>
      <x v="740"/>
    </i>
    <i>
      <x v="741"/>
    </i>
    <i>
      <x v="742"/>
    </i>
    <i>
      <x v="743"/>
    </i>
    <i>
      <x v="744"/>
    </i>
    <i>
      <x v="745"/>
    </i>
    <i>
      <x v="746"/>
    </i>
    <i>
      <x v="747"/>
    </i>
    <i>
      <x v="748"/>
    </i>
    <i>
      <x v="749"/>
    </i>
    <i>
      <x v="750"/>
    </i>
    <i>
      <x v="751"/>
    </i>
    <i>
      <x v="752"/>
    </i>
    <i>
      <x v="753"/>
    </i>
    <i>
      <x v="754"/>
    </i>
    <i>
      <x v="755"/>
    </i>
    <i>
      <x v="756"/>
    </i>
    <i>
      <x v="757"/>
    </i>
    <i>
      <x v="758"/>
    </i>
    <i>
      <x v="759"/>
    </i>
    <i>
      <x v="760"/>
    </i>
    <i>
      <x v="761"/>
    </i>
    <i>
      <x v="762"/>
    </i>
    <i>
      <x v="763"/>
    </i>
    <i>
      <x v="764"/>
    </i>
    <i>
      <x v="765"/>
    </i>
    <i>
      <x v="766"/>
    </i>
    <i>
      <x v="767"/>
    </i>
    <i>
      <x v="768"/>
    </i>
    <i>
      <x v="769"/>
    </i>
    <i>
      <x v="770"/>
    </i>
    <i>
      <x v="771"/>
    </i>
    <i>
      <x v="772"/>
    </i>
    <i>
      <x v="773"/>
    </i>
    <i>
      <x v="774"/>
    </i>
    <i>
      <x v="775"/>
    </i>
    <i>
      <x v="776"/>
    </i>
    <i>
      <x v="777"/>
    </i>
    <i>
      <x v="778"/>
    </i>
    <i>
      <x v="779"/>
    </i>
    <i>
      <x v="780"/>
    </i>
    <i>
      <x v="781"/>
    </i>
    <i>
      <x v="782"/>
    </i>
    <i>
      <x v="783"/>
    </i>
    <i>
      <x v="784"/>
    </i>
    <i>
      <x v="785"/>
    </i>
    <i>
      <x v="786"/>
    </i>
    <i>
      <x v="787"/>
    </i>
    <i>
      <x v="788"/>
    </i>
    <i>
      <x v="789"/>
    </i>
    <i>
      <x v="790"/>
    </i>
    <i>
      <x v="791"/>
    </i>
    <i>
      <x v="792"/>
    </i>
    <i>
      <x v="793"/>
    </i>
    <i>
      <x v="794"/>
    </i>
    <i>
      <x v="795"/>
    </i>
    <i>
      <x v="796"/>
    </i>
    <i>
      <x v="797"/>
    </i>
    <i>
      <x v="798"/>
    </i>
    <i>
      <x v="799"/>
    </i>
    <i>
      <x v="800"/>
    </i>
    <i>
      <x v="801"/>
    </i>
    <i>
      <x v="802"/>
    </i>
    <i>
      <x v="803"/>
    </i>
    <i>
      <x v="804"/>
    </i>
    <i>
      <x v="805"/>
    </i>
    <i>
      <x v="806"/>
    </i>
    <i>
      <x v="807"/>
    </i>
    <i>
      <x v="808"/>
    </i>
    <i>
      <x v="809"/>
    </i>
    <i>
      <x v="810"/>
    </i>
    <i>
      <x v="811"/>
    </i>
    <i>
      <x v="812"/>
    </i>
    <i>
      <x v="813"/>
    </i>
    <i>
      <x v="814"/>
    </i>
    <i>
      <x v="815"/>
    </i>
    <i>
      <x v="816"/>
    </i>
    <i>
      <x v="817"/>
    </i>
    <i>
      <x v="818"/>
    </i>
    <i>
      <x v="819"/>
    </i>
    <i>
      <x v="820"/>
    </i>
    <i>
      <x v="821"/>
    </i>
    <i>
      <x v="822"/>
    </i>
    <i>
      <x v="823"/>
    </i>
    <i>
      <x v="824"/>
    </i>
    <i>
      <x v="825"/>
    </i>
    <i>
      <x v="826"/>
    </i>
    <i>
      <x v="827"/>
    </i>
    <i>
      <x v="828"/>
    </i>
    <i>
      <x v="829"/>
    </i>
    <i>
      <x v="830"/>
    </i>
    <i>
      <x v="831"/>
    </i>
    <i>
      <x v="832"/>
    </i>
    <i>
      <x v="833"/>
    </i>
    <i>
      <x v="834"/>
    </i>
    <i>
      <x v="835"/>
    </i>
    <i>
      <x v="836"/>
    </i>
    <i>
      <x v="837"/>
    </i>
    <i>
      <x v="838"/>
    </i>
    <i>
      <x v="839"/>
    </i>
    <i>
      <x v="840"/>
    </i>
    <i>
      <x v="841"/>
    </i>
    <i>
      <x v="842"/>
    </i>
    <i>
      <x v="843"/>
    </i>
    <i>
      <x v="844"/>
    </i>
    <i>
      <x v="845"/>
    </i>
    <i>
      <x v="846"/>
    </i>
    <i>
      <x v="847"/>
    </i>
    <i>
      <x v="848"/>
    </i>
    <i>
      <x v="849"/>
    </i>
    <i>
      <x v="850"/>
    </i>
    <i>
      <x v="851"/>
    </i>
    <i>
      <x v="852"/>
    </i>
    <i>
      <x v="853"/>
    </i>
    <i>
      <x v="854"/>
    </i>
    <i>
      <x v="855"/>
    </i>
    <i>
      <x v="856"/>
    </i>
    <i>
      <x v="857"/>
    </i>
    <i>
      <x v="858"/>
    </i>
    <i>
      <x v="859"/>
    </i>
    <i>
      <x v="860"/>
    </i>
    <i>
      <x v="861"/>
    </i>
    <i>
      <x v="862"/>
    </i>
    <i>
      <x v="863"/>
    </i>
    <i>
      <x v="864"/>
    </i>
    <i>
      <x v="865"/>
    </i>
    <i>
      <x v="866"/>
    </i>
    <i>
      <x v="867"/>
    </i>
    <i>
      <x v="868"/>
    </i>
    <i>
      <x v="869"/>
    </i>
    <i>
      <x v="870"/>
    </i>
    <i>
      <x v="871"/>
    </i>
    <i>
      <x v="872"/>
    </i>
    <i>
      <x v="873"/>
    </i>
    <i>
      <x v="874"/>
    </i>
    <i>
      <x v="875"/>
    </i>
    <i>
      <x v="876"/>
    </i>
    <i>
      <x v="877"/>
    </i>
    <i>
      <x v="878"/>
    </i>
    <i>
      <x v="879"/>
    </i>
    <i>
      <x v="880"/>
    </i>
    <i>
      <x v="881"/>
    </i>
    <i>
      <x v="882"/>
    </i>
    <i>
      <x v="883"/>
    </i>
    <i>
      <x v="884"/>
    </i>
    <i>
      <x v="885"/>
    </i>
    <i>
      <x v="886"/>
    </i>
    <i>
      <x v="887"/>
    </i>
    <i>
      <x v="888"/>
    </i>
    <i>
      <x v="889"/>
    </i>
    <i>
      <x v="890"/>
    </i>
    <i>
      <x v="891"/>
    </i>
    <i>
      <x v="892"/>
    </i>
    <i>
      <x v="893"/>
    </i>
    <i>
      <x v="894"/>
    </i>
    <i>
      <x v="895"/>
    </i>
    <i>
      <x v="896"/>
    </i>
    <i>
      <x v="897"/>
    </i>
    <i>
      <x v="898"/>
    </i>
    <i>
      <x v="899"/>
    </i>
    <i>
      <x v="900"/>
    </i>
    <i>
      <x v="901"/>
    </i>
    <i>
      <x v="902"/>
    </i>
    <i>
      <x v="903"/>
    </i>
    <i>
      <x v="904"/>
    </i>
    <i>
      <x v="905"/>
    </i>
    <i>
      <x v="906"/>
    </i>
    <i>
      <x v="907"/>
    </i>
    <i>
      <x v="908"/>
    </i>
    <i>
      <x v="909"/>
    </i>
    <i>
      <x v="910"/>
    </i>
    <i>
      <x v="911"/>
    </i>
    <i>
      <x v="912"/>
    </i>
    <i>
      <x v="913"/>
    </i>
    <i>
      <x v="914"/>
    </i>
    <i>
      <x v="915"/>
    </i>
    <i>
      <x v="916"/>
    </i>
    <i>
      <x v="917"/>
    </i>
    <i>
      <x v="918"/>
    </i>
    <i>
      <x v="919"/>
    </i>
    <i>
      <x v="920"/>
    </i>
    <i>
      <x v="921"/>
    </i>
    <i>
      <x v="922"/>
    </i>
    <i>
      <x v="923"/>
    </i>
    <i>
      <x v="924"/>
    </i>
    <i>
      <x v="925"/>
    </i>
    <i>
      <x v="926"/>
    </i>
    <i>
      <x v="927"/>
    </i>
    <i>
      <x v="928"/>
    </i>
    <i>
      <x v="929"/>
    </i>
    <i>
      <x v="930"/>
    </i>
    <i>
      <x v="931"/>
    </i>
    <i>
      <x v="932"/>
    </i>
    <i>
      <x v="933"/>
    </i>
    <i>
      <x v="934"/>
    </i>
    <i>
      <x v="935"/>
    </i>
    <i>
      <x v="936"/>
    </i>
    <i>
      <x v="937"/>
    </i>
    <i>
      <x v="938"/>
    </i>
    <i>
      <x v="939"/>
    </i>
    <i>
      <x v="940"/>
    </i>
    <i>
      <x v="941"/>
    </i>
    <i>
      <x v="942"/>
    </i>
    <i>
      <x v="943"/>
    </i>
    <i>
      <x v="944"/>
    </i>
    <i>
      <x v="945"/>
    </i>
    <i>
      <x v="946"/>
    </i>
    <i>
      <x v="947"/>
    </i>
    <i>
      <x v="948"/>
    </i>
    <i>
      <x v="949"/>
    </i>
    <i>
      <x v="950"/>
    </i>
    <i>
      <x v="951"/>
    </i>
    <i>
      <x v="952"/>
    </i>
    <i>
      <x v="953"/>
    </i>
    <i>
      <x v="954"/>
    </i>
    <i>
      <x v="955"/>
    </i>
    <i>
      <x v="956"/>
    </i>
    <i>
      <x v="957"/>
    </i>
    <i>
      <x v="958"/>
    </i>
    <i t="grand">
      <x/>
    </i>
  </rowItems>
  <colFields count="1">
    <field x="27"/>
  </colFields>
  <colItems count="7">
    <i>
      <x/>
    </i>
    <i>
      <x v="1"/>
    </i>
    <i>
      <x v="2"/>
    </i>
    <i>
      <x v="3"/>
    </i>
    <i>
      <x v="4"/>
    </i>
    <i>
      <x v="5"/>
    </i>
    <i t="grand">
      <x/>
    </i>
  </colItems>
  <dataFields count="1">
    <dataField name="Nombre de What other games do you play? Please specify." fld="17"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1" Type="http://schemas.openxmlformats.org/officeDocument/2006/relationships/hyperlink" Target="https://steamcommunity.com/profiles/76561198325967721/games/?tab=all"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http://s.t.int/" TargetMode="External"/><Relationship Id="rId1" Type="http://schemas.openxmlformats.org/officeDocument/2006/relationships/hyperlink" Target="http://s.t.in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4F57F1-1662-48DA-A2AE-E4A43F03CDDA}">
  <dimension ref="A3:H964"/>
  <sheetViews>
    <sheetView workbookViewId="0">
      <selection activeCell="A3" sqref="A3"/>
    </sheetView>
  </sheetViews>
  <sheetFormatPr baseColWidth="10" defaultRowHeight="13.2" x14ac:dyDescent="0.25"/>
  <cols>
    <col min="1" max="1" width="255.77734375" bestFit="1" customWidth="1"/>
    <col min="2" max="2" width="23.44140625" bestFit="1" customWidth="1"/>
    <col min="3" max="3" width="16.6640625" bestFit="1" customWidth="1"/>
    <col min="4" max="4" width="7.33203125" bestFit="1" customWidth="1"/>
    <col min="5" max="5" width="13.44140625" bestFit="1" customWidth="1"/>
    <col min="6" max="6" width="7.88671875" bestFit="1" customWidth="1"/>
    <col min="7" max="7" width="11.77734375" bestFit="1" customWidth="1"/>
    <col min="8" max="8" width="12.33203125" bestFit="1" customWidth="1"/>
    <col min="9" max="9" width="71.77734375" bestFit="1" customWidth="1"/>
    <col min="10" max="10" width="38.6640625" bestFit="1" customWidth="1"/>
    <col min="11" max="11" width="77.5546875" bestFit="1" customWidth="1"/>
    <col min="12" max="12" width="17.6640625" bestFit="1" customWidth="1"/>
    <col min="13" max="13" width="38.33203125" bestFit="1" customWidth="1"/>
    <col min="14" max="14" width="90.6640625" bestFit="1" customWidth="1"/>
    <col min="15" max="15" width="15.44140625" bestFit="1" customWidth="1"/>
    <col min="16" max="16" width="72.44140625" bestFit="1" customWidth="1"/>
    <col min="17" max="17" width="66.21875" bestFit="1" customWidth="1"/>
    <col min="18" max="18" width="18.77734375" bestFit="1" customWidth="1"/>
    <col min="19" max="19" width="9.33203125" bestFit="1" customWidth="1"/>
    <col min="20" max="20" width="13.33203125" bestFit="1" customWidth="1"/>
    <col min="21" max="21" width="40.88671875" bestFit="1" customWidth="1"/>
    <col min="22" max="22" width="2.88671875" bestFit="1" customWidth="1"/>
    <col min="23" max="23" width="180.88671875" bestFit="1" customWidth="1"/>
    <col min="24" max="24" width="206.77734375" bestFit="1" customWidth="1"/>
    <col min="25" max="25" width="53.77734375" bestFit="1" customWidth="1"/>
    <col min="26" max="26" width="40.44140625" bestFit="1" customWidth="1"/>
    <col min="27" max="27" width="28.88671875" bestFit="1" customWidth="1"/>
    <col min="28" max="28" width="4.44140625" bestFit="1" customWidth="1"/>
    <col min="29" max="29" width="93.21875" bestFit="1" customWidth="1"/>
    <col min="30" max="30" width="111.5546875" bestFit="1" customWidth="1"/>
    <col min="31" max="31" width="24" bestFit="1" customWidth="1"/>
    <col min="32" max="32" width="106.6640625" bestFit="1" customWidth="1"/>
    <col min="33" max="33" width="20.33203125" bestFit="1" customWidth="1"/>
    <col min="34" max="34" width="18.77734375" bestFit="1" customWidth="1"/>
    <col min="35" max="35" width="105.21875" bestFit="1" customWidth="1"/>
    <col min="36" max="36" width="56.6640625" bestFit="1" customWidth="1"/>
    <col min="37" max="37" width="22.88671875" bestFit="1" customWidth="1"/>
    <col min="38" max="38" width="12" bestFit="1" customWidth="1"/>
    <col min="39" max="39" width="44.77734375" bestFit="1" customWidth="1"/>
    <col min="40" max="40" width="30.33203125" bestFit="1" customWidth="1"/>
    <col min="41" max="41" width="20.109375" bestFit="1" customWidth="1"/>
    <col min="42" max="42" width="13" bestFit="1" customWidth="1"/>
    <col min="43" max="43" width="41.77734375" bestFit="1" customWidth="1"/>
    <col min="44" max="44" width="38.6640625" bestFit="1" customWidth="1"/>
    <col min="45" max="45" width="43.5546875" bestFit="1" customWidth="1"/>
    <col min="46" max="46" width="47.88671875" bestFit="1" customWidth="1"/>
    <col min="47" max="47" width="34.109375" bestFit="1" customWidth="1"/>
    <col min="48" max="48" width="255.77734375" bestFit="1" customWidth="1"/>
    <col min="49" max="49" width="12.33203125" bestFit="1" customWidth="1"/>
    <col min="50" max="50" width="20.6640625" bestFit="1" customWidth="1"/>
    <col min="51" max="51" width="26.109375" bestFit="1" customWidth="1"/>
    <col min="52" max="52" width="45.88671875" bestFit="1" customWidth="1"/>
    <col min="53" max="53" width="84.109375" bestFit="1" customWidth="1"/>
    <col min="54" max="54" width="19.44140625" bestFit="1" customWidth="1"/>
    <col min="55" max="55" width="27.77734375" bestFit="1" customWidth="1"/>
    <col min="56" max="56" width="15.44140625" bestFit="1" customWidth="1"/>
    <col min="57" max="57" width="27.5546875" bestFit="1" customWidth="1"/>
    <col min="58" max="58" width="40.77734375" bestFit="1" customWidth="1"/>
    <col min="59" max="59" width="33.44140625" bestFit="1" customWidth="1"/>
    <col min="60" max="60" width="51.33203125" bestFit="1" customWidth="1"/>
    <col min="61" max="61" width="60.109375" bestFit="1" customWidth="1"/>
    <col min="62" max="62" width="32.88671875" bestFit="1" customWidth="1"/>
    <col min="63" max="63" width="26.88671875" bestFit="1" customWidth="1"/>
    <col min="64" max="64" width="15.5546875" bestFit="1" customWidth="1"/>
    <col min="65" max="65" width="39" bestFit="1" customWidth="1"/>
    <col min="66" max="66" width="21.33203125" bestFit="1" customWidth="1"/>
    <col min="67" max="67" width="81.88671875" bestFit="1" customWidth="1"/>
    <col min="68" max="68" width="9.88671875" bestFit="1" customWidth="1"/>
    <col min="69" max="69" width="11.21875" bestFit="1" customWidth="1"/>
    <col min="70" max="70" width="21.33203125" bestFit="1" customWidth="1"/>
    <col min="71" max="71" width="53" bestFit="1" customWidth="1"/>
    <col min="72" max="72" width="65.5546875" bestFit="1" customWidth="1"/>
    <col min="73" max="73" width="14.109375" bestFit="1" customWidth="1"/>
    <col min="74" max="74" width="124.5546875" bestFit="1" customWidth="1"/>
    <col min="75" max="75" width="62.5546875" bestFit="1" customWidth="1"/>
    <col min="76" max="76" width="65" bestFit="1" customWidth="1"/>
    <col min="77" max="77" width="28.77734375" bestFit="1" customWidth="1"/>
    <col min="78" max="78" width="93.77734375" bestFit="1" customWidth="1"/>
    <col min="79" max="79" width="113.44140625" bestFit="1" customWidth="1"/>
    <col min="80" max="80" width="24.88671875" bestFit="1" customWidth="1"/>
    <col min="81" max="81" width="17.5546875" bestFit="1" customWidth="1"/>
    <col min="82" max="82" width="93.5546875" bestFit="1" customWidth="1"/>
    <col min="83" max="83" width="6.44140625" bestFit="1" customWidth="1"/>
    <col min="84" max="84" width="44" bestFit="1" customWidth="1"/>
    <col min="85" max="85" width="27.5546875" bestFit="1" customWidth="1"/>
    <col min="86" max="86" width="52" bestFit="1" customWidth="1"/>
    <col min="87" max="87" width="51.109375" bestFit="1" customWidth="1"/>
    <col min="88" max="88" width="12.21875" bestFit="1" customWidth="1"/>
    <col min="89" max="89" width="77" bestFit="1" customWidth="1"/>
    <col min="90" max="90" width="22.6640625" bestFit="1" customWidth="1"/>
    <col min="91" max="91" width="22.77734375" bestFit="1" customWidth="1"/>
    <col min="92" max="92" width="17" bestFit="1" customWidth="1"/>
    <col min="93" max="94" width="12.33203125" bestFit="1" customWidth="1"/>
    <col min="95" max="95" width="27.5546875" bestFit="1" customWidth="1"/>
    <col min="96" max="96" width="23.109375" bestFit="1" customWidth="1"/>
    <col min="97" max="97" width="106.77734375" bestFit="1" customWidth="1"/>
    <col min="98" max="98" width="57.6640625" bestFit="1" customWidth="1"/>
    <col min="99" max="99" width="20.44140625" bestFit="1" customWidth="1"/>
    <col min="100" max="100" width="81.6640625" bestFit="1" customWidth="1"/>
    <col min="101" max="101" width="74.88671875" bestFit="1" customWidth="1"/>
    <col min="102" max="102" width="80.5546875" bestFit="1" customWidth="1"/>
    <col min="103" max="103" width="62.77734375" bestFit="1" customWidth="1"/>
    <col min="104" max="104" width="25.88671875" bestFit="1" customWidth="1"/>
    <col min="105" max="105" width="71.77734375" bestFit="1" customWidth="1"/>
    <col min="106" max="106" width="24.77734375" bestFit="1" customWidth="1"/>
    <col min="107" max="107" width="130.21875" bestFit="1" customWidth="1"/>
    <col min="108" max="108" width="62.6640625" bestFit="1" customWidth="1"/>
    <col min="109" max="109" width="27.6640625" bestFit="1" customWidth="1"/>
    <col min="110" max="110" width="67" bestFit="1" customWidth="1"/>
    <col min="111" max="111" width="44.33203125" bestFit="1" customWidth="1"/>
    <col min="112" max="112" width="58.109375" bestFit="1" customWidth="1"/>
    <col min="113" max="113" width="56.109375" bestFit="1" customWidth="1"/>
    <col min="114" max="114" width="50.44140625" bestFit="1" customWidth="1"/>
    <col min="115" max="115" width="39.21875" bestFit="1" customWidth="1"/>
    <col min="116" max="116" width="53.33203125" bestFit="1" customWidth="1"/>
    <col min="117" max="117" width="6.77734375" bestFit="1" customWidth="1"/>
    <col min="118" max="118" width="14.6640625" bestFit="1" customWidth="1"/>
    <col min="119" max="119" width="56.109375" bestFit="1" customWidth="1"/>
    <col min="120" max="120" width="7.109375" bestFit="1" customWidth="1"/>
    <col min="121" max="121" width="45" bestFit="1" customWidth="1"/>
    <col min="122" max="122" width="30.88671875" bestFit="1" customWidth="1"/>
    <col min="123" max="123" width="110.5546875" bestFit="1" customWidth="1"/>
    <col min="124" max="124" width="69.5546875" bestFit="1" customWidth="1"/>
    <col min="125" max="125" width="28.5546875" bestFit="1" customWidth="1"/>
    <col min="126" max="126" width="48.77734375" bestFit="1" customWidth="1"/>
    <col min="127" max="127" width="123.77734375" bestFit="1" customWidth="1"/>
    <col min="128" max="128" width="24.5546875" bestFit="1" customWidth="1"/>
    <col min="129" max="129" width="29.77734375" bestFit="1" customWidth="1"/>
    <col min="130" max="130" width="36.77734375" bestFit="1" customWidth="1"/>
    <col min="131" max="131" width="31.21875" bestFit="1" customWidth="1"/>
    <col min="132" max="132" width="13.5546875" bestFit="1" customWidth="1"/>
    <col min="133" max="133" width="27.44140625" bestFit="1" customWidth="1"/>
    <col min="134" max="134" width="17.33203125" bestFit="1" customWidth="1"/>
    <col min="135" max="135" width="69.21875" bestFit="1" customWidth="1"/>
    <col min="136" max="136" width="18.77734375" bestFit="1" customWidth="1"/>
    <col min="137" max="137" width="80" bestFit="1" customWidth="1"/>
    <col min="138" max="138" width="27.44140625" bestFit="1" customWidth="1"/>
    <col min="139" max="139" width="30.5546875" bestFit="1" customWidth="1"/>
    <col min="140" max="140" width="255.77734375" bestFit="1" customWidth="1"/>
    <col min="141" max="141" width="23.88671875" bestFit="1" customWidth="1"/>
    <col min="142" max="142" width="19.21875" bestFit="1" customWidth="1"/>
    <col min="143" max="143" width="12.77734375" bestFit="1" customWidth="1"/>
    <col min="144" max="144" width="92.109375" bestFit="1" customWidth="1"/>
    <col min="145" max="145" width="23" bestFit="1" customWidth="1"/>
    <col min="146" max="146" width="63.77734375" bestFit="1" customWidth="1"/>
    <col min="147" max="147" width="32.6640625" bestFit="1" customWidth="1"/>
    <col min="148" max="148" width="57.21875" bestFit="1" customWidth="1"/>
    <col min="149" max="149" width="66.77734375" bestFit="1" customWidth="1"/>
    <col min="150" max="150" width="62.33203125" bestFit="1" customWidth="1"/>
    <col min="151" max="151" width="255.77734375" bestFit="1" customWidth="1"/>
    <col min="152" max="152" width="11.6640625" bestFit="1" customWidth="1"/>
    <col min="153" max="153" width="32" bestFit="1" customWidth="1"/>
    <col min="154" max="154" width="22.77734375" bestFit="1" customWidth="1"/>
    <col min="155" max="155" width="32.88671875" bestFit="1" customWidth="1"/>
    <col min="156" max="156" width="41.6640625" bestFit="1" customWidth="1"/>
    <col min="157" max="157" width="10.21875" bestFit="1" customWidth="1"/>
    <col min="158" max="158" width="27.109375" bestFit="1" customWidth="1"/>
    <col min="159" max="159" width="41.109375" bestFit="1" customWidth="1"/>
    <col min="160" max="160" width="19.21875" bestFit="1" customWidth="1"/>
    <col min="161" max="161" width="66.109375" bestFit="1" customWidth="1"/>
    <col min="162" max="162" width="158.21875" bestFit="1" customWidth="1"/>
    <col min="163" max="163" width="52.33203125" bestFit="1" customWidth="1"/>
    <col min="164" max="164" width="26.6640625" bestFit="1" customWidth="1"/>
    <col min="165" max="165" width="95.5546875" bestFit="1" customWidth="1"/>
    <col min="166" max="166" width="40.21875" bestFit="1" customWidth="1"/>
    <col min="167" max="167" width="26" bestFit="1" customWidth="1"/>
    <col min="168" max="168" width="20" bestFit="1" customWidth="1"/>
    <col min="169" max="169" width="33" bestFit="1" customWidth="1"/>
    <col min="170" max="170" width="30.77734375" bestFit="1" customWidth="1"/>
    <col min="171" max="171" width="45" bestFit="1" customWidth="1"/>
    <col min="172" max="172" width="54.33203125" bestFit="1" customWidth="1"/>
    <col min="173" max="173" width="21.88671875" bestFit="1" customWidth="1"/>
    <col min="174" max="174" width="44.5546875" bestFit="1" customWidth="1"/>
    <col min="175" max="175" width="100.33203125" bestFit="1" customWidth="1"/>
    <col min="176" max="176" width="35.21875" bestFit="1" customWidth="1"/>
    <col min="177" max="177" width="43.88671875" bestFit="1" customWidth="1"/>
    <col min="178" max="178" width="74.77734375" bestFit="1" customWidth="1"/>
    <col min="179" max="179" width="47.88671875" bestFit="1" customWidth="1"/>
    <col min="180" max="180" width="5.88671875" bestFit="1" customWidth="1"/>
    <col min="181" max="181" width="23.21875" bestFit="1" customWidth="1"/>
    <col min="182" max="182" width="4.88671875" bestFit="1" customWidth="1"/>
    <col min="183" max="183" width="6.6640625" bestFit="1" customWidth="1"/>
    <col min="184" max="184" width="17.5546875" bestFit="1" customWidth="1"/>
    <col min="185" max="185" width="53.6640625" bestFit="1" customWidth="1"/>
    <col min="186" max="186" width="30.88671875" bestFit="1" customWidth="1"/>
    <col min="187" max="187" width="110" bestFit="1" customWidth="1"/>
    <col min="188" max="188" width="26" bestFit="1" customWidth="1"/>
    <col min="189" max="189" width="64.21875" bestFit="1" customWidth="1"/>
    <col min="190" max="190" width="144.44140625" bestFit="1" customWidth="1"/>
    <col min="191" max="191" width="54.5546875" bestFit="1" customWidth="1"/>
    <col min="192" max="192" width="15.109375" bestFit="1" customWidth="1"/>
    <col min="193" max="193" width="199" bestFit="1" customWidth="1"/>
    <col min="194" max="194" width="18.77734375" bestFit="1" customWidth="1"/>
    <col min="195" max="195" width="75.33203125" bestFit="1" customWidth="1"/>
    <col min="196" max="196" width="51.5546875" bestFit="1" customWidth="1"/>
    <col min="197" max="197" width="36.77734375" bestFit="1" customWidth="1"/>
    <col min="198" max="198" width="23.33203125" bestFit="1" customWidth="1"/>
    <col min="199" max="199" width="19.109375" bestFit="1" customWidth="1"/>
    <col min="200" max="200" width="5.88671875" bestFit="1" customWidth="1"/>
    <col min="201" max="201" width="51.88671875" bestFit="1" customWidth="1"/>
    <col min="202" max="202" width="22.109375" bestFit="1" customWidth="1"/>
    <col min="203" max="203" width="7" bestFit="1" customWidth="1"/>
    <col min="204" max="204" width="25.6640625" bestFit="1" customWidth="1"/>
    <col min="205" max="205" width="45.6640625" bestFit="1" customWidth="1"/>
    <col min="206" max="206" width="96" bestFit="1" customWidth="1"/>
    <col min="207" max="207" width="35.44140625" bestFit="1" customWidth="1"/>
    <col min="208" max="208" width="81.5546875" bestFit="1" customWidth="1"/>
    <col min="209" max="209" width="18.5546875" bestFit="1" customWidth="1"/>
    <col min="210" max="210" width="28.21875" bestFit="1" customWidth="1"/>
    <col min="211" max="211" width="8.44140625" bestFit="1" customWidth="1"/>
    <col min="212" max="212" width="10.6640625" bestFit="1" customWidth="1"/>
    <col min="213" max="213" width="19.109375" bestFit="1" customWidth="1"/>
    <col min="214" max="214" width="52" bestFit="1" customWidth="1"/>
    <col min="215" max="215" width="46.44140625" bestFit="1" customWidth="1"/>
    <col min="216" max="216" width="36.88671875" bestFit="1" customWidth="1"/>
    <col min="217" max="217" width="23.77734375" bestFit="1" customWidth="1"/>
    <col min="218" max="218" width="34.33203125" bestFit="1" customWidth="1"/>
    <col min="219" max="219" width="48.6640625" bestFit="1" customWidth="1"/>
    <col min="220" max="220" width="31.6640625" bestFit="1" customWidth="1"/>
    <col min="221" max="221" width="10.44140625" bestFit="1" customWidth="1"/>
    <col min="222" max="222" width="63.88671875" bestFit="1" customWidth="1"/>
    <col min="223" max="223" width="93.21875" bestFit="1" customWidth="1"/>
    <col min="224" max="224" width="110.6640625" bestFit="1" customWidth="1"/>
    <col min="225" max="225" width="67" bestFit="1" customWidth="1"/>
    <col min="226" max="226" width="101.21875" bestFit="1" customWidth="1"/>
    <col min="227" max="227" width="24.5546875" bestFit="1" customWidth="1"/>
    <col min="228" max="228" width="40" bestFit="1" customWidth="1"/>
    <col min="229" max="229" width="33.33203125" bestFit="1" customWidth="1"/>
    <col min="230" max="230" width="47.33203125" bestFit="1" customWidth="1"/>
    <col min="231" max="231" width="66" bestFit="1" customWidth="1"/>
    <col min="232" max="232" width="9.44140625" bestFit="1" customWidth="1"/>
    <col min="233" max="233" width="22.33203125" bestFit="1" customWidth="1"/>
    <col min="234" max="234" width="27.77734375" bestFit="1" customWidth="1"/>
    <col min="235" max="235" width="38.6640625" bestFit="1" customWidth="1"/>
    <col min="236" max="236" width="33.109375" bestFit="1" customWidth="1"/>
    <col min="237" max="237" width="9.44140625" bestFit="1" customWidth="1"/>
    <col min="238" max="238" width="13.88671875" bestFit="1" customWidth="1"/>
    <col min="239" max="239" width="12.21875" bestFit="1" customWidth="1"/>
    <col min="240" max="240" width="58.44140625" bestFit="1" customWidth="1"/>
    <col min="241" max="241" width="5.21875" bestFit="1" customWidth="1"/>
    <col min="242" max="242" width="58.33203125" bestFit="1" customWidth="1"/>
    <col min="243" max="243" width="38.33203125" bestFit="1" customWidth="1"/>
    <col min="244" max="244" width="14.33203125" bestFit="1" customWidth="1"/>
    <col min="245" max="245" width="37.77734375" bestFit="1" customWidth="1"/>
    <col min="246" max="246" width="16.109375" bestFit="1" customWidth="1"/>
    <col min="247" max="247" width="88.21875" bestFit="1" customWidth="1"/>
    <col min="248" max="248" width="23.77734375" bestFit="1" customWidth="1"/>
    <col min="249" max="249" width="10" bestFit="1" customWidth="1"/>
    <col min="250" max="250" width="61.109375" bestFit="1" customWidth="1"/>
    <col min="251" max="251" width="108.33203125" bestFit="1" customWidth="1"/>
    <col min="252" max="252" width="59.44140625" bestFit="1" customWidth="1"/>
    <col min="253" max="253" width="19.5546875" bestFit="1" customWidth="1"/>
    <col min="254" max="254" width="45.44140625" bestFit="1" customWidth="1"/>
    <col min="255" max="255" width="26.5546875" bestFit="1" customWidth="1"/>
    <col min="256" max="256" width="66" bestFit="1" customWidth="1"/>
    <col min="257" max="257" width="31.109375" bestFit="1" customWidth="1"/>
    <col min="258" max="258" width="7.88671875" bestFit="1" customWidth="1"/>
    <col min="259" max="259" width="103.77734375" bestFit="1" customWidth="1"/>
    <col min="260" max="260" width="108.77734375" bestFit="1" customWidth="1"/>
    <col min="261" max="261" width="46.5546875" bestFit="1" customWidth="1"/>
    <col min="262" max="262" width="44.6640625" bestFit="1" customWidth="1"/>
    <col min="263" max="263" width="25.77734375" bestFit="1" customWidth="1"/>
    <col min="264" max="264" width="18.5546875" bestFit="1" customWidth="1"/>
    <col min="265" max="265" width="23.77734375" bestFit="1" customWidth="1"/>
    <col min="266" max="266" width="33.44140625" bestFit="1" customWidth="1"/>
    <col min="267" max="267" width="26.6640625" bestFit="1" customWidth="1"/>
    <col min="268" max="268" width="54.44140625" bestFit="1" customWidth="1"/>
    <col min="269" max="269" width="4.5546875" bestFit="1" customWidth="1"/>
    <col min="270" max="270" width="53" bestFit="1" customWidth="1"/>
    <col min="271" max="271" width="63.33203125" bestFit="1" customWidth="1"/>
    <col min="272" max="272" width="59.21875" bestFit="1" customWidth="1"/>
    <col min="273" max="273" width="43" bestFit="1" customWidth="1"/>
    <col min="274" max="274" width="39.5546875" bestFit="1" customWidth="1"/>
    <col min="275" max="275" width="28.5546875" bestFit="1" customWidth="1"/>
    <col min="276" max="276" width="52.44140625" bestFit="1" customWidth="1"/>
    <col min="277" max="277" width="54.88671875" bestFit="1" customWidth="1"/>
    <col min="278" max="278" width="72.77734375" bestFit="1" customWidth="1"/>
    <col min="279" max="279" width="91.77734375" bestFit="1" customWidth="1"/>
    <col min="280" max="280" width="137.88671875" bestFit="1" customWidth="1"/>
    <col min="281" max="281" width="134.6640625" bestFit="1" customWidth="1"/>
    <col min="282" max="282" width="5.33203125" bestFit="1" customWidth="1"/>
    <col min="283" max="283" width="112.21875" bestFit="1" customWidth="1"/>
    <col min="284" max="284" width="75" bestFit="1" customWidth="1"/>
    <col min="285" max="285" width="19.77734375" bestFit="1" customWidth="1"/>
    <col min="286" max="286" width="12.33203125" bestFit="1" customWidth="1"/>
    <col min="287" max="287" width="28.88671875" bestFit="1" customWidth="1"/>
    <col min="288" max="288" width="68" bestFit="1" customWidth="1"/>
    <col min="289" max="289" width="50.44140625" bestFit="1" customWidth="1"/>
    <col min="290" max="290" width="68.33203125" bestFit="1" customWidth="1"/>
    <col min="291" max="291" width="55" bestFit="1" customWidth="1"/>
    <col min="292" max="292" width="6.6640625" bestFit="1" customWidth="1"/>
    <col min="293" max="293" width="79.44140625" bestFit="1" customWidth="1"/>
    <col min="294" max="294" width="81.77734375" bestFit="1" customWidth="1"/>
    <col min="295" max="295" width="5.109375" bestFit="1" customWidth="1"/>
    <col min="296" max="296" width="39.44140625" bestFit="1" customWidth="1"/>
    <col min="297" max="297" width="52" bestFit="1" customWidth="1"/>
    <col min="298" max="298" width="12" bestFit="1" customWidth="1"/>
    <col min="299" max="299" width="11.77734375" bestFit="1" customWidth="1"/>
    <col min="300" max="300" width="82.21875" bestFit="1" customWidth="1"/>
    <col min="301" max="301" width="80.6640625" bestFit="1" customWidth="1"/>
    <col min="302" max="302" width="44.88671875" bestFit="1" customWidth="1"/>
    <col min="303" max="303" width="29.109375" bestFit="1" customWidth="1"/>
    <col min="304" max="304" width="22.6640625" bestFit="1" customWidth="1"/>
    <col min="305" max="305" width="55.77734375" bestFit="1" customWidth="1"/>
    <col min="306" max="306" width="91.109375" bestFit="1" customWidth="1"/>
    <col min="307" max="307" width="33.44140625" bestFit="1" customWidth="1"/>
    <col min="308" max="308" width="36" bestFit="1" customWidth="1"/>
    <col min="309" max="309" width="31.88671875" bestFit="1" customWidth="1"/>
    <col min="310" max="310" width="52.5546875" bestFit="1" customWidth="1"/>
    <col min="311" max="311" width="124.109375" bestFit="1" customWidth="1"/>
    <col min="312" max="312" width="32.6640625" bestFit="1" customWidth="1"/>
    <col min="313" max="313" width="44.21875" bestFit="1" customWidth="1"/>
    <col min="314" max="314" width="57.5546875" bestFit="1" customWidth="1"/>
    <col min="315" max="315" width="69.5546875" bestFit="1" customWidth="1"/>
    <col min="316" max="316" width="74.21875" bestFit="1" customWidth="1"/>
    <col min="317" max="317" width="42.77734375" bestFit="1" customWidth="1"/>
    <col min="318" max="318" width="45.88671875" bestFit="1" customWidth="1"/>
    <col min="319" max="319" width="20.88671875" bestFit="1" customWidth="1"/>
    <col min="320" max="320" width="22.5546875" bestFit="1" customWidth="1"/>
    <col min="321" max="321" width="38.44140625" bestFit="1" customWidth="1"/>
    <col min="322" max="322" width="53.88671875" bestFit="1" customWidth="1"/>
    <col min="323" max="323" width="52.109375" bestFit="1" customWidth="1"/>
    <col min="324" max="324" width="35.33203125" bestFit="1" customWidth="1"/>
    <col min="325" max="325" width="42.6640625" bestFit="1" customWidth="1"/>
    <col min="326" max="326" width="81.33203125" bestFit="1" customWidth="1"/>
    <col min="327" max="327" width="24.77734375" bestFit="1" customWidth="1"/>
    <col min="328" max="328" width="41.6640625" bestFit="1" customWidth="1"/>
    <col min="329" max="329" width="17.109375" bestFit="1" customWidth="1"/>
    <col min="330" max="330" width="27.5546875" bestFit="1" customWidth="1"/>
    <col min="331" max="331" width="30.77734375" bestFit="1" customWidth="1"/>
    <col min="332" max="332" width="77.6640625" bestFit="1" customWidth="1"/>
    <col min="333" max="333" width="35.5546875" bestFit="1" customWidth="1"/>
    <col min="334" max="334" width="32" bestFit="1" customWidth="1"/>
    <col min="335" max="335" width="77.44140625" bestFit="1" customWidth="1"/>
    <col min="336" max="336" width="18.33203125" bestFit="1" customWidth="1"/>
    <col min="337" max="337" width="37.44140625" bestFit="1" customWidth="1"/>
    <col min="338" max="338" width="41.21875" bestFit="1" customWidth="1"/>
    <col min="339" max="339" width="93.77734375" bestFit="1" customWidth="1"/>
    <col min="340" max="340" width="31.5546875" bestFit="1" customWidth="1"/>
    <col min="341" max="341" width="90.109375" bestFit="1" customWidth="1"/>
    <col min="342" max="342" width="44" bestFit="1" customWidth="1"/>
    <col min="343" max="343" width="53.109375" bestFit="1" customWidth="1"/>
    <col min="344" max="344" width="44.6640625" bestFit="1" customWidth="1"/>
    <col min="345" max="345" width="30.21875" bestFit="1" customWidth="1"/>
    <col min="346" max="346" width="96" bestFit="1" customWidth="1"/>
    <col min="347" max="347" width="67.5546875" bestFit="1" customWidth="1"/>
    <col min="348" max="348" width="68.44140625" bestFit="1" customWidth="1"/>
    <col min="349" max="349" width="44" bestFit="1" customWidth="1"/>
    <col min="350" max="350" width="66.88671875" bestFit="1" customWidth="1"/>
    <col min="351" max="351" width="32" bestFit="1" customWidth="1"/>
    <col min="352" max="352" width="29.5546875" bestFit="1" customWidth="1"/>
    <col min="353" max="353" width="100.21875" bestFit="1" customWidth="1"/>
    <col min="354" max="354" width="147.77734375" bestFit="1" customWidth="1"/>
    <col min="355" max="355" width="96.6640625" bestFit="1" customWidth="1"/>
    <col min="356" max="356" width="83.88671875" bestFit="1" customWidth="1"/>
    <col min="357" max="357" width="31.88671875" bestFit="1" customWidth="1"/>
    <col min="358" max="358" width="47" bestFit="1" customWidth="1"/>
    <col min="359" max="359" width="51.33203125" bestFit="1" customWidth="1"/>
    <col min="360" max="360" width="31.21875" bestFit="1" customWidth="1"/>
    <col min="361" max="361" width="54" bestFit="1" customWidth="1"/>
    <col min="362" max="362" width="22.21875" bestFit="1" customWidth="1"/>
    <col min="363" max="363" width="66" bestFit="1" customWidth="1"/>
    <col min="364" max="364" width="28.77734375" bestFit="1" customWidth="1"/>
    <col min="365" max="365" width="16.109375" bestFit="1" customWidth="1"/>
    <col min="366" max="366" width="52.109375" bestFit="1" customWidth="1"/>
    <col min="367" max="367" width="4.88671875" bestFit="1" customWidth="1"/>
    <col min="368" max="368" width="36.77734375" bestFit="1" customWidth="1"/>
    <col min="369" max="369" width="35.33203125" bestFit="1" customWidth="1"/>
    <col min="370" max="370" width="32.44140625" bestFit="1" customWidth="1"/>
    <col min="371" max="371" width="37.21875" bestFit="1" customWidth="1"/>
    <col min="372" max="372" width="12.109375" bestFit="1" customWidth="1"/>
    <col min="373" max="373" width="17.6640625" bestFit="1" customWidth="1"/>
    <col min="374" max="374" width="16.44140625" bestFit="1" customWidth="1"/>
    <col min="375" max="375" width="33.5546875" bestFit="1" customWidth="1"/>
    <col min="376" max="376" width="27.109375" bestFit="1" customWidth="1"/>
    <col min="377" max="377" width="124" bestFit="1" customWidth="1"/>
    <col min="378" max="378" width="15.6640625" bestFit="1" customWidth="1"/>
    <col min="379" max="379" width="73.5546875" bestFit="1" customWidth="1"/>
    <col min="380" max="380" width="65.6640625" bestFit="1" customWidth="1"/>
    <col min="381" max="381" width="13.33203125" bestFit="1" customWidth="1"/>
    <col min="382" max="382" width="26" bestFit="1" customWidth="1"/>
    <col min="383" max="383" width="49.33203125" bestFit="1" customWidth="1"/>
    <col min="384" max="384" width="27.77734375" bestFit="1" customWidth="1"/>
    <col min="385" max="385" width="255.77734375" bestFit="1" customWidth="1"/>
    <col min="386" max="386" width="40.6640625" bestFit="1" customWidth="1"/>
    <col min="387" max="387" width="64.88671875" bestFit="1" customWidth="1"/>
    <col min="388" max="388" width="43" bestFit="1" customWidth="1"/>
    <col min="389" max="389" width="72.88671875" bestFit="1" customWidth="1"/>
    <col min="390" max="390" width="34.21875" bestFit="1" customWidth="1"/>
    <col min="391" max="391" width="56.77734375" bestFit="1" customWidth="1"/>
    <col min="392" max="392" width="64.109375" bestFit="1" customWidth="1"/>
    <col min="393" max="393" width="50.109375" bestFit="1" customWidth="1"/>
    <col min="394" max="394" width="62.77734375" bestFit="1" customWidth="1"/>
    <col min="395" max="395" width="251.33203125" bestFit="1" customWidth="1"/>
    <col min="396" max="396" width="30.6640625" bestFit="1" customWidth="1"/>
    <col min="397" max="397" width="79.5546875" bestFit="1" customWidth="1"/>
    <col min="398" max="398" width="195" bestFit="1" customWidth="1"/>
    <col min="399" max="399" width="113.5546875" bestFit="1" customWidth="1"/>
    <col min="400" max="400" width="4.33203125" bestFit="1" customWidth="1"/>
    <col min="401" max="401" width="9.88671875" bestFit="1" customWidth="1"/>
    <col min="402" max="402" width="19.6640625" bestFit="1" customWidth="1"/>
    <col min="403" max="403" width="96.6640625" bestFit="1" customWidth="1"/>
    <col min="404" max="404" width="30.21875" bestFit="1" customWidth="1"/>
    <col min="405" max="405" width="7.33203125" bestFit="1" customWidth="1"/>
    <col min="406" max="406" width="16.5546875" bestFit="1" customWidth="1"/>
    <col min="407" max="407" width="41.6640625" bestFit="1" customWidth="1"/>
    <col min="408" max="408" width="76.109375" bestFit="1" customWidth="1"/>
    <col min="409" max="409" width="77.21875" bestFit="1" customWidth="1"/>
    <col min="410" max="410" width="17.6640625" bestFit="1" customWidth="1"/>
    <col min="411" max="411" width="41.88671875" bestFit="1" customWidth="1"/>
    <col min="412" max="412" width="66.5546875" bestFit="1" customWidth="1"/>
    <col min="413" max="413" width="56.109375" bestFit="1" customWidth="1"/>
    <col min="414" max="414" width="29.6640625" bestFit="1" customWidth="1"/>
    <col min="415" max="415" width="78.21875" bestFit="1" customWidth="1"/>
    <col min="416" max="416" width="32.77734375" bestFit="1" customWidth="1"/>
    <col min="417" max="417" width="21.5546875" bestFit="1" customWidth="1"/>
    <col min="418" max="418" width="32.88671875" bestFit="1" customWidth="1"/>
    <col min="419" max="419" width="18.77734375" bestFit="1" customWidth="1"/>
    <col min="420" max="420" width="22.77734375" bestFit="1" customWidth="1"/>
    <col min="421" max="421" width="99.5546875" bestFit="1" customWidth="1"/>
    <col min="422" max="422" width="47.33203125" bestFit="1" customWidth="1"/>
    <col min="423" max="423" width="47.88671875" bestFit="1" customWidth="1"/>
    <col min="424" max="424" width="64.6640625" bestFit="1" customWidth="1"/>
    <col min="425" max="425" width="37.77734375" bestFit="1" customWidth="1"/>
    <col min="426" max="426" width="23.21875" bestFit="1" customWidth="1"/>
    <col min="427" max="427" width="33.33203125" bestFit="1" customWidth="1"/>
    <col min="428" max="428" width="43.109375" bestFit="1" customWidth="1"/>
    <col min="429" max="429" width="68.88671875" bestFit="1" customWidth="1"/>
    <col min="430" max="430" width="54.21875" bestFit="1" customWidth="1"/>
    <col min="431" max="431" width="22.44140625" bestFit="1" customWidth="1"/>
    <col min="432" max="432" width="37.109375" bestFit="1" customWidth="1"/>
    <col min="433" max="433" width="47" bestFit="1" customWidth="1"/>
    <col min="434" max="434" width="68.77734375" bestFit="1" customWidth="1"/>
    <col min="435" max="435" width="58.44140625" bestFit="1" customWidth="1"/>
    <col min="436" max="436" width="46.109375" bestFit="1" customWidth="1"/>
    <col min="437" max="437" width="26.33203125" bestFit="1" customWidth="1"/>
    <col min="438" max="438" width="43.21875" bestFit="1" customWidth="1"/>
    <col min="439" max="439" width="49" bestFit="1" customWidth="1"/>
    <col min="440" max="440" width="57.44140625" bestFit="1" customWidth="1"/>
    <col min="441" max="441" width="43" bestFit="1" customWidth="1"/>
    <col min="442" max="442" width="38.33203125" bestFit="1" customWidth="1"/>
    <col min="443" max="443" width="76.21875" bestFit="1" customWidth="1"/>
    <col min="444" max="444" width="43.21875" bestFit="1" customWidth="1"/>
    <col min="445" max="445" width="37.77734375" bestFit="1" customWidth="1"/>
    <col min="446" max="446" width="37.109375" bestFit="1" customWidth="1"/>
    <col min="447" max="447" width="29.109375" bestFit="1" customWidth="1"/>
    <col min="448" max="448" width="80" bestFit="1" customWidth="1"/>
    <col min="449" max="449" width="42.5546875" bestFit="1" customWidth="1"/>
    <col min="450" max="450" width="46.88671875" bestFit="1" customWidth="1"/>
    <col min="451" max="451" width="49.88671875" bestFit="1" customWidth="1"/>
    <col min="452" max="452" width="178.21875" bestFit="1" customWidth="1"/>
    <col min="453" max="453" width="72.6640625" bestFit="1" customWidth="1"/>
    <col min="454" max="454" width="119.77734375" bestFit="1" customWidth="1"/>
    <col min="455" max="455" width="86.6640625" bestFit="1" customWidth="1"/>
    <col min="456" max="456" width="61.33203125" bestFit="1" customWidth="1"/>
    <col min="457" max="457" width="55.109375" bestFit="1" customWidth="1"/>
    <col min="458" max="458" width="47.109375" bestFit="1" customWidth="1"/>
    <col min="459" max="459" width="51.21875" bestFit="1" customWidth="1"/>
    <col min="460" max="460" width="143.21875" bestFit="1" customWidth="1"/>
    <col min="461" max="461" width="75.109375" bestFit="1" customWidth="1"/>
    <col min="462" max="462" width="89" bestFit="1" customWidth="1"/>
    <col min="463" max="463" width="29.44140625" bestFit="1" customWidth="1"/>
    <col min="464" max="464" width="82.6640625" bestFit="1" customWidth="1"/>
    <col min="465" max="465" width="65" bestFit="1" customWidth="1"/>
    <col min="466" max="466" width="69.77734375" bestFit="1" customWidth="1"/>
    <col min="467" max="467" width="29.5546875" bestFit="1" customWidth="1"/>
    <col min="468" max="468" width="46.44140625" bestFit="1" customWidth="1"/>
    <col min="469" max="469" width="31.88671875" bestFit="1" customWidth="1"/>
    <col min="470" max="470" width="22.88671875" bestFit="1" customWidth="1"/>
    <col min="471" max="471" width="47.6640625" bestFit="1" customWidth="1"/>
    <col min="472" max="472" width="28.44140625" bestFit="1" customWidth="1"/>
    <col min="473" max="473" width="28" bestFit="1" customWidth="1"/>
    <col min="474" max="474" width="50.77734375" bestFit="1" customWidth="1"/>
    <col min="475" max="475" width="35" bestFit="1" customWidth="1"/>
    <col min="476" max="476" width="32.88671875" bestFit="1" customWidth="1"/>
    <col min="477" max="477" width="47.5546875" bestFit="1" customWidth="1"/>
    <col min="478" max="478" width="37.88671875" bestFit="1" customWidth="1"/>
    <col min="479" max="479" width="112.77734375" bestFit="1" customWidth="1"/>
    <col min="480" max="480" width="38.109375" bestFit="1" customWidth="1"/>
    <col min="481" max="481" width="68.21875" bestFit="1" customWidth="1"/>
    <col min="482" max="482" width="87.21875" bestFit="1" customWidth="1"/>
    <col min="483" max="483" width="30.88671875" bestFit="1" customWidth="1"/>
    <col min="484" max="484" width="29.44140625" bestFit="1" customWidth="1"/>
    <col min="485" max="485" width="72.44140625" bestFit="1" customWidth="1"/>
    <col min="486" max="486" width="64.88671875" bestFit="1" customWidth="1"/>
    <col min="487" max="487" width="27.6640625" bestFit="1" customWidth="1"/>
    <col min="488" max="488" width="113.33203125" bestFit="1" customWidth="1"/>
    <col min="489" max="489" width="38.6640625" bestFit="1" customWidth="1"/>
    <col min="490" max="490" width="48.5546875" bestFit="1" customWidth="1"/>
    <col min="491" max="491" width="40.44140625" bestFit="1" customWidth="1"/>
    <col min="492" max="492" width="73.5546875" bestFit="1" customWidth="1"/>
    <col min="493" max="493" width="28" bestFit="1" customWidth="1"/>
    <col min="494" max="494" width="31.88671875" bestFit="1" customWidth="1"/>
    <col min="495" max="495" width="46.5546875" bestFit="1" customWidth="1"/>
    <col min="496" max="496" width="27.5546875" bestFit="1" customWidth="1"/>
    <col min="497" max="497" width="65.77734375" bestFit="1" customWidth="1"/>
    <col min="498" max="498" width="68.77734375" bestFit="1" customWidth="1"/>
    <col min="499" max="499" width="59" bestFit="1" customWidth="1"/>
    <col min="500" max="500" width="46.5546875" bestFit="1" customWidth="1"/>
    <col min="501" max="501" width="42.109375" bestFit="1" customWidth="1"/>
    <col min="502" max="502" width="22.109375" bestFit="1" customWidth="1"/>
    <col min="503" max="503" width="29.88671875" bestFit="1" customWidth="1"/>
    <col min="504" max="504" width="74" bestFit="1" customWidth="1"/>
    <col min="505" max="505" width="36.77734375" bestFit="1" customWidth="1"/>
    <col min="506" max="506" width="55.77734375" bestFit="1" customWidth="1"/>
    <col min="507" max="507" width="38" bestFit="1" customWidth="1"/>
    <col min="508" max="508" width="160.6640625" bestFit="1" customWidth="1"/>
    <col min="509" max="509" width="19.6640625" bestFit="1" customWidth="1"/>
    <col min="510" max="510" width="42.88671875" bestFit="1" customWidth="1"/>
    <col min="511" max="511" width="89.21875" bestFit="1" customWidth="1"/>
    <col min="512" max="512" width="52.109375" bestFit="1" customWidth="1"/>
    <col min="513" max="513" width="38" bestFit="1" customWidth="1"/>
    <col min="514" max="514" width="10.77734375" bestFit="1" customWidth="1"/>
    <col min="515" max="515" width="37.88671875" bestFit="1" customWidth="1"/>
    <col min="516" max="516" width="49.88671875" bestFit="1" customWidth="1"/>
    <col min="517" max="517" width="49" bestFit="1" customWidth="1"/>
    <col min="518" max="518" width="3" bestFit="1" customWidth="1"/>
    <col min="519" max="519" width="34.5546875" bestFit="1" customWidth="1"/>
    <col min="520" max="520" width="47.77734375" bestFit="1" customWidth="1"/>
    <col min="521" max="521" width="50.77734375" bestFit="1" customWidth="1"/>
    <col min="522" max="522" width="17.109375" bestFit="1" customWidth="1"/>
    <col min="523" max="523" width="22.21875" bestFit="1" customWidth="1"/>
    <col min="524" max="524" width="21.44140625" bestFit="1" customWidth="1"/>
    <col min="525" max="525" width="22.88671875" bestFit="1" customWidth="1"/>
    <col min="526" max="526" width="23.5546875" bestFit="1" customWidth="1"/>
    <col min="527" max="527" width="75" bestFit="1" customWidth="1"/>
    <col min="528" max="528" width="31.88671875" bestFit="1" customWidth="1"/>
    <col min="529" max="529" width="22.5546875" bestFit="1" customWidth="1"/>
    <col min="530" max="530" width="23.77734375" bestFit="1" customWidth="1"/>
    <col min="531" max="531" width="35" bestFit="1" customWidth="1"/>
    <col min="532" max="532" width="47.21875" bestFit="1" customWidth="1"/>
    <col min="533" max="533" width="42.6640625" bestFit="1" customWidth="1"/>
    <col min="534" max="534" width="33" bestFit="1" customWidth="1"/>
    <col min="535" max="535" width="34.77734375" bestFit="1" customWidth="1"/>
    <col min="536" max="536" width="32.109375" bestFit="1" customWidth="1"/>
    <col min="537" max="537" width="42.88671875" bestFit="1" customWidth="1"/>
    <col min="538" max="538" width="60" bestFit="1" customWidth="1"/>
    <col min="539" max="539" width="30.33203125" bestFit="1" customWidth="1"/>
    <col min="540" max="540" width="20.5546875" bestFit="1" customWidth="1"/>
    <col min="541" max="541" width="24.21875" bestFit="1" customWidth="1"/>
    <col min="542" max="542" width="4.88671875" bestFit="1" customWidth="1"/>
    <col min="543" max="543" width="84.109375" bestFit="1" customWidth="1"/>
    <col min="544" max="544" width="38.77734375" bestFit="1" customWidth="1"/>
    <col min="545" max="545" width="13.88671875" bestFit="1" customWidth="1"/>
    <col min="546" max="546" width="11.6640625" bestFit="1" customWidth="1"/>
    <col min="547" max="547" width="19.109375" bestFit="1" customWidth="1"/>
    <col min="548" max="548" width="18.88671875" bestFit="1" customWidth="1"/>
    <col min="549" max="549" width="24.44140625" bestFit="1" customWidth="1"/>
    <col min="550" max="550" width="32.5546875" bestFit="1" customWidth="1"/>
    <col min="551" max="551" width="25.44140625" bestFit="1" customWidth="1"/>
    <col min="552" max="552" width="33.6640625" bestFit="1" customWidth="1"/>
    <col min="553" max="553" width="44.109375" bestFit="1" customWidth="1"/>
    <col min="554" max="554" width="42.6640625" bestFit="1" customWidth="1"/>
    <col min="555" max="555" width="25.5546875" bestFit="1" customWidth="1"/>
    <col min="556" max="556" width="105.5546875" bestFit="1" customWidth="1"/>
    <col min="557" max="557" width="80.6640625" bestFit="1" customWidth="1"/>
    <col min="558" max="558" width="58.6640625" bestFit="1" customWidth="1"/>
    <col min="559" max="559" width="87.6640625" bestFit="1" customWidth="1"/>
    <col min="560" max="560" width="36" bestFit="1" customWidth="1"/>
    <col min="561" max="561" width="12.88671875" bestFit="1" customWidth="1"/>
    <col min="562" max="562" width="66.88671875" bestFit="1" customWidth="1"/>
    <col min="563" max="563" width="71.88671875" bestFit="1" customWidth="1"/>
    <col min="564" max="564" width="34.44140625" bestFit="1" customWidth="1"/>
    <col min="565" max="565" width="32.33203125" bestFit="1" customWidth="1"/>
    <col min="566" max="566" width="81.6640625" bestFit="1" customWidth="1"/>
    <col min="567" max="567" width="125.88671875" bestFit="1" customWidth="1"/>
    <col min="568" max="568" width="9.109375" bestFit="1" customWidth="1"/>
    <col min="569" max="569" width="31" bestFit="1" customWidth="1"/>
    <col min="570" max="570" width="42.21875" bestFit="1" customWidth="1"/>
    <col min="571" max="571" width="47.88671875" bestFit="1" customWidth="1"/>
    <col min="572" max="572" width="39.6640625" bestFit="1" customWidth="1"/>
    <col min="573" max="573" width="44.88671875" bestFit="1" customWidth="1"/>
    <col min="574" max="574" width="98.5546875" bestFit="1" customWidth="1"/>
    <col min="575" max="575" width="18.109375" bestFit="1" customWidth="1"/>
    <col min="576" max="576" width="67.5546875" bestFit="1" customWidth="1"/>
    <col min="577" max="577" width="60.5546875" bestFit="1" customWidth="1"/>
    <col min="578" max="578" width="21.5546875" bestFit="1" customWidth="1"/>
    <col min="579" max="579" width="29.88671875" bestFit="1" customWidth="1"/>
    <col min="580" max="580" width="58.77734375" bestFit="1" customWidth="1"/>
    <col min="581" max="581" width="23.21875" bestFit="1" customWidth="1"/>
    <col min="582" max="582" width="9.88671875" bestFit="1" customWidth="1"/>
    <col min="583" max="583" width="8.21875" bestFit="1" customWidth="1"/>
    <col min="584" max="584" width="89.44140625" bestFit="1" customWidth="1"/>
    <col min="585" max="585" width="23.21875" bestFit="1" customWidth="1"/>
    <col min="586" max="586" width="15.33203125" bestFit="1" customWidth="1"/>
    <col min="587" max="587" width="17.5546875" bestFit="1" customWidth="1"/>
    <col min="588" max="588" width="13.109375" bestFit="1" customWidth="1"/>
    <col min="589" max="589" width="19.77734375" bestFit="1" customWidth="1"/>
    <col min="590" max="590" width="135.109375" bestFit="1" customWidth="1"/>
    <col min="591" max="591" width="60.33203125" bestFit="1" customWidth="1"/>
    <col min="592" max="592" width="32.5546875" bestFit="1" customWidth="1"/>
    <col min="593" max="593" width="112" bestFit="1" customWidth="1"/>
    <col min="594" max="594" width="82.88671875" bestFit="1" customWidth="1"/>
    <col min="595" max="595" width="83" bestFit="1" customWidth="1"/>
    <col min="596" max="596" width="25.33203125" bestFit="1" customWidth="1"/>
    <col min="597" max="597" width="22.21875" bestFit="1" customWidth="1"/>
    <col min="598" max="598" width="29.21875" bestFit="1" customWidth="1"/>
    <col min="599" max="599" width="58.6640625" bestFit="1" customWidth="1"/>
    <col min="600" max="600" width="115.77734375" bestFit="1" customWidth="1"/>
    <col min="601" max="601" width="70.109375" bestFit="1" customWidth="1"/>
    <col min="602" max="602" width="219.6640625" bestFit="1" customWidth="1"/>
    <col min="603" max="603" width="68.21875" bestFit="1" customWidth="1"/>
    <col min="604" max="604" width="20.33203125" bestFit="1" customWidth="1"/>
    <col min="605" max="605" width="38.77734375" bestFit="1" customWidth="1"/>
    <col min="606" max="606" width="10.6640625" bestFit="1" customWidth="1"/>
    <col min="607" max="607" width="64.88671875" bestFit="1" customWidth="1"/>
    <col min="608" max="608" width="122.33203125" bestFit="1" customWidth="1"/>
    <col min="609" max="609" width="47.33203125" bestFit="1" customWidth="1"/>
    <col min="610" max="610" width="32.5546875" bestFit="1" customWidth="1"/>
    <col min="611" max="611" width="27.44140625" bestFit="1" customWidth="1"/>
    <col min="612" max="612" width="33.6640625" bestFit="1" customWidth="1"/>
    <col min="613" max="613" width="101" bestFit="1" customWidth="1"/>
    <col min="614" max="614" width="103.33203125" bestFit="1" customWidth="1"/>
    <col min="615" max="615" width="76.21875" bestFit="1" customWidth="1"/>
    <col min="616" max="616" width="46.88671875" bestFit="1" customWidth="1"/>
    <col min="617" max="617" width="49.6640625" bestFit="1" customWidth="1"/>
    <col min="618" max="618" width="6.77734375" bestFit="1" customWidth="1"/>
    <col min="619" max="619" width="35.33203125" bestFit="1" customWidth="1"/>
    <col min="620" max="620" width="5.5546875" bestFit="1" customWidth="1"/>
    <col min="621" max="621" width="15.88671875" bestFit="1" customWidth="1"/>
    <col min="622" max="622" width="58.33203125" bestFit="1" customWidth="1"/>
    <col min="623" max="623" width="39.44140625" bestFit="1" customWidth="1"/>
    <col min="624" max="624" width="35.88671875" bestFit="1" customWidth="1"/>
    <col min="625" max="625" width="15" bestFit="1" customWidth="1"/>
    <col min="626" max="626" width="13.5546875" bestFit="1" customWidth="1"/>
    <col min="627" max="627" width="19.6640625" bestFit="1" customWidth="1"/>
    <col min="628" max="628" width="20.88671875" bestFit="1" customWidth="1"/>
    <col min="629" max="629" width="22.77734375" bestFit="1" customWidth="1"/>
    <col min="630" max="630" width="35.21875" bestFit="1" customWidth="1"/>
    <col min="631" max="631" width="7.88671875" bestFit="1" customWidth="1"/>
    <col min="632" max="632" width="255.77734375" bestFit="1" customWidth="1"/>
    <col min="633" max="633" width="59" bestFit="1" customWidth="1"/>
    <col min="634" max="634" width="10" bestFit="1" customWidth="1"/>
    <col min="635" max="635" width="65.88671875" bestFit="1" customWidth="1"/>
    <col min="636" max="636" width="26" bestFit="1" customWidth="1"/>
    <col min="637" max="637" width="29.77734375" bestFit="1" customWidth="1"/>
    <col min="638" max="638" width="19.21875" bestFit="1" customWidth="1"/>
    <col min="639" max="639" width="21.5546875" bestFit="1" customWidth="1"/>
    <col min="640" max="640" width="15.6640625" bestFit="1" customWidth="1"/>
    <col min="641" max="641" width="41.109375" bestFit="1" customWidth="1"/>
    <col min="642" max="642" width="27.33203125" bestFit="1" customWidth="1"/>
    <col min="643" max="643" width="19.109375" bestFit="1" customWidth="1"/>
    <col min="644" max="644" width="17.44140625" bestFit="1" customWidth="1"/>
    <col min="645" max="645" width="81.88671875" bestFit="1" customWidth="1"/>
    <col min="646" max="646" width="10.44140625" bestFit="1" customWidth="1"/>
    <col min="647" max="647" width="11" bestFit="1" customWidth="1"/>
    <col min="648" max="648" width="85.109375" bestFit="1" customWidth="1"/>
    <col min="649" max="649" width="186.6640625" bestFit="1" customWidth="1"/>
    <col min="650" max="650" width="47.5546875" bestFit="1" customWidth="1"/>
    <col min="651" max="651" width="24.109375" bestFit="1" customWidth="1"/>
    <col min="652" max="652" width="39" bestFit="1" customWidth="1"/>
    <col min="653" max="653" width="18.21875" bestFit="1" customWidth="1"/>
    <col min="654" max="654" width="42.44140625" bestFit="1" customWidth="1"/>
    <col min="655" max="655" width="30.109375" bestFit="1" customWidth="1"/>
    <col min="656" max="656" width="32" bestFit="1" customWidth="1"/>
    <col min="657" max="657" width="29.6640625" bestFit="1" customWidth="1"/>
    <col min="658" max="658" width="22.109375" bestFit="1" customWidth="1"/>
    <col min="659" max="659" width="36.21875" bestFit="1" customWidth="1"/>
    <col min="660" max="660" width="36.109375" bestFit="1" customWidth="1"/>
    <col min="661" max="661" width="48.5546875" bestFit="1" customWidth="1"/>
    <col min="662" max="662" width="32" bestFit="1" customWidth="1"/>
    <col min="663" max="663" width="38" bestFit="1" customWidth="1"/>
    <col min="664" max="664" width="60.44140625" bestFit="1" customWidth="1"/>
    <col min="665" max="665" width="60.109375" bestFit="1" customWidth="1"/>
    <col min="666" max="666" width="50.5546875" bestFit="1" customWidth="1"/>
    <col min="667" max="667" width="40.33203125" bestFit="1" customWidth="1"/>
    <col min="668" max="668" width="28.44140625" bestFit="1" customWidth="1"/>
    <col min="669" max="669" width="40" bestFit="1" customWidth="1"/>
    <col min="670" max="670" width="91.88671875" bestFit="1" customWidth="1"/>
    <col min="671" max="671" width="82.77734375" bestFit="1" customWidth="1"/>
    <col min="672" max="672" width="57.33203125" bestFit="1" customWidth="1"/>
    <col min="673" max="673" width="36.109375" bestFit="1" customWidth="1"/>
    <col min="674" max="674" width="74" bestFit="1" customWidth="1"/>
    <col min="675" max="675" width="57.109375" bestFit="1" customWidth="1"/>
    <col min="676" max="676" width="52.33203125" bestFit="1" customWidth="1"/>
    <col min="677" max="677" width="14.77734375" bestFit="1" customWidth="1"/>
    <col min="678" max="678" width="180.6640625" bestFit="1" customWidth="1"/>
    <col min="679" max="679" width="46.88671875" bestFit="1" customWidth="1"/>
    <col min="680" max="680" width="86.44140625" bestFit="1" customWidth="1"/>
    <col min="681" max="681" width="60.44140625" bestFit="1" customWidth="1"/>
    <col min="682" max="682" width="29" bestFit="1" customWidth="1"/>
    <col min="683" max="683" width="49.33203125" bestFit="1" customWidth="1"/>
    <col min="684" max="684" width="72.109375" bestFit="1" customWidth="1"/>
    <col min="685" max="685" width="29.77734375" bestFit="1" customWidth="1"/>
    <col min="686" max="686" width="41.88671875" bestFit="1" customWidth="1"/>
    <col min="687" max="687" width="49.6640625" bestFit="1" customWidth="1"/>
    <col min="688" max="688" width="24.21875" bestFit="1" customWidth="1"/>
    <col min="689" max="689" width="9.33203125" bestFit="1" customWidth="1"/>
    <col min="690" max="690" width="11.88671875" bestFit="1" customWidth="1"/>
    <col min="691" max="691" width="26" bestFit="1" customWidth="1"/>
    <col min="692" max="692" width="42.88671875" bestFit="1" customWidth="1"/>
    <col min="693" max="693" width="87.77734375" bestFit="1" customWidth="1"/>
    <col min="694" max="694" width="22.77734375" bestFit="1" customWidth="1"/>
    <col min="695" max="695" width="31" bestFit="1" customWidth="1"/>
    <col min="696" max="696" width="56.6640625" bestFit="1" customWidth="1"/>
    <col min="697" max="697" width="35.109375" bestFit="1" customWidth="1"/>
    <col min="698" max="698" width="53.5546875" bestFit="1" customWidth="1"/>
    <col min="699" max="699" width="39.6640625" bestFit="1" customWidth="1"/>
    <col min="700" max="700" width="52.44140625" bestFit="1" customWidth="1"/>
    <col min="701" max="701" width="21.77734375" bestFit="1" customWidth="1"/>
    <col min="702" max="702" width="43.6640625" bestFit="1" customWidth="1"/>
    <col min="703" max="703" width="18.21875" bestFit="1" customWidth="1"/>
    <col min="704" max="704" width="122.5546875" bestFit="1" customWidth="1"/>
    <col min="705" max="705" width="44" bestFit="1" customWidth="1"/>
    <col min="706" max="706" width="54.33203125" bestFit="1" customWidth="1"/>
    <col min="707" max="707" width="39.5546875" bestFit="1" customWidth="1"/>
    <col min="708" max="708" width="62.21875" bestFit="1" customWidth="1"/>
    <col min="709" max="709" width="3.5546875" bestFit="1" customWidth="1"/>
    <col min="710" max="710" width="6" bestFit="1" customWidth="1"/>
    <col min="711" max="711" width="31.44140625" bestFit="1" customWidth="1"/>
    <col min="712" max="712" width="29.88671875" bestFit="1" customWidth="1"/>
    <col min="713" max="713" width="20.6640625" bestFit="1" customWidth="1"/>
    <col min="714" max="714" width="11.77734375" bestFit="1" customWidth="1"/>
    <col min="715" max="715" width="65.21875" bestFit="1" customWidth="1"/>
    <col min="716" max="716" width="25" bestFit="1" customWidth="1"/>
    <col min="717" max="717" width="31" bestFit="1" customWidth="1"/>
    <col min="718" max="718" width="138.21875" bestFit="1" customWidth="1"/>
    <col min="719" max="719" width="134.33203125" bestFit="1" customWidth="1"/>
    <col min="720" max="720" width="56.5546875" bestFit="1" customWidth="1"/>
    <col min="721" max="721" width="6.33203125" bestFit="1" customWidth="1"/>
    <col min="722" max="722" width="24.44140625" bestFit="1" customWidth="1"/>
    <col min="723" max="723" width="38" bestFit="1" customWidth="1"/>
    <col min="724" max="724" width="58.21875" bestFit="1" customWidth="1"/>
    <col min="725" max="725" width="32.77734375" bestFit="1" customWidth="1"/>
    <col min="726" max="726" width="22.88671875" bestFit="1" customWidth="1"/>
    <col min="727" max="727" width="32.88671875" bestFit="1" customWidth="1"/>
    <col min="728" max="728" width="29.33203125" bestFit="1" customWidth="1"/>
    <col min="729" max="729" width="27.109375" bestFit="1" customWidth="1"/>
    <col min="730" max="730" width="56" bestFit="1" customWidth="1"/>
    <col min="731" max="731" width="2.77734375" bestFit="1" customWidth="1"/>
    <col min="732" max="732" width="62.21875" bestFit="1" customWidth="1"/>
    <col min="733" max="733" width="34.88671875" bestFit="1" customWidth="1"/>
    <col min="734" max="734" width="80.88671875" bestFit="1" customWidth="1"/>
    <col min="735" max="735" width="17.77734375" bestFit="1" customWidth="1"/>
    <col min="736" max="736" width="63.6640625" bestFit="1" customWidth="1"/>
    <col min="737" max="737" width="30.77734375" bestFit="1" customWidth="1"/>
    <col min="738" max="738" width="39.88671875" bestFit="1" customWidth="1"/>
    <col min="739" max="739" width="53.44140625" bestFit="1" customWidth="1"/>
    <col min="740" max="740" width="68.5546875" bestFit="1" customWidth="1"/>
    <col min="741" max="741" width="58.44140625" bestFit="1" customWidth="1"/>
    <col min="742" max="742" width="65.109375" bestFit="1" customWidth="1"/>
    <col min="743" max="743" width="25.77734375" bestFit="1" customWidth="1"/>
    <col min="744" max="744" width="97.5546875" bestFit="1" customWidth="1"/>
    <col min="745" max="745" width="12.77734375" bestFit="1" customWidth="1"/>
    <col min="746" max="746" width="48" bestFit="1" customWidth="1"/>
    <col min="747" max="747" width="171" bestFit="1" customWidth="1"/>
    <col min="748" max="748" width="92.5546875" bestFit="1" customWidth="1"/>
    <col min="749" max="749" width="133.6640625" bestFit="1" customWidth="1"/>
    <col min="750" max="750" width="34.88671875" bestFit="1" customWidth="1"/>
    <col min="751" max="751" width="66" bestFit="1" customWidth="1"/>
    <col min="752" max="752" width="87.77734375" bestFit="1" customWidth="1"/>
    <col min="753" max="753" width="65.21875" bestFit="1" customWidth="1"/>
    <col min="754" max="754" width="39.6640625" bestFit="1" customWidth="1"/>
    <col min="755" max="755" width="26.88671875" bestFit="1" customWidth="1"/>
    <col min="756" max="756" width="46.109375" bestFit="1" customWidth="1"/>
    <col min="757" max="757" width="8.88671875" bestFit="1" customWidth="1"/>
    <col min="758" max="758" width="131.88671875" bestFit="1" customWidth="1"/>
    <col min="759" max="759" width="44.5546875" bestFit="1" customWidth="1"/>
    <col min="760" max="760" width="36.109375" bestFit="1" customWidth="1"/>
    <col min="761" max="761" width="15.33203125" bestFit="1" customWidth="1"/>
    <col min="762" max="762" width="29.5546875" bestFit="1" customWidth="1"/>
    <col min="763" max="763" width="26.44140625" bestFit="1" customWidth="1"/>
    <col min="764" max="764" width="16.33203125" bestFit="1" customWidth="1"/>
    <col min="765" max="765" width="7.6640625" bestFit="1" customWidth="1"/>
    <col min="766" max="766" width="14" bestFit="1" customWidth="1"/>
    <col min="767" max="767" width="20.44140625" bestFit="1" customWidth="1"/>
    <col min="768" max="768" width="22.33203125" bestFit="1" customWidth="1"/>
    <col min="769" max="769" width="13.33203125" bestFit="1" customWidth="1"/>
    <col min="770" max="770" width="71" bestFit="1" customWidth="1"/>
    <col min="771" max="771" width="26.109375" bestFit="1" customWidth="1"/>
    <col min="772" max="772" width="43.5546875" bestFit="1" customWidth="1"/>
    <col min="773" max="773" width="29.109375" bestFit="1" customWidth="1"/>
    <col min="774" max="774" width="36.5546875" bestFit="1" customWidth="1"/>
    <col min="775" max="775" width="37.33203125" bestFit="1" customWidth="1"/>
    <col min="776" max="776" width="24.33203125" bestFit="1" customWidth="1"/>
    <col min="777" max="777" width="46.109375" bestFit="1" customWidth="1"/>
    <col min="778" max="778" width="32.33203125" bestFit="1" customWidth="1"/>
    <col min="779" max="779" width="39.44140625" bestFit="1" customWidth="1"/>
    <col min="780" max="780" width="23.33203125" bestFit="1" customWidth="1"/>
    <col min="781" max="781" width="45.44140625" bestFit="1" customWidth="1"/>
    <col min="782" max="782" width="42.44140625" bestFit="1" customWidth="1"/>
    <col min="783" max="783" width="35.33203125" bestFit="1" customWidth="1"/>
    <col min="784" max="784" width="19.5546875" bestFit="1" customWidth="1"/>
    <col min="785" max="785" width="42.21875" bestFit="1" customWidth="1"/>
    <col min="786" max="786" width="12.33203125" bestFit="1" customWidth="1"/>
    <col min="787" max="787" width="6" bestFit="1" customWidth="1"/>
    <col min="788" max="788" width="72.88671875" bestFit="1" customWidth="1"/>
    <col min="789" max="789" width="70.109375" bestFit="1" customWidth="1"/>
    <col min="790" max="790" width="95.88671875" bestFit="1" customWidth="1"/>
    <col min="791" max="791" width="15.5546875" bestFit="1" customWidth="1"/>
    <col min="792" max="792" width="25.5546875" bestFit="1" customWidth="1"/>
    <col min="793" max="793" width="22" bestFit="1" customWidth="1"/>
    <col min="794" max="794" width="10.6640625" bestFit="1" customWidth="1"/>
    <col min="795" max="795" width="28.88671875" bestFit="1" customWidth="1"/>
    <col min="796" max="796" width="40.109375" bestFit="1" customWidth="1"/>
    <col min="797" max="797" width="21.77734375" bestFit="1" customWidth="1"/>
    <col min="798" max="798" width="20.21875" bestFit="1" customWidth="1"/>
    <col min="799" max="799" width="4.21875" bestFit="1" customWidth="1"/>
    <col min="800" max="800" width="19.77734375" bestFit="1" customWidth="1"/>
    <col min="801" max="801" width="33" bestFit="1" customWidth="1"/>
    <col min="802" max="802" width="17.33203125" bestFit="1" customWidth="1"/>
    <col min="803" max="803" width="191.77734375" bestFit="1" customWidth="1"/>
    <col min="804" max="804" width="51.6640625" bestFit="1" customWidth="1"/>
    <col min="805" max="805" width="34" bestFit="1" customWidth="1"/>
    <col min="806" max="806" width="23.44140625" bestFit="1" customWidth="1"/>
    <col min="807" max="807" width="127.109375" bestFit="1" customWidth="1"/>
    <col min="808" max="808" width="57.33203125" bestFit="1" customWidth="1"/>
    <col min="809" max="809" width="143.5546875" bestFit="1" customWidth="1"/>
    <col min="810" max="810" width="16.21875" bestFit="1" customWidth="1"/>
    <col min="811" max="811" width="23.6640625" bestFit="1" customWidth="1"/>
    <col min="812" max="812" width="36" bestFit="1" customWidth="1"/>
    <col min="813" max="813" width="19" bestFit="1" customWidth="1"/>
    <col min="814" max="814" width="5.88671875" bestFit="1" customWidth="1"/>
    <col min="815" max="815" width="43.77734375" bestFit="1" customWidth="1"/>
    <col min="816" max="816" width="14.6640625" bestFit="1" customWidth="1"/>
    <col min="817" max="817" width="13.109375" bestFit="1" customWidth="1"/>
    <col min="818" max="818" width="21.88671875" bestFit="1" customWidth="1"/>
    <col min="819" max="819" width="81.33203125" bestFit="1" customWidth="1"/>
    <col min="820" max="820" width="76.21875" bestFit="1" customWidth="1"/>
    <col min="821" max="821" width="32.6640625" bestFit="1" customWidth="1"/>
    <col min="822" max="822" width="24.109375" bestFit="1" customWidth="1"/>
    <col min="823" max="823" width="32.109375" bestFit="1" customWidth="1"/>
    <col min="824" max="824" width="27.109375" bestFit="1" customWidth="1"/>
    <col min="825" max="825" width="20.109375" bestFit="1" customWidth="1"/>
    <col min="826" max="826" width="255.77734375" bestFit="1" customWidth="1"/>
    <col min="827" max="827" width="125.77734375" bestFit="1" customWidth="1"/>
    <col min="828" max="828" width="10" bestFit="1" customWidth="1"/>
    <col min="829" max="829" width="7.77734375" bestFit="1" customWidth="1"/>
    <col min="830" max="830" width="50.6640625" bestFit="1" customWidth="1"/>
    <col min="831" max="831" width="57.109375" bestFit="1" customWidth="1"/>
    <col min="832" max="832" width="10.33203125" bestFit="1" customWidth="1"/>
    <col min="833" max="833" width="88.44140625" bestFit="1" customWidth="1"/>
    <col min="834" max="834" width="54" bestFit="1" customWidth="1"/>
    <col min="835" max="835" width="8.44140625" bestFit="1" customWidth="1"/>
    <col min="836" max="836" width="74.21875" bestFit="1" customWidth="1"/>
    <col min="837" max="837" width="45.5546875" bestFit="1" customWidth="1"/>
    <col min="838" max="838" width="89.44140625" bestFit="1" customWidth="1"/>
    <col min="839" max="839" width="20.77734375" bestFit="1" customWidth="1"/>
    <col min="840" max="840" width="17.109375" bestFit="1" customWidth="1"/>
    <col min="841" max="841" width="23.5546875" bestFit="1" customWidth="1"/>
    <col min="842" max="842" width="39" bestFit="1" customWidth="1"/>
    <col min="843" max="843" width="60.77734375" bestFit="1" customWidth="1"/>
    <col min="844" max="844" width="32.5546875" bestFit="1" customWidth="1"/>
    <col min="845" max="845" width="106" bestFit="1" customWidth="1"/>
    <col min="846" max="846" width="181" bestFit="1" customWidth="1"/>
    <col min="847" max="847" width="64.109375" bestFit="1" customWidth="1"/>
    <col min="848" max="848" width="35.77734375" bestFit="1" customWidth="1"/>
    <col min="849" max="849" width="15.6640625" bestFit="1" customWidth="1"/>
    <col min="850" max="850" width="8" bestFit="1" customWidth="1"/>
    <col min="851" max="851" width="39.5546875" bestFit="1" customWidth="1"/>
    <col min="852" max="852" width="14.21875" bestFit="1" customWidth="1"/>
    <col min="853" max="853" width="160.6640625" bestFit="1" customWidth="1"/>
    <col min="854" max="854" width="42.109375" bestFit="1" customWidth="1"/>
    <col min="855" max="855" width="7.88671875" bestFit="1" customWidth="1"/>
    <col min="856" max="856" width="37.77734375" bestFit="1" customWidth="1"/>
    <col min="857" max="857" width="31.6640625" bestFit="1" customWidth="1"/>
    <col min="858" max="858" width="22.88671875" bestFit="1" customWidth="1"/>
    <col min="859" max="859" width="3.21875" bestFit="1" customWidth="1"/>
    <col min="860" max="860" width="100" bestFit="1" customWidth="1"/>
    <col min="861" max="861" width="56.33203125" bestFit="1" customWidth="1"/>
    <col min="862" max="862" width="25.21875" bestFit="1" customWidth="1"/>
    <col min="863" max="863" width="98.77734375" bestFit="1" customWidth="1"/>
    <col min="864" max="864" width="26.109375" bestFit="1" customWidth="1"/>
    <col min="865" max="865" width="157.109375" bestFit="1" customWidth="1"/>
    <col min="866" max="866" width="23.6640625" bestFit="1" customWidth="1"/>
    <col min="867" max="867" width="110.44140625" bestFit="1" customWidth="1"/>
    <col min="868" max="868" width="33.44140625" bestFit="1" customWidth="1"/>
    <col min="869" max="869" width="74.109375" bestFit="1" customWidth="1"/>
    <col min="870" max="870" width="106.44140625" bestFit="1" customWidth="1"/>
    <col min="871" max="871" width="209.109375" bestFit="1" customWidth="1"/>
    <col min="872" max="872" width="35.77734375" bestFit="1" customWidth="1"/>
    <col min="873" max="873" width="27.44140625" bestFit="1" customWidth="1"/>
    <col min="874" max="874" width="36.88671875" bestFit="1" customWidth="1"/>
    <col min="875" max="875" width="8.44140625" bestFit="1" customWidth="1"/>
    <col min="876" max="876" width="136.77734375" bestFit="1" customWidth="1"/>
    <col min="877" max="877" width="42.21875" bestFit="1" customWidth="1"/>
    <col min="878" max="878" width="74.33203125" bestFit="1" customWidth="1"/>
    <col min="879" max="879" width="46.21875" bestFit="1" customWidth="1"/>
    <col min="880" max="880" width="9.5546875" bestFit="1" customWidth="1"/>
    <col min="881" max="881" width="34.6640625" bestFit="1" customWidth="1"/>
    <col min="882" max="882" width="15" bestFit="1" customWidth="1"/>
    <col min="883" max="883" width="128.77734375" bestFit="1" customWidth="1"/>
    <col min="884" max="884" width="86" bestFit="1" customWidth="1"/>
    <col min="885" max="885" width="85.21875" bestFit="1" customWidth="1"/>
    <col min="886" max="886" width="20" bestFit="1" customWidth="1"/>
    <col min="887" max="887" width="60.33203125" bestFit="1" customWidth="1"/>
    <col min="888" max="888" width="13" bestFit="1" customWidth="1"/>
    <col min="889" max="889" width="26.33203125" bestFit="1" customWidth="1"/>
    <col min="890" max="890" width="23.6640625" bestFit="1" customWidth="1"/>
    <col min="891" max="891" width="64.88671875" bestFit="1" customWidth="1"/>
    <col min="892" max="892" width="13.33203125" bestFit="1" customWidth="1"/>
    <col min="893" max="893" width="43" bestFit="1" customWidth="1"/>
    <col min="894" max="894" width="42.21875" bestFit="1" customWidth="1"/>
    <col min="895" max="895" width="81" bestFit="1" customWidth="1"/>
    <col min="896" max="896" width="9.77734375" bestFit="1" customWidth="1"/>
    <col min="897" max="897" width="11.88671875" bestFit="1" customWidth="1"/>
    <col min="898" max="898" width="57" bestFit="1" customWidth="1"/>
    <col min="899" max="899" width="37.44140625" bestFit="1" customWidth="1"/>
    <col min="900" max="900" width="59.21875" bestFit="1" customWidth="1"/>
    <col min="901" max="901" width="9.5546875" bestFit="1" customWidth="1"/>
    <col min="902" max="902" width="69.109375" bestFit="1" customWidth="1"/>
    <col min="903" max="903" width="44.77734375" bestFit="1" customWidth="1"/>
    <col min="904" max="904" width="53.21875" bestFit="1" customWidth="1"/>
    <col min="905" max="905" width="30.109375" bestFit="1" customWidth="1"/>
    <col min="906" max="906" width="43.44140625" bestFit="1" customWidth="1"/>
    <col min="907" max="907" width="36" bestFit="1" customWidth="1"/>
    <col min="908" max="908" width="20.44140625" bestFit="1" customWidth="1"/>
    <col min="909" max="909" width="41" bestFit="1" customWidth="1"/>
    <col min="910" max="910" width="39.77734375" bestFit="1" customWidth="1"/>
    <col min="911" max="911" width="34.77734375" bestFit="1" customWidth="1"/>
    <col min="912" max="912" width="54.5546875" bestFit="1" customWidth="1"/>
    <col min="913" max="913" width="190.5546875" bestFit="1" customWidth="1"/>
    <col min="914" max="914" width="59.88671875" bestFit="1" customWidth="1"/>
    <col min="915" max="915" width="22.77734375" bestFit="1" customWidth="1"/>
    <col min="916" max="916" width="32.5546875" bestFit="1" customWidth="1"/>
    <col min="917" max="917" width="75.5546875" bestFit="1" customWidth="1"/>
    <col min="918" max="918" width="26.88671875" bestFit="1" customWidth="1"/>
    <col min="919" max="919" width="32.88671875" bestFit="1" customWidth="1"/>
    <col min="920" max="920" width="26.6640625" bestFit="1" customWidth="1"/>
    <col min="921" max="921" width="43.21875" bestFit="1" customWidth="1"/>
    <col min="922" max="922" width="87.109375" bestFit="1" customWidth="1"/>
    <col min="923" max="923" width="76.109375" bestFit="1" customWidth="1"/>
    <col min="924" max="924" width="11" bestFit="1" customWidth="1"/>
    <col min="925" max="925" width="62.109375" bestFit="1" customWidth="1"/>
    <col min="926" max="926" width="162.5546875" bestFit="1" customWidth="1"/>
    <col min="927" max="927" width="56.109375" bestFit="1" customWidth="1"/>
    <col min="928" max="928" width="32.44140625" bestFit="1" customWidth="1"/>
    <col min="929" max="929" width="16.77734375" bestFit="1" customWidth="1"/>
    <col min="930" max="930" width="17" bestFit="1" customWidth="1"/>
    <col min="931" max="931" width="61.109375" bestFit="1" customWidth="1"/>
    <col min="932" max="932" width="28.21875" bestFit="1" customWidth="1"/>
    <col min="933" max="933" width="76.21875" bestFit="1" customWidth="1"/>
    <col min="934" max="934" width="48.6640625" bestFit="1" customWidth="1"/>
    <col min="935" max="935" width="44.77734375" bestFit="1" customWidth="1"/>
    <col min="936" max="936" width="46.5546875" bestFit="1" customWidth="1"/>
    <col min="937" max="937" width="22" bestFit="1" customWidth="1"/>
    <col min="938" max="938" width="45" bestFit="1" customWidth="1"/>
    <col min="939" max="939" width="32.21875" bestFit="1" customWidth="1"/>
    <col min="940" max="940" width="45.109375" bestFit="1" customWidth="1"/>
    <col min="941" max="941" width="5.88671875" bestFit="1" customWidth="1"/>
    <col min="942" max="942" width="63.44140625" bestFit="1" customWidth="1"/>
    <col min="943" max="943" width="14.21875" bestFit="1" customWidth="1"/>
    <col min="944" max="944" width="57" bestFit="1" customWidth="1"/>
    <col min="945" max="945" width="28.21875" bestFit="1" customWidth="1"/>
    <col min="946" max="946" width="33.6640625" bestFit="1" customWidth="1"/>
    <col min="947" max="947" width="42.88671875" bestFit="1" customWidth="1"/>
    <col min="948" max="948" width="22.5546875" bestFit="1" customWidth="1"/>
    <col min="949" max="949" width="15.33203125" bestFit="1" customWidth="1"/>
    <col min="950" max="950" width="57.44140625" bestFit="1" customWidth="1"/>
    <col min="951" max="951" width="14.6640625" bestFit="1" customWidth="1"/>
    <col min="952" max="952" width="42.109375" bestFit="1" customWidth="1"/>
    <col min="953" max="953" width="14.33203125" bestFit="1" customWidth="1"/>
    <col min="954" max="954" width="7.21875" bestFit="1" customWidth="1"/>
    <col min="955" max="955" width="24.88671875" bestFit="1" customWidth="1"/>
    <col min="956" max="956" width="34.33203125" bestFit="1" customWidth="1"/>
    <col min="957" max="957" width="85.44140625" bestFit="1" customWidth="1"/>
    <col min="958" max="958" width="25.109375" bestFit="1" customWidth="1"/>
    <col min="959" max="959" width="18.109375" bestFit="1" customWidth="1"/>
    <col min="960" max="960" width="5.88671875" bestFit="1" customWidth="1"/>
    <col min="961" max="961" width="12.33203125" bestFit="1" customWidth="1"/>
    <col min="962" max="962" width="8.21875" bestFit="1" customWidth="1"/>
    <col min="963" max="963" width="15.33203125" bestFit="1" customWidth="1"/>
    <col min="964" max="964" width="68.21875" bestFit="1" customWidth="1"/>
    <col min="965" max="965" width="76.21875" bestFit="1" customWidth="1"/>
    <col min="966" max="966" width="10" bestFit="1" customWidth="1"/>
    <col min="967" max="967" width="19.21875" bestFit="1" customWidth="1"/>
    <col min="968" max="968" width="15.6640625" bestFit="1" customWidth="1"/>
    <col min="969" max="969" width="10.44140625" bestFit="1" customWidth="1"/>
    <col min="970" max="970" width="57.33203125" bestFit="1" customWidth="1"/>
    <col min="971" max="971" width="72.109375" bestFit="1" customWidth="1"/>
    <col min="972" max="972" width="9.33203125" bestFit="1" customWidth="1"/>
    <col min="973" max="973" width="53.5546875" bestFit="1" customWidth="1"/>
    <col min="974" max="974" width="133.6640625" bestFit="1" customWidth="1"/>
    <col min="975" max="975" width="71" bestFit="1" customWidth="1"/>
    <col min="976" max="976" width="12.33203125" bestFit="1" customWidth="1"/>
    <col min="977" max="977" width="191.77734375" bestFit="1" customWidth="1"/>
    <col min="978" max="978" width="143.5546875" bestFit="1" customWidth="1"/>
    <col min="979" max="979" width="43.77734375" bestFit="1" customWidth="1"/>
    <col min="980" max="980" width="50.6640625" bestFit="1" customWidth="1"/>
    <col min="981" max="981" width="10.33203125" bestFit="1" customWidth="1"/>
    <col min="982" max="982" width="74.21875" bestFit="1" customWidth="1"/>
    <col min="983" max="983" width="39" bestFit="1" customWidth="1"/>
    <col min="984" max="984" width="32.5546875" bestFit="1" customWidth="1"/>
    <col min="985" max="985" width="35.77734375" bestFit="1" customWidth="1"/>
    <col min="986" max="986" width="31.6640625" bestFit="1" customWidth="1"/>
    <col min="987" max="987" width="22.88671875" bestFit="1" customWidth="1"/>
    <col min="988" max="988" width="98.77734375" bestFit="1" customWidth="1"/>
    <col min="989" max="989" width="42.21875" bestFit="1" customWidth="1"/>
    <col min="990" max="990" width="74.33203125" bestFit="1" customWidth="1"/>
    <col min="991" max="991" width="85.21875" bestFit="1" customWidth="1"/>
    <col min="992" max="992" width="13.33203125" bestFit="1" customWidth="1"/>
    <col min="993" max="993" width="42.21875" bestFit="1" customWidth="1"/>
    <col min="994" max="994" width="9.5546875" bestFit="1" customWidth="1"/>
    <col min="995" max="995" width="69.109375" bestFit="1" customWidth="1"/>
    <col min="996" max="996" width="53.21875" bestFit="1" customWidth="1"/>
    <col min="997" max="997" width="41" bestFit="1" customWidth="1"/>
    <col min="998" max="998" width="16.77734375" bestFit="1" customWidth="1"/>
    <col min="999" max="999" width="22" bestFit="1" customWidth="1"/>
    <col min="1000" max="1000" width="33.6640625" bestFit="1" customWidth="1"/>
    <col min="1001" max="1001" width="42.109375" bestFit="1" customWidth="1"/>
    <col min="1002" max="1002" width="5.88671875" bestFit="1" customWidth="1"/>
    <col min="1003" max="1003" width="16.77734375" bestFit="1" customWidth="1"/>
    <col min="1004" max="1004" width="12.33203125" bestFit="1" customWidth="1"/>
  </cols>
  <sheetData>
    <row r="3" spans="1:8" x14ac:dyDescent="0.25">
      <c r="A3" s="43" t="s">
        <v>4388</v>
      </c>
      <c r="B3" s="43" t="s">
        <v>4384</v>
      </c>
    </row>
    <row r="4" spans="1:8" x14ac:dyDescent="0.25">
      <c r="A4" s="43" t="s">
        <v>4386</v>
      </c>
      <c r="B4" s="14" t="s">
        <v>58</v>
      </c>
      <c r="C4" s="14" t="s">
        <v>57</v>
      </c>
      <c r="D4" s="14" t="s">
        <v>226</v>
      </c>
      <c r="E4" s="14" t="s">
        <v>144</v>
      </c>
      <c r="F4" s="14" t="s">
        <v>76</v>
      </c>
      <c r="G4" s="14" t="s">
        <v>126</v>
      </c>
      <c r="H4" s="14" t="s">
        <v>4385</v>
      </c>
    </row>
    <row r="5" spans="1:8" x14ac:dyDescent="0.25">
      <c r="A5" s="44" t="s">
        <v>2746</v>
      </c>
      <c r="B5" s="45"/>
      <c r="C5" s="45">
        <v>1</v>
      </c>
      <c r="D5" s="45"/>
      <c r="E5" s="45"/>
      <c r="F5" s="45"/>
      <c r="G5" s="45"/>
      <c r="H5" s="45">
        <v>1</v>
      </c>
    </row>
    <row r="6" spans="1:8" x14ac:dyDescent="0.25">
      <c r="A6" s="44" t="s">
        <v>3663</v>
      </c>
      <c r="B6" s="45"/>
      <c r="C6" s="45"/>
      <c r="D6" s="45"/>
      <c r="E6" s="45"/>
      <c r="F6" s="45">
        <v>1</v>
      </c>
      <c r="G6" s="45"/>
      <c r="H6" s="45">
        <v>1</v>
      </c>
    </row>
    <row r="7" spans="1:8" x14ac:dyDescent="0.25">
      <c r="A7" s="44" t="s">
        <v>1818</v>
      </c>
      <c r="B7" s="45">
        <v>1</v>
      </c>
      <c r="C7" s="45"/>
      <c r="D7" s="45"/>
      <c r="E7" s="45"/>
      <c r="F7" s="45"/>
      <c r="G7" s="45"/>
      <c r="H7" s="45">
        <v>1</v>
      </c>
    </row>
    <row r="8" spans="1:8" x14ac:dyDescent="0.25">
      <c r="A8" s="44" t="s">
        <v>1168</v>
      </c>
      <c r="B8" s="45"/>
      <c r="C8" s="45">
        <v>1</v>
      </c>
      <c r="D8" s="45"/>
      <c r="E8" s="45"/>
      <c r="F8" s="45"/>
      <c r="G8" s="45"/>
      <c r="H8" s="45">
        <v>1</v>
      </c>
    </row>
    <row r="9" spans="1:8" x14ac:dyDescent="0.25">
      <c r="A9" s="44" t="s">
        <v>3169</v>
      </c>
      <c r="B9" s="45">
        <v>1</v>
      </c>
      <c r="C9" s="45"/>
      <c r="D9" s="45"/>
      <c r="E9" s="45"/>
      <c r="F9" s="45"/>
      <c r="G9" s="45"/>
      <c r="H9" s="45">
        <v>1</v>
      </c>
    </row>
    <row r="10" spans="1:8" x14ac:dyDescent="0.25">
      <c r="A10" s="44" t="s">
        <v>3732</v>
      </c>
      <c r="B10" s="45">
        <v>1</v>
      </c>
      <c r="C10" s="45"/>
      <c r="D10" s="45"/>
      <c r="E10" s="45"/>
      <c r="F10" s="45"/>
      <c r="G10" s="45"/>
      <c r="H10" s="45">
        <v>1</v>
      </c>
    </row>
    <row r="11" spans="1:8" x14ac:dyDescent="0.25">
      <c r="A11" s="44" t="s">
        <v>1035</v>
      </c>
      <c r="B11" s="45">
        <v>1</v>
      </c>
      <c r="C11" s="45"/>
      <c r="D11" s="45"/>
      <c r="E11" s="45"/>
      <c r="F11" s="45"/>
      <c r="G11" s="45"/>
      <c r="H11" s="45">
        <v>1</v>
      </c>
    </row>
    <row r="12" spans="1:8" x14ac:dyDescent="0.25">
      <c r="A12" s="44" t="s">
        <v>3390</v>
      </c>
      <c r="B12" s="45">
        <v>1</v>
      </c>
      <c r="C12" s="45"/>
      <c r="D12" s="45"/>
      <c r="E12" s="45"/>
      <c r="F12" s="45"/>
      <c r="G12" s="45"/>
      <c r="H12" s="45">
        <v>1</v>
      </c>
    </row>
    <row r="13" spans="1:8" x14ac:dyDescent="0.25">
      <c r="A13" s="44" t="s">
        <v>373</v>
      </c>
      <c r="B13" s="45"/>
      <c r="C13" s="45">
        <v>1</v>
      </c>
      <c r="D13" s="45"/>
      <c r="E13" s="45"/>
      <c r="F13" s="45"/>
      <c r="G13" s="45"/>
      <c r="H13" s="45">
        <v>1</v>
      </c>
    </row>
    <row r="14" spans="1:8" x14ac:dyDescent="0.25">
      <c r="A14" s="44" t="s">
        <v>2453</v>
      </c>
      <c r="B14" s="45">
        <v>1</v>
      </c>
      <c r="C14" s="45"/>
      <c r="D14" s="45"/>
      <c r="E14" s="45"/>
      <c r="F14" s="45"/>
      <c r="G14" s="45"/>
      <c r="H14" s="45">
        <v>1</v>
      </c>
    </row>
    <row r="15" spans="1:8" x14ac:dyDescent="0.25">
      <c r="A15" s="44" t="s">
        <v>3547</v>
      </c>
      <c r="B15" s="45"/>
      <c r="C15" s="45">
        <v>1</v>
      </c>
      <c r="D15" s="45"/>
      <c r="E15" s="45"/>
      <c r="F15" s="45"/>
      <c r="G15" s="45"/>
      <c r="H15" s="45">
        <v>1</v>
      </c>
    </row>
    <row r="16" spans="1:8" x14ac:dyDescent="0.25">
      <c r="A16" s="44" t="s">
        <v>3458</v>
      </c>
      <c r="B16" s="45">
        <v>1</v>
      </c>
      <c r="C16" s="45"/>
      <c r="D16" s="45"/>
      <c r="E16" s="45"/>
      <c r="F16" s="45"/>
      <c r="G16" s="45"/>
      <c r="H16" s="45">
        <v>1</v>
      </c>
    </row>
    <row r="17" spans="1:8" x14ac:dyDescent="0.25">
      <c r="A17" s="44" t="s">
        <v>3178</v>
      </c>
      <c r="B17" s="45">
        <v>1</v>
      </c>
      <c r="C17" s="45"/>
      <c r="D17" s="45"/>
      <c r="E17" s="45"/>
      <c r="F17" s="45"/>
      <c r="G17" s="45"/>
      <c r="H17" s="45">
        <v>1</v>
      </c>
    </row>
    <row r="18" spans="1:8" x14ac:dyDescent="0.25">
      <c r="A18" s="44" t="s">
        <v>4048</v>
      </c>
      <c r="B18" s="45">
        <v>1</v>
      </c>
      <c r="C18" s="45"/>
      <c r="D18" s="45"/>
      <c r="E18" s="45"/>
      <c r="F18" s="45"/>
      <c r="G18" s="45"/>
      <c r="H18" s="45">
        <v>1</v>
      </c>
    </row>
    <row r="19" spans="1:8" x14ac:dyDescent="0.25">
      <c r="A19" s="44" t="s">
        <v>3395</v>
      </c>
      <c r="B19" s="45">
        <v>1</v>
      </c>
      <c r="C19" s="45"/>
      <c r="D19" s="45"/>
      <c r="E19" s="45"/>
      <c r="F19" s="45"/>
      <c r="G19" s="45"/>
      <c r="H19" s="45">
        <v>1</v>
      </c>
    </row>
    <row r="20" spans="1:8" x14ac:dyDescent="0.25">
      <c r="A20" s="44" t="s">
        <v>3502</v>
      </c>
      <c r="B20" s="45">
        <v>1</v>
      </c>
      <c r="C20" s="45"/>
      <c r="D20" s="45"/>
      <c r="E20" s="45"/>
      <c r="F20" s="45"/>
      <c r="G20" s="45"/>
      <c r="H20" s="45">
        <v>1</v>
      </c>
    </row>
    <row r="21" spans="1:8" x14ac:dyDescent="0.25">
      <c r="A21" s="44" t="s">
        <v>2140</v>
      </c>
      <c r="B21" s="45">
        <v>1</v>
      </c>
      <c r="C21" s="45"/>
      <c r="D21" s="45"/>
      <c r="E21" s="45"/>
      <c r="F21" s="45"/>
      <c r="G21" s="45"/>
      <c r="H21" s="45">
        <v>1</v>
      </c>
    </row>
    <row r="22" spans="1:8" x14ac:dyDescent="0.25">
      <c r="A22" s="44" t="s">
        <v>3173</v>
      </c>
      <c r="B22" s="45"/>
      <c r="C22" s="45"/>
      <c r="D22" s="45"/>
      <c r="E22" s="45"/>
      <c r="F22" s="45">
        <v>1</v>
      </c>
      <c r="G22" s="45"/>
      <c r="H22" s="45">
        <v>1</v>
      </c>
    </row>
    <row r="23" spans="1:8" x14ac:dyDescent="0.25">
      <c r="A23" s="44" t="s">
        <v>3445</v>
      </c>
      <c r="B23" s="45"/>
      <c r="C23" s="45"/>
      <c r="D23" s="45"/>
      <c r="E23" s="45"/>
      <c r="F23" s="45"/>
      <c r="G23" s="45">
        <v>1</v>
      </c>
      <c r="H23" s="45">
        <v>1</v>
      </c>
    </row>
    <row r="24" spans="1:8" x14ac:dyDescent="0.25">
      <c r="A24" s="44" t="s">
        <v>3565</v>
      </c>
      <c r="B24" s="45"/>
      <c r="C24" s="45"/>
      <c r="D24" s="45"/>
      <c r="E24" s="45"/>
      <c r="F24" s="45">
        <v>1</v>
      </c>
      <c r="G24" s="45"/>
      <c r="H24" s="45">
        <v>1</v>
      </c>
    </row>
    <row r="25" spans="1:8" x14ac:dyDescent="0.25">
      <c r="A25" s="44" t="s">
        <v>1570</v>
      </c>
      <c r="B25" s="45"/>
      <c r="C25" s="45">
        <v>1</v>
      </c>
      <c r="D25" s="45"/>
      <c r="E25" s="45"/>
      <c r="F25" s="45"/>
      <c r="G25" s="45"/>
      <c r="H25" s="45">
        <v>1</v>
      </c>
    </row>
    <row r="26" spans="1:8" x14ac:dyDescent="0.25">
      <c r="A26" s="44" t="s">
        <v>2912</v>
      </c>
      <c r="B26" s="45"/>
      <c r="C26" s="45"/>
      <c r="D26" s="45"/>
      <c r="E26" s="45"/>
      <c r="F26" s="45">
        <v>1</v>
      </c>
      <c r="G26" s="45"/>
      <c r="H26" s="45">
        <v>1</v>
      </c>
    </row>
    <row r="27" spans="1:8" x14ac:dyDescent="0.25">
      <c r="A27" s="44" t="s">
        <v>703</v>
      </c>
      <c r="B27" s="45"/>
      <c r="C27" s="45"/>
      <c r="D27" s="45"/>
      <c r="E27" s="45"/>
      <c r="F27" s="45"/>
      <c r="G27" s="45">
        <v>1</v>
      </c>
      <c r="H27" s="45">
        <v>1</v>
      </c>
    </row>
    <row r="28" spans="1:8" x14ac:dyDescent="0.25">
      <c r="A28" s="44" t="s">
        <v>1220</v>
      </c>
      <c r="B28" s="45"/>
      <c r="C28" s="45"/>
      <c r="D28" s="45"/>
      <c r="E28" s="45"/>
      <c r="F28" s="45">
        <v>1</v>
      </c>
      <c r="G28" s="45"/>
      <c r="H28" s="45">
        <v>1</v>
      </c>
    </row>
    <row r="29" spans="1:8" x14ac:dyDescent="0.25">
      <c r="A29" s="44" t="s">
        <v>2936</v>
      </c>
      <c r="B29" s="45">
        <v>1</v>
      </c>
      <c r="C29" s="45"/>
      <c r="D29" s="45"/>
      <c r="E29" s="45"/>
      <c r="F29" s="45"/>
      <c r="G29" s="45"/>
      <c r="H29" s="45">
        <v>1</v>
      </c>
    </row>
    <row r="30" spans="1:8" x14ac:dyDescent="0.25">
      <c r="A30" s="44" t="s">
        <v>648</v>
      </c>
      <c r="B30" s="45">
        <v>1</v>
      </c>
      <c r="C30" s="45"/>
      <c r="D30" s="45"/>
      <c r="E30" s="45"/>
      <c r="F30" s="45"/>
      <c r="G30" s="45"/>
      <c r="H30" s="45">
        <v>1</v>
      </c>
    </row>
    <row r="31" spans="1:8" x14ac:dyDescent="0.25">
      <c r="A31" s="44" t="s">
        <v>643</v>
      </c>
      <c r="B31" s="45"/>
      <c r="C31" s="45"/>
      <c r="D31" s="45"/>
      <c r="E31" s="45"/>
      <c r="F31" s="45">
        <v>1</v>
      </c>
      <c r="G31" s="45"/>
      <c r="H31" s="45">
        <v>1</v>
      </c>
    </row>
    <row r="32" spans="1:8" x14ac:dyDescent="0.25">
      <c r="A32" s="44" t="s">
        <v>950</v>
      </c>
      <c r="B32" s="45"/>
      <c r="C32" s="45"/>
      <c r="D32" s="45"/>
      <c r="E32" s="45"/>
      <c r="F32" s="45"/>
      <c r="G32" s="45">
        <v>1</v>
      </c>
      <c r="H32" s="45">
        <v>1</v>
      </c>
    </row>
    <row r="33" spans="1:8" x14ac:dyDescent="0.25">
      <c r="A33" s="44" t="s">
        <v>3451</v>
      </c>
      <c r="B33" s="45"/>
      <c r="C33" s="45"/>
      <c r="D33" s="45"/>
      <c r="E33" s="45"/>
      <c r="F33" s="45">
        <v>1</v>
      </c>
      <c r="G33" s="45"/>
      <c r="H33" s="45">
        <v>1</v>
      </c>
    </row>
    <row r="34" spans="1:8" x14ac:dyDescent="0.25">
      <c r="A34" s="44" t="s">
        <v>1477</v>
      </c>
      <c r="B34" s="45"/>
      <c r="C34" s="45"/>
      <c r="D34" s="45"/>
      <c r="E34" s="45"/>
      <c r="F34" s="45">
        <v>1</v>
      </c>
      <c r="G34" s="45"/>
      <c r="H34" s="45">
        <v>1</v>
      </c>
    </row>
    <row r="35" spans="1:8" x14ac:dyDescent="0.25">
      <c r="A35" s="44" t="s">
        <v>2743</v>
      </c>
      <c r="B35" s="45">
        <v>1</v>
      </c>
      <c r="C35" s="45"/>
      <c r="D35" s="45"/>
      <c r="E35" s="45"/>
      <c r="F35" s="45"/>
      <c r="G35" s="45"/>
      <c r="H35" s="45">
        <v>1</v>
      </c>
    </row>
    <row r="36" spans="1:8" x14ac:dyDescent="0.25">
      <c r="A36" s="44" t="s">
        <v>1212</v>
      </c>
      <c r="B36" s="45">
        <v>1</v>
      </c>
      <c r="C36" s="45"/>
      <c r="D36" s="45"/>
      <c r="E36" s="45"/>
      <c r="F36" s="45"/>
      <c r="G36" s="45"/>
      <c r="H36" s="45">
        <v>1</v>
      </c>
    </row>
    <row r="37" spans="1:8" x14ac:dyDescent="0.25">
      <c r="A37" s="44" t="s">
        <v>958</v>
      </c>
      <c r="B37" s="45">
        <v>1</v>
      </c>
      <c r="C37" s="45"/>
      <c r="D37" s="45"/>
      <c r="E37" s="45"/>
      <c r="F37" s="45"/>
      <c r="G37" s="45"/>
      <c r="H37" s="45">
        <v>1</v>
      </c>
    </row>
    <row r="38" spans="1:8" x14ac:dyDescent="0.25">
      <c r="A38" s="44" t="s">
        <v>1940</v>
      </c>
      <c r="B38" s="45"/>
      <c r="C38" s="45"/>
      <c r="D38" s="45"/>
      <c r="E38" s="45"/>
      <c r="F38" s="45">
        <v>1</v>
      </c>
      <c r="G38" s="45"/>
      <c r="H38" s="45">
        <v>1</v>
      </c>
    </row>
    <row r="39" spans="1:8" x14ac:dyDescent="0.25">
      <c r="A39" s="44" t="s">
        <v>3550</v>
      </c>
      <c r="B39" s="45">
        <v>1</v>
      </c>
      <c r="C39" s="45"/>
      <c r="D39" s="45"/>
      <c r="E39" s="45"/>
      <c r="F39" s="45"/>
      <c r="G39" s="45"/>
      <c r="H39" s="45">
        <v>1</v>
      </c>
    </row>
    <row r="40" spans="1:8" x14ac:dyDescent="0.25">
      <c r="A40" s="44" t="s">
        <v>1880</v>
      </c>
      <c r="B40" s="45"/>
      <c r="C40" s="45">
        <v>1</v>
      </c>
      <c r="D40" s="45"/>
      <c r="E40" s="45"/>
      <c r="F40" s="45"/>
      <c r="G40" s="45"/>
      <c r="H40" s="45">
        <v>1</v>
      </c>
    </row>
    <row r="41" spans="1:8" x14ac:dyDescent="0.25">
      <c r="A41" s="44" t="s">
        <v>1524</v>
      </c>
      <c r="B41" s="45">
        <v>1</v>
      </c>
      <c r="C41" s="45"/>
      <c r="D41" s="45"/>
      <c r="E41" s="45"/>
      <c r="F41" s="45"/>
      <c r="G41" s="45"/>
      <c r="H41" s="45">
        <v>1</v>
      </c>
    </row>
    <row r="42" spans="1:8" x14ac:dyDescent="0.25">
      <c r="A42" s="44" t="s">
        <v>590</v>
      </c>
      <c r="B42" s="45"/>
      <c r="C42" s="45"/>
      <c r="D42" s="45"/>
      <c r="E42" s="45"/>
      <c r="F42" s="45">
        <v>1</v>
      </c>
      <c r="G42" s="45"/>
      <c r="H42" s="45">
        <v>1</v>
      </c>
    </row>
    <row r="43" spans="1:8" x14ac:dyDescent="0.25">
      <c r="A43" s="44" t="s">
        <v>3438</v>
      </c>
      <c r="B43" s="45">
        <v>1</v>
      </c>
      <c r="C43" s="45"/>
      <c r="D43" s="45"/>
      <c r="E43" s="45"/>
      <c r="F43" s="45"/>
      <c r="G43" s="45"/>
      <c r="H43" s="45">
        <v>1</v>
      </c>
    </row>
    <row r="44" spans="1:8" x14ac:dyDescent="0.25">
      <c r="A44" s="44" t="s">
        <v>2080</v>
      </c>
      <c r="B44" s="45"/>
      <c r="C44" s="45">
        <v>1</v>
      </c>
      <c r="D44" s="45"/>
      <c r="E44" s="45"/>
      <c r="F44" s="45"/>
      <c r="G44" s="45"/>
      <c r="H44" s="45">
        <v>1</v>
      </c>
    </row>
    <row r="45" spans="1:8" x14ac:dyDescent="0.25">
      <c r="A45" s="44" t="s">
        <v>2044</v>
      </c>
      <c r="B45" s="45"/>
      <c r="C45" s="45"/>
      <c r="D45" s="45"/>
      <c r="E45" s="45">
        <v>1</v>
      </c>
      <c r="F45" s="45"/>
      <c r="G45" s="45"/>
      <c r="H45" s="45">
        <v>1</v>
      </c>
    </row>
    <row r="46" spans="1:8" x14ac:dyDescent="0.25">
      <c r="A46" s="44" t="s">
        <v>720</v>
      </c>
      <c r="B46" s="45"/>
      <c r="C46" s="45"/>
      <c r="D46" s="45"/>
      <c r="E46" s="45"/>
      <c r="F46" s="45"/>
      <c r="G46" s="45">
        <v>1</v>
      </c>
      <c r="H46" s="45">
        <v>1</v>
      </c>
    </row>
    <row r="47" spans="1:8" x14ac:dyDescent="0.25">
      <c r="A47" s="44" t="s">
        <v>2733</v>
      </c>
      <c r="B47" s="45"/>
      <c r="C47" s="45"/>
      <c r="D47" s="45"/>
      <c r="E47" s="45"/>
      <c r="F47" s="45">
        <v>1</v>
      </c>
      <c r="G47" s="45"/>
      <c r="H47" s="45">
        <v>1</v>
      </c>
    </row>
    <row r="48" spans="1:8" x14ac:dyDescent="0.25">
      <c r="A48" s="44" t="s">
        <v>1066</v>
      </c>
      <c r="B48" s="45"/>
      <c r="C48" s="45">
        <v>1</v>
      </c>
      <c r="D48" s="45"/>
      <c r="E48" s="45"/>
      <c r="F48" s="45"/>
      <c r="G48" s="45"/>
      <c r="H48" s="45">
        <v>1</v>
      </c>
    </row>
    <row r="49" spans="1:8" x14ac:dyDescent="0.25">
      <c r="A49" s="44" t="s">
        <v>2255</v>
      </c>
      <c r="B49" s="45"/>
      <c r="C49" s="45"/>
      <c r="D49" s="45"/>
      <c r="E49" s="45"/>
      <c r="F49" s="45">
        <v>1</v>
      </c>
      <c r="G49" s="45"/>
      <c r="H49" s="45">
        <v>1</v>
      </c>
    </row>
    <row r="50" spans="1:8" x14ac:dyDescent="0.25">
      <c r="A50" s="44" t="s">
        <v>1486</v>
      </c>
      <c r="B50" s="45"/>
      <c r="C50" s="45">
        <v>1</v>
      </c>
      <c r="D50" s="45"/>
      <c r="E50" s="45"/>
      <c r="F50" s="45"/>
      <c r="G50" s="45"/>
      <c r="H50" s="45">
        <v>1</v>
      </c>
    </row>
    <row r="51" spans="1:8" x14ac:dyDescent="0.25">
      <c r="A51" s="44" t="s">
        <v>3020</v>
      </c>
      <c r="B51" s="45">
        <v>1</v>
      </c>
      <c r="C51" s="45"/>
      <c r="D51" s="45"/>
      <c r="E51" s="45"/>
      <c r="F51" s="45"/>
      <c r="G51" s="45"/>
      <c r="H51" s="45">
        <v>1</v>
      </c>
    </row>
    <row r="52" spans="1:8" x14ac:dyDescent="0.25">
      <c r="A52" s="44" t="s">
        <v>2183</v>
      </c>
      <c r="B52" s="45">
        <v>1</v>
      </c>
      <c r="C52" s="45"/>
      <c r="D52" s="45"/>
      <c r="E52" s="45"/>
      <c r="F52" s="45"/>
      <c r="G52" s="45"/>
      <c r="H52" s="45">
        <v>1</v>
      </c>
    </row>
    <row r="53" spans="1:8" x14ac:dyDescent="0.25">
      <c r="A53" s="44" t="s">
        <v>3109</v>
      </c>
      <c r="B53" s="45"/>
      <c r="C53" s="45"/>
      <c r="D53" s="45"/>
      <c r="E53" s="45"/>
      <c r="F53" s="45">
        <v>1</v>
      </c>
      <c r="G53" s="45"/>
      <c r="H53" s="45">
        <v>1</v>
      </c>
    </row>
    <row r="54" spans="1:8" x14ac:dyDescent="0.25">
      <c r="A54" s="44" t="s">
        <v>3613</v>
      </c>
      <c r="B54" s="45"/>
      <c r="C54" s="45"/>
      <c r="D54" s="45"/>
      <c r="E54" s="45"/>
      <c r="F54" s="45">
        <v>1</v>
      </c>
      <c r="G54" s="45"/>
      <c r="H54" s="45">
        <v>1</v>
      </c>
    </row>
    <row r="55" spans="1:8" x14ac:dyDescent="0.25">
      <c r="A55" s="44" t="s">
        <v>1513</v>
      </c>
      <c r="B55" s="45"/>
      <c r="C55" s="45"/>
      <c r="D55" s="45"/>
      <c r="E55" s="45"/>
      <c r="F55" s="45">
        <v>1</v>
      </c>
      <c r="G55" s="45"/>
      <c r="H55" s="45">
        <v>1</v>
      </c>
    </row>
    <row r="56" spans="1:8" x14ac:dyDescent="0.25">
      <c r="A56" s="44" t="s">
        <v>1101</v>
      </c>
      <c r="B56" s="45">
        <v>1</v>
      </c>
      <c r="C56" s="45"/>
      <c r="D56" s="45"/>
      <c r="E56" s="45"/>
      <c r="F56" s="45"/>
      <c r="G56" s="45"/>
      <c r="H56" s="45">
        <v>1</v>
      </c>
    </row>
    <row r="57" spans="1:8" x14ac:dyDescent="0.25">
      <c r="A57" s="44" t="s">
        <v>4068</v>
      </c>
      <c r="B57" s="45">
        <v>1</v>
      </c>
      <c r="C57" s="45"/>
      <c r="D57" s="45"/>
      <c r="E57" s="45"/>
      <c r="F57" s="45"/>
      <c r="G57" s="45"/>
      <c r="H57" s="45">
        <v>1</v>
      </c>
    </row>
    <row r="58" spans="1:8" x14ac:dyDescent="0.25">
      <c r="A58" s="44" t="s">
        <v>265</v>
      </c>
      <c r="B58" s="45">
        <v>1</v>
      </c>
      <c r="C58" s="45"/>
      <c r="D58" s="45"/>
      <c r="E58" s="45"/>
      <c r="F58" s="45"/>
      <c r="G58" s="45"/>
      <c r="H58" s="45">
        <v>1</v>
      </c>
    </row>
    <row r="59" spans="1:8" x14ac:dyDescent="0.25">
      <c r="A59" s="44" t="s">
        <v>3946</v>
      </c>
      <c r="B59" s="45">
        <v>1</v>
      </c>
      <c r="C59" s="45"/>
      <c r="D59" s="45"/>
      <c r="E59" s="45"/>
      <c r="F59" s="45"/>
      <c r="G59" s="45"/>
      <c r="H59" s="45">
        <v>1</v>
      </c>
    </row>
    <row r="60" spans="1:8" x14ac:dyDescent="0.25">
      <c r="A60" s="44" t="s">
        <v>3216</v>
      </c>
      <c r="B60" s="45"/>
      <c r="C60" s="45">
        <v>1</v>
      </c>
      <c r="D60" s="45"/>
      <c r="E60" s="45"/>
      <c r="F60" s="45"/>
      <c r="G60" s="45"/>
      <c r="H60" s="45">
        <v>1</v>
      </c>
    </row>
    <row r="61" spans="1:8" x14ac:dyDescent="0.25">
      <c r="A61" s="44" t="s">
        <v>961</v>
      </c>
      <c r="B61" s="45">
        <v>1</v>
      </c>
      <c r="C61" s="45"/>
      <c r="D61" s="45"/>
      <c r="E61" s="45"/>
      <c r="F61" s="45"/>
      <c r="G61" s="45"/>
      <c r="H61" s="45">
        <v>1</v>
      </c>
    </row>
    <row r="62" spans="1:8" x14ac:dyDescent="0.25">
      <c r="A62" s="44" t="s">
        <v>1618</v>
      </c>
      <c r="B62" s="45">
        <v>1</v>
      </c>
      <c r="C62" s="45"/>
      <c r="D62" s="45"/>
      <c r="E62" s="45"/>
      <c r="F62" s="45"/>
      <c r="G62" s="45"/>
      <c r="H62" s="45">
        <v>1</v>
      </c>
    </row>
    <row r="63" spans="1:8" x14ac:dyDescent="0.25">
      <c r="A63" s="44" t="s">
        <v>2736</v>
      </c>
      <c r="B63" s="45"/>
      <c r="C63" s="45"/>
      <c r="D63" s="45"/>
      <c r="E63" s="45"/>
      <c r="F63" s="45"/>
      <c r="G63" s="45">
        <v>1</v>
      </c>
      <c r="H63" s="45">
        <v>1</v>
      </c>
    </row>
    <row r="64" spans="1:8" x14ac:dyDescent="0.25">
      <c r="A64" s="44" t="s">
        <v>1581</v>
      </c>
      <c r="B64" s="45"/>
      <c r="C64" s="45"/>
      <c r="D64" s="45"/>
      <c r="E64" s="45"/>
      <c r="F64" s="45"/>
      <c r="G64" s="45">
        <v>1</v>
      </c>
      <c r="H64" s="45">
        <v>1</v>
      </c>
    </row>
    <row r="65" spans="1:8" x14ac:dyDescent="0.25">
      <c r="A65" s="44" t="s">
        <v>2023</v>
      </c>
      <c r="B65" s="45">
        <v>1</v>
      </c>
      <c r="C65" s="45"/>
      <c r="D65" s="45"/>
      <c r="E65" s="45"/>
      <c r="F65" s="45"/>
      <c r="G65" s="45"/>
      <c r="H65" s="45">
        <v>1</v>
      </c>
    </row>
    <row r="66" spans="1:8" x14ac:dyDescent="0.25">
      <c r="A66" s="44" t="s">
        <v>1969</v>
      </c>
      <c r="B66" s="45"/>
      <c r="C66" s="45"/>
      <c r="D66" s="45"/>
      <c r="E66" s="45"/>
      <c r="F66" s="45">
        <v>1</v>
      </c>
      <c r="G66" s="45"/>
      <c r="H66" s="45">
        <v>1</v>
      </c>
    </row>
    <row r="67" spans="1:8" x14ac:dyDescent="0.25">
      <c r="A67" s="44" t="s">
        <v>800</v>
      </c>
      <c r="B67" s="45"/>
      <c r="C67" s="45"/>
      <c r="D67" s="45"/>
      <c r="E67" s="45"/>
      <c r="F67" s="45"/>
      <c r="G67" s="45">
        <v>1</v>
      </c>
      <c r="H67" s="45">
        <v>1</v>
      </c>
    </row>
    <row r="68" spans="1:8" x14ac:dyDescent="0.25">
      <c r="A68" s="44" t="s">
        <v>3454</v>
      </c>
      <c r="B68" s="45">
        <v>1</v>
      </c>
      <c r="C68" s="45"/>
      <c r="D68" s="45"/>
      <c r="E68" s="45"/>
      <c r="F68" s="45"/>
      <c r="G68" s="45"/>
      <c r="H68" s="45">
        <v>1</v>
      </c>
    </row>
    <row r="69" spans="1:8" x14ac:dyDescent="0.25">
      <c r="A69" s="44" t="s">
        <v>3693</v>
      </c>
      <c r="B69" s="45">
        <v>1</v>
      </c>
      <c r="C69" s="45"/>
      <c r="D69" s="45"/>
      <c r="E69" s="45"/>
      <c r="F69" s="45"/>
      <c r="G69" s="45"/>
      <c r="H69" s="45">
        <v>1</v>
      </c>
    </row>
    <row r="70" spans="1:8" x14ac:dyDescent="0.25">
      <c r="A70" s="44" t="s">
        <v>1122</v>
      </c>
      <c r="B70" s="45">
        <v>1</v>
      </c>
      <c r="C70" s="45"/>
      <c r="D70" s="45"/>
      <c r="E70" s="45"/>
      <c r="F70" s="45"/>
      <c r="G70" s="45"/>
      <c r="H70" s="45">
        <v>1</v>
      </c>
    </row>
    <row r="71" spans="1:8" x14ac:dyDescent="0.25">
      <c r="A71" s="44" t="s">
        <v>1050</v>
      </c>
      <c r="B71" s="45">
        <v>1</v>
      </c>
      <c r="C71" s="45"/>
      <c r="D71" s="45"/>
      <c r="E71" s="45"/>
      <c r="F71" s="45"/>
      <c r="G71" s="45"/>
      <c r="H71" s="45">
        <v>1</v>
      </c>
    </row>
    <row r="72" spans="1:8" x14ac:dyDescent="0.25">
      <c r="A72" s="44" t="s">
        <v>832</v>
      </c>
      <c r="B72" s="45"/>
      <c r="C72" s="45"/>
      <c r="D72" s="45"/>
      <c r="E72" s="45"/>
      <c r="F72" s="45">
        <v>1</v>
      </c>
      <c r="G72" s="45"/>
      <c r="H72" s="45">
        <v>1</v>
      </c>
    </row>
    <row r="73" spans="1:8" x14ac:dyDescent="0.25">
      <c r="A73" s="44" t="s">
        <v>1578</v>
      </c>
      <c r="B73" s="45"/>
      <c r="C73" s="45"/>
      <c r="D73" s="45"/>
      <c r="E73" s="45"/>
      <c r="F73" s="45">
        <v>1</v>
      </c>
      <c r="G73" s="45"/>
      <c r="H73" s="45">
        <v>1</v>
      </c>
    </row>
    <row r="74" spans="1:8" x14ac:dyDescent="0.25">
      <c r="A74" s="44" t="s">
        <v>3414</v>
      </c>
      <c r="B74" s="45">
        <v>1</v>
      </c>
      <c r="C74" s="45"/>
      <c r="D74" s="45"/>
      <c r="E74" s="45"/>
      <c r="F74" s="45"/>
      <c r="G74" s="45"/>
      <c r="H74" s="45">
        <v>1</v>
      </c>
    </row>
    <row r="75" spans="1:8" x14ac:dyDescent="0.25">
      <c r="A75" s="44" t="s">
        <v>1098</v>
      </c>
      <c r="B75" s="45"/>
      <c r="C75" s="45"/>
      <c r="D75" s="45"/>
      <c r="E75" s="45"/>
      <c r="F75" s="45">
        <v>1</v>
      </c>
      <c r="G75" s="45"/>
      <c r="H75" s="45">
        <v>1</v>
      </c>
    </row>
    <row r="76" spans="1:8" x14ac:dyDescent="0.25">
      <c r="A76" s="44" t="s">
        <v>3820</v>
      </c>
      <c r="B76" s="45">
        <v>1</v>
      </c>
      <c r="C76" s="45"/>
      <c r="D76" s="45"/>
      <c r="E76" s="45"/>
      <c r="F76" s="45"/>
      <c r="G76" s="45"/>
      <c r="H76" s="45">
        <v>1</v>
      </c>
    </row>
    <row r="77" spans="1:8" x14ac:dyDescent="0.25">
      <c r="A77" s="44" t="s">
        <v>506</v>
      </c>
      <c r="B77" s="45">
        <v>1</v>
      </c>
      <c r="C77" s="45"/>
      <c r="D77" s="45"/>
      <c r="E77" s="45"/>
      <c r="F77" s="45"/>
      <c r="G77" s="45"/>
      <c r="H77" s="45">
        <v>1</v>
      </c>
    </row>
    <row r="78" spans="1:8" x14ac:dyDescent="0.25">
      <c r="A78" s="44" t="s">
        <v>2561</v>
      </c>
      <c r="B78" s="45">
        <v>1</v>
      </c>
      <c r="C78" s="45"/>
      <c r="D78" s="45"/>
      <c r="E78" s="45"/>
      <c r="F78" s="45"/>
      <c r="G78" s="45"/>
      <c r="H78" s="45">
        <v>1</v>
      </c>
    </row>
    <row r="79" spans="1:8" x14ac:dyDescent="0.25">
      <c r="A79" s="44" t="s">
        <v>1713</v>
      </c>
      <c r="B79" s="45"/>
      <c r="C79" s="45"/>
      <c r="D79" s="45"/>
      <c r="E79" s="45">
        <v>1</v>
      </c>
      <c r="F79" s="45"/>
      <c r="G79" s="45"/>
      <c r="H79" s="45">
        <v>1</v>
      </c>
    </row>
    <row r="80" spans="1:8" x14ac:dyDescent="0.25">
      <c r="A80" s="44" t="s">
        <v>3808</v>
      </c>
      <c r="B80" s="45">
        <v>1</v>
      </c>
      <c r="C80" s="45"/>
      <c r="D80" s="45"/>
      <c r="E80" s="45"/>
      <c r="F80" s="45"/>
      <c r="G80" s="45"/>
      <c r="H80" s="45">
        <v>1</v>
      </c>
    </row>
    <row r="81" spans="1:8" x14ac:dyDescent="0.25">
      <c r="A81" s="44" t="s">
        <v>311</v>
      </c>
      <c r="B81" s="45">
        <v>1</v>
      </c>
      <c r="C81" s="45"/>
      <c r="D81" s="45"/>
      <c r="E81" s="45"/>
      <c r="F81" s="45"/>
      <c r="G81" s="45"/>
      <c r="H81" s="45">
        <v>1</v>
      </c>
    </row>
    <row r="82" spans="1:8" x14ac:dyDescent="0.25">
      <c r="A82" s="44" t="s">
        <v>1156</v>
      </c>
      <c r="B82" s="45"/>
      <c r="C82" s="45">
        <v>1</v>
      </c>
      <c r="D82" s="45"/>
      <c r="E82" s="45"/>
      <c r="F82" s="45"/>
      <c r="G82" s="45"/>
      <c r="H82" s="45">
        <v>1</v>
      </c>
    </row>
    <row r="83" spans="1:8" x14ac:dyDescent="0.25">
      <c r="A83" s="44" t="s">
        <v>3684</v>
      </c>
      <c r="B83" s="45">
        <v>1</v>
      </c>
      <c r="C83" s="45"/>
      <c r="D83" s="45"/>
      <c r="E83" s="45"/>
      <c r="F83" s="45"/>
      <c r="G83" s="45"/>
      <c r="H83" s="45">
        <v>1</v>
      </c>
    </row>
    <row r="84" spans="1:8" x14ac:dyDescent="0.25">
      <c r="A84" s="44" t="s">
        <v>2944</v>
      </c>
      <c r="B84" s="45">
        <v>1</v>
      </c>
      <c r="C84" s="45"/>
      <c r="D84" s="45"/>
      <c r="E84" s="45"/>
      <c r="F84" s="45"/>
      <c r="G84" s="45"/>
      <c r="H84" s="45">
        <v>1</v>
      </c>
    </row>
    <row r="85" spans="1:8" x14ac:dyDescent="0.25">
      <c r="A85" s="44" t="s">
        <v>3172</v>
      </c>
      <c r="B85" s="45">
        <v>1</v>
      </c>
      <c r="C85" s="45"/>
      <c r="D85" s="45"/>
      <c r="E85" s="45"/>
      <c r="F85" s="45"/>
      <c r="G85" s="45"/>
      <c r="H85" s="45">
        <v>1</v>
      </c>
    </row>
    <row r="86" spans="1:8" x14ac:dyDescent="0.25">
      <c r="A86" s="44" t="s">
        <v>969</v>
      </c>
      <c r="B86" s="45"/>
      <c r="C86" s="45"/>
      <c r="D86" s="45"/>
      <c r="E86" s="45"/>
      <c r="F86" s="45">
        <v>1</v>
      </c>
      <c r="G86" s="45"/>
      <c r="H86" s="45">
        <v>1</v>
      </c>
    </row>
    <row r="87" spans="1:8" x14ac:dyDescent="0.25">
      <c r="A87" s="44" t="s">
        <v>3627</v>
      </c>
      <c r="B87" s="45">
        <v>1</v>
      </c>
      <c r="C87" s="45"/>
      <c r="D87" s="45"/>
      <c r="E87" s="45"/>
      <c r="F87" s="45"/>
      <c r="G87" s="45"/>
      <c r="H87" s="45">
        <v>1</v>
      </c>
    </row>
    <row r="88" spans="1:8" x14ac:dyDescent="0.25">
      <c r="A88" s="44" t="s">
        <v>3856</v>
      </c>
      <c r="B88" s="45"/>
      <c r="C88" s="45"/>
      <c r="D88" s="45"/>
      <c r="E88" s="45"/>
      <c r="F88" s="45"/>
      <c r="G88" s="45">
        <v>1</v>
      </c>
      <c r="H88" s="45">
        <v>1</v>
      </c>
    </row>
    <row r="89" spans="1:8" x14ac:dyDescent="0.25">
      <c r="A89" s="44" t="s">
        <v>3638</v>
      </c>
      <c r="B89" s="45"/>
      <c r="C89" s="45">
        <v>1</v>
      </c>
      <c r="D89" s="45"/>
      <c r="E89" s="45"/>
      <c r="F89" s="45"/>
      <c r="G89" s="45"/>
      <c r="H89" s="45">
        <v>1</v>
      </c>
    </row>
    <row r="90" spans="1:8" x14ac:dyDescent="0.25">
      <c r="A90" s="44" t="s">
        <v>3759</v>
      </c>
      <c r="B90" s="45">
        <v>1</v>
      </c>
      <c r="C90" s="45"/>
      <c r="D90" s="45"/>
      <c r="E90" s="45"/>
      <c r="F90" s="45"/>
      <c r="G90" s="45"/>
      <c r="H90" s="45">
        <v>1</v>
      </c>
    </row>
    <row r="91" spans="1:8" x14ac:dyDescent="0.25">
      <c r="A91" s="44" t="s">
        <v>3184</v>
      </c>
      <c r="B91" s="45">
        <v>1</v>
      </c>
      <c r="C91" s="45"/>
      <c r="D91" s="45"/>
      <c r="E91" s="45"/>
      <c r="F91" s="45"/>
      <c r="G91" s="45"/>
      <c r="H91" s="45">
        <v>1</v>
      </c>
    </row>
    <row r="92" spans="1:8" x14ac:dyDescent="0.25">
      <c r="A92" s="44" t="s">
        <v>2204</v>
      </c>
      <c r="B92" s="45"/>
      <c r="C92" s="45"/>
      <c r="D92" s="45"/>
      <c r="E92" s="45"/>
      <c r="F92" s="45"/>
      <c r="G92" s="45">
        <v>1</v>
      </c>
      <c r="H92" s="45">
        <v>1</v>
      </c>
    </row>
    <row r="93" spans="1:8" x14ac:dyDescent="0.25">
      <c r="A93" s="44" t="s">
        <v>433</v>
      </c>
      <c r="B93" s="45"/>
      <c r="C93" s="45"/>
      <c r="D93" s="45"/>
      <c r="E93" s="45"/>
      <c r="F93" s="45">
        <v>1</v>
      </c>
      <c r="G93" s="45"/>
      <c r="H93" s="45">
        <v>1</v>
      </c>
    </row>
    <row r="94" spans="1:8" x14ac:dyDescent="0.25">
      <c r="A94" s="44" t="s">
        <v>1871</v>
      </c>
      <c r="B94" s="45">
        <v>1</v>
      </c>
      <c r="C94" s="45"/>
      <c r="D94" s="45"/>
      <c r="E94" s="45"/>
      <c r="F94" s="45"/>
      <c r="G94" s="45"/>
      <c r="H94" s="45">
        <v>1</v>
      </c>
    </row>
    <row r="95" spans="1:8" x14ac:dyDescent="0.25">
      <c r="A95" s="44" t="s">
        <v>2497</v>
      </c>
      <c r="B95" s="45"/>
      <c r="C95" s="45"/>
      <c r="D95" s="45"/>
      <c r="E95" s="45"/>
      <c r="F95" s="45">
        <v>1</v>
      </c>
      <c r="G95" s="45"/>
      <c r="H95" s="45">
        <v>1</v>
      </c>
    </row>
    <row r="96" spans="1:8" x14ac:dyDescent="0.25">
      <c r="A96" s="44" t="s">
        <v>651</v>
      </c>
      <c r="B96" s="45">
        <v>2</v>
      </c>
      <c r="C96" s="45"/>
      <c r="D96" s="45"/>
      <c r="E96" s="45"/>
      <c r="F96" s="45"/>
      <c r="G96" s="45"/>
      <c r="H96" s="45">
        <v>2</v>
      </c>
    </row>
    <row r="97" spans="1:8" x14ac:dyDescent="0.25">
      <c r="A97" s="44" t="s">
        <v>934</v>
      </c>
      <c r="B97" s="45"/>
      <c r="C97" s="45"/>
      <c r="D97" s="45"/>
      <c r="E97" s="45"/>
      <c r="F97" s="45">
        <v>1</v>
      </c>
      <c r="G97" s="45"/>
      <c r="H97" s="45">
        <v>1</v>
      </c>
    </row>
    <row r="98" spans="1:8" x14ac:dyDescent="0.25">
      <c r="A98" s="44" t="s">
        <v>1723</v>
      </c>
      <c r="B98" s="45">
        <v>1</v>
      </c>
      <c r="C98" s="45"/>
      <c r="D98" s="45"/>
      <c r="E98" s="45"/>
      <c r="F98" s="45"/>
      <c r="G98" s="45"/>
      <c r="H98" s="45">
        <v>1</v>
      </c>
    </row>
    <row r="99" spans="1:8" x14ac:dyDescent="0.25">
      <c r="A99" s="44" t="s">
        <v>3702</v>
      </c>
      <c r="B99" s="45"/>
      <c r="C99" s="45">
        <v>1</v>
      </c>
      <c r="D99" s="45"/>
      <c r="E99" s="45"/>
      <c r="F99" s="45"/>
      <c r="G99" s="45"/>
      <c r="H99" s="45">
        <v>1</v>
      </c>
    </row>
    <row r="100" spans="1:8" x14ac:dyDescent="0.25">
      <c r="A100" s="44" t="s">
        <v>2231</v>
      </c>
      <c r="B100" s="45"/>
      <c r="C100" s="45"/>
      <c r="D100" s="45"/>
      <c r="E100" s="45"/>
      <c r="F100" s="45">
        <v>1</v>
      </c>
      <c r="G100" s="45"/>
      <c r="H100" s="45">
        <v>1</v>
      </c>
    </row>
    <row r="101" spans="1:8" x14ac:dyDescent="0.25">
      <c r="A101" s="44" t="s">
        <v>2405</v>
      </c>
      <c r="B101" s="45"/>
      <c r="C101" s="45"/>
      <c r="D101" s="45"/>
      <c r="E101" s="45"/>
      <c r="F101" s="45">
        <v>1</v>
      </c>
      <c r="G101" s="45"/>
      <c r="H101" s="45">
        <v>1</v>
      </c>
    </row>
    <row r="102" spans="1:8" x14ac:dyDescent="0.25">
      <c r="A102" s="44" t="s">
        <v>2781</v>
      </c>
      <c r="B102" s="45">
        <v>1</v>
      </c>
      <c r="C102" s="45"/>
      <c r="D102" s="45"/>
      <c r="E102" s="45"/>
      <c r="F102" s="45"/>
      <c r="G102" s="45"/>
      <c r="H102" s="45">
        <v>1</v>
      </c>
    </row>
    <row r="103" spans="1:8" x14ac:dyDescent="0.25">
      <c r="A103" s="44" t="s">
        <v>2502</v>
      </c>
      <c r="B103" s="45">
        <v>1</v>
      </c>
      <c r="C103" s="45"/>
      <c r="D103" s="45"/>
      <c r="E103" s="45"/>
      <c r="F103" s="45"/>
      <c r="G103" s="45"/>
      <c r="H103" s="45">
        <v>1</v>
      </c>
    </row>
    <row r="104" spans="1:8" x14ac:dyDescent="0.25">
      <c r="A104" s="44" t="s">
        <v>2392</v>
      </c>
      <c r="B104" s="45">
        <v>1</v>
      </c>
      <c r="C104" s="45"/>
      <c r="D104" s="45"/>
      <c r="E104" s="45"/>
      <c r="F104" s="45"/>
      <c r="G104" s="45"/>
      <c r="H104" s="45">
        <v>1</v>
      </c>
    </row>
    <row r="105" spans="1:8" x14ac:dyDescent="0.25">
      <c r="A105" s="44" t="s">
        <v>3677</v>
      </c>
      <c r="B105" s="45">
        <v>1</v>
      </c>
      <c r="C105" s="45"/>
      <c r="D105" s="45"/>
      <c r="E105" s="45"/>
      <c r="F105" s="45"/>
      <c r="G105" s="45"/>
      <c r="H105" s="45">
        <v>1</v>
      </c>
    </row>
    <row r="106" spans="1:8" x14ac:dyDescent="0.25">
      <c r="A106" s="44" t="s">
        <v>3088</v>
      </c>
      <c r="B106" s="45"/>
      <c r="C106" s="45"/>
      <c r="D106" s="45"/>
      <c r="E106" s="45"/>
      <c r="F106" s="45">
        <v>1</v>
      </c>
      <c r="G106" s="45"/>
      <c r="H106" s="45">
        <v>1</v>
      </c>
    </row>
    <row r="107" spans="1:8" x14ac:dyDescent="0.25">
      <c r="A107" s="44" t="s">
        <v>755</v>
      </c>
      <c r="B107" s="45">
        <v>1</v>
      </c>
      <c r="C107" s="45"/>
      <c r="D107" s="45"/>
      <c r="E107" s="45"/>
      <c r="F107" s="45"/>
      <c r="G107" s="45"/>
      <c r="H107" s="45">
        <v>1</v>
      </c>
    </row>
    <row r="108" spans="1:8" x14ac:dyDescent="0.25">
      <c r="A108" s="44" t="s">
        <v>3431</v>
      </c>
      <c r="B108" s="45">
        <v>1</v>
      </c>
      <c r="C108" s="45"/>
      <c r="D108" s="45"/>
      <c r="E108" s="45"/>
      <c r="F108" s="45"/>
      <c r="G108" s="45"/>
      <c r="H108" s="45">
        <v>1</v>
      </c>
    </row>
    <row r="109" spans="1:8" x14ac:dyDescent="0.25">
      <c r="A109" s="44" t="s">
        <v>3622</v>
      </c>
      <c r="B109" s="45"/>
      <c r="C109" s="45"/>
      <c r="D109" s="45"/>
      <c r="E109" s="45"/>
      <c r="F109" s="45">
        <v>1</v>
      </c>
      <c r="G109" s="45"/>
      <c r="H109" s="45">
        <v>1</v>
      </c>
    </row>
    <row r="110" spans="1:8" x14ac:dyDescent="0.25">
      <c r="A110" s="44" t="s">
        <v>3078</v>
      </c>
      <c r="B110" s="45"/>
      <c r="C110" s="45">
        <v>1</v>
      </c>
      <c r="D110" s="45"/>
      <c r="E110" s="45"/>
      <c r="F110" s="45"/>
      <c r="G110" s="45"/>
      <c r="H110" s="45">
        <v>1</v>
      </c>
    </row>
    <row r="111" spans="1:8" x14ac:dyDescent="0.25">
      <c r="A111" s="44" t="s">
        <v>3085</v>
      </c>
      <c r="B111" s="45"/>
      <c r="C111" s="45"/>
      <c r="D111" s="45"/>
      <c r="E111" s="45"/>
      <c r="F111" s="45"/>
      <c r="G111" s="45">
        <v>1</v>
      </c>
      <c r="H111" s="45">
        <v>1</v>
      </c>
    </row>
    <row r="112" spans="1:8" x14ac:dyDescent="0.25">
      <c r="A112" s="44" t="s">
        <v>3986</v>
      </c>
      <c r="B112" s="45">
        <v>1</v>
      </c>
      <c r="C112" s="45"/>
      <c r="D112" s="45"/>
      <c r="E112" s="45"/>
      <c r="F112" s="45"/>
      <c r="G112" s="45"/>
      <c r="H112" s="45">
        <v>1</v>
      </c>
    </row>
    <row r="113" spans="1:8" x14ac:dyDescent="0.25">
      <c r="A113" s="44" t="s">
        <v>585</v>
      </c>
      <c r="B113" s="45"/>
      <c r="C113" s="45"/>
      <c r="D113" s="45"/>
      <c r="E113" s="45"/>
      <c r="F113" s="45">
        <v>1</v>
      </c>
      <c r="G113" s="45"/>
      <c r="H113" s="45">
        <v>1</v>
      </c>
    </row>
    <row r="114" spans="1:8" x14ac:dyDescent="0.25">
      <c r="A114" s="44" t="s">
        <v>1191</v>
      </c>
      <c r="B114" s="45"/>
      <c r="C114" s="45"/>
      <c r="D114" s="45"/>
      <c r="E114" s="45"/>
      <c r="F114" s="45">
        <v>1</v>
      </c>
      <c r="G114" s="45"/>
      <c r="H114" s="45">
        <v>1</v>
      </c>
    </row>
    <row r="115" spans="1:8" x14ac:dyDescent="0.25">
      <c r="A115" s="44" t="s">
        <v>4007</v>
      </c>
      <c r="B115" s="45"/>
      <c r="C115" s="45"/>
      <c r="D115" s="45"/>
      <c r="E115" s="45"/>
      <c r="F115" s="45">
        <v>1</v>
      </c>
      <c r="G115" s="45"/>
      <c r="H115" s="45">
        <v>1</v>
      </c>
    </row>
    <row r="116" spans="1:8" x14ac:dyDescent="0.25">
      <c r="A116" s="44" t="s">
        <v>3704</v>
      </c>
      <c r="B116" s="45">
        <v>1</v>
      </c>
      <c r="C116" s="45"/>
      <c r="D116" s="45"/>
      <c r="E116" s="45"/>
      <c r="F116" s="45"/>
      <c r="G116" s="45"/>
      <c r="H116" s="45">
        <v>1</v>
      </c>
    </row>
    <row r="117" spans="1:8" x14ac:dyDescent="0.25">
      <c r="A117" s="44" t="s">
        <v>3117</v>
      </c>
      <c r="B117" s="45"/>
      <c r="C117" s="45"/>
      <c r="D117" s="45"/>
      <c r="E117" s="45"/>
      <c r="F117" s="45">
        <v>1</v>
      </c>
      <c r="G117" s="45"/>
      <c r="H117" s="45">
        <v>1</v>
      </c>
    </row>
    <row r="118" spans="1:8" x14ac:dyDescent="0.25">
      <c r="A118" s="44" t="s">
        <v>3682</v>
      </c>
      <c r="B118" s="45">
        <v>1</v>
      </c>
      <c r="C118" s="45"/>
      <c r="D118" s="45"/>
      <c r="E118" s="45"/>
      <c r="F118" s="45"/>
      <c r="G118" s="45"/>
      <c r="H118" s="45">
        <v>1</v>
      </c>
    </row>
    <row r="119" spans="1:8" x14ac:dyDescent="0.25">
      <c r="A119" s="44" t="s">
        <v>1324</v>
      </c>
      <c r="B119" s="45"/>
      <c r="C119" s="45"/>
      <c r="D119" s="45"/>
      <c r="E119" s="45"/>
      <c r="F119" s="45"/>
      <c r="G119" s="45">
        <v>1</v>
      </c>
      <c r="H119" s="45">
        <v>1</v>
      </c>
    </row>
    <row r="120" spans="1:8" x14ac:dyDescent="0.25">
      <c r="A120" s="44" t="s">
        <v>492</v>
      </c>
      <c r="B120" s="45"/>
      <c r="C120" s="45"/>
      <c r="D120" s="45"/>
      <c r="E120" s="45"/>
      <c r="F120" s="45">
        <v>1</v>
      </c>
      <c r="G120" s="45"/>
      <c r="H120" s="45">
        <v>1</v>
      </c>
    </row>
    <row r="121" spans="1:8" x14ac:dyDescent="0.25">
      <c r="A121" s="44" t="s">
        <v>1398</v>
      </c>
      <c r="B121" s="45"/>
      <c r="C121" s="45"/>
      <c r="D121" s="45"/>
      <c r="E121" s="45"/>
      <c r="F121" s="45">
        <v>1</v>
      </c>
      <c r="G121" s="45"/>
      <c r="H121" s="45">
        <v>1</v>
      </c>
    </row>
    <row r="122" spans="1:8" x14ac:dyDescent="0.25">
      <c r="A122" s="44" t="s">
        <v>782</v>
      </c>
      <c r="B122" s="45"/>
      <c r="C122" s="45">
        <v>2</v>
      </c>
      <c r="D122" s="45"/>
      <c r="E122" s="45"/>
      <c r="F122" s="45"/>
      <c r="G122" s="45"/>
      <c r="H122" s="45">
        <v>2</v>
      </c>
    </row>
    <row r="123" spans="1:8" x14ac:dyDescent="0.25">
      <c r="A123" s="44" t="s">
        <v>224</v>
      </c>
      <c r="B123" s="45">
        <v>1</v>
      </c>
      <c r="C123" s="45"/>
      <c r="D123" s="45"/>
      <c r="E123" s="45"/>
      <c r="F123" s="45">
        <v>1</v>
      </c>
      <c r="G123" s="45"/>
      <c r="H123" s="45">
        <v>2</v>
      </c>
    </row>
    <row r="124" spans="1:8" x14ac:dyDescent="0.25">
      <c r="A124" s="44" t="s">
        <v>4125</v>
      </c>
      <c r="B124" s="45"/>
      <c r="C124" s="45"/>
      <c r="D124" s="45"/>
      <c r="E124" s="45"/>
      <c r="F124" s="45">
        <v>1</v>
      </c>
      <c r="G124" s="45"/>
      <c r="H124" s="45">
        <v>1</v>
      </c>
    </row>
    <row r="125" spans="1:8" x14ac:dyDescent="0.25">
      <c r="A125" s="44" t="s">
        <v>3001</v>
      </c>
      <c r="B125" s="45">
        <v>1</v>
      </c>
      <c r="C125" s="45"/>
      <c r="D125" s="45"/>
      <c r="E125" s="45"/>
      <c r="F125" s="45"/>
      <c r="G125" s="45"/>
      <c r="H125" s="45">
        <v>1</v>
      </c>
    </row>
    <row r="126" spans="1:8" x14ac:dyDescent="0.25">
      <c r="A126" s="44" t="s">
        <v>3181</v>
      </c>
      <c r="B126" s="45">
        <v>1</v>
      </c>
      <c r="C126" s="45"/>
      <c r="D126" s="45"/>
      <c r="E126" s="45"/>
      <c r="F126" s="45"/>
      <c r="G126" s="45"/>
      <c r="H126" s="45">
        <v>1</v>
      </c>
    </row>
    <row r="127" spans="1:8" x14ac:dyDescent="0.25">
      <c r="A127" s="44" t="s">
        <v>786</v>
      </c>
      <c r="B127" s="45"/>
      <c r="C127" s="45"/>
      <c r="D127" s="45"/>
      <c r="E127" s="45"/>
      <c r="F127" s="45">
        <v>1</v>
      </c>
      <c r="G127" s="45"/>
      <c r="H127" s="45">
        <v>1</v>
      </c>
    </row>
    <row r="128" spans="1:8" x14ac:dyDescent="0.25">
      <c r="A128" s="44" t="s">
        <v>3466</v>
      </c>
      <c r="B128" s="45"/>
      <c r="C128" s="45"/>
      <c r="D128" s="45"/>
      <c r="E128" s="45"/>
      <c r="F128" s="45">
        <v>1</v>
      </c>
      <c r="G128" s="45"/>
      <c r="H128" s="45">
        <v>1</v>
      </c>
    </row>
    <row r="129" spans="1:8" x14ac:dyDescent="0.25">
      <c r="A129" s="44" t="s">
        <v>2826</v>
      </c>
      <c r="B129" s="45"/>
      <c r="C129" s="45"/>
      <c r="D129" s="45"/>
      <c r="E129" s="45"/>
      <c r="F129" s="45">
        <v>1</v>
      </c>
      <c r="G129" s="45"/>
      <c r="H129" s="45">
        <v>1</v>
      </c>
    </row>
    <row r="130" spans="1:8" x14ac:dyDescent="0.25">
      <c r="A130" s="44" t="s">
        <v>2776</v>
      </c>
      <c r="B130" s="45"/>
      <c r="C130" s="45"/>
      <c r="D130" s="45"/>
      <c r="E130" s="45"/>
      <c r="F130" s="45">
        <v>1</v>
      </c>
      <c r="G130" s="45"/>
      <c r="H130" s="45">
        <v>1</v>
      </c>
    </row>
    <row r="131" spans="1:8" x14ac:dyDescent="0.25">
      <c r="A131" s="44" t="s">
        <v>1320</v>
      </c>
      <c r="B131" s="45"/>
      <c r="C131" s="45"/>
      <c r="D131" s="45"/>
      <c r="E131" s="45"/>
      <c r="F131" s="45">
        <v>1</v>
      </c>
      <c r="G131" s="45"/>
      <c r="H131" s="45">
        <v>1</v>
      </c>
    </row>
    <row r="132" spans="1:8" x14ac:dyDescent="0.25">
      <c r="A132" s="44" t="s">
        <v>521</v>
      </c>
      <c r="B132" s="45"/>
      <c r="C132" s="45">
        <v>1</v>
      </c>
      <c r="D132" s="45"/>
      <c r="E132" s="45"/>
      <c r="F132" s="45"/>
      <c r="G132" s="45"/>
      <c r="H132" s="45">
        <v>1</v>
      </c>
    </row>
    <row r="133" spans="1:8" x14ac:dyDescent="0.25">
      <c r="A133" s="44" t="s">
        <v>3008</v>
      </c>
      <c r="B133" s="45"/>
      <c r="C133" s="45"/>
      <c r="D133" s="45"/>
      <c r="E133" s="45"/>
      <c r="F133" s="45">
        <v>1</v>
      </c>
      <c r="G133" s="45"/>
      <c r="H133" s="45">
        <v>1</v>
      </c>
    </row>
    <row r="134" spans="1:8" x14ac:dyDescent="0.25">
      <c r="A134" s="44" t="s">
        <v>3608</v>
      </c>
      <c r="B134" s="45"/>
      <c r="C134" s="45"/>
      <c r="D134" s="45"/>
      <c r="E134" s="45"/>
      <c r="F134" s="45">
        <v>1</v>
      </c>
      <c r="G134" s="45"/>
      <c r="H134" s="45">
        <v>1</v>
      </c>
    </row>
    <row r="135" spans="1:8" x14ac:dyDescent="0.25">
      <c r="A135" s="44" t="s">
        <v>3092</v>
      </c>
      <c r="B135" s="45"/>
      <c r="C135" s="45">
        <v>1</v>
      </c>
      <c r="D135" s="45"/>
      <c r="E135" s="45"/>
      <c r="F135" s="45"/>
      <c r="G135" s="45"/>
      <c r="H135" s="45">
        <v>1</v>
      </c>
    </row>
    <row r="136" spans="1:8" x14ac:dyDescent="0.25">
      <c r="A136" s="44" t="s">
        <v>3900</v>
      </c>
      <c r="B136" s="45"/>
      <c r="C136" s="45"/>
      <c r="D136" s="45"/>
      <c r="E136" s="45"/>
      <c r="F136" s="45"/>
      <c r="G136" s="45">
        <v>1</v>
      </c>
      <c r="H136" s="45">
        <v>1</v>
      </c>
    </row>
    <row r="137" spans="1:8" x14ac:dyDescent="0.25">
      <c r="A137" s="44" t="s">
        <v>1642</v>
      </c>
      <c r="B137" s="45">
        <v>1</v>
      </c>
      <c r="C137" s="45"/>
      <c r="D137" s="45"/>
      <c r="E137" s="45"/>
      <c r="F137" s="45"/>
      <c r="G137" s="45"/>
      <c r="H137" s="45">
        <v>1</v>
      </c>
    </row>
    <row r="138" spans="1:8" x14ac:dyDescent="0.25">
      <c r="A138" s="44" t="s">
        <v>1883</v>
      </c>
      <c r="B138" s="45"/>
      <c r="C138" s="45">
        <v>1</v>
      </c>
      <c r="D138" s="45"/>
      <c r="E138" s="45"/>
      <c r="F138" s="45"/>
      <c r="G138" s="45"/>
      <c r="H138" s="45">
        <v>1</v>
      </c>
    </row>
    <row r="139" spans="1:8" x14ac:dyDescent="0.25">
      <c r="A139" s="44" t="s">
        <v>740</v>
      </c>
      <c r="B139" s="45"/>
      <c r="C139" s="45"/>
      <c r="D139" s="45"/>
      <c r="E139" s="45"/>
      <c r="F139" s="45"/>
      <c r="G139" s="45">
        <v>1</v>
      </c>
      <c r="H139" s="45">
        <v>1</v>
      </c>
    </row>
    <row r="140" spans="1:8" x14ac:dyDescent="0.25">
      <c r="A140" s="44" t="s">
        <v>1518</v>
      </c>
      <c r="B140" s="45"/>
      <c r="C140" s="45"/>
      <c r="D140" s="45"/>
      <c r="E140" s="45"/>
      <c r="F140" s="45">
        <v>1</v>
      </c>
      <c r="G140" s="45"/>
      <c r="H140" s="45">
        <v>1</v>
      </c>
    </row>
    <row r="141" spans="1:8" x14ac:dyDescent="0.25">
      <c r="A141" s="44" t="s">
        <v>2829</v>
      </c>
      <c r="B141" s="45"/>
      <c r="C141" s="45"/>
      <c r="D141" s="45"/>
      <c r="E141" s="45">
        <v>1</v>
      </c>
      <c r="F141" s="45"/>
      <c r="G141" s="45"/>
      <c r="H141" s="45">
        <v>1</v>
      </c>
    </row>
    <row r="142" spans="1:8" x14ac:dyDescent="0.25">
      <c r="A142" s="44" t="s">
        <v>1396</v>
      </c>
      <c r="B142" s="45"/>
      <c r="C142" s="45"/>
      <c r="D142" s="45"/>
      <c r="E142" s="45"/>
      <c r="F142" s="45"/>
      <c r="G142" s="45">
        <v>1</v>
      </c>
      <c r="H142" s="45">
        <v>1</v>
      </c>
    </row>
    <row r="143" spans="1:8" x14ac:dyDescent="0.25">
      <c r="A143" s="44" t="s">
        <v>1303</v>
      </c>
      <c r="B143" s="45"/>
      <c r="C143" s="45"/>
      <c r="D143" s="45"/>
      <c r="E143" s="45"/>
      <c r="F143" s="45">
        <v>1</v>
      </c>
      <c r="G143" s="45"/>
      <c r="H143" s="45">
        <v>1</v>
      </c>
    </row>
    <row r="144" spans="1:8" x14ac:dyDescent="0.25">
      <c r="A144" s="44" t="s">
        <v>936</v>
      </c>
      <c r="B144" s="45"/>
      <c r="C144" s="45"/>
      <c r="D144" s="45"/>
      <c r="E144" s="45"/>
      <c r="F144" s="45">
        <v>1</v>
      </c>
      <c r="G144" s="45"/>
      <c r="H144" s="45">
        <v>1</v>
      </c>
    </row>
    <row r="145" spans="1:8" x14ac:dyDescent="0.25">
      <c r="A145" s="44" t="s">
        <v>4106</v>
      </c>
      <c r="B145" s="45">
        <v>1</v>
      </c>
      <c r="C145" s="45"/>
      <c r="D145" s="45"/>
      <c r="E145" s="45"/>
      <c r="F145" s="45"/>
      <c r="G145" s="45"/>
      <c r="H145" s="45">
        <v>1</v>
      </c>
    </row>
    <row r="146" spans="1:8" x14ac:dyDescent="0.25">
      <c r="A146" s="44" t="s">
        <v>1300</v>
      </c>
      <c r="B146" s="45"/>
      <c r="C146" s="45">
        <v>1</v>
      </c>
      <c r="D146" s="45"/>
      <c r="E146" s="45"/>
      <c r="F146" s="45"/>
      <c r="G146" s="45"/>
      <c r="H146" s="45">
        <v>1</v>
      </c>
    </row>
    <row r="147" spans="1:8" x14ac:dyDescent="0.25">
      <c r="A147" s="44" t="s">
        <v>4065</v>
      </c>
      <c r="B147" s="45">
        <v>1</v>
      </c>
      <c r="C147" s="45"/>
      <c r="D147" s="45"/>
      <c r="E147" s="45"/>
      <c r="F147" s="45"/>
      <c r="G147" s="45"/>
      <c r="H147" s="45">
        <v>1</v>
      </c>
    </row>
    <row r="148" spans="1:8" x14ac:dyDescent="0.25">
      <c r="A148" s="44" t="s">
        <v>269</v>
      </c>
      <c r="B148" s="45">
        <v>1</v>
      </c>
      <c r="C148" s="45"/>
      <c r="D148" s="45"/>
      <c r="E148" s="45"/>
      <c r="F148" s="45"/>
      <c r="G148" s="45"/>
      <c r="H148" s="45">
        <v>1</v>
      </c>
    </row>
    <row r="149" spans="1:8" x14ac:dyDescent="0.25">
      <c r="A149" s="44" t="s">
        <v>2096</v>
      </c>
      <c r="B149" s="45"/>
      <c r="C149" s="45"/>
      <c r="D149" s="45"/>
      <c r="E149" s="45"/>
      <c r="F149" s="45">
        <v>1</v>
      </c>
      <c r="G149" s="45"/>
      <c r="H149" s="45">
        <v>1</v>
      </c>
    </row>
    <row r="150" spans="1:8" x14ac:dyDescent="0.25">
      <c r="A150" s="44" t="s">
        <v>4126</v>
      </c>
      <c r="B150" s="45"/>
      <c r="C150" s="45">
        <v>1</v>
      </c>
      <c r="D150" s="45"/>
      <c r="E150" s="45"/>
      <c r="F150" s="45"/>
      <c r="G150" s="45"/>
      <c r="H150" s="45">
        <v>1</v>
      </c>
    </row>
    <row r="151" spans="1:8" x14ac:dyDescent="0.25">
      <c r="A151" s="44" t="s">
        <v>3762</v>
      </c>
      <c r="B151" s="45"/>
      <c r="C151" s="45"/>
      <c r="D151" s="45"/>
      <c r="E151" s="45"/>
      <c r="F151" s="45">
        <v>1</v>
      </c>
      <c r="G151" s="45"/>
      <c r="H151" s="45">
        <v>1</v>
      </c>
    </row>
    <row r="152" spans="1:8" x14ac:dyDescent="0.25">
      <c r="A152" s="44" t="s">
        <v>3212</v>
      </c>
      <c r="B152" s="45"/>
      <c r="C152" s="45"/>
      <c r="D152" s="45"/>
      <c r="E152" s="45"/>
      <c r="F152" s="45">
        <v>1</v>
      </c>
      <c r="G152" s="45"/>
      <c r="H152" s="45">
        <v>1</v>
      </c>
    </row>
    <row r="153" spans="1:8" x14ac:dyDescent="0.25">
      <c r="A153" s="44" t="s">
        <v>455</v>
      </c>
      <c r="B153" s="45">
        <v>1</v>
      </c>
      <c r="C153" s="45"/>
      <c r="D153" s="45"/>
      <c r="E153" s="45"/>
      <c r="F153" s="45"/>
      <c r="G153" s="45"/>
      <c r="H153" s="45">
        <v>1</v>
      </c>
    </row>
    <row r="154" spans="1:8" x14ac:dyDescent="0.25">
      <c r="A154" s="44" t="s">
        <v>3576</v>
      </c>
      <c r="B154" s="45"/>
      <c r="C154" s="45"/>
      <c r="D154" s="45"/>
      <c r="E154" s="45"/>
      <c r="F154" s="45">
        <v>1</v>
      </c>
      <c r="G154" s="45"/>
      <c r="H154" s="45">
        <v>1</v>
      </c>
    </row>
    <row r="155" spans="1:8" x14ac:dyDescent="0.25">
      <c r="A155" s="44" t="s">
        <v>1535</v>
      </c>
      <c r="B155" s="45"/>
      <c r="C155" s="45"/>
      <c r="D155" s="45"/>
      <c r="E155" s="45"/>
      <c r="F155" s="45">
        <v>1</v>
      </c>
      <c r="G155" s="45"/>
      <c r="H155" s="45">
        <v>1</v>
      </c>
    </row>
    <row r="156" spans="1:8" x14ac:dyDescent="0.25">
      <c r="A156" s="44" t="s">
        <v>2367</v>
      </c>
      <c r="B156" s="45"/>
      <c r="C156" s="45"/>
      <c r="D156" s="45"/>
      <c r="E156" s="45">
        <v>1</v>
      </c>
      <c r="F156" s="45"/>
      <c r="G156" s="45"/>
      <c r="H156" s="45">
        <v>1</v>
      </c>
    </row>
    <row r="157" spans="1:8" x14ac:dyDescent="0.25">
      <c r="A157" s="44" t="s">
        <v>3475</v>
      </c>
      <c r="B157" s="45">
        <v>1</v>
      </c>
      <c r="C157" s="45"/>
      <c r="D157" s="45"/>
      <c r="E157" s="45"/>
      <c r="F157" s="45"/>
      <c r="G157" s="45"/>
      <c r="H157" s="45">
        <v>1</v>
      </c>
    </row>
    <row r="158" spans="1:8" x14ac:dyDescent="0.25">
      <c r="A158" s="44" t="s">
        <v>1672</v>
      </c>
      <c r="B158" s="45">
        <v>1</v>
      </c>
      <c r="C158" s="45"/>
      <c r="D158" s="45"/>
      <c r="E158" s="45"/>
      <c r="F158" s="45"/>
      <c r="G158" s="45"/>
      <c r="H158" s="45">
        <v>1</v>
      </c>
    </row>
    <row r="159" spans="1:8" x14ac:dyDescent="0.25">
      <c r="A159" s="44" t="s">
        <v>1726</v>
      </c>
      <c r="B159" s="45"/>
      <c r="C159" s="45"/>
      <c r="D159" s="45"/>
      <c r="E159" s="45"/>
      <c r="F159" s="45">
        <v>1</v>
      </c>
      <c r="G159" s="45"/>
      <c r="H159" s="45">
        <v>1</v>
      </c>
    </row>
    <row r="160" spans="1:8" x14ac:dyDescent="0.25">
      <c r="A160" s="44" t="s">
        <v>1115</v>
      </c>
      <c r="B160" s="45">
        <v>1</v>
      </c>
      <c r="C160" s="45"/>
      <c r="D160" s="45"/>
      <c r="E160" s="45"/>
      <c r="F160" s="45"/>
      <c r="G160" s="45"/>
      <c r="H160" s="45">
        <v>1</v>
      </c>
    </row>
    <row r="161" spans="1:8" x14ac:dyDescent="0.25">
      <c r="A161" s="44" t="s">
        <v>600</v>
      </c>
      <c r="B161" s="45">
        <v>1</v>
      </c>
      <c r="C161" s="45"/>
      <c r="D161" s="45"/>
      <c r="E161" s="45"/>
      <c r="F161" s="45"/>
      <c r="G161" s="45"/>
      <c r="H161" s="45">
        <v>1</v>
      </c>
    </row>
    <row r="162" spans="1:8" x14ac:dyDescent="0.25">
      <c r="A162" s="44" t="s">
        <v>1093</v>
      </c>
      <c r="B162" s="45"/>
      <c r="C162" s="45"/>
      <c r="D162" s="45"/>
      <c r="E162" s="45"/>
      <c r="F162" s="45">
        <v>1</v>
      </c>
      <c r="G162" s="45"/>
      <c r="H162" s="45">
        <v>1</v>
      </c>
    </row>
    <row r="163" spans="1:8" x14ac:dyDescent="0.25">
      <c r="A163" s="44" t="s">
        <v>547</v>
      </c>
      <c r="B163" s="45">
        <v>1</v>
      </c>
      <c r="C163" s="45"/>
      <c r="D163" s="45"/>
      <c r="E163" s="45"/>
      <c r="F163" s="45"/>
      <c r="G163" s="45"/>
      <c r="H163" s="45">
        <v>1</v>
      </c>
    </row>
    <row r="164" spans="1:8" x14ac:dyDescent="0.25">
      <c r="A164" s="44" t="s">
        <v>3354</v>
      </c>
      <c r="B164" s="45"/>
      <c r="C164" s="45"/>
      <c r="D164" s="45"/>
      <c r="E164" s="45"/>
      <c r="F164" s="45"/>
      <c r="G164" s="45">
        <v>1</v>
      </c>
      <c r="H164" s="45">
        <v>1</v>
      </c>
    </row>
    <row r="165" spans="1:8" x14ac:dyDescent="0.25">
      <c r="A165" s="44" t="s">
        <v>4086</v>
      </c>
      <c r="B165" s="45"/>
      <c r="C165" s="45"/>
      <c r="D165" s="45"/>
      <c r="E165" s="45"/>
      <c r="F165" s="45">
        <v>1</v>
      </c>
      <c r="G165" s="45"/>
      <c r="H165" s="45">
        <v>1</v>
      </c>
    </row>
    <row r="166" spans="1:8" x14ac:dyDescent="0.25">
      <c r="A166" s="44" t="s">
        <v>1832</v>
      </c>
      <c r="B166" s="45"/>
      <c r="C166" s="45"/>
      <c r="D166" s="45"/>
      <c r="E166" s="45"/>
      <c r="F166" s="45">
        <v>1</v>
      </c>
      <c r="G166" s="45"/>
      <c r="H166" s="45">
        <v>1</v>
      </c>
    </row>
    <row r="167" spans="1:8" x14ac:dyDescent="0.25">
      <c r="A167" s="44" t="s">
        <v>761</v>
      </c>
      <c r="B167" s="45"/>
      <c r="C167" s="45"/>
      <c r="D167" s="45"/>
      <c r="E167" s="45"/>
      <c r="F167" s="45">
        <v>1</v>
      </c>
      <c r="G167" s="45"/>
      <c r="H167" s="45">
        <v>1</v>
      </c>
    </row>
    <row r="168" spans="1:8" x14ac:dyDescent="0.25">
      <c r="A168" s="44" t="s">
        <v>3799</v>
      </c>
      <c r="B168" s="45">
        <v>1</v>
      </c>
      <c r="C168" s="45"/>
      <c r="D168" s="45"/>
      <c r="E168" s="45"/>
      <c r="F168" s="45"/>
      <c r="G168" s="45"/>
      <c r="H168" s="45">
        <v>1</v>
      </c>
    </row>
    <row r="169" spans="1:8" x14ac:dyDescent="0.25">
      <c r="A169" s="44" t="s">
        <v>4017</v>
      </c>
      <c r="B169" s="45"/>
      <c r="C169" s="45"/>
      <c r="D169" s="45"/>
      <c r="E169" s="45"/>
      <c r="F169" s="45">
        <v>1</v>
      </c>
      <c r="G169" s="45"/>
      <c r="H169" s="45">
        <v>1</v>
      </c>
    </row>
    <row r="170" spans="1:8" x14ac:dyDescent="0.25">
      <c r="A170" s="44" t="s">
        <v>1575</v>
      </c>
      <c r="B170" s="45"/>
      <c r="C170" s="45"/>
      <c r="D170" s="45"/>
      <c r="E170" s="45"/>
      <c r="F170" s="45"/>
      <c r="G170" s="45">
        <v>1</v>
      </c>
      <c r="H170" s="45">
        <v>1</v>
      </c>
    </row>
    <row r="171" spans="1:8" x14ac:dyDescent="0.25">
      <c r="A171" s="44" t="s">
        <v>122</v>
      </c>
      <c r="B171" s="45">
        <v>1</v>
      </c>
      <c r="C171" s="45"/>
      <c r="D171" s="45"/>
      <c r="E171" s="45"/>
      <c r="F171" s="45"/>
      <c r="G171" s="45"/>
      <c r="H171" s="45">
        <v>1</v>
      </c>
    </row>
    <row r="172" spans="1:8" x14ac:dyDescent="0.25">
      <c r="A172" s="44" t="s">
        <v>1495</v>
      </c>
      <c r="B172" s="45"/>
      <c r="C172" s="45">
        <v>1</v>
      </c>
      <c r="D172" s="45"/>
      <c r="E172" s="45"/>
      <c r="F172" s="45"/>
      <c r="G172" s="45"/>
      <c r="H172" s="45">
        <v>1</v>
      </c>
    </row>
    <row r="173" spans="1:8" x14ac:dyDescent="0.25">
      <c r="A173" s="44" t="s">
        <v>1511</v>
      </c>
      <c r="B173" s="45">
        <v>1</v>
      </c>
      <c r="C173" s="45"/>
      <c r="D173" s="45"/>
      <c r="E173" s="45"/>
      <c r="F173" s="45"/>
      <c r="G173" s="45"/>
      <c r="H173" s="45">
        <v>1</v>
      </c>
    </row>
    <row r="174" spans="1:8" x14ac:dyDescent="0.25">
      <c r="A174" s="44" t="s">
        <v>821</v>
      </c>
      <c r="B174" s="45">
        <v>1</v>
      </c>
      <c r="C174" s="45"/>
      <c r="D174" s="45"/>
      <c r="E174" s="45"/>
      <c r="F174" s="45"/>
      <c r="G174" s="45"/>
      <c r="H174" s="45">
        <v>1</v>
      </c>
    </row>
    <row r="175" spans="1:8" x14ac:dyDescent="0.25">
      <c r="A175" s="44" t="s">
        <v>3753</v>
      </c>
      <c r="B175" s="45">
        <v>1</v>
      </c>
      <c r="C175" s="45"/>
      <c r="D175" s="45"/>
      <c r="E175" s="45"/>
      <c r="F175" s="45"/>
      <c r="G175" s="45"/>
      <c r="H175" s="45">
        <v>1</v>
      </c>
    </row>
    <row r="176" spans="1:8" x14ac:dyDescent="0.25">
      <c r="A176" s="44" t="s">
        <v>3226</v>
      </c>
      <c r="B176" s="45">
        <v>1</v>
      </c>
      <c r="C176" s="45"/>
      <c r="D176" s="45"/>
      <c r="E176" s="45"/>
      <c r="F176" s="45"/>
      <c r="G176" s="45"/>
      <c r="H176" s="45">
        <v>1</v>
      </c>
    </row>
    <row r="177" spans="1:8" x14ac:dyDescent="0.25">
      <c r="A177" s="44" t="s">
        <v>444</v>
      </c>
      <c r="B177" s="45">
        <v>1</v>
      </c>
      <c r="C177" s="45"/>
      <c r="D177" s="45"/>
      <c r="E177" s="45"/>
      <c r="F177" s="45"/>
      <c r="G177" s="45"/>
      <c r="H177" s="45">
        <v>1</v>
      </c>
    </row>
    <row r="178" spans="1:8" x14ac:dyDescent="0.25">
      <c r="A178" s="44" t="s">
        <v>4089</v>
      </c>
      <c r="B178" s="45">
        <v>1</v>
      </c>
      <c r="C178" s="45"/>
      <c r="D178" s="45"/>
      <c r="E178" s="45"/>
      <c r="F178" s="45"/>
      <c r="G178" s="45"/>
      <c r="H178" s="45">
        <v>1</v>
      </c>
    </row>
    <row r="179" spans="1:8" x14ac:dyDescent="0.25">
      <c r="A179" s="44" t="s">
        <v>3854</v>
      </c>
      <c r="B179" s="45"/>
      <c r="C179" s="45"/>
      <c r="D179" s="45"/>
      <c r="E179" s="45"/>
      <c r="F179" s="45">
        <v>1</v>
      </c>
      <c r="G179" s="45"/>
      <c r="H179" s="45">
        <v>1</v>
      </c>
    </row>
    <row r="180" spans="1:8" x14ac:dyDescent="0.25">
      <c r="A180" s="44" t="s">
        <v>3472</v>
      </c>
      <c r="B180" s="45"/>
      <c r="C180" s="45"/>
      <c r="D180" s="45"/>
      <c r="E180" s="45"/>
      <c r="F180" s="45">
        <v>1</v>
      </c>
      <c r="G180" s="45"/>
      <c r="H180" s="45">
        <v>1</v>
      </c>
    </row>
    <row r="181" spans="1:8" x14ac:dyDescent="0.25">
      <c r="A181" s="44" t="s">
        <v>3074</v>
      </c>
      <c r="B181" s="45"/>
      <c r="C181" s="45"/>
      <c r="D181" s="45"/>
      <c r="E181" s="45">
        <v>1</v>
      </c>
      <c r="F181" s="45"/>
      <c r="G181" s="45"/>
      <c r="H181" s="45">
        <v>1</v>
      </c>
    </row>
    <row r="182" spans="1:8" x14ac:dyDescent="0.25">
      <c r="A182" s="44" t="s">
        <v>2075</v>
      </c>
      <c r="B182" s="45">
        <v>1</v>
      </c>
      <c r="C182" s="45"/>
      <c r="D182" s="45"/>
      <c r="E182" s="45"/>
      <c r="F182" s="45"/>
      <c r="G182" s="45"/>
      <c r="H182" s="45">
        <v>1</v>
      </c>
    </row>
    <row r="183" spans="1:8" x14ac:dyDescent="0.25">
      <c r="A183" s="44" t="s">
        <v>3166</v>
      </c>
      <c r="B183" s="45"/>
      <c r="C183" s="45"/>
      <c r="D183" s="45"/>
      <c r="E183" s="45"/>
      <c r="F183" s="45">
        <v>1</v>
      </c>
      <c r="G183" s="45"/>
      <c r="H183" s="45">
        <v>1</v>
      </c>
    </row>
    <row r="184" spans="1:8" x14ac:dyDescent="0.25">
      <c r="A184" s="44" t="s">
        <v>1255</v>
      </c>
      <c r="B184" s="45">
        <v>1</v>
      </c>
      <c r="C184" s="45"/>
      <c r="D184" s="45"/>
      <c r="E184" s="45"/>
      <c r="F184" s="45"/>
      <c r="G184" s="45"/>
      <c r="H184" s="45">
        <v>1</v>
      </c>
    </row>
    <row r="185" spans="1:8" x14ac:dyDescent="0.25">
      <c r="A185" s="44" t="s">
        <v>1309</v>
      </c>
      <c r="B185" s="45">
        <v>1</v>
      </c>
      <c r="C185" s="45"/>
      <c r="D185" s="45"/>
      <c r="E185" s="45"/>
      <c r="F185" s="45"/>
      <c r="G185" s="45"/>
      <c r="H185" s="45">
        <v>1</v>
      </c>
    </row>
    <row r="186" spans="1:8" x14ac:dyDescent="0.25">
      <c r="A186" s="44" t="s">
        <v>169</v>
      </c>
      <c r="B186" s="45"/>
      <c r="C186" s="45"/>
      <c r="D186" s="45"/>
      <c r="E186" s="45"/>
      <c r="F186" s="45">
        <v>1</v>
      </c>
      <c r="G186" s="45">
        <v>2</v>
      </c>
      <c r="H186" s="45">
        <v>3</v>
      </c>
    </row>
    <row r="187" spans="1:8" x14ac:dyDescent="0.25">
      <c r="A187" s="44" t="s">
        <v>1749</v>
      </c>
      <c r="B187" s="45"/>
      <c r="C187" s="45"/>
      <c r="D187" s="45"/>
      <c r="E187" s="45"/>
      <c r="F187" s="45"/>
      <c r="G187" s="45">
        <v>1</v>
      </c>
      <c r="H187" s="45">
        <v>1</v>
      </c>
    </row>
    <row r="188" spans="1:8" x14ac:dyDescent="0.25">
      <c r="A188" s="44" t="s">
        <v>3739</v>
      </c>
      <c r="B188" s="45"/>
      <c r="C188" s="45"/>
      <c r="D188" s="45"/>
      <c r="E188" s="45"/>
      <c r="F188" s="45">
        <v>1</v>
      </c>
      <c r="G188" s="45"/>
      <c r="H188" s="45">
        <v>1</v>
      </c>
    </row>
    <row r="189" spans="1:8" x14ac:dyDescent="0.25">
      <c r="A189" s="44" t="s">
        <v>4114</v>
      </c>
      <c r="B189" s="45"/>
      <c r="C189" s="45"/>
      <c r="D189" s="45"/>
      <c r="E189" s="45"/>
      <c r="F189" s="45">
        <v>1</v>
      </c>
      <c r="G189" s="45"/>
      <c r="H189" s="45">
        <v>1</v>
      </c>
    </row>
    <row r="190" spans="1:8" x14ac:dyDescent="0.25">
      <c r="A190" s="44" t="s">
        <v>553</v>
      </c>
      <c r="B190" s="45"/>
      <c r="C190" s="45"/>
      <c r="D190" s="45"/>
      <c r="E190" s="45"/>
      <c r="F190" s="45">
        <v>1</v>
      </c>
      <c r="G190" s="45"/>
      <c r="H190" s="45">
        <v>1</v>
      </c>
    </row>
    <row r="191" spans="1:8" x14ac:dyDescent="0.25">
      <c r="A191" s="44" t="s">
        <v>1918</v>
      </c>
      <c r="B191" s="45"/>
      <c r="C191" s="45"/>
      <c r="D191" s="45"/>
      <c r="E191" s="45"/>
      <c r="F191" s="45">
        <v>1</v>
      </c>
      <c r="G191" s="45"/>
      <c r="H191" s="45">
        <v>1</v>
      </c>
    </row>
    <row r="192" spans="1:8" x14ac:dyDescent="0.25">
      <c r="A192" s="44" t="s">
        <v>4032</v>
      </c>
      <c r="B192" s="45">
        <v>1</v>
      </c>
      <c r="C192" s="45"/>
      <c r="D192" s="45"/>
      <c r="E192" s="45"/>
      <c r="F192" s="45"/>
      <c r="G192" s="45"/>
      <c r="H192" s="45">
        <v>1</v>
      </c>
    </row>
    <row r="193" spans="1:8" x14ac:dyDescent="0.25">
      <c r="A193" s="44" t="s">
        <v>2552</v>
      </c>
      <c r="B193" s="45"/>
      <c r="C193" s="45">
        <v>1</v>
      </c>
      <c r="D193" s="45"/>
      <c r="E193" s="45"/>
      <c r="F193" s="45"/>
      <c r="G193" s="45"/>
      <c r="H193" s="45">
        <v>1</v>
      </c>
    </row>
    <row r="194" spans="1:8" x14ac:dyDescent="0.25">
      <c r="A194" s="44" t="s">
        <v>3611</v>
      </c>
      <c r="B194" s="45">
        <v>1</v>
      </c>
      <c r="C194" s="45"/>
      <c r="D194" s="45"/>
      <c r="E194" s="45"/>
      <c r="F194" s="45"/>
      <c r="G194" s="45"/>
      <c r="H194" s="45">
        <v>1</v>
      </c>
    </row>
    <row r="195" spans="1:8" x14ac:dyDescent="0.25">
      <c r="A195" s="44" t="s">
        <v>2772</v>
      </c>
      <c r="B195" s="45">
        <v>1</v>
      </c>
      <c r="C195" s="45"/>
      <c r="D195" s="45"/>
      <c r="E195" s="45"/>
      <c r="F195" s="45"/>
      <c r="G195" s="45"/>
      <c r="H195" s="45">
        <v>1</v>
      </c>
    </row>
    <row r="196" spans="1:8" x14ac:dyDescent="0.25">
      <c r="A196" s="44" t="s">
        <v>3560</v>
      </c>
      <c r="B196" s="45">
        <v>1</v>
      </c>
      <c r="C196" s="45"/>
      <c r="D196" s="45"/>
      <c r="E196" s="45"/>
      <c r="F196" s="45"/>
      <c r="G196" s="45"/>
      <c r="H196" s="45">
        <v>1</v>
      </c>
    </row>
    <row r="197" spans="1:8" x14ac:dyDescent="0.25">
      <c r="A197" s="44" t="s">
        <v>2385</v>
      </c>
      <c r="B197" s="45"/>
      <c r="C197" s="45"/>
      <c r="D197" s="45"/>
      <c r="E197" s="45"/>
      <c r="F197" s="45">
        <v>1</v>
      </c>
      <c r="G197" s="45"/>
      <c r="H197" s="45">
        <v>1</v>
      </c>
    </row>
    <row r="198" spans="1:8" x14ac:dyDescent="0.25">
      <c r="A198" s="44" t="s">
        <v>1508</v>
      </c>
      <c r="B198" s="45"/>
      <c r="C198" s="45"/>
      <c r="D198" s="45"/>
      <c r="E198" s="45"/>
      <c r="F198" s="45">
        <v>1</v>
      </c>
      <c r="G198" s="45"/>
      <c r="H198" s="45">
        <v>1</v>
      </c>
    </row>
    <row r="199" spans="1:8" x14ac:dyDescent="0.25">
      <c r="A199" s="44" t="s">
        <v>605</v>
      </c>
      <c r="B199" s="45"/>
      <c r="C199" s="45"/>
      <c r="D199" s="45"/>
      <c r="E199" s="45"/>
      <c r="F199" s="45">
        <v>1</v>
      </c>
      <c r="G199" s="45"/>
      <c r="H199" s="45">
        <v>1</v>
      </c>
    </row>
    <row r="200" spans="1:8" x14ac:dyDescent="0.25">
      <c r="A200" s="44" t="s">
        <v>3151</v>
      </c>
      <c r="B200" s="45">
        <v>1</v>
      </c>
      <c r="C200" s="45"/>
      <c r="D200" s="45"/>
      <c r="E200" s="45"/>
      <c r="F200" s="45"/>
      <c r="G200" s="45"/>
      <c r="H200" s="45">
        <v>1</v>
      </c>
    </row>
    <row r="201" spans="1:8" x14ac:dyDescent="0.25">
      <c r="A201" s="44" t="s">
        <v>4079</v>
      </c>
      <c r="B201" s="45">
        <v>1</v>
      </c>
      <c r="C201" s="45"/>
      <c r="D201" s="45"/>
      <c r="E201" s="45"/>
      <c r="F201" s="45"/>
      <c r="G201" s="45"/>
      <c r="H201" s="45">
        <v>1</v>
      </c>
    </row>
    <row r="202" spans="1:8" x14ac:dyDescent="0.25">
      <c r="A202" s="44" t="s">
        <v>2957</v>
      </c>
      <c r="B202" s="45">
        <v>1</v>
      </c>
      <c r="C202" s="45"/>
      <c r="D202" s="45"/>
      <c r="E202" s="45"/>
      <c r="F202" s="45"/>
      <c r="G202" s="45"/>
      <c r="H202" s="45">
        <v>1</v>
      </c>
    </row>
    <row r="203" spans="1:8" x14ac:dyDescent="0.25">
      <c r="A203" s="44" t="s">
        <v>1069</v>
      </c>
      <c r="B203" s="45"/>
      <c r="C203" s="45"/>
      <c r="D203" s="45"/>
      <c r="E203" s="45"/>
      <c r="F203" s="45"/>
      <c r="G203" s="45">
        <v>1</v>
      </c>
      <c r="H203" s="45">
        <v>1</v>
      </c>
    </row>
    <row r="204" spans="1:8" x14ac:dyDescent="0.25">
      <c r="A204" s="44" t="s">
        <v>3750</v>
      </c>
      <c r="B204" s="45"/>
      <c r="C204" s="45"/>
      <c r="D204" s="45"/>
      <c r="E204" s="45"/>
      <c r="F204" s="45"/>
      <c r="G204" s="45">
        <v>1</v>
      </c>
      <c r="H204" s="45">
        <v>1</v>
      </c>
    </row>
    <row r="205" spans="1:8" x14ac:dyDescent="0.25">
      <c r="A205" s="44" t="s">
        <v>733</v>
      </c>
      <c r="B205" s="45"/>
      <c r="C205" s="45"/>
      <c r="D205" s="45"/>
      <c r="E205" s="45"/>
      <c r="F205" s="45"/>
      <c r="G205" s="45">
        <v>1</v>
      </c>
      <c r="H205" s="45">
        <v>1</v>
      </c>
    </row>
    <row r="206" spans="1:8" x14ac:dyDescent="0.25">
      <c r="A206" s="44" t="s">
        <v>3234</v>
      </c>
      <c r="B206" s="45">
        <v>1</v>
      </c>
      <c r="C206" s="45"/>
      <c r="D206" s="45"/>
      <c r="E206" s="45"/>
      <c r="F206" s="45"/>
      <c r="G206" s="45"/>
      <c r="H206" s="45">
        <v>1</v>
      </c>
    </row>
    <row r="207" spans="1:8" x14ac:dyDescent="0.25">
      <c r="A207" s="44" t="s">
        <v>1632</v>
      </c>
      <c r="B207" s="45"/>
      <c r="C207" s="45"/>
      <c r="D207" s="45"/>
      <c r="E207" s="45"/>
      <c r="F207" s="45"/>
      <c r="G207" s="45">
        <v>1</v>
      </c>
      <c r="H207" s="45">
        <v>1</v>
      </c>
    </row>
    <row r="208" spans="1:8" x14ac:dyDescent="0.25">
      <c r="A208" s="44" t="s">
        <v>3976</v>
      </c>
      <c r="B208" s="45"/>
      <c r="C208" s="45"/>
      <c r="D208" s="45"/>
      <c r="E208" s="45"/>
      <c r="F208" s="45">
        <v>1</v>
      </c>
      <c r="G208" s="45"/>
      <c r="H208" s="45">
        <v>1</v>
      </c>
    </row>
    <row r="209" spans="1:8" x14ac:dyDescent="0.25">
      <c r="A209" s="44" t="s">
        <v>1808</v>
      </c>
      <c r="B209" s="45"/>
      <c r="C209" s="45"/>
      <c r="D209" s="45"/>
      <c r="E209" s="45"/>
      <c r="F209" s="45">
        <v>1</v>
      </c>
      <c r="G209" s="45"/>
      <c r="H209" s="45">
        <v>1</v>
      </c>
    </row>
    <row r="210" spans="1:8" x14ac:dyDescent="0.25">
      <c r="A210" s="44" t="s">
        <v>113</v>
      </c>
      <c r="B210" s="45"/>
      <c r="C210" s="45"/>
      <c r="D210" s="45"/>
      <c r="E210" s="45"/>
      <c r="F210" s="45">
        <v>1</v>
      </c>
      <c r="G210" s="45"/>
      <c r="H210" s="45">
        <v>1</v>
      </c>
    </row>
    <row r="211" spans="1:8" x14ac:dyDescent="0.25">
      <c r="A211" s="44" t="s">
        <v>3973</v>
      </c>
      <c r="B211" s="45"/>
      <c r="C211" s="45"/>
      <c r="D211" s="45"/>
      <c r="E211" s="45"/>
      <c r="F211" s="45">
        <v>1</v>
      </c>
      <c r="G211" s="45"/>
      <c r="H211" s="45">
        <v>1</v>
      </c>
    </row>
    <row r="212" spans="1:8" x14ac:dyDescent="0.25">
      <c r="A212" s="44" t="s">
        <v>3587</v>
      </c>
      <c r="B212" s="45">
        <v>1</v>
      </c>
      <c r="C212" s="45"/>
      <c r="D212" s="45"/>
      <c r="E212" s="45"/>
      <c r="F212" s="45"/>
      <c r="G212" s="45"/>
      <c r="H212" s="45">
        <v>1</v>
      </c>
    </row>
    <row r="213" spans="1:8" x14ac:dyDescent="0.25">
      <c r="A213" s="44" t="s">
        <v>3062</v>
      </c>
      <c r="B213" s="45"/>
      <c r="C213" s="45"/>
      <c r="D213" s="45"/>
      <c r="E213" s="45"/>
      <c r="F213" s="45">
        <v>1</v>
      </c>
      <c r="G213" s="45"/>
      <c r="H213" s="45">
        <v>1</v>
      </c>
    </row>
    <row r="214" spans="1:8" x14ac:dyDescent="0.25">
      <c r="A214" s="44" t="s">
        <v>3943</v>
      </c>
      <c r="B214" s="45"/>
      <c r="C214" s="45"/>
      <c r="D214" s="45"/>
      <c r="E214" s="45"/>
      <c r="F214" s="45"/>
      <c r="G214" s="45">
        <v>1</v>
      </c>
      <c r="H214" s="45">
        <v>1</v>
      </c>
    </row>
    <row r="215" spans="1:8" x14ac:dyDescent="0.25">
      <c r="A215" s="44" t="s">
        <v>2660</v>
      </c>
      <c r="B215" s="45">
        <v>1</v>
      </c>
      <c r="C215" s="45"/>
      <c r="D215" s="45"/>
      <c r="E215" s="45"/>
      <c r="F215" s="45"/>
      <c r="G215" s="45"/>
      <c r="H215" s="45">
        <v>1</v>
      </c>
    </row>
    <row r="216" spans="1:8" x14ac:dyDescent="0.25">
      <c r="A216" s="44" t="s">
        <v>4121</v>
      </c>
      <c r="B216" s="45"/>
      <c r="C216" s="45"/>
      <c r="D216" s="45"/>
      <c r="E216" s="45"/>
      <c r="F216" s="45">
        <v>1</v>
      </c>
      <c r="G216" s="45"/>
      <c r="H216" s="45">
        <v>1</v>
      </c>
    </row>
    <row r="217" spans="1:8" x14ac:dyDescent="0.25">
      <c r="A217" s="44" t="s">
        <v>3510</v>
      </c>
      <c r="B217" s="45">
        <v>1</v>
      </c>
      <c r="C217" s="45"/>
      <c r="D217" s="45"/>
      <c r="E217" s="45"/>
      <c r="F217" s="45"/>
      <c r="G217" s="45"/>
      <c r="H217" s="45">
        <v>1</v>
      </c>
    </row>
    <row r="218" spans="1:8" x14ac:dyDescent="0.25">
      <c r="A218" s="44" t="s">
        <v>3134</v>
      </c>
      <c r="B218" s="45">
        <v>1</v>
      </c>
      <c r="C218" s="45"/>
      <c r="D218" s="45"/>
      <c r="E218" s="45"/>
      <c r="F218" s="45"/>
      <c r="G218" s="45"/>
      <c r="H218" s="45">
        <v>1</v>
      </c>
    </row>
    <row r="219" spans="1:8" x14ac:dyDescent="0.25">
      <c r="A219" s="44" t="s">
        <v>557</v>
      </c>
      <c r="B219" s="45">
        <v>1</v>
      </c>
      <c r="C219" s="45"/>
      <c r="D219" s="45"/>
      <c r="E219" s="45"/>
      <c r="F219" s="45"/>
      <c r="G219" s="45"/>
      <c r="H219" s="45">
        <v>1</v>
      </c>
    </row>
    <row r="220" spans="1:8" x14ac:dyDescent="0.25">
      <c r="A220" s="44" t="s">
        <v>3156</v>
      </c>
      <c r="B220" s="45">
        <v>1</v>
      </c>
      <c r="C220" s="45"/>
      <c r="D220" s="45"/>
      <c r="E220" s="45"/>
      <c r="F220" s="45"/>
      <c r="G220" s="45"/>
      <c r="H220" s="45">
        <v>1</v>
      </c>
    </row>
    <row r="221" spans="1:8" x14ac:dyDescent="0.25">
      <c r="A221" s="44" t="s">
        <v>803</v>
      </c>
      <c r="B221" s="45"/>
      <c r="C221" s="45"/>
      <c r="D221" s="45"/>
      <c r="E221" s="45"/>
      <c r="F221" s="45">
        <v>1</v>
      </c>
      <c r="G221" s="45"/>
      <c r="H221" s="45">
        <v>1</v>
      </c>
    </row>
    <row r="222" spans="1:8" x14ac:dyDescent="0.25">
      <c r="A222" s="44" t="s">
        <v>3982</v>
      </c>
      <c r="B222" s="45">
        <v>1</v>
      </c>
      <c r="C222" s="45"/>
      <c r="D222" s="45"/>
      <c r="E222" s="45"/>
      <c r="F222" s="45"/>
      <c r="G222" s="45"/>
      <c r="H222" s="45">
        <v>1</v>
      </c>
    </row>
    <row r="223" spans="1:8" x14ac:dyDescent="0.25">
      <c r="A223" s="44" t="s">
        <v>747</v>
      </c>
      <c r="B223" s="45"/>
      <c r="C223" s="45">
        <v>1</v>
      </c>
      <c r="D223" s="45"/>
      <c r="E223" s="45"/>
      <c r="F223" s="45"/>
      <c r="G223" s="45"/>
      <c r="H223" s="45">
        <v>1</v>
      </c>
    </row>
    <row r="224" spans="1:8" x14ac:dyDescent="0.25">
      <c r="A224" s="44" t="s">
        <v>568</v>
      </c>
      <c r="B224" s="45">
        <v>1</v>
      </c>
      <c r="C224" s="45"/>
      <c r="D224" s="45"/>
      <c r="E224" s="45"/>
      <c r="F224" s="45"/>
      <c r="G224" s="45"/>
      <c r="H224" s="45">
        <v>1</v>
      </c>
    </row>
    <row r="225" spans="1:8" x14ac:dyDescent="0.25">
      <c r="A225" s="44" t="s">
        <v>243</v>
      </c>
      <c r="B225" s="45">
        <v>1</v>
      </c>
      <c r="C225" s="45"/>
      <c r="D225" s="45"/>
      <c r="E225" s="45"/>
      <c r="F225" s="45"/>
      <c r="G225" s="45"/>
      <c r="H225" s="45">
        <v>1</v>
      </c>
    </row>
    <row r="226" spans="1:8" x14ac:dyDescent="0.25">
      <c r="A226" s="44" t="s">
        <v>3882</v>
      </c>
      <c r="B226" s="45">
        <v>1</v>
      </c>
      <c r="C226" s="45"/>
      <c r="D226" s="45"/>
      <c r="E226" s="45"/>
      <c r="F226" s="45"/>
      <c r="G226" s="45"/>
      <c r="H226" s="45">
        <v>1</v>
      </c>
    </row>
    <row r="227" spans="1:8" x14ac:dyDescent="0.25">
      <c r="A227" s="44" t="s">
        <v>2323</v>
      </c>
      <c r="B227" s="45">
        <v>1</v>
      </c>
      <c r="C227" s="45"/>
      <c r="D227" s="45"/>
      <c r="E227" s="45"/>
      <c r="F227" s="45"/>
      <c r="G227" s="45"/>
      <c r="H227" s="45">
        <v>1</v>
      </c>
    </row>
    <row r="228" spans="1:8" x14ac:dyDescent="0.25">
      <c r="A228" s="44" t="s">
        <v>3593</v>
      </c>
      <c r="B228" s="45"/>
      <c r="C228" s="45"/>
      <c r="D228" s="45"/>
      <c r="E228" s="45"/>
      <c r="F228" s="45">
        <v>1</v>
      </c>
      <c r="G228" s="45"/>
      <c r="H228" s="45">
        <v>1</v>
      </c>
    </row>
    <row r="229" spans="1:8" x14ac:dyDescent="0.25">
      <c r="A229" s="44" t="s">
        <v>3323</v>
      </c>
      <c r="B229" s="45"/>
      <c r="C229" s="45">
        <v>1</v>
      </c>
      <c r="D229" s="45"/>
      <c r="E229" s="45"/>
      <c r="F229" s="45"/>
      <c r="G229" s="45"/>
      <c r="H229" s="45">
        <v>1</v>
      </c>
    </row>
    <row r="230" spans="1:8" x14ac:dyDescent="0.25">
      <c r="A230" s="44" t="s">
        <v>2239</v>
      </c>
      <c r="B230" s="45"/>
      <c r="C230" s="45"/>
      <c r="D230" s="45"/>
      <c r="E230" s="45"/>
      <c r="F230" s="45">
        <v>1</v>
      </c>
      <c r="G230" s="45"/>
      <c r="H230" s="45">
        <v>1</v>
      </c>
    </row>
    <row r="231" spans="1:8" x14ac:dyDescent="0.25">
      <c r="A231" s="44" t="s">
        <v>1789</v>
      </c>
      <c r="B231" s="45">
        <v>1</v>
      </c>
      <c r="C231" s="45"/>
      <c r="D231" s="45"/>
      <c r="E231" s="45"/>
      <c r="F231" s="45"/>
      <c r="G231" s="45"/>
      <c r="H231" s="45">
        <v>1</v>
      </c>
    </row>
    <row r="232" spans="1:8" x14ac:dyDescent="0.25">
      <c r="A232" s="44" t="s">
        <v>3690</v>
      </c>
      <c r="B232" s="45">
        <v>1</v>
      </c>
      <c r="C232" s="45"/>
      <c r="D232" s="45"/>
      <c r="E232" s="45"/>
      <c r="F232" s="45"/>
      <c r="G232" s="45"/>
      <c r="H232" s="45">
        <v>1</v>
      </c>
    </row>
    <row r="233" spans="1:8" x14ac:dyDescent="0.25">
      <c r="A233" s="44" t="s">
        <v>431</v>
      </c>
      <c r="B233" s="45">
        <v>1</v>
      </c>
      <c r="C233" s="45"/>
      <c r="D233" s="45"/>
      <c r="E233" s="45"/>
      <c r="F233" s="45"/>
      <c r="G233" s="45"/>
      <c r="H233" s="45">
        <v>1</v>
      </c>
    </row>
    <row r="234" spans="1:8" x14ac:dyDescent="0.25">
      <c r="A234" s="44" t="s">
        <v>970</v>
      </c>
      <c r="B234" s="45"/>
      <c r="C234" s="45"/>
      <c r="D234" s="45"/>
      <c r="E234" s="45"/>
      <c r="F234" s="45">
        <v>1</v>
      </c>
      <c r="G234" s="45"/>
      <c r="H234" s="45">
        <v>1</v>
      </c>
    </row>
    <row r="235" spans="1:8" x14ac:dyDescent="0.25">
      <c r="A235" s="44" t="s">
        <v>3345</v>
      </c>
      <c r="B235" s="45">
        <v>1</v>
      </c>
      <c r="C235" s="45"/>
      <c r="D235" s="45"/>
      <c r="E235" s="45"/>
      <c r="F235" s="45"/>
      <c r="G235" s="45"/>
      <c r="H235" s="45">
        <v>1</v>
      </c>
    </row>
    <row r="236" spans="1:8" x14ac:dyDescent="0.25">
      <c r="A236" s="44" t="s">
        <v>3145</v>
      </c>
      <c r="B236" s="45">
        <v>1</v>
      </c>
      <c r="C236" s="45"/>
      <c r="D236" s="45"/>
      <c r="E236" s="45"/>
      <c r="F236" s="45"/>
      <c r="G236" s="45"/>
      <c r="H236" s="45">
        <v>1</v>
      </c>
    </row>
    <row r="237" spans="1:8" x14ac:dyDescent="0.25">
      <c r="A237" s="44" t="s">
        <v>620</v>
      </c>
      <c r="B237" s="45"/>
      <c r="C237" s="45"/>
      <c r="D237" s="45"/>
      <c r="E237" s="45"/>
      <c r="F237" s="45">
        <v>1</v>
      </c>
      <c r="G237" s="45"/>
      <c r="H237" s="45">
        <v>1</v>
      </c>
    </row>
    <row r="238" spans="1:8" x14ac:dyDescent="0.25">
      <c r="A238" s="44" t="s">
        <v>481</v>
      </c>
      <c r="B238" s="45"/>
      <c r="C238" s="45">
        <v>1</v>
      </c>
      <c r="D238" s="45"/>
      <c r="E238" s="45"/>
      <c r="F238" s="45"/>
      <c r="G238" s="45"/>
      <c r="H238" s="45">
        <v>1</v>
      </c>
    </row>
    <row r="239" spans="1:8" x14ac:dyDescent="0.25">
      <c r="A239" s="44" t="s">
        <v>1290</v>
      </c>
      <c r="B239" s="45">
        <v>1</v>
      </c>
      <c r="C239" s="45"/>
      <c r="D239" s="45"/>
      <c r="E239" s="45"/>
      <c r="F239" s="45"/>
      <c r="G239" s="45"/>
      <c r="H239" s="45">
        <v>1</v>
      </c>
    </row>
    <row r="240" spans="1:8" x14ac:dyDescent="0.25">
      <c r="A240" s="44" t="s">
        <v>4083</v>
      </c>
      <c r="B240" s="45">
        <v>1</v>
      </c>
      <c r="C240" s="45"/>
      <c r="D240" s="45"/>
      <c r="E240" s="45"/>
      <c r="F240" s="45"/>
      <c r="G240" s="45"/>
      <c r="H240" s="45">
        <v>1</v>
      </c>
    </row>
    <row r="241" spans="1:8" x14ac:dyDescent="0.25">
      <c r="A241" s="44" t="s">
        <v>3409</v>
      </c>
      <c r="B241" s="45"/>
      <c r="C241" s="45">
        <v>1</v>
      </c>
      <c r="D241" s="45"/>
      <c r="E241" s="45"/>
      <c r="F241" s="45"/>
      <c r="G241" s="45"/>
      <c r="H241" s="45">
        <v>1</v>
      </c>
    </row>
    <row r="242" spans="1:8" x14ac:dyDescent="0.25">
      <c r="A242" s="44" t="s">
        <v>1063</v>
      </c>
      <c r="B242" s="45">
        <v>1</v>
      </c>
      <c r="C242" s="45"/>
      <c r="D242" s="45"/>
      <c r="E242" s="45"/>
      <c r="F242" s="45"/>
      <c r="G242" s="45"/>
      <c r="H242" s="45">
        <v>1</v>
      </c>
    </row>
    <row r="243" spans="1:8" x14ac:dyDescent="0.25">
      <c r="A243" s="44" t="s">
        <v>4077</v>
      </c>
      <c r="B243" s="45"/>
      <c r="C243" s="45"/>
      <c r="D243" s="45"/>
      <c r="E243" s="45"/>
      <c r="F243" s="45">
        <v>1</v>
      </c>
      <c r="G243" s="45"/>
      <c r="H243" s="45">
        <v>1</v>
      </c>
    </row>
    <row r="244" spans="1:8" x14ac:dyDescent="0.25">
      <c r="A244" s="44" t="s">
        <v>3850</v>
      </c>
      <c r="B244" s="45"/>
      <c r="C244" s="45"/>
      <c r="D244" s="45"/>
      <c r="E244" s="45"/>
      <c r="F244" s="45"/>
      <c r="G244" s="45">
        <v>1</v>
      </c>
      <c r="H244" s="45">
        <v>1</v>
      </c>
    </row>
    <row r="245" spans="1:8" x14ac:dyDescent="0.25">
      <c r="A245" s="44" t="s">
        <v>1902</v>
      </c>
      <c r="B245" s="45"/>
      <c r="C245" s="45">
        <v>1</v>
      </c>
      <c r="D245" s="45"/>
      <c r="E245" s="45"/>
      <c r="F245" s="45"/>
      <c r="G245" s="45"/>
      <c r="H245" s="45">
        <v>1</v>
      </c>
    </row>
    <row r="246" spans="1:8" x14ac:dyDescent="0.25">
      <c r="A246" s="44" t="s">
        <v>672</v>
      </c>
      <c r="B246" s="45"/>
      <c r="C246" s="45"/>
      <c r="D246" s="45"/>
      <c r="E246" s="45"/>
      <c r="F246" s="45">
        <v>1</v>
      </c>
      <c r="G246" s="45"/>
      <c r="H246" s="45">
        <v>1</v>
      </c>
    </row>
    <row r="247" spans="1:8" x14ac:dyDescent="0.25">
      <c r="A247" s="44" t="s">
        <v>3376</v>
      </c>
      <c r="B247" s="45">
        <v>1</v>
      </c>
      <c r="C247" s="45"/>
      <c r="D247" s="45"/>
      <c r="E247" s="45"/>
      <c r="F247" s="45"/>
      <c r="G247" s="45"/>
      <c r="H247" s="45">
        <v>1</v>
      </c>
    </row>
    <row r="248" spans="1:8" x14ac:dyDescent="0.25">
      <c r="A248" s="44" t="s">
        <v>1130</v>
      </c>
      <c r="B248" s="45"/>
      <c r="C248" s="45"/>
      <c r="D248" s="45"/>
      <c r="E248" s="45"/>
      <c r="F248" s="45">
        <v>1</v>
      </c>
      <c r="G248" s="45"/>
      <c r="H248" s="45">
        <v>1</v>
      </c>
    </row>
    <row r="249" spans="1:8" x14ac:dyDescent="0.25">
      <c r="A249" s="44" t="s">
        <v>185</v>
      </c>
      <c r="B249" s="45">
        <v>1</v>
      </c>
      <c r="C249" s="45"/>
      <c r="D249" s="45"/>
      <c r="E249" s="45"/>
      <c r="F249" s="45"/>
      <c r="G249" s="45"/>
      <c r="H249" s="45">
        <v>1</v>
      </c>
    </row>
    <row r="250" spans="1:8" x14ac:dyDescent="0.25">
      <c r="A250" s="44" t="s">
        <v>3813</v>
      </c>
      <c r="B250" s="45">
        <v>1</v>
      </c>
      <c r="C250" s="45"/>
      <c r="D250" s="45"/>
      <c r="E250" s="45"/>
      <c r="F250" s="45"/>
      <c r="G250" s="45"/>
      <c r="H250" s="45">
        <v>1</v>
      </c>
    </row>
    <row r="251" spans="1:8" x14ac:dyDescent="0.25">
      <c r="A251" s="44" t="s">
        <v>4041</v>
      </c>
      <c r="B251" s="45"/>
      <c r="C251" s="45"/>
      <c r="D251" s="45"/>
      <c r="E251" s="45"/>
      <c r="F251" s="45">
        <v>1</v>
      </c>
      <c r="G251" s="45"/>
      <c r="H251" s="45">
        <v>1</v>
      </c>
    </row>
    <row r="252" spans="1:8" x14ac:dyDescent="0.25">
      <c r="A252" s="44" t="s">
        <v>3054</v>
      </c>
      <c r="B252" s="45">
        <v>1</v>
      </c>
      <c r="C252" s="45"/>
      <c r="D252" s="45"/>
      <c r="E252" s="45"/>
      <c r="F252" s="45"/>
      <c r="G252" s="45"/>
      <c r="H252" s="45">
        <v>1</v>
      </c>
    </row>
    <row r="253" spans="1:8" x14ac:dyDescent="0.25">
      <c r="A253" s="44" t="s">
        <v>2902</v>
      </c>
      <c r="B253" s="45"/>
      <c r="C253" s="45">
        <v>1</v>
      </c>
      <c r="D253" s="45"/>
      <c r="E253" s="45"/>
      <c r="F253" s="45"/>
      <c r="G253" s="45"/>
      <c r="H253" s="45">
        <v>1</v>
      </c>
    </row>
    <row r="254" spans="1:8" x14ac:dyDescent="0.25">
      <c r="A254" s="44" t="s">
        <v>1435</v>
      </c>
      <c r="B254" s="45">
        <v>1</v>
      </c>
      <c r="C254" s="45"/>
      <c r="D254" s="45"/>
      <c r="E254" s="45"/>
      <c r="F254" s="45"/>
      <c r="G254" s="45"/>
      <c r="H254" s="45">
        <v>1</v>
      </c>
    </row>
    <row r="255" spans="1:8" x14ac:dyDescent="0.25">
      <c r="A255" s="44" t="s">
        <v>3781</v>
      </c>
      <c r="B255" s="45">
        <v>1</v>
      </c>
      <c r="C255" s="45"/>
      <c r="D255" s="45"/>
      <c r="E255" s="45"/>
      <c r="F255" s="45"/>
      <c r="G255" s="45"/>
      <c r="H255" s="45">
        <v>1</v>
      </c>
    </row>
    <row r="256" spans="1:8" x14ac:dyDescent="0.25">
      <c r="A256" s="44" t="s">
        <v>2374</v>
      </c>
      <c r="B256" s="45"/>
      <c r="C256" s="45"/>
      <c r="D256" s="45"/>
      <c r="E256" s="45"/>
      <c r="F256" s="45"/>
      <c r="G256" s="45">
        <v>1</v>
      </c>
      <c r="H256" s="45">
        <v>1</v>
      </c>
    </row>
    <row r="257" spans="1:8" x14ac:dyDescent="0.25">
      <c r="A257" s="44" t="s">
        <v>1985</v>
      </c>
      <c r="B257" s="45">
        <v>1</v>
      </c>
      <c r="C257" s="45"/>
      <c r="D257" s="45"/>
      <c r="E257" s="45"/>
      <c r="F257" s="45"/>
      <c r="G257" s="45"/>
      <c r="H257" s="45">
        <v>1</v>
      </c>
    </row>
    <row r="258" spans="1:8" x14ac:dyDescent="0.25">
      <c r="A258" s="44" t="s">
        <v>3581</v>
      </c>
      <c r="B258" s="45"/>
      <c r="C258" s="45"/>
      <c r="D258" s="45"/>
      <c r="E258" s="45"/>
      <c r="F258" s="45">
        <v>1</v>
      </c>
      <c r="G258" s="45"/>
      <c r="H258" s="45">
        <v>1</v>
      </c>
    </row>
    <row r="259" spans="1:8" x14ac:dyDescent="0.25">
      <c r="A259" s="44" t="s">
        <v>1560</v>
      </c>
      <c r="B259" s="45"/>
      <c r="C259" s="45"/>
      <c r="D259" s="45"/>
      <c r="E259" s="45"/>
      <c r="F259" s="45">
        <v>1</v>
      </c>
      <c r="G259" s="45"/>
      <c r="H259" s="45">
        <v>1</v>
      </c>
    </row>
    <row r="260" spans="1:8" x14ac:dyDescent="0.25">
      <c r="A260" s="44" t="s">
        <v>3468</v>
      </c>
      <c r="B260" s="45">
        <v>1</v>
      </c>
      <c r="C260" s="45"/>
      <c r="D260" s="45"/>
      <c r="E260" s="45"/>
      <c r="F260" s="45"/>
      <c r="G260" s="45"/>
      <c r="H260" s="45">
        <v>1</v>
      </c>
    </row>
    <row r="261" spans="1:8" x14ac:dyDescent="0.25">
      <c r="A261" s="44" t="s">
        <v>507</v>
      </c>
      <c r="B261" s="45">
        <v>1</v>
      </c>
      <c r="C261" s="45">
        <v>1</v>
      </c>
      <c r="D261" s="45"/>
      <c r="E261" s="45"/>
      <c r="F261" s="45">
        <v>2</v>
      </c>
      <c r="G261" s="45">
        <v>1</v>
      </c>
      <c r="H261" s="45">
        <v>5</v>
      </c>
    </row>
    <row r="262" spans="1:8" x14ac:dyDescent="0.25">
      <c r="A262" s="44" t="s">
        <v>1343</v>
      </c>
      <c r="B262" s="45"/>
      <c r="C262" s="45">
        <v>1</v>
      </c>
      <c r="D262" s="45"/>
      <c r="E262" s="45"/>
      <c r="F262" s="45"/>
      <c r="G262" s="45"/>
      <c r="H262" s="45">
        <v>1</v>
      </c>
    </row>
    <row r="263" spans="1:8" x14ac:dyDescent="0.25">
      <c r="A263" s="44" t="s">
        <v>3735</v>
      </c>
      <c r="B263" s="45"/>
      <c r="C263" s="45"/>
      <c r="D263" s="45"/>
      <c r="E263" s="45"/>
      <c r="F263" s="45">
        <v>1</v>
      </c>
      <c r="G263" s="45"/>
      <c r="H263" s="45">
        <v>1</v>
      </c>
    </row>
    <row r="264" spans="1:8" x14ac:dyDescent="0.25">
      <c r="A264" s="44" t="s">
        <v>1601</v>
      </c>
      <c r="B264" s="45"/>
      <c r="C264" s="45"/>
      <c r="D264" s="45"/>
      <c r="E264" s="45"/>
      <c r="F264" s="45"/>
      <c r="G264" s="45">
        <v>1</v>
      </c>
      <c r="H264" s="45">
        <v>1</v>
      </c>
    </row>
    <row r="265" spans="1:8" x14ac:dyDescent="0.25">
      <c r="A265" s="44" t="s">
        <v>3398</v>
      </c>
      <c r="B265" s="45">
        <v>1</v>
      </c>
      <c r="C265" s="45"/>
      <c r="D265" s="45"/>
      <c r="E265" s="45"/>
      <c r="F265" s="45"/>
      <c r="G265" s="45"/>
      <c r="H265" s="45">
        <v>1</v>
      </c>
    </row>
    <row r="266" spans="1:8" x14ac:dyDescent="0.25">
      <c r="A266" s="44" t="s">
        <v>252</v>
      </c>
      <c r="B266" s="45">
        <v>1</v>
      </c>
      <c r="C266" s="45"/>
      <c r="D266" s="45"/>
      <c r="E266" s="45"/>
      <c r="F266" s="45"/>
      <c r="G266" s="45"/>
      <c r="H266" s="45">
        <v>1</v>
      </c>
    </row>
    <row r="267" spans="1:8" x14ac:dyDescent="0.25">
      <c r="A267" s="44" t="s">
        <v>1841</v>
      </c>
      <c r="B267" s="45"/>
      <c r="C267" s="45"/>
      <c r="D267" s="45"/>
      <c r="E267" s="45"/>
      <c r="F267" s="45"/>
      <c r="G267" s="45">
        <v>1</v>
      </c>
      <c r="H267" s="45">
        <v>1</v>
      </c>
    </row>
    <row r="268" spans="1:8" x14ac:dyDescent="0.25">
      <c r="A268" s="44" t="s">
        <v>2867</v>
      </c>
      <c r="B268" s="45"/>
      <c r="C268" s="45"/>
      <c r="D268" s="45"/>
      <c r="E268" s="45"/>
      <c r="F268" s="45">
        <v>1</v>
      </c>
      <c r="G268" s="45"/>
      <c r="H268" s="45">
        <v>1</v>
      </c>
    </row>
    <row r="269" spans="1:8" x14ac:dyDescent="0.25">
      <c r="A269" s="44" t="s">
        <v>1912</v>
      </c>
      <c r="B269" s="45"/>
      <c r="C269" s="45"/>
      <c r="D269" s="45"/>
      <c r="E269" s="45"/>
      <c r="F269" s="45">
        <v>1</v>
      </c>
      <c r="G269" s="45"/>
      <c r="H269" s="45">
        <v>1</v>
      </c>
    </row>
    <row r="270" spans="1:8" x14ac:dyDescent="0.25">
      <c r="A270" s="44" t="s">
        <v>2103</v>
      </c>
      <c r="B270" s="45">
        <v>1</v>
      </c>
      <c r="C270" s="45"/>
      <c r="D270" s="45"/>
      <c r="E270" s="45"/>
      <c r="F270" s="45"/>
      <c r="G270" s="45"/>
      <c r="H270" s="45">
        <v>1</v>
      </c>
    </row>
    <row r="271" spans="1:8" x14ac:dyDescent="0.25">
      <c r="A271" s="44" t="s">
        <v>1557</v>
      </c>
      <c r="B271" s="45"/>
      <c r="C271" s="45"/>
      <c r="D271" s="45"/>
      <c r="E271" s="45"/>
      <c r="F271" s="45">
        <v>1</v>
      </c>
      <c r="G271" s="45"/>
      <c r="H271" s="45">
        <v>1</v>
      </c>
    </row>
    <row r="272" spans="1:8" x14ac:dyDescent="0.25">
      <c r="A272" s="44" t="s">
        <v>1767</v>
      </c>
      <c r="B272" s="45"/>
      <c r="C272" s="45">
        <v>1</v>
      </c>
      <c r="D272" s="45"/>
      <c r="E272" s="45"/>
      <c r="F272" s="45"/>
      <c r="G272" s="45"/>
      <c r="H272" s="45">
        <v>1</v>
      </c>
    </row>
    <row r="273" spans="1:8" x14ac:dyDescent="0.25">
      <c r="A273" s="44" t="s">
        <v>1295</v>
      </c>
      <c r="B273" s="45"/>
      <c r="C273" s="45"/>
      <c r="D273" s="45"/>
      <c r="E273" s="45"/>
      <c r="F273" s="45">
        <v>1</v>
      </c>
      <c r="G273" s="45"/>
      <c r="H273" s="45">
        <v>1</v>
      </c>
    </row>
    <row r="274" spans="1:8" x14ac:dyDescent="0.25">
      <c r="A274" s="44" t="s">
        <v>1421</v>
      </c>
      <c r="B274" s="45"/>
      <c r="C274" s="45"/>
      <c r="D274" s="45"/>
      <c r="E274" s="45"/>
      <c r="F274" s="45">
        <v>1</v>
      </c>
      <c r="G274" s="45"/>
      <c r="H274" s="45">
        <v>1</v>
      </c>
    </row>
    <row r="275" spans="1:8" x14ac:dyDescent="0.25">
      <c r="A275" s="44" t="s">
        <v>3886</v>
      </c>
      <c r="B275" s="45">
        <v>1</v>
      </c>
      <c r="C275" s="45"/>
      <c r="D275" s="45"/>
      <c r="E275" s="45"/>
      <c r="F275" s="45"/>
      <c r="G275" s="45"/>
      <c r="H275" s="45">
        <v>1</v>
      </c>
    </row>
    <row r="276" spans="1:8" x14ac:dyDescent="0.25">
      <c r="A276" s="44" t="s">
        <v>3744</v>
      </c>
      <c r="B276" s="45">
        <v>1</v>
      </c>
      <c r="C276" s="45"/>
      <c r="D276" s="45"/>
      <c r="E276" s="45"/>
      <c r="F276" s="45"/>
      <c r="G276" s="45"/>
      <c r="H276" s="45">
        <v>1</v>
      </c>
    </row>
    <row r="277" spans="1:8" x14ac:dyDescent="0.25">
      <c r="A277" s="44" t="s">
        <v>3129</v>
      </c>
      <c r="B277" s="45"/>
      <c r="C277" s="45"/>
      <c r="D277" s="45"/>
      <c r="E277" s="45"/>
      <c r="F277" s="45">
        <v>1</v>
      </c>
      <c r="G277" s="45"/>
      <c r="H277" s="45">
        <v>1</v>
      </c>
    </row>
    <row r="278" spans="1:8" x14ac:dyDescent="0.25">
      <c r="A278" s="44" t="s">
        <v>1928</v>
      </c>
      <c r="B278" s="45">
        <v>1</v>
      </c>
      <c r="C278" s="45"/>
      <c r="D278" s="45"/>
      <c r="E278" s="45"/>
      <c r="F278" s="45"/>
      <c r="G278" s="45"/>
      <c r="H278" s="45">
        <v>1</v>
      </c>
    </row>
    <row r="279" spans="1:8" x14ac:dyDescent="0.25">
      <c r="A279" s="44" t="s">
        <v>1814</v>
      </c>
      <c r="B279" s="45"/>
      <c r="C279" s="45"/>
      <c r="D279" s="45"/>
      <c r="E279" s="45"/>
      <c r="F279" s="45">
        <v>1</v>
      </c>
      <c r="G279" s="45"/>
      <c r="H279" s="45">
        <v>1</v>
      </c>
    </row>
    <row r="280" spans="1:8" x14ac:dyDescent="0.25">
      <c r="A280" s="44" t="s">
        <v>2018</v>
      </c>
      <c r="B280" s="45">
        <v>1</v>
      </c>
      <c r="C280" s="45"/>
      <c r="D280" s="45"/>
      <c r="E280" s="45"/>
      <c r="F280" s="45"/>
      <c r="G280" s="45"/>
      <c r="H280" s="45">
        <v>1</v>
      </c>
    </row>
    <row r="281" spans="1:8" x14ac:dyDescent="0.25">
      <c r="A281" s="44" t="s">
        <v>440</v>
      </c>
      <c r="B281" s="45">
        <v>1</v>
      </c>
      <c r="C281" s="45"/>
      <c r="D281" s="45"/>
      <c r="E281" s="45"/>
      <c r="F281" s="45"/>
      <c r="G281" s="45"/>
      <c r="H281" s="45">
        <v>1</v>
      </c>
    </row>
    <row r="282" spans="1:8" x14ac:dyDescent="0.25">
      <c r="A282" s="44" t="s">
        <v>153</v>
      </c>
      <c r="B282" s="45"/>
      <c r="C282" s="45"/>
      <c r="D282" s="45"/>
      <c r="E282" s="45"/>
      <c r="F282" s="45"/>
      <c r="G282" s="45">
        <v>1</v>
      </c>
      <c r="H282" s="45">
        <v>1</v>
      </c>
    </row>
    <row r="283" spans="1:8" x14ac:dyDescent="0.25">
      <c r="A283" s="44" t="s">
        <v>3724</v>
      </c>
      <c r="B283" s="45"/>
      <c r="C283" s="45"/>
      <c r="D283" s="45"/>
      <c r="E283" s="45"/>
      <c r="F283" s="45"/>
      <c r="G283" s="45">
        <v>1</v>
      </c>
      <c r="H283" s="45">
        <v>1</v>
      </c>
    </row>
    <row r="284" spans="1:8" x14ac:dyDescent="0.25">
      <c r="A284" s="44" t="s">
        <v>319</v>
      </c>
      <c r="B284" s="45"/>
      <c r="C284" s="45"/>
      <c r="D284" s="45"/>
      <c r="E284" s="45"/>
      <c r="F284" s="45">
        <v>1</v>
      </c>
      <c r="G284" s="45"/>
      <c r="H284" s="45">
        <v>1</v>
      </c>
    </row>
    <row r="285" spans="1:8" x14ac:dyDescent="0.25">
      <c r="A285" s="44" t="s">
        <v>3686</v>
      </c>
      <c r="B285" s="45">
        <v>1</v>
      </c>
      <c r="C285" s="45"/>
      <c r="D285" s="45"/>
      <c r="E285" s="45"/>
      <c r="F285" s="45"/>
      <c r="G285" s="45"/>
      <c r="H285" s="45">
        <v>1</v>
      </c>
    </row>
    <row r="286" spans="1:8" x14ac:dyDescent="0.25">
      <c r="A286" s="44" t="s">
        <v>3199</v>
      </c>
      <c r="B286" s="45"/>
      <c r="C286" s="45"/>
      <c r="D286" s="45"/>
      <c r="E286" s="45"/>
      <c r="F286" s="45">
        <v>1</v>
      </c>
      <c r="G286" s="45"/>
      <c r="H286" s="45">
        <v>1</v>
      </c>
    </row>
    <row r="287" spans="1:8" x14ac:dyDescent="0.25">
      <c r="A287" s="44" t="s">
        <v>3531</v>
      </c>
      <c r="B287" s="45"/>
      <c r="C287" s="45"/>
      <c r="D287" s="45"/>
      <c r="E287" s="45"/>
      <c r="F287" s="45">
        <v>1</v>
      </c>
      <c r="G287" s="45"/>
      <c r="H287" s="45">
        <v>1</v>
      </c>
    </row>
    <row r="288" spans="1:8" x14ac:dyDescent="0.25">
      <c r="A288" s="44" t="s">
        <v>2761</v>
      </c>
      <c r="B288" s="45">
        <v>1</v>
      </c>
      <c r="C288" s="45"/>
      <c r="D288" s="45"/>
      <c r="E288" s="45"/>
      <c r="F288" s="45"/>
      <c r="G288" s="45"/>
      <c r="H288" s="45">
        <v>1</v>
      </c>
    </row>
    <row r="289" spans="1:8" x14ac:dyDescent="0.25">
      <c r="A289" s="44" t="s">
        <v>2346</v>
      </c>
      <c r="B289" s="45">
        <v>1</v>
      </c>
      <c r="C289" s="45">
        <v>1</v>
      </c>
      <c r="D289" s="45"/>
      <c r="E289" s="45"/>
      <c r="F289" s="45"/>
      <c r="G289" s="45"/>
      <c r="H289" s="45">
        <v>2</v>
      </c>
    </row>
    <row r="290" spans="1:8" x14ac:dyDescent="0.25">
      <c r="A290" s="44" t="s">
        <v>213</v>
      </c>
      <c r="B290" s="45">
        <v>1</v>
      </c>
      <c r="C290" s="45"/>
      <c r="D290" s="45"/>
      <c r="E290" s="45"/>
      <c r="F290" s="45"/>
      <c r="G290" s="45"/>
      <c r="H290" s="45">
        <v>1</v>
      </c>
    </row>
    <row r="291" spans="1:8" x14ac:dyDescent="0.25">
      <c r="A291" s="44" t="s">
        <v>3375</v>
      </c>
      <c r="B291" s="45"/>
      <c r="C291" s="45"/>
      <c r="D291" s="45"/>
      <c r="E291" s="45"/>
      <c r="F291" s="45"/>
      <c r="G291" s="45">
        <v>1</v>
      </c>
      <c r="H291" s="45">
        <v>1</v>
      </c>
    </row>
    <row r="292" spans="1:8" x14ac:dyDescent="0.25">
      <c r="A292" s="44" t="s">
        <v>2523</v>
      </c>
      <c r="B292" s="45"/>
      <c r="C292" s="45"/>
      <c r="D292" s="45"/>
      <c r="E292" s="45"/>
      <c r="F292" s="45">
        <v>1</v>
      </c>
      <c r="G292" s="45"/>
      <c r="H292" s="45">
        <v>1</v>
      </c>
    </row>
    <row r="293" spans="1:8" x14ac:dyDescent="0.25">
      <c r="A293" s="44" t="s">
        <v>1780</v>
      </c>
      <c r="B293" s="45"/>
      <c r="C293" s="45"/>
      <c r="D293" s="45"/>
      <c r="E293" s="45"/>
      <c r="F293" s="45"/>
      <c r="G293" s="45">
        <v>1</v>
      </c>
      <c r="H293" s="45">
        <v>1</v>
      </c>
    </row>
    <row r="294" spans="1:8" x14ac:dyDescent="0.25">
      <c r="A294" s="44" t="s">
        <v>3125</v>
      </c>
      <c r="B294" s="45"/>
      <c r="C294" s="45"/>
      <c r="D294" s="45"/>
      <c r="E294" s="45"/>
      <c r="F294" s="45">
        <v>1</v>
      </c>
      <c r="G294" s="45"/>
      <c r="H294" s="45">
        <v>1</v>
      </c>
    </row>
    <row r="295" spans="1:8" x14ac:dyDescent="0.25">
      <c r="A295" s="44" t="s">
        <v>3324</v>
      </c>
      <c r="B295" s="45"/>
      <c r="C295" s="45"/>
      <c r="D295" s="45"/>
      <c r="E295" s="45"/>
      <c r="F295" s="45">
        <v>1</v>
      </c>
      <c r="G295" s="45"/>
      <c r="H295" s="45">
        <v>1</v>
      </c>
    </row>
    <row r="296" spans="1:8" x14ac:dyDescent="0.25">
      <c r="A296" s="44" t="s">
        <v>1278</v>
      </c>
      <c r="B296" s="45"/>
      <c r="C296" s="45"/>
      <c r="D296" s="45"/>
      <c r="E296" s="45"/>
      <c r="F296" s="45"/>
      <c r="G296" s="45">
        <v>1</v>
      </c>
      <c r="H296" s="45">
        <v>1</v>
      </c>
    </row>
    <row r="297" spans="1:8" x14ac:dyDescent="0.25">
      <c r="A297" s="44" t="s">
        <v>1845</v>
      </c>
      <c r="B297" s="45"/>
      <c r="C297" s="45"/>
      <c r="D297" s="45"/>
      <c r="E297" s="45"/>
      <c r="F297" s="45"/>
      <c r="G297" s="45">
        <v>1</v>
      </c>
      <c r="H297" s="45">
        <v>1</v>
      </c>
    </row>
    <row r="298" spans="1:8" x14ac:dyDescent="0.25">
      <c r="A298" s="44" t="s">
        <v>1372</v>
      </c>
      <c r="B298" s="45"/>
      <c r="C298" s="45"/>
      <c r="D298" s="45"/>
      <c r="E298" s="45"/>
      <c r="F298" s="45">
        <v>1</v>
      </c>
      <c r="G298" s="45"/>
      <c r="H298" s="45">
        <v>1</v>
      </c>
    </row>
    <row r="299" spans="1:8" x14ac:dyDescent="0.25">
      <c r="A299" s="44" t="s">
        <v>3783</v>
      </c>
      <c r="B299" s="45"/>
      <c r="C299" s="45"/>
      <c r="D299" s="45"/>
      <c r="E299" s="45"/>
      <c r="F299" s="45">
        <v>1</v>
      </c>
      <c r="G299" s="45"/>
      <c r="H299" s="45">
        <v>1</v>
      </c>
    </row>
    <row r="300" spans="1:8" x14ac:dyDescent="0.25">
      <c r="A300" s="44" t="s">
        <v>906</v>
      </c>
      <c r="B300" s="45"/>
      <c r="C300" s="45"/>
      <c r="D300" s="45"/>
      <c r="E300" s="45"/>
      <c r="F300" s="45">
        <v>1</v>
      </c>
      <c r="G300" s="45"/>
      <c r="H300" s="45">
        <v>1</v>
      </c>
    </row>
    <row r="301" spans="1:8" x14ac:dyDescent="0.25">
      <c r="A301" s="44" t="s">
        <v>2799</v>
      </c>
      <c r="B301" s="45"/>
      <c r="C301" s="45"/>
      <c r="D301" s="45"/>
      <c r="E301" s="45"/>
      <c r="F301" s="45">
        <v>1</v>
      </c>
      <c r="G301" s="45"/>
      <c r="H301" s="45">
        <v>1</v>
      </c>
    </row>
    <row r="302" spans="1:8" x14ac:dyDescent="0.25">
      <c r="A302" s="44" t="s">
        <v>182</v>
      </c>
      <c r="B302" s="45">
        <v>4</v>
      </c>
      <c r="C302" s="45">
        <v>3</v>
      </c>
      <c r="D302" s="45"/>
      <c r="E302" s="45"/>
      <c r="F302" s="45">
        <v>3</v>
      </c>
      <c r="G302" s="45">
        <v>1</v>
      </c>
      <c r="H302" s="45">
        <v>11</v>
      </c>
    </row>
    <row r="303" spans="1:8" x14ac:dyDescent="0.25">
      <c r="A303" s="44" t="s">
        <v>630</v>
      </c>
      <c r="B303" s="45"/>
      <c r="C303" s="45"/>
      <c r="D303" s="45"/>
      <c r="E303" s="45"/>
      <c r="F303" s="45">
        <v>1</v>
      </c>
      <c r="G303" s="45"/>
      <c r="H303" s="45">
        <v>1</v>
      </c>
    </row>
    <row r="304" spans="1:8" x14ac:dyDescent="0.25">
      <c r="A304" s="44" t="s">
        <v>3421</v>
      </c>
      <c r="B304" s="45"/>
      <c r="C304" s="45">
        <v>1</v>
      </c>
      <c r="D304" s="45"/>
      <c r="E304" s="45"/>
      <c r="F304" s="45"/>
      <c r="G304" s="45"/>
      <c r="H304" s="45">
        <v>1</v>
      </c>
    </row>
    <row r="305" spans="1:8" x14ac:dyDescent="0.25">
      <c r="A305" s="44" t="s">
        <v>1141</v>
      </c>
      <c r="B305" s="45"/>
      <c r="C305" s="45"/>
      <c r="D305" s="45"/>
      <c r="E305" s="45"/>
      <c r="F305" s="45">
        <v>1</v>
      </c>
      <c r="G305" s="45"/>
      <c r="H305" s="45">
        <v>1</v>
      </c>
    </row>
    <row r="306" spans="1:8" x14ac:dyDescent="0.25">
      <c r="A306" s="44" t="s">
        <v>1427</v>
      </c>
      <c r="B306" s="45"/>
      <c r="C306" s="45"/>
      <c r="D306" s="45"/>
      <c r="E306" s="45"/>
      <c r="F306" s="45">
        <v>1</v>
      </c>
      <c r="G306" s="45"/>
      <c r="H306" s="45">
        <v>1</v>
      </c>
    </row>
    <row r="307" spans="1:8" x14ac:dyDescent="0.25">
      <c r="A307" s="44" t="s">
        <v>1448</v>
      </c>
      <c r="B307" s="45"/>
      <c r="C307" s="45"/>
      <c r="D307" s="45"/>
      <c r="E307" s="45"/>
      <c r="F307" s="45">
        <v>1</v>
      </c>
      <c r="G307" s="45"/>
      <c r="H307" s="45">
        <v>1</v>
      </c>
    </row>
    <row r="308" spans="1:8" x14ac:dyDescent="0.25">
      <c r="A308" s="44" t="s">
        <v>2282</v>
      </c>
      <c r="B308" s="45"/>
      <c r="C308" s="45"/>
      <c r="D308" s="45"/>
      <c r="E308" s="45"/>
      <c r="F308" s="45">
        <v>1</v>
      </c>
      <c r="G308" s="45"/>
      <c r="H308" s="45">
        <v>1</v>
      </c>
    </row>
    <row r="309" spans="1:8" x14ac:dyDescent="0.25">
      <c r="A309" s="44" t="s">
        <v>437</v>
      </c>
      <c r="B309" s="45"/>
      <c r="C309" s="45"/>
      <c r="D309" s="45"/>
      <c r="E309" s="45"/>
      <c r="F309" s="45">
        <v>1</v>
      </c>
      <c r="G309" s="45"/>
      <c r="H309" s="45">
        <v>1</v>
      </c>
    </row>
    <row r="310" spans="1:8" x14ac:dyDescent="0.25">
      <c r="A310" s="44" t="s">
        <v>1012</v>
      </c>
      <c r="B310" s="45"/>
      <c r="C310" s="45"/>
      <c r="D310" s="45"/>
      <c r="E310" s="45">
        <v>1</v>
      </c>
      <c r="F310" s="45"/>
      <c r="G310" s="45"/>
      <c r="H310" s="45">
        <v>1</v>
      </c>
    </row>
    <row r="311" spans="1:8" x14ac:dyDescent="0.25">
      <c r="A311" s="44" t="s">
        <v>660</v>
      </c>
      <c r="B311" s="45"/>
      <c r="C311" s="45"/>
      <c r="D311" s="45"/>
      <c r="E311" s="45"/>
      <c r="F311" s="45">
        <v>1</v>
      </c>
      <c r="G311" s="45"/>
      <c r="H311" s="45">
        <v>1</v>
      </c>
    </row>
    <row r="312" spans="1:8" x14ac:dyDescent="0.25">
      <c r="A312" s="44" t="s">
        <v>1609</v>
      </c>
      <c r="B312" s="45"/>
      <c r="C312" s="45"/>
      <c r="D312" s="45"/>
      <c r="E312" s="45"/>
      <c r="F312" s="45">
        <v>1</v>
      </c>
      <c r="G312" s="45"/>
      <c r="H312" s="45">
        <v>1</v>
      </c>
    </row>
    <row r="313" spans="1:8" x14ac:dyDescent="0.25">
      <c r="A313" s="44" t="s">
        <v>2729</v>
      </c>
      <c r="B313" s="45">
        <v>1</v>
      </c>
      <c r="C313" s="45"/>
      <c r="D313" s="45"/>
      <c r="E313" s="45"/>
      <c r="F313" s="45"/>
      <c r="G313" s="45"/>
      <c r="H313" s="45">
        <v>1</v>
      </c>
    </row>
    <row r="314" spans="1:8" x14ac:dyDescent="0.25">
      <c r="A314" s="44" t="s">
        <v>1626</v>
      </c>
      <c r="B314" s="45">
        <v>1</v>
      </c>
      <c r="C314" s="45"/>
      <c r="D314" s="45"/>
      <c r="E314" s="45"/>
      <c r="F314" s="45"/>
      <c r="G314" s="45"/>
      <c r="H314" s="45">
        <v>1</v>
      </c>
    </row>
    <row r="315" spans="1:8" x14ac:dyDescent="0.25">
      <c r="A315" s="44" t="s">
        <v>882</v>
      </c>
      <c r="B315" s="45"/>
      <c r="C315" s="45">
        <v>1</v>
      </c>
      <c r="D315" s="45"/>
      <c r="E315" s="45"/>
      <c r="F315" s="45"/>
      <c r="G315" s="45"/>
      <c r="H315" s="45">
        <v>1</v>
      </c>
    </row>
    <row r="316" spans="1:8" x14ac:dyDescent="0.25">
      <c r="A316" s="44" t="s">
        <v>2725</v>
      </c>
      <c r="B316" s="45"/>
      <c r="C316" s="45"/>
      <c r="D316" s="45"/>
      <c r="E316" s="45"/>
      <c r="F316" s="45">
        <v>1</v>
      </c>
      <c r="G316" s="45"/>
      <c r="H316" s="45">
        <v>1</v>
      </c>
    </row>
    <row r="317" spans="1:8" x14ac:dyDescent="0.25">
      <c r="A317" s="44" t="s">
        <v>1669</v>
      </c>
      <c r="B317" s="45"/>
      <c r="C317" s="45"/>
      <c r="D317" s="45"/>
      <c r="E317" s="45"/>
      <c r="F317" s="45"/>
      <c r="G317" s="45">
        <v>1</v>
      </c>
      <c r="H317" s="45">
        <v>1</v>
      </c>
    </row>
    <row r="318" spans="1:8" x14ac:dyDescent="0.25">
      <c r="A318" s="44" t="s">
        <v>3498</v>
      </c>
      <c r="B318" s="45">
        <v>1</v>
      </c>
      <c r="C318" s="45"/>
      <c r="D318" s="45"/>
      <c r="E318" s="45"/>
      <c r="F318" s="45"/>
      <c r="G318" s="45"/>
      <c r="H318" s="45">
        <v>1</v>
      </c>
    </row>
    <row r="319" spans="1:8" x14ac:dyDescent="0.25">
      <c r="A319" s="44" t="s">
        <v>352</v>
      </c>
      <c r="B319" s="45"/>
      <c r="C319" s="45"/>
      <c r="D319" s="45"/>
      <c r="E319" s="45"/>
      <c r="F319" s="45">
        <v>1</v>
      </c>
      <c r="G319" s="45"/>
      <c r="H319" s="45">
        <v>1</v>
      </c>
    </row>
    <row r="320" spans="1:8" x14ac:dyDescent="0.25">
      <c r="A320" s="44" t="s">
        <v>4012</v>
      </c>
      <c r="B320" s="45">
        <v>1</v>
      </c>
      <c r="C320" s="45"/>
      <c r="D320" s="45"/>
      <c r="E320" s="45"/>
      <c r="F320" s="45"/>
      <c r="G320" s="45"/>
      <c r="H320" s="45">
        <v>1</v>
      </c>
    </row>
    <row r="321" spans="1:8" x14ac:dyDescent="0.25">
      <c r="A321" s="44" t="s">
        <v>1742</v>
      </c>
      <c r="B321" s="45"/>
      <c r="C321" s="45"/>
      <c r="D321" s="45"/>
      <c r="E321" s="45"/>
      <c r="F321" s="45">
        <v>1</v>
      </c>
      <c r="G321" s="45"/>
      <c r="H321" s="45">
        <v>1</v>
      </c>
    </row>
    <row r="322" spans="1:8" x14ac:dyDescent="0.25">
      <c r="A322" s="44" t="s">
        <v>3350</v>
      </c>
      <c r="B322" s="45"/>
      <c r="C322" s="45"/>
      <c r="D322" s="45"/>
      <c r="E322" s="45"/>
      <c r="F322" s="45">
        <v>1</v>
      </c>
      <c r="G322" s="45"/>
      <c r="H322" s="45">
        <v>1</v>
      </c>
    </row>
    <row r="323" spans="1:8" x14ac:dyDescent="0.25">
      <c r="A323" s="44" t="s">
        <v>2168</v>
      </c>
      <c r="B323" s="45">
        <v>1</v>
      </c>
      <c r="C323" s="45"/>
      <c r="D323" s="45"/>
      <c r="E323" s="45"/>
      <c r="F323" s="45"/>
      <c r="G323" s="45"/>
      <c r="H323" s="45">
        <v>1</v>
      </c>
    </row>
    <row r="324" spans="1:8" x14ac:dyDescent="0.25">
      <c r="A324" s="44" t="s">
        <v>3382</v>
      </c>
      <c r="B324" s="45"/>
      <c r="C324" s="45"/>
      <c r="D324" s="45"/>
      <c r="E324" s="45"/>
      <c r="F324" s="45">
        <v>1</v>
      </c>
      <c r="G324" s="45"/>
      <c r="H324" s="45">
        <v>1</v>
      </c>
    </row>
    <row r="325" spans="1:8" x14ac:dyDescent="0.25">
      <c r="A325" s="44" t="s">
        <v>2788</v>
      </c>
      <c r="B325" s="45"/>
      <c r="C325" s="45">
        <v>1</v>
      </c>
      <c r="D325" s="45"/>
      <c r="E325" s="45"/>
      <c r="F325" s="45"/>
      <c r="G325" s="45"/>
      <c r="H325" s="45">
        <v>1</v>
      </c>
    </row>
    <row r="326" spans="1:8" x14ac:dyDescent="0.25">
      <c r="A326" s="44" t="s">
        <v>1924</v>
      </c>
      <c r="B326" s="45"/>
      <c r="C326" s="45"/>
      <c r="D326" s="45"/>
      <c r="E326" s="45"/>
      <c r="F326" s="45"/>
      <c r="G326" s="45">
        <v>1</v>
      </c>
      <c r="H326" s="45">
        <v>1</v>
      </c>
    </row>
    <row r="327" spans="1:8" x14ac:dyDescent="0.25">
      <c r="A327" s="44" t="s">
        <v>1333</v>
      </c>
      <c r="B327" s="45">
        <v>1</v>
      </c>
      <c r="C327" s="45"/>
      <c r="D327" s="45"/>
      <c r="E327" s="45"/>
      <c r="F327" s="45"/>
      <c r="G327" s="45"/>
      <c r="H327" s="45">
        <v>1</v>
      </c>
    </row>
    <row r="328" spans="1:8" x14ac:dyDescent="0.25">
      <c r="A328" s="44" t="s">
        <v>4120</v>
      </c>
      <c r="B328" s="45"/>
      <c r="C328" s="45"/>
      <c r="D328" s="45"/>
      <c r="E328" s="45"/>
      <c r="F328" s="45"/>
      <c r="G328" s="45">
        <v>1</v>
      </c>
      <c r="H328" s="45">
        <v>1</v>
      </c>
    </row>
    <row r="329" spans="1:8" x14ac:dyDescent="0.25">
      <c r="A329" s="44" t="s">
        <v>1905</v>
      </c>
      <c r="B329" s="45">
        <v>1</v>
      </c>
      <c r="C329" s="45"/>
      <c r="D329" s="45"/>
      <c r="E329" s="45"/>
      <c r="F329" s="45"/>
      <c r="G329" s="45"/>
      <c r="H329" s="45">
        <v>1</v>
      </c>
    </row>
    <row r="330" spans="1:8" x14ac:dyDescent="0.25">
      <c r="A330" s="44" t="s">
        <v>4058</v>
      </c>
      <c r="B330" s="45">
        <v>1</v>
      </c>
      <c r="C330" s="45"/>
      <c r="D330" s="45"/>
      <c r="E330" s="45"/>
      <c r="F330" s="45"/>
      <c r="G330" s="45"/>
      <c r="H330" s="45">
        <v>1</v>
      </c>
    </row>
    <row r="331" spans="1:8" x14ac:dyDescent="0.25">
      <c r="A331" s="44" t="s">
        <v>1270</v>
      </c>
      <c r="B331" s="45"/>
      <c r="C331" s="45">
        <v>1</v>
      </c>
      <c r="D331" s="45"/>
      <c r="E331" s="45"/>
      <c r="F331" s="45"/>
      <c r="G331" s="45"/>
      <c r="H331" s="45">
        <v>1</v>
      </c>
    </row>
    <row r="332" spans="1:8" x14ac:dyDescent="0.25">
      <c r="A332" s="44" t="s">
        <v>2134</v>
      </c>
      <c r="B332" s="45"/>
      <c r="C332" s="45"/>
      <c r="D332" s="45"/>
      <c r="E332" s="45"/>
      <c r="F332" s="45">
        <v>1</v>
      </c>
      <c r="G332" s="45"/>
      <c r="H332" s="45">
        <v>1</v>
      </c>
    </row>
    <row r="333" spans="1:8" x14ac:dyDescent="0.25">
      <c r="A333" s="44" t="s">
        <v>1786</v>
      </c>
      <c r="B333" s="45">
        <v>1</v>
      </c>
      <c r="C333" s="45"/>
      <c r="D333" s="45"/>
      <c r="E333" s="45"/>
      <c r="F333" s="45"/>
      <c r="G333" s="45"/>
      <c r="H333" s="45">
        <v>1</v>
      </c>
    </row>
    <row r="334" spans="1:8" x14ac:dyDescent="0.25">
      <c r="A334" s="44" t="s">
        <v>3877</v>
      </c>
      <c r="B334" s="45">
        <v>1</v>
      </c>
      <c r="C334" s="45"/>
      <c r="D334" s="45"/>
      <c r="E334" s="45"/>
      <c r="F334" s="45"/>
      <c r="G334" s="45"/>
      <c r="H334" s="45">
        <v>1</v>
      </c>
    </row>
    <row r="335" spans="1:8" x14ac:dyDescent="0.25">
      <c r="A335" s="44" t="s">
        <v>1868</v>
      </c>
      <c r="B335" s="45"/>
      <c r="C335" s="45">
        <v>1</v>
      </c>
      <c r="D335" s="45"/>
      <c r="E335" s="45"/>
      <c r="F335" s="45"/>
      <c r="G335" s="45"/>
      <c r="H335" s="45">
        <v>1</v>
      </c>
    </row>
    <row r="336" spans="1:8" x14ac:dyDescent="0.25">
      <c r="A336" s="44" t="s">
        <v>3711</v>
      </c>
      <c r="B336" s="45"/>
      <c r="C336" s="45"/>
      <c r="D336" s="45"/>
      <c r="E336" s="45">
        <v>1</v>
      </c>
      <c r="F336" s="45"/>
      <c r="G336" s="45"/>
      <c r="H336" s="45">
        <v>1</v>
      </c>
    </row>
    <row r="337" spans="1:8" x14ac:dyDescent="0.25">
      <c r="A337" s="44" t="s">
        <v>2996</v>
      </c>
      <c r="B337" s="45"/>
      <c r="C337" s="45"/>
      <c r="D337" s="45"/>
      <c r="E337" s="45"/>
      <c r="F337" s="45">
        <v>1</v>
      </c>
      <c r="G337" s="45"/>
      <c r="H337" s="45">
        <v>1</v>
      </c>
    </row>
    <row r="338" spans="1:8" x14ac:dyDescent="0.25">
      <c r="A338" s="44" t="s">
        <v>2195</v>
      </c>
      <c r="B338" s="45"/>
      <c r="C338" s="45"/>
      <c r="D338" s="45"/>
      <c r="E338" s="45"/>
      <c r="F338" s="45">
        <v>1</v>
      </c>
      <c r="G338" s="45"/>
      <c r="H338" s="45">
        <v>1</v>
      </c>
    </row>
    <row r="339" spans="1:8" x14ac:dyDescent="0.25">
      <c r="A339" s="44" t="s">
        <v>1261</v>
      </c>
      <c r="B339" s="45">
        <v>6</v>
      </c>
      <c r="C339" s="45"/>
      <c r="D339" s="45"/>
      <c r="E339" s="45"/>
      <c r="F339" s="45"/>
      <c r="G339" s="45"/>
      <c r="H339" s="45">
        <v>6</v>
      </c>
    </row>
    <row r="340" spans="1:8" x14ac:dyDescent="0.25">
      <c r="A340" s="44" t="s">
        <v>1761</v>
      </c>
      <c r="B340" s="45"/>
      <c r="C340" s="45"/>
      <c r="D340" s="45"/>
      <c r="E340" s="45"/>
      <c r="F340" s="45"/>
      <c r="G340" s="45">
        <v>1</v>
      </c>
      <c r="H340" s="45">
        <v>1</v>
      </c>
    </row>
    <row r="341" spans="1:8" x14ac:dyDescent="0.25">
      <c r="A341" s="44" t="s">
        <v>3949</v>
      </c>
      <c r="B341" s="45"/>
      <c r="C341" s="45"/>
      <c r="D341" s="45"/>
      <c r="E341" s="45"/>
      <c r="F341" s="45">
        <v>1</v>
      </c>
      <c r="G341" s="45"/>
      <c r="H341" s="45">
        <v>1</v>
      </c>
    </row>
    <row r="342" spans="1:8" x14ac:dyDescent="0.25">
      <c r="A342" s="44" t="s">
        <v>4138</v>
      </c>
      <c r="B342" s="45"/>
      <c r="C342" s="45"/>
      <c r="D342" s="45"/>
      <c r="E342" s="45"/>
      <c r="F342" s="45"/>
      <c r="G342" s="45">
        <v>1</v>
      </c>
      <c r="H342" s="45">
        <v>1</v>
      </c>
    </row>
    <row r="343" spans="1:8" x14ac:dyDescent="0.25">
      <c r="A343" s="44" t="s">
        <v>692</v>
      </c>
      <c r="B343" s="45"/>
      <c r="C343" s="45"/>
      <c r="D343" s="45"/>
      <c r="E343" s="45"/>
      <c r="F343" s="45">
        <v>1</v>
      </c>
      <c r="G343" s="45"/>
      <c r="H343" s="45">
        <v>1</v>
      </c>
    </row>
    <row r="344" spans="1:8" x14ac:dyDescent="0.25">
      <c r="A344" s="44" t="s">
        <v>1952</v>
      </c>
      <c r="B344" s="45"/>
      <c r="C344" s="45">
        <v>1</v>
      </c>
      <c r="D344" s="45"/>
      <c r="E344" s="45"/>
      <c r="F344" s="45"/>
      <c r="G344" s="45"/>
      <c r="H344" s="45">
        <v>1</v>
      </c>
    </row>
    <row r="345" spans="1:8" x14ac:dyDescent="0.25">
      <c r="A345" s="44" t="s">
        <v>1746</v>
      </c>
      <c r="B345" s="45">
        <v>1</v>
      </c>
      <c r="C345" s="45"/>
      <c r="D345" s="45"/>
      <c r="E345" s="45"/>
      <c r="F345" s="45"/>
      <c r="G345" s="45"/>
      <c r="H345" s="45">
        <v>1</v>
      </c>
    </row>
    <row r="346" spans="1:8" x14ac:dyDescent="0.25">
      <c r="A346" s="44" t="s">
        <v>897</v>
      </c>
      <c r="B346" s="45"/>
      <c r="C346" s="45"/>
      <c r="D346" s="45"/>
      <c r="E346" s="45"/>
      <c r="F346" s="45">
        <v>1</v>
      </c>
      <c r="G346" s="45"/>
      <c r="H346" s="45">
        <v>1</v>
      </c>
    </row>
    <row r="347" spans="1:8" x14ac:dyDescent="0.25">
      <c r="A347" s="44" t="s">
        <v>3868</v>
      </c>
      <c r="B347" s="45">
        <v>1</v>
      </c>
      <c r="C347" s="45"/>
      <c r="D347" s="45"/>
      <c r="E347" s="45"/>
      <c r="F347" s="45"/>
      <c r="G347" s="45"/>
      <c r="H347" s="45">
        <v>1</v>
      </c>
    </row>
    <row r="348" spans="1:8" x14ac:dyDescent="0.25">
      <c r="A348" s="44" t="s">
        <v>2190</v>
      </c>
      <c r="B348" s="45"/>
      <c r="C348" s="45"/>
      <c r="D348" s="45"/>
      <c r="E348" s="45"/>
      <c r="F348" s="45">
        <v>1</v>
      </c>
      <c r="G348" s="45"/>
      <c r="H348" s="45">
        <v>1</v>
      </c>
    </row>
    <row r="349" spans="1:8" x14ac:dyDescent="0.25">
      <c r="A349" s="44" t="s">
        <v>3707</v>
      </c>
      <c r="B349" s="45"/>
      <c r="C349" s="45"/>
      <c r="D349" s="45"/>
      <c r="E349" s="45"/>
      <c r="F349" s="45"/>
      <c r="G349" s="45">
        <v>1</v>
      </c>
      <c r="H349" s="45">
        <v>1</v>
      </c>
    </row>
    <row r="350" spans="1:8" x14ac:dyDescent="0.25">
      <c r="A350" s="44" t="s">
        <v>1898</v>
      </c>
      <c r="B350" s="45"/>
      <c r="C350" s="45"/>
      <c r="D350" s="45"/>
      <c r="E350" s="45"/>
      <c r="F350" s="45"/>
      <c r="G350" s="45">
        <v>1</v>
      </c>
      <c r="H350" s="45">
        <v>1</v>
      </c>
    </row>
    <row r="351" spans="1:8" x14ac:dyDescent="0.25">
      <c r="A351" s="44" t="s">
        <v>476</v>
      </c>
      <c r="B351" s="45"/>
      <c r="C351" s="45"/>
      <c r="D351" s="45"/>
      <c r="E351" s="45"/>
      <c r="F351" s="45"/>
      <c r="G351" s="45">
        <v>1</v>
      </c>
      <c r="H351" s="45">
        <v>1</v>
      </c>
    </row>
    <row r="352" spans="1:8" x14ac:dyDescent="0.25">
      <c r="A352" s="44" t="s">
        <v>1793</v>
      </c>
      <c r="B352" s="45"/>
      <c r="C352" s="45">
        <v>1</v>
      </c>
      <c r="D352" s="45"/>
      <c r="E352" s="45"/>
      <c r="F352" s="45"/>
      <c r="G352" s="45"/>
      <c r="H352" s="45">
        <v>1</v>
      </c>
    </row>
    <row r="353" spans="1:8" x14ac:dyDescent="0.25">
      <c r="A353" s="44" t="s">
        <v>2813</v>
      </c>
      <c r="B353" s="45"/>
      <c r="C353" s="45"/>
      <c r="D353" s="45"/>
      <c r="E353" s="45"/>
      <c r="F353" s="45"/>
      <c r="G353" s="45">
        <v>1</v>
      </c>
      <c r="H353" s="45">
        <v>1</v>
      </c>
    </row>
    <row r="354" spans="1:8" x14ac:dyDescent="0.25">
      <c r="A354" s="44" t="s">
        <v>2213</v>
      </c>
      <c r="B354" s="45"/>
      <c r="C354" s="45"/>
      <c r="D354" s="45"/>
      <c r="E354" s="45">
        <v>1</v>
      </c>
      <c r="F354" s="45"/>
      <c r="G354" s="45"/>
      <c r="H354" s="45">
        <v>1</v>
      </c>
    </row>
    <row r="355" spans="1:8" x14ac:dyDescent="0.25">
      <c r="A355" s="44" t="s">
        <v>1393</v>
      </c>
      <c r="B355" s="45">
        <v>1</v>
      </c>
      <c r="C355" s="45"/>
      <c r="D355" s="45"/>
      <c r="E355" s="45"/>
      <c r="F355" s="45"/>
      <c r="G355" s="45"/>
      <c r="H355" s="45">
        <v>1</v>
      </c>
    </row>
    <row r="356" spans="1:8" x14ac:dyDescent="0.25">
      <c r="A356" s="44" t="s">
        <v>3824</v>
      </c>
      <c r="B356" s="45"/>
      <c r="C356" s="45"/>
      <c r="D356" s="45"/>
      <c r="E356" s="45"/>
      <c r="F356" s="45">
        <v>1</v>
      </c>
      <c r="G356" s="45"/>
      <c r="H356" s="45">
        <v>1</v>
      </c>
    </row>
    <row r="357" spans="1:8" x14ac:dyDescent="0.25">
      <c r="A357" s="44" t="s">
        <v>4081</v>
      </c>
      <c r="B357" s="45">
        <v>1</v>
      </c>
      <c r="C357" s="45"/>
      <c r="D357" s="45"/>
      <c r="E357" s="45"/>
      <c r="F357" s="45"/>
      <c r="G357" s="45"/>
      <c r="H357" s="45">
        <v>1</v>
      </c>
    </row>
    <row r="358" spans="1:8" x14ac:dyDescent="0.25">
      <c r="A358" s="44" t="s">
        <v>3405</v>
      </c>
      <c r="B358" s="45"/>
      <c r="C358" s="45"/>
      <c r="D358" s="45"/>
      <c r="E358" s="45"/>
      <c r="F358" s="45">
        <v>1</v>
      </c>
      <c r="G358" s="45"/>
      <c r="H358" s="45">
        <v>1</v>
      </c>
    </row>
    <row r="359" spans="1:8" x14ac:dyDescent="0.25">
      <c r="A359" s="44" t="s">
        <v>2034</v>
      </c>
      <c r="B359" s="45"/>
      <c r="C359" s="45"/>
      <c r="D359" s="45"/>
      <c r="E359" s="45"/>
      <c r="F359" s="45"/>
      <c r="G359" s="45">
        <v>1</v>
      </c>
      <c r="H359" s="45">
        <v>1</v>
      </c>
    </row>
    <row r="360" spans="1:8" x14ac:dyDescent="0.25">
      <c r="A360" s="44" t="s">
        <v>327</v>
      </c>
      <c r="B360" s="45"/>
      <c r="C360" s="45"/>
      <c r="D360" s="45"/>
      <c r="E360" s="45"/>
      <c r="F360" s="45">
        <v>1</v>
      </c>
      <c r="G360" s="45"/>
      <c r="H360" s="45">
        <v>1</v>
      </c>
    </row>
    <row r="361" spans="1:8" x14ac:dyDescent="0.25">
      <c r="A361" s="44" t="s">
        <v>3953</v>
      </c>
      <c r="B361" s="45"/>
      <c r="C361" s="45"/>
      <c r="D361" s="45"/>
      <c r="E361" s="45"/>
      <c r="F361" s="45">
        <v>1</v>
      </c>
      <c r="G361" s="45"/>
      <c r="H361" s="45">
        <v>1</v>
      </c>
    </row>
    <row r="362" spans="1:8" x14ac:dyDescent="0.25">
      <c r="A362" s="44" t="s">
        <v>2884</v>
      </c>
      <c r="B362" s="45">
        <v>1</v>
      </c>
      <c r="C362" s="45"/>
      <c r="D362" s="45"/>
      <c r="E362" s="45"/>
      <c r="F362" s="45"/>
      <c r="G362" s="45"/>
      <c r="H362" s="45">
        <v>1</v>
      </c>
    </row>
    <row r="363" spans="1:8" x14ac:dyDescent="0.25">
      <c r="A363" s="44" t="s">
        <v>4130</v>
      </c>
      <c r="B363" s="45"/>
      <c r="C363" s="45">
        <v>1</v>
      </c>
      <c r="D363" s="45"/>
      <c r="E363" s="45"/>
      <c r="F363" s="45"/>
      <c r="G363" s="45"/>
      <c r="H363" s="45">
        <v>1</v>
      </c>
    </row>
    <row r="364" spans="1:8" x14ac:dyDescent="0.25">
      <c r="A364" s="44" t="s">
        <v>2839</v>
      </c>
      <c r="B364" s="45"/>
      <c r="C364" s="45"/>
      <c r="D364" s="45"/>
      <c r="E364" s="45"/>
      <c r="F364" s="45"/>
      <c r="G364" s="45">
        <v>1</v>
      </c>
      <c r="H364" s="45">
        <v>1</v>
      </c>
    </row>
    <row r="365" spans="1:8" x14ac:dyDescent="0.25">
      <c r="A365" s="44" t="s">
        <v>3292</v>
      </c>
      <c r="B365" s="45">
        <v>1</v>
      </c>
      <c r="C365" s="45"/>
      <c r="D365" s="45"/>
      <c r="E365" s="45"/>
      <c r="F365" s="45">
        <v>1</v>
      </c>
      <c r="G365" s="45"/>
      <c r="H365" s="45">
        <v>2</v>
      </c>
    </row>
    <row r="366" spans="1:8" x14ac:dyDescent="0.25">
      <c r="A366" s="44" t="s">
        <v>2953</v>
      </c>
      <c r="B366" s="45"/>
      <c r="C366" s="45"/>
      <c r="D366" s="45"/>
      <c r="E366" s="45"/>
      <c r="F366" s="45">
        <v>1</v>
      </c>
      <c r="G366" s="45"/>
      <c r="H366" s="45">
        <v>1</v>
      </c>
    </row>
    <row r="367" spans="1:8" x14ac:dyDescent="0.25">
      <c r="A367" s="44" t="s">
        <v>2531</v>
      </c>
      <c r="B367" s="45">
        <v>1</v>
      </c>
      <c r="C367" s="45"/>
      <c r="D367" s="45"/>
      <c r="E367" s="45"/>
      <c r="F367" s="45"/>
      <c r="G367" s="45"/>
      <c r="H367" s="45">
        <v>1</v>
      </c>
    </row>
    <row r="368" spans="1:8" x14ac:dyDescent="0.25">
      <c r="A368" s="44" t="s">
        <v>636</v>
      </c>
      <c r="B368" s="45">
        <v>1</v>
      </c>
      <c r="C368" s="45"/>
      <c r="D368" s="45"/>
      <c r="E368" s="45"/>
      <c r="F368" s="45"/>
      <c r="G368" s="45"/>
      <c r="H368" s="45">
        <v>1</v>
      </c>
    </row>
    <row r="369" spans="1:8" x14ac:dyDescent="0.25">
      <c r="A369" s="44" t="s">
        <v>1801</v>
      </c>
      <c r="B369" s="45">
        <v>1</v>
      </c>
      <c r="C369" s="45"/>
      <c r="D369" s="45"/>
      <c r="E369" s="45"/>
      <c r="F369" s="45"/>
      <c r="G369" s="45"/>
      <c r="H369" s="45">
        <v>1</v>
      </c>
    </row>
    <row r="370" spans="1:8" x14ac:dyDescent="0.25">
      <c r="A370" s="44" t="s">
        <v>1811</v>
      </c>
      <c r="B370" s="45">
        <v>2</v>
      </c>
      <c r="C370" s="45"/>
      <c r="D370" s="45"/>
      <c r="E370" s="45"/>
      <c r="F370" s="45"/>
      <c r="G370" s="45"/>
      <c r="H370" s="45">
        <v>2</v>
      </c>
    </row>
    <row r="371" spans="1:8" x14ac:dyDescent="0.25">
      <c r="A371" s="44" t="s">
        <v>561</v>
      </c>
      <c r="B371" s="45">
        <v>1</v>
      </c>
      <c r="C371" s="45"/>
      <c r="D371" s="45"/>
      <c r="E371" s="45"/>
      <c r="F371" s="45"/>
      <c r="G371" s="45"/>
      <c r="H371" s="45">
        <v>1</v>
      </c>
    </row>
    <row r="372" spans="1:8" x14ac:dyDescent="0.25">
      <c r="A372" s="44" t="s">
        <v>1888</v>
      </c>
      <c r="B372" s="45"/>
      <c r="C372" s="45"/>
      <c r="D372" s="45"/>
      <c r="E372" s="45"/>
      <c r="F372" s="45">
        <v>1</v>
      </c>
      <c r="G372" s="45"/>
      <c r="H372" s="45">
        <v>1</v>
      </c>
    </row>
    <row r="373" spans="1:8" x14ac:dyDescent="0.25">
      <c r="A373" s="44" t="s">
        <v>358</v>
      </c>
      <c r="B373" s="45">
        <v>1</v>
      </c>
      <c r="C373" s="45"/>
      <c r="D373" s="45"/>
      <c r="E373" s="45"/>
      <c r="F373" s="45"/>
      <c r="G373" s="45"/>
      <c r="H373" s="45">
        <v>1</v>
      </c>
    </row>
    <row r="374" spans="1:8" x14ac:dyDescent="0.25">
      <c r="A374" s="44" t="s">
        <v>1892</v>
      </c>
      <c r="B374" s="45">
        <v>1</v>
      </c>
      <c r="C374" s="45"/>
      <c r="D374" s="45"/>
      <c r="E374" s="45"/>
      <c r="F374" s="45"/>
      <c r="G374" s="45"/>
      <c r="H374" s="45">
        <v>1</v>
      </c>
    </row>
    <row r="375" spans="1:8" x14ac:dyDescent="0.25">
      <c r="A375" s="44" t="s">
        <v>911</v>
      </c>
      <c r="B375" s="45">
        <v>1</v>
      </c>
      <c r="C375" s="45"/>
      <c r="D375" s="45"/>
      <c r="E375" s="45"/>
      <c r="F375" s="45"/>
      <c r="G375" s="45"/>
      <c r="H375" s="45">
        <v>1</v>
      </c>
    </row>
    <row r="376" spans="1:8" x14ac:dyDescent="0.25">
      <c r="A376" s="44" t="s">
        <v>3787</v>
      </c>
      <c r="B376" s="45"/>
      <c r="C376" s="45"/>
      <c r="D376" s="45"/>
      <c r="E376" s="45"/>
      <c r="F376" s="45">
        <v>1</v>
      </c>
      <c r="G376" s="45"/>
      <c r="H376" s="45">
        <v>1</v>
      </c>
    </row>
    <row r="377" spans="1:8" x14ac:dyDescent="0.25">
      <c r="A377" s="44" t="s">
        <v>806</v>
      </c>
      <c r="B377" s="45">
        <v>1</v>
      </c>
      <c r="C377" s="45"/>
      <c r="D377" s="45"/>
      <c r="E377" s="45"/>
      <c r="F377" s="45"/>
      <c r="G377" s="45"/>
      <c r="H377" s="45">
        <v>1</v>
      </c>
    </row>
    <row r="378" spans="1:8" x14ac:dyDescent="0.25">
      <c r="A378" s="44" t="s">
        <v>858</v>
      </c>
      <c r="B378" s="45">
        <v>1</v>
      </c>
      <c r="C378" s="45"/>
      <c r="D378" s="45"/>
      <c r="E378" s="45"/>
      <c r="F378" s="45"/>
      <c r="G378" s="45"/>
      <c r="H378" s="45">
        <v>1</v>
      </c>
    </row>
    <row r="379" spans="1:8" x14ac:dyDescent="0.25">
      <c r="A379" s="44" t="s">
        <v>2157</v>
      </c>
      <c r="B379" s="45"/>
      <c r="C379" s="45"/>
      <c r="D379" s="45"/>
      <c r="E379" s="45"/>
      <c r="F379" s="45">
        <v>1</v>
      </c>
      <c r="G379" s="45"/>
      <c r="H379" s="45">
        <v>1</v>
      </c>
    </row>
    <row r="380" spans="1:8" x14ac:dyDescent="0.25">
      <c r="A380" s="44" t="s">
        <v>3616</v>
      </c>
      <c r="B380" s="45"/>
      <c r="C380" s="45"/>
      <c r="D380" s="45"/>
      <c r="E380" s="45"/>
      <c r="F380" s="45">
        <v>1</v>
      </c>
      <c r="G380" s="45"/>
      <c r="H380" s="45">
        <v>1</v>
      </c>
    </row>
    <row r="381" spans="1:8" x14ac:dyDescent="0.25">
      <c r="A381" s="44" t="s">
        <v>1956</v>
      </c>
      <c r="B381" s="45">
        <v>1</v>
      </c>
      <c r="C381" s="45"/>
      <c r="D381" s="45"/>
      <c r="E381" s="45"/>
      <c r="F381" s="45"/>
      <c r="G381" s="45"/>
      <c r="H381" s="45">
        <v>1</v>
      </c>
    </row>
    <row r="382" spans="1:8" x14ac:dyDescent="0.25">
      <c r="A382" s="44" t="s">
        <v>366</v>
      </c>
      <c r="B382" s="45"/>
      <c r="C382" s="45"/>
      <c r="D382" s="45"/>
      <c r="E382" s="45"/>
      <c r="F382" s="45"/>
      <c r="G382" s="45">
        <v>1</v>
      </c>
      <c r="H382" s="45">
        <v>1</v>
      </c>
    </row>
    <row r="383" spans="1:8" x14ac:dyDescent="0.25">
      <c r="A383" s="44" t="s">
        <v>3996</v>
      </c>
      <c r="B383" s="45"/>
      <c r="C383" s="45"/>
      <c r="D383" s="45"/>
      <c r="E383" s="45"/>
      <c r="F383" s="45">
        <v>1</v>
      </c>
      <c r="G383" s="45"/>
      <c r="H383" s="45">
        <v>1</v>
      </c>
    </row>
    <row r="384" spans="1:8" x14ac:dyDescent="0.25">
      <c r="A384" s="44" t="s">
        <v>2108</v>
      </c>
      <c r="B384" s="45"/>
      <c r="C384" s="45">
        <v>1</v>
      </c>
      <c r="D384" s="45"/>
      <c r="E384" s="45"/>
      <c r="F384" s="45"/>
      <c r="G384" s="45"/>
      <c r="H384" s="45">
        <v>1</v>
      </c>
    </row>
    <row r="385" spans="1:8" x14ac:dyDescent="0.25">
      <c r="A385" s="44" t="s">
        <v>3938</v>
      </c>
      <c r="B385" s="45"/>
      <c r="C385" s="45"/>
      <c r="D385" s="45"/>
      <c r="E385" s="45">
        <v>1</v>
      </c>
      <c r="F385" s="45"/>
      <c r="G385" s="45"/>
      <c r="H385" s="45">
        <v>1</v>
      </c>
    </row>
    <row r="386" spans="1:8" x14ac:dyDescent="0.25">
      <c r="A386" s="44" t="s">
        <v>1406</v>
      </c>
      <c r="B386" s="45"/>
      <c r="C386" s="45"/>
      <c r="D386" s="45"/>
      <c r="E386" s="45"/>
      <c r="F386" s="45">
        <v>1</v>
      </c>
      <c r="G386" s="45"/>
      <c r="H386" s="45">
        <v>1</v>
      </c>
    </row>
    <row r="387" spans="1:8" x14ac:dyDescent="0.25">
      <c r="A387" s="44" t="s">
        <v>4107</v>
      </c>
      <c r="B387" s="45">
        <v>1</v>
      </c>
      <c r="C387" s="45"/>
      <c r="D387" s="45"/>
      <c r="E387" s="45"/>
      <c r="F387" s="45"/>
      <c r="G387" s="45"/>
      <c r="H387" s="45">
        <v>1</v>
      </c>
    </row>
    <row r="388" spans="1:8" x14ac:dyDescent="0.25">
      <c r="A388" s="44" t="s">
        <v>3585</v>
      </c>
      <c r="B388" s="45"/>
      <c r="C388" s="45"/>
      <c r="D388" s="45"/>
      <c r="E388" s="45"/>
      <c r="F388" s="45">
        <v>1</v>
      </c>
      <c r="G388" s="45"/>
      <c r="H388" s="45">
        <v>1</v>
      </c>
    </row>
    <row r="389" spans="1:8" x14ac:dyDescent="0.25">
      <c r="A389" s="44" t="s">
        <v>4104</v>
      </c>
      <c r="B389" s="45"/>
      <c r="C389" s="45"/>
      <c r="D389" s="45"/>
      <c r="E389" s="45"/>
      <c r="F389" s="45"/>
      <c r="G389" s="45">
        <v>1</v>
      </c>
      <c r="H389" s="45">
        <v>1</v>
      </c>
    </row>
    <row r="390" spans="1:8" x14ac:dyDescent="0.25">
      <c r="A390" s="44" t="s">
        <v>2769</v>
      </c>
      <c r="B390" s="45"/>
      <c r="C390" s="45"/>
      <c r="D390" s="45"/>
      <c r="E390" s="45"/>
      <c r="F390" s="45">
        <v>1</v>
      </c>
      <c r="G390" s="45"/>
      <c r="H390" s="45">
        <v>1</v>
      </c>
    </row>
    <row r="391" spans="1:8" x14ac:dyDescent="0.25">
      <c r="A391" s="44" t="s">
        <v>2992</v>
      </c>
      <c r="B391" s="45"/>
      <c r="C391" s="45"/>
      <c r="D391" s="45"/>
      <c r="E391" s="45"/>
      <c r="F391" s="45">
        <v>1</v>
      </c>
      <c r="G391" s="45"/>
      <c r="H391" s="45">
        <v>1</v>
      </c>
    </row>
    <row r="392" spans="1:8" x14ac:dyDescent="0.25">
      <c r="A392" s="44" t="s">
        <v>3847</v>
      </c>
      <c r="B392" s="45"/>
      <c r="C392" s="45"/>
      <c r="D392" s="45"/>
      <c r="E392" s="45"/>
      <c r="F392" s="45">
        <v>1</v>
      </c>
      <c r="G392" s="45"/>
      <c r="H392" s="45">
        <v>1</v>
      </c>
    </row>
    <row r="393" spans="1:8" x14ac:dyDescent="0.25">
      <c r="A393" s="44" t="s">
        <v>1201</v>
      </c>
      <c r="B393" s="45">
        <v>1</v>
      </c>
      <c r="C393" s="45"/>
      <c r="D393" s="45"/>
      <c r="E393" s="45"/>
      <c r="F393" s="45"/>
      <c r="G393" s="45"/>
      <c r="H393" s="45">
        <v>1</v>
      </c>
    </row>
    <row r="394" spans="1:8" x14ac:dyDescent="0.25">
      <c r="A394" s="44" t="s">
        <v>1266</v>
      </c>
      <c r="B394" s="45"/>
      <c r="C394" s="45"/>
      <c r="D394" s="45"/>
      <c r="E394" s="45"/>
      <c r="F394" s="45">
        <v>1</v>
      </c>
      <c r="G394" s="45"/>
      <c r="H394" s="45">
        <v>1</v>
      </c>
    </row>
    <row r="395" spans="1:8" x14ac:dyDescent="0.25">
      <c r="A395" s="44" t="s">
        <v>3491</v>
      </c>
      <c r="B395" s="45"/>
      <c r="C395" s="45"/>
      <c r="D395" s="45"/>
      <c r="E395" s="45"/>
      <c r="F395" s="45">
        <v>1</v>
      </c>
      <c r="G395" s="45"/>
      <c r="H395" s="45">
        <v>1</v>
      </c>
    </row>
    <row r="396" spans="1:8" x14ac:dyDescent="0.25">
      <c r="A396" s="44" t="s">
        <v>1948</v>
      </c>
      <c r="B396" s="45"/>
      <c r="C396" s="45"/>
      <c r="D396" s="45"/>
      <c r="E396" s="45"/>
      <c r="F396" s="45">
        <v>1</v>
      </c>
      <c r="G396" s="45"/>
      <c r="H396" s="45">
        <v>1</v>
      </c>
    </row>
    <row r="397" spans="1:8" x14ac:dyDescent="0.25">
      <c r="A397" s="44" t="s">
        <v>1981</v>
      </c>
      <c r="B397" s="45">
        <v>1</v>
      </c>
      <c r="C397" s="45"/>
      <c r="D397" s="45"/>
      <c r="E397" s="45"/>
      <c r="F397" s="45"/>
      <c r="G397" s="45"/>
      <c r="H397" s="45">
        <v>1</v>
      </c>
    </row>
    <row r="398" spans="1:8" x14ac:dyDescent="0.25">
      <c r="A398" s="44" t="s">
        <v>1614</v>
      </c>
      <c r="B398" s="45">
        <v>1</v>
      </c>
      <c r="C398" s="45"/>
      <c r="D398" s="45"/>
      <c r="E398" s="45"/>
      <c r="F398" s="45"/>
      <c r="G398" s="45"/>
      <c r="H398" s="45">
        <v>1</v>
      </c>
    </row>
    <row r="399" spans="1:8" x14ac:dyDescent="0.25">
      <c r="A399" s="44" t="s">
        <v>502</v>
      </c>
      <c r="B399" s="45"/>
      <c r="C399" s="45">
        <v>1</v>
      </c>
      <c r="D399" s="45"/>
      <c r="E399" s="45"/>
      <c r="F399" s="45"/>
      <c r="G399" s="45"/>
      <c r="H399" s="45">
        <v>1</v>
      </c>
    </row>
    <row r="400" spans="1:8" x14ac:dyDescent="0.25">
      <c r="A400" s="44" t="s">
        <v>2301</v>
      </c>
      <c r="B400" s="45"/>
      <c r="C400" s="45"/>
      <c r="D400" s="45"/>
      <c r="E400" s="45">
        <v>1</v>
      </c>
      <c r="F400" s="45"/>
      <c r="G400" s="45"/>
      <c r="H400" s="45">
        <v>1</v>
      </c>
    </row>
    <row r="401" spans="1:8" x14ac:dyDescent="0.25">
      <c r="A401" s="44" t="s">
        <v>1462</v>
      </c>
      <c r="B401" s="45"/>
      <c r="C401" s="45"/>
      <c r="D401" s="45"/>
      <c r="E401" s="45"/>
      <c r="F401" s="45">
        <v>1</v>
      </c>
      <c r="G401" s="45"/>
      <c r="H401" s="45">
        <v>1</v>
      </c>
    </row>
    <row r="402" spans="1:8" x14ac:dyDescent="0.25">
      <c r="A402" s="44" t="s">
        <v>486</v>
      </c>
      <c r="B402" s="45">
        <v>1</v>
      </c>
      <c r="C402" s="45"/>
      <c r="D402" s="45"/>
      <c r="E402" s="45"/>
      <c r="F402" s="45"/>
      <c r="G402" s="45"/>
      <c r="H402" s="45">
        <v>1</v>
      </c>
    </row>
    <row r="403" spans="1:8" x14ac:dyDescent="0.25">
      <c r="A403" s="44" t="s">
        <v>2569</v>
      </c>
      <c r="B403" s="45">
        <v>1</v>
      </c>
      <c r="C403" s="45"/>
      <c r="D403" s="45"/>
      <c r="E403" s="45"/>
      <c r="F403" s="45"/>
      <c r="G403" s="45"/>
      <c r="H403" s="45">
        <v>1</v>
      </c>
    </row>
    <row r="404" spans="1:8" x14ac:dyDescent="0.25">
      <c r="A404" s="44" t="s">
        <v>644</v>
      </c>
      <c r="B404" s="45"/>
      <c r="C404" s="45">
        <v>1</v>
      </c>
      <c r="D404" s="45"/>
      <c r="E404" s="45"/>
      <c r="F404" s="45"/>
      <c r="G404" s="45"/>
      <c r="H404" s="45">
        <v>1</v>
      </c>
    </row>
    <row r="405" spans="1:8" x14ac:dyDescent="0.25">
      <c r="A405" s="44" t="s">
        <v>3352</v>
      </c>
      <c r="B405" s="45">
        <v>1</v>
      </c>
      <c r="C405" s="45"/>
      <c r="D405" s="45"/>
      <c r="E405" s="45"/>
      <c r="F405" s="45"/>
      <c r="G405" s="45"/>
      <c r="H405" s="45">
        <v>1</v>
      </c>
    </row>
    <row r="406" spans="1:8" x14ac:dyDescent="0.25">
      <c r="A406" s="44" t="s">
        <v>66</v>
      </c>
      <c r="B406" s="45">
        <v>1</v>
      </c>
      <c r="C406" s="45"/>
      <c r="D406" s="45"/>
      <c r="E406" s="45"/>
      <c r="F406" s="45"/>
      <c r="G406" s="45"/>
      <c r="H406" s="45">
        <v>1</v>
      </c>
    </row>
    <row r="407" spans="1:8" x14ac:dyDescent="0.25">
      <c r="A407" s="44" t="s">
        <v>53</v>
      </c>
      <c r="B407" s="45">
        <v>1</v>
      </c>
      <c r="C407" s="45"/>
      <c r="D407" s="45"/>
      <c r="E407" s="45"/>
      <c r="F407" s="45"/>
      <c r="G407" s="45"/>
      <c r="H407" s="45">
        <v>1</v>
      </c>
    </row>
    <row r="408" spans="1:8" x14ac:dyDescent="0.25">
      <c r="A408" s="44" t="s">
        <v>180</v>
      </c>
      <c r="B408" s="45">
        <v>1</v>
      </c>
      <c r="C408" s="45"/>
      <c r="D408" s="45"/>
      <c r="E408" s="45"/>
      <c r="F408" s="45">
        <v>1</v>
      </c>
      <c r="G408" s="45">
        <v>1</v>
      </c>
      <c r="H408" s="45">
        <v>3</v>
      </c>
    </row>
    <row r="409" spans="1:8" x14ac:dyDescent="0.25">
      <c r="A409" s="44" t="s">
        <v>3158</v>
      </c>
      <c r="B409" s="45">
        <v>1</v>
      </c>
      <c r="C409" s="45"/>
      <c r="D409" s="45"/>
      <c r="E409" s="45"/>
      <c r="F409" s="45"/>
      <c r="G409" s="45"/>
      <c r="H409" s="45">
        <v>1</v>
      </c>
    </row>
    <row r="410" spans="1:8" x14ac:dyDescent="0.25">
      <c r="A410" s="44" t="s">
        <v>678</v>
      </c>
      <c r="B410" s="45"/>
      <c r="C410" s="45"/>
      <c r="D410" s="45"/>
      <c r="E410" s="45"/>
      <c r="F410" s="45">
        <v>1</v>
      </c>
      <c r="G410" s="45"/>
      <c r="H410" s="45">
        <v>1</v>
      </c>
    </row>
    <row r="411" spans="1:8" x14ac:dyDescent="0.25">
      <c r="A411" s="44" t="s">
        <v>2218</v>
      </c>
      <c r="B411" s="45"/>
      <c r="C411" s="45"/>
      <c r="D411" s="45"/>
      <c r="E411" s="45"/>
      <c r="F411" s="45">
        <v>1</v>
      </c>
      <c r="G411" s="45"/>
      <c r="H411" s="45">
        <v>1</v>
      </c>
    </row>
    <row r="412" spans="1:8" x14ac:dyDescent="0.25">
      <c r="A412" s="44" t="s">
        <v>3553</v>
      </c>
      <c r="B412" s="45">
        <v>1</v>
      </c>
      <c r="C412" s="45"/>
      <c r="D412" s="45"/>
      <c r="E412" s="45"/>
      <c r="F412" s="45"/>
      <c r="G412" s="45"/>
      <c r="H412" s="45">
        <v>1</v>
      </c>
    </row>
    <row r="413" spans="1:8" x14ac:dyDescent="0.25">
      <c r="A413" s="44" t="s">
        <v>149</v>
      </c>
      <c r="B413" s="45">
        <v>3</v>
      </c>
      <c r="C413" s="45">
        <v>1</v>
      </c>
      <c r="D413" s="45"/>
      <c r="E413" s="45"/>
      <c r="F413" s="45">
        <v>11</v>
      </c>
      <c r="G413" s="45">
        <v>3</v>
      </c>
      <c r="H413" s="45">
        <v>18</v>
      </c>
    </row>
    <row r="414" spans="1:8" x14ac:dyDescent="0.25">
      <c r="A414" s="44" t="s">
        <v>3727</v>
      </c>
      <c r="B414" s="45"/>
      <c r="C414" s="45"/>
      <c r="D414" s="45"/>
      <c r="E414" s="45"/>
      <c r="F414" s="45">
        <v>1</v>
      </c>
      <c r="G414" s="45"/>
      <c r="H414" s="45">
        <v>1</v>
      </c>
    </row>
    <row r="415" spans="1:8" x14ac:dyDescent="0.25">
      <c r="A415" s="44" t="s">
        <v>3105</v>
      </c>
      <c r="B415" s="45"/>
      <c r="C415" s="45"/>
      <c r="D415" s="45"/>
      <c r="E415" s="45"/>
      <c r="F415" s="45">
        <v>1</v>
      </c>
      <c r="G415" s="45"/>
      <c r="H415" s="45">
        <v>1</v>
      </c>
    </row>
    <row r="416" spans="1:8" x14ac:dyDescent="0.25">
      <c r="A416" s="44" t="s">
        <v>589</v>
      </c>
      <c r="B416" s="45"/>
      <c r="C416" s="45"/>
      <c r="D416" s="45"/>
      <c r="E416" s="45"/>
      <c r="F416" s="45"/>
      <c r="G416" s="45">
        <v>1</v>
      </c>
      <c r="H416" s="45">
        <v>1</v>
      </c>
    </row>
    <row r="417" spans="1:8" x14ac:dyDescent="0.25">
      <c r="A417" s="44" t="s">
        <v>1499</v>
      </c>
      <c r="B417" s="45">
        <v>1</v>
      </c>
      <c r="C417" s="45"/>
      <c r="D417" s="45"/>
      <c r="E417" s="45"/>
      <c r="F417" s="45"/>
      <c r="G417" s="45"/>
      <c r="H417" s="45">
        <v>1</v>
      </c>
    </row>
    <row r="418" spans="1:8" x14ac:dyDescent="0.25">
      <c r="A418" s="44" t="s">
        <v>4046</v>
      </c>
      <c r="B418" s="45"/>
      <c r="C418" s="45"/>
      <c r="D418" s="45"/>
      <c r="E418" s="45"/>
      <c r="F418" s="45">
        <v>1</v>
      </c>
      <c r="G418" s="45"/>
      <c r="H418" s="45">
        <v>1</v>
      </c>
    </row>
    <row r="419" spans="1:8" x14ac:dyDescent="0.25">
      <c r="A419" s="44" t="s">
        <v>2099</v>
      </c>
      <c r="B419" s="45"/>
      <c r="C419" s="45"/>
      <c r="D419" s="45"/>
      <c r="E419" s="45"/>
      <c r="F419" s="45">
        <v>1</v>
      </c>
      <c r="G419" s="45"/>
      <c r="H419" s="45">
        <v>1</v>
      </c>
    </row>
    <row r="420" spans="1:8" x14ac:dyDescent="0.25">
      <c r="A420" s="44" t="s">
        <v>2445</v>
      </c>
      <c r="B420" s="45">
        <v>1</v>
      </c>
      <c r="C420" s="45"/>
      <c r="D420" s="45"/>
      <c r="E420" s="45"/>
      <c r="F420" s="45"/>
      <c r="G420" s="45"/>
      <c r="H420" s="45">
        <v>1</v>
      </c>
    </row>
    <row r="421" spans="1:8" x14ac:dyDescent="0.25">
      <c r="A421" s="44" t="s">
        <v>1039</v>
      </c>
      <c r="B421" s="45">
        <v>1</v>
      </c>
      <c r="C421" s="45"/>
      <c r="D421" s="45"/>
      <c r="E421" s="45"/>
      <c r="F421" s="45"/>
      <c r="G421" s="45"/>
      <c r="H421" s="45">
        <v>1</v>
      </c>
    </row>
    <row r="422" spans="1:8" x14ac:dyDescent="0.25">
      <c r="A422" s="44" t="s">
        <v>449</v>
      </c>
      <c r="B422" s="45"/>
      <c r="C422" s="45">
        <v>1</v>
      </c>
      <c r="D422" s="45"/>
      <c r="E422" s="45"/>
      <c r="F422" s="45"/>
      <c r="G422" s="45"/>
      <c r="H422" s="45">
        <v>1</v>
      </c>
    </row>
    <row r="423" spans="1:8" x14ac:dyDescent="0.25">
      <c r="A423" s="44" t="s">
        <v>1548</v>
      </c>
      <c r="B423" s="45">
        <v>1</v>
      </c>
      <c r="C423" s="45"/>
      <c r="D423" s="45"/>
      <c r="E423" s="45"/>
      <c r="F423" s="45"/>
      <c r="G423" s="45"/>
      <c r="H423" s="45">
        <v>1</v>
      </c>
    </row>
    <row r="424" spans="1:8" x14ac:dyDescent="0.25">
      <c r="A424" s="44" t="s">
        <v>3696</v>
      </c>
      <c r="B424" s="45"/>
      <c r="C424" s="45"/>
      <c r="D424" s="45"/>
      <c r="E424" s="45"/>
      <c r="F424" s="45"/>
      <c r="G424" s="45">
        <v>1</v>
      </c>
      <c r="H424" s="45">
        <v>1</v>
      </c>
    </row>
    <row r="425" spans="1:8" x14ac:dyDescent="0.25">
      <c r="A425" s="44" t="s">
        <v>1351</v>
      </c>
      <c r="B425" s="45"/>
      <c r="C425" s="45"/>
      <c r="D425" s="45"/>
      <c r="E425" s="45"/>
      <c r="F425" s="45">
        <v>1</v>
      </c>
      <c r="G425" s="45"/>
      <c r="H425" s="45">
        <v>1</v>
      </c>
    </row>
    <row r="426" spans="1:8" x14ac:dyDescent="0.25">
      <c r="A426" s="44" t="s">
        <v>1161</v>
      </c>
      <c r="B426" s="45">
        <v>1</v>
      </c>
      <c r="C426" s="45"/>
      <c r="D426" s="45"/>
      <c r="E426" s="45"/>
      <c r="F426" s="45"/>
      <c r="G426" s="45"/>
      <c r="H426" s="45">
        <v>1</v>
      </c>
    </row>
    <row r="427" spans="1:8" x14ac:dyDescent="0.25">
      <c r="A427" s="44" t="s">
        <v>1696</v>
      </c>
      <c r="B427" s="45"/>
      <c r="C427" s="45"/>
      <c r="D427" s="45"/>
      <c r="E427" s="45"/>
      <c r="F427" s="45">
        <v>1</v>
      </c>
      <c r="G427" s="45"/>
      <c r="H427" s="45">
        <v>1</v>
      </c>
    </row>
    <row r="428" spans="1:8" x14ac:dyDescent="0.25">
      <c r="A428" s="44" t="s">
        <v>3864</v>
      </c>
      <c r="B428" s="45"/>
      <c r="C428" s="45"/>
      <c r="D428" s="45"/>
      <c r="E428" s="45"/>
      <c r="F428" s="45">
        <v>1</v>
      </c>
      <c r="G428" s="45"/>
      <c r="H428" s="45">
        <v>1</v>
      </c>
    </row>
    <row r="429" spans="1:8" x14ac:dyDescent="0.25">
      <c r="A429" s="44" t="s">
        <v>2759</v>
      </c>
      <c r="B429" s="45">
        <v>1</v>
      </c>
      <c r="C429" s="45"/>
      <c r="D429" s="45"/>
      <c r="E429" s="45"/>
      <c r="F429" s="45"/>
      <c r="G429" s="45"/>
      <c r="H429" s="45">
        <v>1</v>
      </c>
    </row>
    <row r="430" spans="1:8" x14ac:dyDescent="0.25">
      <c r="A430" s="44" t="s">
        <v>3659</v>
      </c>
      <c r="B430" s="45"/>
      <c r="C430" s="45"/>
      <c r="D430" s="45"/>
      <c r="E430" s="45"/>
      <c r="F430" s="45">
        <v>1</v>
      </c>
      <c r="G430" s="45"/>
      <c r="H430" s="45">
        <v>1</v>
      </c>
    </row>
    <row r="431" spans="1:8" x14ac:dyDescent="0.25">
      <c r="A431" s="44" t="s">
        <v>3860</v>
      </c>
      <c r="B431" s="45"/>
      <c r="C431" s="45"/>
      <c r="D431" s="45"/>
      <c r="E431" s="45"/>
      <c r="F431" s="45">
        <v>1</v>
      </c>
      <c r="G431" s="45"/>
      <c r="H431" s="45">
        <v>1</v>
      </c>
    </row>
    <row r="432" spans="1:8" x14ac:dyDescent="0.25">
      <c r="A432" s="44" t="s">
        <v>3648</v>
      </c>
      <c r="B432" s="45"/>
      <c r="C432" s="45"/>
      <c r="D432" s="45"/>
      <c r="E432" s="45"/>
      <c r="F432" s="45"/>
      <c r="G432" s="45">
        <v>1</v>
      </c>
      <c r="H432" s="45">
        <v>1</v>
      </c>
    </row>
    <row r="433" spans="1:8" x14ac:dyDescent="0.25">
      <c r="A433" s="44" t="s">
        <v>1682</v>
      </c>
      <c r="B433" s="45"/>
      <c r="C433" s="45"/>
      <c r="D433" s="45"/>
      <c r="E433" s="45"/>
      <c r="F433" s="45">
        <v>1</v>
      </c>
      <c r="G433" s="45"/>
      <c r="H433" s="45">
        <v>1</v>
      </c>
    </row>
    <row r="434" spans="1:8" x14ac:dyDescent="0.25">
      <c r="A434" s="44" t="s">
        <v>3306</v>
      </c>
      <c r="B434" s="45"/>
      <c r="C434" s="45"/>
      <c r="D434" s="45"/>
      <c r="E434" s="45"/>
      <c r="F434" s="45">
        <v>1</v>
      </c>
      <c r="G434" s="45"/>
      <c r="H434" s="45">
        <v>1</v>
      </c>
    </row>
    <row r="435" spans="1:8" x14ac:dyDescent="0.25">
      <c r="A435" s="44" t="s">
        <v>1574</v>
      </c>
      <c r="B435" s="45"/>
      <c r="C435" s="45"/>
      <c r="D435" s="45"/>
      <c r="E435" s="45"/>
      <c r="F435" s="45">
        <v>1</v>
      </c>
      <c r="G435" s="45"/>
      <c r="H435" s="45">
        <v>1</v>
      </c>
    </row>
    <row r="436" spans="1:8" x14ac:dyDescent="0.25">
      <c r="A436" s="44" t="s">
        <v>3068</v>
      </c>
      <c r="B436" s="45">
        <v>1</v>
      </c>
      <c r="C436" s="45"/>
      <c r="D436" s="45"/>
      <c r="E436" s="45"/>
      <c r="F436" s="45"/>
      <c r="G436" s="45"/>
      <c r="H436" s="45">
        <v>1</v>
      </c>
    </row>
    <row r="437" spans="1:8" x14ac:dyDescent="0.25">
      <c r="A437" s="44" t="s">
        <v>3289</v>
      </c>
      <c r="B437" s="45">
        <v>1</v>
      </c>
      <c r="C437" s="45"/>
      <c r="D437" s="45"/>
      <c r="E437" s="45"/>
      <c r="F437" s="45"/>
      <c r="G437" s="45"/>
      <c r="H437" s="45">
        <v>1</v>
      </c>
    </row>
    <row r="438" spans="1:8" x14ac:dyDescent="0.25">
      <c r="A438" s="44" t="s">
        <v>1340</v>
      </c>
      <c r="B438" s="45"/>
      <c r="C438" s="45"/>
      <c r="D438" s="45"/>
      <c r="E438" s="45"/>
      <c r="F438" s="45">
        <v>1</v>
      </c>
      <c r="G438" s="45"/>
      <c r="H438" s="45">
        <v>1</v>
      </c>
    </row>
    <row r="439" spans="1:8" x14ac:dyDescent="0.25">
      <c r="A439" s="44" t="s">
        <v>1915</v>
      </c>
      <c r="B439" s="45"/>
      <c r="C439" s="45"/>
      <c r="D439" s="45"/>
      <c r="E439" s="45"/>
      <c r="F439" s="45">
        <v>1</v>
      </c>
      <c r="G439" s="45"/>
      <c r="H439" s="45">
        <v>1</v>
      </c>
    </row>
    <row r="440" spans="1:8" x14ac:dyDescent="0.25">
      <c r="A440" s="44" t="s">
        <v>3674</v>
      </c>
      <c r="B440" s="45"/>
      <c r="C440" s="45">
        <v>1</v>
      </c>
      <c r="D440" s="45"/>
      <c r="E440" s="45"/>
      <c r="F440" s="45"/>
      <c r="G440" s="45"/>
      <c r="H440" s="45">
        <v>1</v>
      </c>
    </row>
    <row r="441" spans="1:8" x14ac:dyDescent="0.25">
      <c r="A441" s="44" t="s">
        <v>3770</v>
      </c>
      <c r="B441" s="45">
        <v>1</v>
      </c>
      <c r="C441" s="45"/>
      <c r="D441" s="45"/>
      <c r="E441" s="45"/>
      <c r="F441" s="45"/>
      <c r="G441" s="45"/>
      <c r="H441" s="45">
        <v>1</v>
      </c>
    </row>
    <row r="442" spans="1:8" x14ac:dyDescent="0.25">
      <c r="A442" s="44" t="s">
        <v>2875</v>
      </c>
      <c r="B442" s="45">
        <v>1</v>
      </c>
      <c r="C442" s="45"/>
      <c r="D442" s="45"/>
      <c r="E442" s="45"/>
      <c r="F442" s="45"/>
      <c r="G442" s="45"/>
      <c r="H442" s="45">
        <v>1</v>
      </c>
    </row>
    <row r="443" spans="1:8" x14ac:dyDescent="0.25">
      <c r="A443" s="44" t="s">
        <v>1029</v>
      </c>
      <c r="B443" s="45"/>
      <c r="C443" s="45"/>
      <c r="D443" s="45"/>
      <c r="E443" s="45"/>
      <c r="F443" s="45">
        <v>1</v>
      </c>
      <c r="G443" s="45"/>
      <c r="H443" s="45">
        <v>1</v>
      </c>
    </row>
    <row r="444" spans="1:8" x14ac:dyDescent="0.25">
      <c r="A444" s="44" t="s">
        <v>1068</v>
      </c>
      <c r="B444" s="45">
        <v>1</v>
      </c>
      <c r="C444" s="45"/>
      <c r="D444" s="45"/>
      <c r="E444" s="45"/>
      <c r="F444" s="45"/>
      <c r="G444" s="45"/>
      <c r="H444" s="45">
        <v>1</v>
      </c>
    </row>
    <row r="445" spans="1:8" x14ac:dyDescent="0.25">
      <c r="A445" s="44" t="s">
        <v>954</v>
      </c>
      <c r="B445" s="45">
        <v>1</v>
      </c>
      <c r="C445" s="45"/>
      <c r="D445" s="45"/>
      <c r="E445" s="45"/>
      <c r="F445" s="45"/>
      <c r="G445" s="45"/>
      <c r="H445" s="45">
        <v>1</v>
      </c>
    </row>
    <row r="446" spans="1:8" x14ac:dyDescent="0.25">
      <c r="A446" s="44" t="s">
        <v>3567</v>
      </c>
      <c r="B446" s="45"/>
      <c r="C446" s="45"/>
      <c r="D446" s="45"/>
      <c r="E446" s="45"/>
      <c r="F446" s="45">
        <v>1</v>
      </c>
      <c r="G446" s="45"/>
      <c r="H446" s="45">
        <v>1</v>
      </c>
    </row>
    <row r="447" spans="1:8" x14ac:dyDescent="0.25">
      <c r="A447" s="44" t="s">
        <v>3534</v>
      </c>
      <c r="B447" s="45"/>
      <c r="C447" s="45"/>
      <c r="D447" s="45"/>
      <c r="E447" s="45"/>
      <c r="F447" s="45">
        <v>1</v>
      </c>
      <c r="G447" s="45"/>
      <c r="H447" s="45">
        <v>1</v>
      </c>
    </row>
    <row r="448" spans="1:8" x14ac:dyDescent="0.25">
      <c r="A448" s="44" t="s">
        <v>1467</v>
      </c>
      <c r="B448" s="45"/>
      <c r="C448" s="45"/>
      <c r="D448" s="45"/>
      <c r="E448" s="45"/>
      <c r="F448" s="45">
        <v>1</v>
      </c>
      <c r="G448" s="45"/>
      <c r="H448" s="45">
        <v>1</v>
      </c>
    </row>
    <row r="449" spans="1:8" x14ac:dyDescent="0.25">
      <c r="A449" s="44" t="s">
        <v>3152</v>
      </c>
      <c r="B449" s="45"/>
      <c r="C449" s="45"/>
      <c r="D449" s="45"/>
      <c r="E449" s="45"/>
      <c r="F449" s="45">
        <v>1</v>
      </c>
      <c r="G449" s="45"/>
      <c r="H449" s="45">
        <v>1</v>
      </c>
    </row>
    <row r="450" spans="1:8" x14ac:dyDescent="0.25">
      <c r="A450" s="44" t="s">
        <v>2819</v>
      </c>
      <c r="B450" s="45"/>
      <c r="C450" s="45"/>
      <c r="D450" s="45"/>
      <c r="E450" s="45"/>
      <c r="F450" s="45">
        <v>1</v>
      </c>
      <c r="G450" s="45"/>
      <c r="H450" s="45">
        <v>1</v>
      </c>
    </row>
    <row r="451" spans="1:8" x14ac:dyDescent="0.25">
      <c r="A451" s="44" t="s">
        <v>346</v>
      </c>
      <c r="B451" s="45">
        <v>1</v>
      </c>
      <c r="C451" s="45"/>
      <c r="D451" s="45"/>
      <c r="E451" s="45"/>
      <c r="F451" s="45"/>
      <c r="G451" s="45"/>
      <c r="H451" s="45">
        <v>1</v>
      </c>
    </row>
    <row r="452" spans="1:8" x14ac:dyDescent="0.25">
      <c r="A452" s="44" t="s">
        <v>2711</v>
      </c>
      <c r="B452" s="45">
        <v>1</v>
      </c>
      <c r="C452" s="45"/>
      <c r="D452" s="45"/>
      <c r="E452" s="45"/>
      <c r="F452" s="45"/>
      <c r="G452" s="45"/>
      <c r="H452" s="45">
        <v>1</v>
      </c>
    </row>
    <row r="453" spans="1:8" x14ac:dyDescent="0.25">
      <c r="A453" s="44" t="s">
        <v>4050</v>
      </c>
      <c r="B453" s="45"/>
      <c r="C453" s="45"/>
      <c r="D453" s="45"/>
      <c r="E453" s="45"/>
      <c r="F453" s="45">
        <v>1</v>
      </c>
      <c r="G453" s="45"/>
      <c r="H453" s="45">
        <v>1</v>
      </c>
    </row>
    <row r="454" spans="1:8" x14ac:dyDescent="0.25">
      <c r="A454" s="44" t="s">
        <v>1647</v>
      </c>
      <c r="B454" s="45">
        <v>1</v>
      </c>
      <c r="C454" s="45"/>
      <c r="D454" s="45"/>
      <c r="E454" s="45"/>
      <c r="F454" s="45"/>
      <c r="G454" s="45"/>
      <c r="H454" s="45">
        <v>1</v>
      </c>
    </row>
    <row r="455" spans="1:8" x14ac:dyDescent="0.25">
      <c r="A455" s="44" t="s">
        <v>2964</v>
      </c>
      <c r="B455" s="45">
        <v>1</v>
      </c>
      <c r="C455" s="45"/>
      <c r="D455" s="45"/>
      <c r="E455" s="45"/>
      <c r="F455" s="45"/>
      <c r="G455" s="45"/>
      <c r="H455" s="45">
        <v>1</v>
      </c>
    </row>
    <row r="456" spans="1:8" x14ac:dyDescent="0.25">
      <c r="A456" s="44" t="s">
        <v>1127</v>
      </c>
      <c r="B456" s="45"/>
      <c r="C456" s="45"/>
      <c r="D456" s="45"/>
      <c r="E456" s="45"/>
      <c r="F456" s="45"/>
      <c r="G456" s="45">
        <v>1</v>
      </c>
      <c r="H456" s="45">
        <v>1</v>
      </c>
    </row>
    <row r="457" spans="1:8" x14ac:dyDescent="0.25">
      <c r="A457" s="44" t="s">
        <v>470</v>
      </c>
      <c r="B457" s="45"/>
      <c r="C457" s="45"/>
      <c r="D457" s="45"/>
      <c r="E457" s="45"/>
      <c r="F457" s="45"/>
      <c r="G457" s="45">
        <v>1</v>
      </c>
      <c r="H457" s="45">
        <v>1</v>
      </c>
    </row>
    <row r="458" spans="1:8" x14ac:dyDescent="0.25">
      <c r="A458" s="44" t="s">
        <v>3542</v>
      </c>
      <c r="B458" s="45">
        <v>1</v>
      </c>
      <c r="C458" s="45"/>
      <c r="D458" s="45"/>
      <c r="E458" s="45"/>
      <c r="F458" s="45"/>
      <c r="G458" s="45"/>
      <c r="H458" s="45">
        <v>1</v>
      </c>
    </row>
    <row r="459" spans="1:8" x14ac:dyDescent="0.25">
      <c r="A459" s="44" t="s">
        <v>4094</v>
      </c>
      <c r="B459" s="45"/>
      <c r="C459" s="45"/>
      <c r="D459" s="45"/>
      <c r="E459" s="45"/>
      <c r="F459" s="45"/>
      <c r="G459" s="45">
        <v>1</v>
      </c>
      <c r="H459" s="45">
        <v>1</v>
      </c>
    </row>
    <row r="460" spans="1:8" x14ac:dyDescent="0.25">
      <c r="A460" s="44" t="s">
        <v>1995</v>
      </c>
      <c r="B460" s="45"/>
      <c r="C460" s="45"/>
      <c r="D460" s="45"/>
      <c r="E460" s="45">
        <v>1</v>
      </c>
      <c r="F460" s="45"/>
      <c r="G460" s="45"/>
      <c r="H460" s="45">
        <v>1</v>
      </c>
    </row>
    <row r="461" spans="1:8" x14ac:dyDescent="0.25">
      <c r="A461" s="44" t="s">
        <v>2785</v>
      </c>
      <c r="B461" s="45">
        <v>1</v>
      </c>
      <c r="C461" s="45"/>
      <c r="D461" s="45"/>
      <c r="E461" s="45"/>
      <c r="F461" s="45">
        <v>1</v>
      </c>
      <c r="G461" s="45"/>
      <c r="H461" s="45">
        <v>2</v>
      </c>
    </row>
    <row r="462" spans="1:8" x14ac:dyDescent="0.25">
      <c r="A462" s="44" t="s">
        <v>3894</v>
      </c>
      <c r="B462" s="45">
        <v>1</v>
      </c>
      <c r="C462" s="45"/>
      <c r="D462" s="45"/>
      <c r="E462" s="45"/>
      <c r="F462" s="45"/>
      <c r="G462" s="45"/>
      <c r="H462" s="45">
        <v>1</v>
      </c>
    </row>
    <row r="463" spans="1:8" x14ac:dyDescent="0.25">
      <c r="A463" s="44" t="s">
        <v>1258</v>
      </c>
      <c r="B463" s="45">
        <v>1</v>
      </c>
      <c r="C463" s="45"/>
      <c r="D463" s="45"/>
      <c r="E463" s="45"/>
      <c r="F463" s="45"/>
      <c r="G463" s="45"/>
      <c r="H463" s="45">
        <v>1</v>
      </c>
    </row>
    <row r="464" spans="1:8" x14ac:dyDescent="0.25">
      <c r="A464" s="44" t="s">
        <v>965</v>
      </c>
      <c r="B464" s="45"/>
      <c r="C464" s="45"/>
      <c r="D464" s="45"/>
      <c r="E464" s="45"/>
      <c r="F464" s="45">
        <v>1</v>
      </c>
      <c r="G464" s="45"/>
      <c r="H464" s="45">
        <v>1</v>
      </c>
    </row>
    <row r="465" spans="1:8" x14ac:dyDescent="0.25">
      <c r="A465" s="44" t="s">
        <v>681</v>
      </c>
      <c r="B465" s="45">
        <v>1</v>
      </c>
      <c r="C465" s="45"/>
      <c r="D465" s="45"/>
      <c r="E465" s="45"/>
      <c r="F465" s="45"/>
      <c r="G465" s="45"/>
      <c r="H465" s="45">
        <v>1</v>
      </c>
    </row>
    <row r="466" spans="1:8" x14ac:dyDescent="0.25">
      <c r="A466" s="44" t="s">
        <v>439</v>
      </c>
      <c r="B466" s="45"/>
      <c r="C466" s="45"/>
      <c r="D466" s="45"/>
      <c r="E466" s="45"/>
      <c r="F466" s="45">
        <v>1</v>
      </c>
      <c r="G466" s="45"/>
      <c r="H466" s="45">
        <v>1</v>
      </c>
    </row>
    <row r="467" spans="1:8" x14ac:dyDescent="0.25">
      <c r="A467" s="44" t="s">
        <v>2796</v>
      </c>
      <c r="B467" s="45"/>
      <c r="C467" s="45"/>
      <c r="D467" s="45"/>
      <c r="E467" s="45"/>
      <c r="F467" s="45">
        <v>1</v>
      </c>
      <c r="G467" s="45"/>
      <c r="H467" s="45">
        <v>1</v>
      </c>
    </row>
    <row r="468" spans="1:8" x14ac:dyDescent="0.25">
      <c r="A468" s="44" t="s">
        <v>3049</v>
      </c>
      <c r="B468" s="45"/>
      <c r="C468" s="45"/>
      <c r="D468" s="45"/>
      <c r="E468" s="45"/>
      <c r="F468" s="45">
        <v>1</v>
      </c>
      <c r="G468" s="45"/>
      <c r="H468" s="45">
        <v>1</v>
      </c>
    </row>
    <row r="469" spans="1:8" x14ac:dyDescent="0.25">
      <c r="A469" s="44" t="s">
        <v>2057</v>
      </c>
      <c r="B469" s="45"/>
      <c r="C469" s="45"/>
      <c r="D469" s="45"/>
      <c r="E469" s="45"/>
      <c r="F469" s="45">
        <v>1</v>
      </c>
      <c r="G469" s="45"/>
      <c r="H469" s="45">
        <v>1</v>
      </c>
    </row>
    <row r="470" spans="1:8" x14ac:dyDescent="0.25">
      <c r="A470" s="44" t="s">
        <v>2749</v>
      </c>
      <c r="B470" s="45"/>
      <c r="C470" s="45"/>
      <c r="D470" s="45"/>
      <c r="E470" s="45"/>
      <c r="F470" s="45">
        <v>1</v>
      </c>
      <c r="G470" s="45"/>
      <c r="H470" s="45">
        <v>1</v>
      </c>
    </row>
    <row r="471" spans="1:8" x14ac:dyDescent="0.25">
      <c r="A471" s="44" t="s">
        <v>2692</v>
      </c>
      <c r="B471" s="45">
        <v>1</v>
      </c>
      <c r="C471" s="45"/>
      <c r="D471" s="45"/>
      <c r="E471" s="45"/>
      <c r="F471" s="45"/>
      <c r="G471" s="45"/>
      <c r="H471" s="45">
        <v>1</v>
      </c>
    </row>
    <row r="472" spans="1:8" x14ac:dyDescent="0.25">
      <c r="A472" s="44" t="s">
        <v>3570</v>
      </c>
      <c r="B472" s="45"/>
      <c r="C472" s="45"/>
      <c r="D472" s="45"/>
      <c r="E472" s="45"/>
      <c r="F472" s="45"/>
      <c r="G472" s="45">
        <v>1</v>
      </c>
      <c r="H472" s="45">
        <v>1</v>
      </c>
    </row>
    <row r="473" spans="1:8" x14ac:dyDescent="0.25">
      <c r="A473" s="44" t="s">
        <v>1755</v>
      </c>
      <c r="B473" s="45"/>
      <c r="C473" s="45"/>
      <c r="D473" s="45"/>
      <c r="E473" s="45"/>
      <c r="F473" s="45">
        <v>1</v>
      </c>
      <c r="G473" s="45"/>
      <c r="H473" s="45">
        <v>1</v>
      </c>
    </row>
    <row r="474" spans="1:8" x14ac:dyDescent="0.25">
      <c r="A474" s="44" t="s">
        <v>1318</v>
      </c>
      <c r="B474" s="45"/>
      <c r="C474" s="45"/>
      <c r="D474" s="45"/>
      <c r="E474" s="45"/>
      <c r="F474" s="45">
        <v>1</v>
      </c>
      <c r="G474" s="45"/>
      <c r="H474" s="45">
        <v>1</v>
      </c>
    </row>
    <row r="475" spans="1:8" x14ac:dyDescent="0.25">
      <c r="A475" s="44" t="s">
        <v>1014</v>
      </c>
      <c r="B475" s="45"/>
      <c r="C475" s="45"/>
      <c r="D475" s="45"/>
      <c r="E475" s="45"/>
      <c r="F475" s="45">
        <v>1</v>
      </c>
      <c r="G475" s="45"/>
      <c r="H475" s="45">
        <v>1</v>
      </c>
    </row>
    <row r="476" spans="1:8" x14ac:dyDescent="0.25">
      <c r="A476" s="44" t="s">
        <v>3644</v>
      </c>
      <c r="B476" s="45"/>
      <c r="C476" s="45"/>
      <c r="D476" s="45"/>
      <c r="E476" s="45"/>
      <c r="F476" s="45">
        <v>1</v>
      </c>
      <c r="G476" s="45"/>
      <c r="H476" s="45">
        <v>1</v>
      </c>
    </row>
    <row r="477" spans="1:8" x14ac:dyDescent="0.25">
      <c r="A477" s="44" t="s">
        <v>2518</v>
      </c>
      <c r="B477" s="45"/>
      <c r="C477" s="45"/>
      <c r="D477" s="45"/>
      <c r="E477" s="45">
        <v>1</v>
      </c>
      <c r="F477" s="45"/>
      <c r="G477" s="45"/>
      <c r="H477" s="45">
        <v>1</v>
      </c>
    </row>
    <row r="478" spans="1:8" x14ac:dyDescent="0.25">
      <c r="A478" s="44" t="s">
        <v>1836</v>
      </c>
      <c r="B478" s="45"/>
      <c r="C478" s="45"/>
      <c r="D478" s="45"/>
      <c r="E478" s="45"/>
      <c r="F478" s="45">
        <v>1</v>
      </c>
      <c r="G478" s="45"/>
      <c r="H478" s="45">
        <v>1</v>
      </c>
    </row>
    <row r="479" spans="1:8" x14ac:dyDescent="0.25">
      <c r="A479" s="44" t="s">
        <v>2315</v>
      </c>
      <c r="B479" s="45"/>
      <c r="C479" s="45"/>
      <c r="D479" s="45"/>
      <c r="E479" s="45"/>
      <c r="F479" s="45">
        <v>1</v>
      </c>
      <c r="G479" s="45"/>
      <c r="H479" s="45">
        <v>1</v>
      </c>
    </row>
    <row r="480" spans="1:8" x14ac:dyDescent="0.25">
      <c r="A480" s="44" t="s">
        <v>1286</v>
      </c>
      <c r="B480" s="45">
        <v>1</v>
      </c>
      <c r="C480" s="45"/>
      <c r="D480" s="45"/>
      <c r="E480" s="45"/>
      <c r="F480" s="45"/>
      <c r="G480" s="45"/>
      <c r="H480" s="45">
        <v>1</v>
      </c>
    </row>
    <row r="481" spans="1:8" x14ac:dyDescent="0.25">
      <c r="A481" s="44" t="s">
        <v>2360</v>
      </c>
      <c r="B481" s="45">
        <v>1</v>
      </c>
      <c r="C481" s="45"/>
      <c r="D481" s="45"/>
      <c r="E481" s="45"/>
      <c r="F481" s="45"/>
      <c r="G481" s="45"/>
      <c r="H481" s="45">
        <v>1</v>
      </c>
    </row>
    <row r="482" spans="1:8" x14ac:dyDescent="0.25">
      <c r="A482" s="44" t="s">
        <v>542</v>
      </c>
      <c r="B482" s="45"/>
      <c r="C482" s="45"/>
      <c r="D482" s="45"/>
      <c r="E482" s="45"/>
      <c r="F482" s="45"/>
      <c r="G482" s="45">
        <v>1</v>
      </c>
      <c r="H482" s="45">
        <v>1</v>
      </c>
    </row>
    <row r="483" spans="1:8" x14ac:dyDescent="0.25">
      <c r="A483" s="44" t="s">
        <v>1413</v>
      </c>
      <c r="B483" s="45"/>
      <c r="C483" s="45"/>
      <c r="D483" s="45"/>
      <c r="E483" s="45"/>
      <c r="F483" s="45">
        <v>1</v>
      </c>
      <c r="G483" s="45"/>
      <c r="H483" s="45">
        <v>1</v>
      </c>
    </row>
    <row r="484" spans="1:8" x14ac:dyDescent="0.25">
      <c r="A484" s="44" t="s">
        <v>1591</v>
      </c>
      <c r="B484" s="45"/>
      <c r="C484" s="45"/>
      <c r="D484" s="45"/>
      <c r="E484" s="45"/>
      <c r="F484" s="45"/>
      <c r="G484" s="45">
        <v>1</v>
      </c>
      <c r="H484" s="45">
        <v>1</v>
      </c>
    </row>
    <row r="485" spans="1:8" x14ac:dyDescent="0.25">
      <c r="A485" s="44" t="s">
        <v>1082</v>
      </c>
      <c r="B485" s="45"/>
      <c r="C485" s="45"/>
      <c r="D485" s="45"/>
      <c r="E485" s="45"/>
      <c r="F485" s="45"/>
      <c r="G485" s="45">
        <v>1</v>
      </c>
      <c r="H485" s="45">
        <v>1</v>
      </c>
    </row>
    <row r="486" spans="1:8" x14ac:dyDescent="0.25">
      <c r="A486" s="44" t="s">
        <v>2576</v>
      </c>
      <c r="B486" s="45">
        <v>1</v>
      </c>
      <c r="C486" s="45"/>
      <c r="D486" s="45"/>
      <c r="E486" s="45"/>
      <c r="F486" s="45"/>
      <c r="G486" s="45"/>
      <c r="H486" s="45">
        <v>1</v>
      </c>
    </row>
    <row r="487" spans="1:8" x14ac:dyDescent="0.25">
      <c r="A487" s="44" t="s">
        <v>100</v>
      </c>
      <c r="B487" s="45">
        <v>1</v>
      </c>
      <c r="C487" s="45"/>
      <c r="D487" s="45"/>
      <c r="E487" s="45"/>
      <c r="F487" s="45"/>
      <c r="G487" s="45"/>
      <c r="H487" s="45">
        <v>1</v>
      </c>
    </row>
    <row r="488" spans="1:8" x14ac:dyDescent="0.25">
      <c r="A488" s="44" t="s">
        <v>1622</v>
      </c>
      <c r="B488" s="45"/>
      <c r="C488" s="45"/>
      <c r="D488" s="45"/>
      <c r="E488" s="45"/>
      <c r="F488" s="45">
        <v>1</v>
      </c>
      <c r="G488" s="45"/>
      <c r="H488" s="45">
        <v>1</v>
      </c>
    </row>
    <row r="489" spans="1:8" x14ac:dyDescent="0.25">
      <c r="A489" s="44" t="s">
        <v>1605</v>
      </c>
      <c r="B489" s="45">
        <v>1</v>
      </c>
      <c r="C489" s="45"/>
      <c r="D489" s="45"/>
      <c r="E489" s="45"/>
      <c r="F489" s="45"/>
      <c r="G489" s="45"/>
      <c r="H489" s="45">
        <v>1</v>
      </c>
    </row>
    <row r="490" spans="1:8" x14ac:dyDescent="0.25">
      <c r="A490" s="44" t="s">
        <v>3326</v>
      </c>
      <c r="B490" s="45"/>
      <c r="C490" s="45"/>
      <c r="D490" s="45"/>
      <c r="E490" s="45"/>
      <c r="F490" s="45">
        <v>1</v>
      </c>
      <c r="G490" s="45"/>
      <c r="H490" s="45">
        <v>1</v>
      </c>
    </row>
    <row r="491" spans="1:8" x14ac:dyDescent="0.25">
      <c r="A491" s="44" t="s">
        <v>3278</v>
      </c>
      <c r="B491" s="45"/>
      <c r="C491" s="45">
        <v>1</v>
      </c>
      <c r="D491" s="45"/>
      <c r="E491" s="45"/>
      <c r="F491" s="45"/>
      <c r="G491" s="45"/>
      <c r="H491" s="45">
        <v>1</v>
      </c>
    </row>
    <row r="492" spans="1:8" x14ac:dyDescent="0.25">
      <c r="A492" s="44" t="s">
        <v>752</v>
      </c>
      <c r="B492" s="45"/>
      <c r="C492" s="45"/>
      <c r="D492" s="45"/>
      <c r="E492" s="45"/>
      <c r="F492" s="45">
        <v>1</v>
      </c>
      <c r="G492" s="45"/>
      <c r="H492" s="45">
        <v>1</v>
      </c>
    </row>
    <row r="493" spans="1:8" x14ac:dyDescent="0.25">
      <c r="A493" s="44" t="s">
        <v>173</v>
      </c>
      <c r="B493" s="45"/>
      <c r="C493" s="45"/>
      <c r="D493" s="45"/>
      <c r="E493" s="45"/>
      <c r="F493" s="45">
        <v>1</v>
      </c>
      <c r="G493" s="45"/>
      <c r="H493" s="45">
        <v>1</v>
      </c>
    </row>
    <row r="494" spans="1:8" x14ac:dyDescent="0.25">
      <c r="A494" s="44" t="s">
        <v>947</v>
      </c>
      <c r="B494" s="45"/>
      <c r="C494" s="45"/>
      <c r="D494" s="45"/>
      <c r="E494" s="45"/>
      <c r="F494" s="45">
        <v>1</v>
      </c>
      <c r="G494" s="45"/>
      <c r="H494" s="45">
        <v>1</v>
      </c>
    </row>
    <row r="495" spans="1:8" x14ac:dyDescent="0.25">
      <c r="A495" s="44" t="s">
        <v>1008</v>
      </c>
      <c r="B495" s="45"/>
      <c r="C495" s="45"/>
      <c r="D495" s="45"/>
      <c r="E495" s="45"/>
      <c r="F495" s="45">
        <v>1</v>
      </c>
      <c r="G495" s="45"/>
      <c r="H495" s="45">
        <v>1</v>
      </c>
    </row>
    <row r="496" spans="1:8" x14ac:dyDescent="0.25">
      <c r="A496" s="44" t="s">
        <v>2591</v>
      </c>
      <c r="B496" s="45">
        <v>1</v>
      </c>
      <c r="C496" s="45"/>
      <c r="D496" s="45"/>
      <c r="E496" s="45"/>
      <c r="F496" s="45"/>
      <c r="G496" s="45"/>
      <c r="H496" s="45">
        <v>1</v>
      </c>
    </row>
    <row r="497" spans="1:8" x14ac:dyDescent="0.25">
      <c r="A497" s="44" t="s">
        <v>3220</v>
      </c>
      <c r="B497" s="45"/>
      <c r="C497" s="45"/>
      <c r="D497" s="45"/>
      <c r="E497" s="45"/>
      <c r="F497" s="45">
        <v>1</v>
      </c>
      <c r="G497" s="45"/>
      <c r="H497" s="45">
        <v>1</v>
      </c>
    </row>
    <row r="498" spans="1:8" x14ac:dyDescent="0.25">
      <c r="A498" s="44" t="s">
        <v>763</v>
      </c>
      <c r="B498" s="45"/>
      <c r="C498" s="45"/>
      <c r="D498" s="45"/>
      <c r="E498" s="45"/>
      <c r="F498" s="45">
        <v>1</v>
      </c>
      <c r="G498" s="45"/>
      <c r="H498" s="45">
        <v>1</v>
      </c>
    </row>
    <row r="499" spans="1:8" x14ac:dyDescent="0.25">
      <c r="A499" s="44" t="s">
        <v>3209</v>
      </c>
      <c r="B499" s="45"/>
      <c r="C499" s="45"/>
      <c r="D499" s="45"/>
      <c r="E499" s="45"/>
      <c r="F499" s="45">
        <v>1</v>
      </c>
      <c r="G499" s="45"/>
      <c r="H499" s="45">
        <v>1</v>
      </c>
    </row>
    <row r="500" spans="1:8" x14ac:dyDescent="0.25">
      <c r="A500" s="44" t="s">
        <v>495</v>
      </c>
      <c r="B500" s="45"/>
      <c r="C500" s="45"/>
      <c r="D500" s="45"/>
      <c r="E500" s="45"/>
      <c r="F500" s="45">
        <v>1</v>
      </c>
      <c r="G500" s="45"/>
      <c r="H500" s="45">
        <v>1</v>
      </c>
    </row>
    <row r="501" spans="1:8" x14ac:dyDescent="0.25">
      <c r="A501" s="44" t="s">
        <v>3596</v>
      </c>
      <c r="B501" s="45"/>
      <c r="C501" s="45">
        <v>1</v>
      </c>
      <c r="D501" s="45"/>
      <c r="E501" s="45"/>
      <c r="F501" s="45"/>
      <c r="G501" s="45"/>
      <c r="H501" s="45">
        <v>1</v>
      </c>
    </row>
    <row r="502" spans="1:8" x14ac:dyDescent="0.25">
      <c r="A502" s="44" t="s">
        <v>814</v>
      </c>
      <c r="B502" s="45"/>
      <c r="C502" s="45"/>
      <c r="D502" s="45"/>
      <c r="E502" s="45"/>
      <c r="F502" s="45"/>
      <c r="G502" s="45">
        <v>1</v>
      </c>
      <c r="H502" s="45">
        <v>1</v>
      </c>
    </row>
    <row r="503" spans="1:8" x14ac:dyDescent="0.25">
      <c r="A503" s="44" t="s">
        <v>927</v>
      </c>
      <c r="B503" s="45">
        <v>1</v>
      </c>
      <c r="C503" s="45"/>
      <c r="D503" s="45"/>
      <c r="E503" s="45"/>
      <c r="F503" s="45"/>
      <c r="G503" s="45"/>
      <c r="H503" s="45">
        <v>1</v>
      </c>
    </row>
    <row r="504" spans="1:8" x14ac:dyDescent="0.25">
      <c r="A504" s="44" t="s">
        <v>2050</v>
      </c>
      <c r="B504" s="45">
        <v>1</v>
      </c>
      <c r="C504" s="45"/>
      <c r="D504" s="45"/>
      <c r="E504" s="45"/>
      <c r="F504" s="45"/>
      <c r="G504" s="45"/>
      <c r="H504" s="45">
        <v>1</v>
      </c>
    </row>
    <row r="505" spans="1:8" x14ac:dyDescent="0.25">
      <c r="A505" s="44" t="s">
        <v>3360</v>
      </c>
      <c r="B505" s="45">
        <v>1</v>
      </c>
      <c r="C505" s="45"/>
      <c r="D505" s="45"/>
      <c r="E505" s="45"/>
      <c r="F505" s="45"/>
      <c r="G505" s="45"/>
      <c r="H505" s="45">
        <v>1</v>
      </c>
    </row>
    <row r="506" spans="1:8" x14ac:dyDescent="0.25">
      <c r="A506" s="44" t="s">
        <v>1617</v>
      </c>
      <c r="B506" s="45">
        <v>1</v>
      </c>
      <c r="C506" s="45"/>
      <c r="D506" s="45"/>
      <c r="E506" s="45"/>
      <c r="F506" s="45"/>
      <c r="G506" s="45"/>
      <c r="H506" s="45">
        <v>1</v>
      </c>
    </row>
    <row r="507" spans="1:8" x14ac:dyDescent="0.25">
      <c r="A507" s="44" t="s">
        <v>1410</v>
      </c>
      <c r="B507" s="45"/>
      <c r="C507" s="45"/>
      <c r="D507" s="45"/>
      <c r="E507" s="45"/>
      <c r="F507" s="45"/>
      <c r="G507" s="45">
        <v>1</v>
      </c>
      <c r="H507" s="45">
        <v>1</v>
      </c>
    </row>
    <row r="508" spans="1:8" x14ac:dyDescent="0.25">
      <c r="A508" s="44" t="s">
        <v>3957</v>
      </c>
      <c r="B508" s="45"/>
      <c r="C508" s="45"/>
      <c r="D508" s="45"/>
      <c r="E508" s="45"/>
      <c r="F508" s="45">
        <v>1</v>
      </c>
      <c r="G508" s="45"/>
      <c r="H508" s="45">
        <v>1</v>
      </c>
    </row>
    <row r="509" spans="1:8" x14ac:dyDescent="0.25">
      <c r="A509" s="44" t="s">
        <v>2810</v>
      </c>
      <c r="B509" s="45">
        <v>1</v>
      </c>
      <c r="C509" s="45"/>
      <c r="D509" s="45"/>
      <c r="E509" s="45"/>
      <c r="F509" s="45"/>
      <c r="G509" s="45"/>
      <c r="H509" s="45">
        <v>1</v>
      </c>
    </row>
    <row r="510" spans="1:8" x14ac:dyDescent="0.25">
      <c r="A510" s="44" t="s">
        <v>1484</v>
      </c>
      <c r="B510" s="45"/>
      <c r="C510" s="45"/>
      <c r="D510" s="45"/>
      <c r="E510" s="45"/>
      <c r="F510" s="45"/>
      <c r="G510" s="45">
        <v>1</v>
      </c>
      <c r="H510" s="45">
        <v>1</v>
      </c>
    </row>
    <row r="511" spans="1:8" x14ac:dyDescent="0.25">
      <c r="A511" s="44" t="s">
        <v>1564</v>
      </c>
      <c r="B511" s="45"/>
      <c r="C511" s="45">
        <v>1</v>
      </c>
      <c r="D511" s="45"/>
      <c r="E511" s="45"/>
      <c r="F511" s="45"/>
      <c r="G511" s="45"/>
      <c r="H511" s="45">
        <v>1</v>
      </c>
    </row>
    <row r="512" spans="1:8" x14ac:dyDescent="0.25">
      <c r="A512" s="44" t="s">
        <v>1687</v>
      </c>
      <c r="B512" s="45"/>
      <c r="C512" s="45"/>
      <c r="D512" s="45"/>
      <c r="E512" s="45"/>
      <c r="F512" s="45"/>
      <c r="G512" s="45">
        <v>1</v>
      </c>
      <c r="H512" s="45">
        <v>1</v>
      </c>
    </row>
    <row r="513" spans="1:8" x14ac:dyDescent="0.25">
      <c r="A513" s="44" t="s">
        <v>1650</v>
      </c>
      <c r="B513" s="45">
        <v>1</v>
      </c>
      <c r="C513" s="45"/>
      <c r="D513" s="45"/>
      <c r="E513" s="45"/>
      <c r="F513" s="45"/>
      <c r="G513" s="45"/>
      <c r="H513" s="45">
        <v>1</v>
      </c>
    </row>
    <row r="514" spans="1:8" x14ac:dyDescent="0.25">
      <c r="A514" s="44" t="s">
        <v>1684</v>
      </c>
      <c r="B514" s="45"/>
      <c r="C514" s="45">
        <v>1</v>
      </c>
      <c r="D514" s="45"/>
      <c r="E514" s="45"/>
      <c r="F514" s="45"/>
      <c r="G514" s="45"/>
      <c r="H514" s="45">
        <v>1</v>
      </c>
    </row>
    <row r="515" spans="1:8" x14ac:dyDescent="0.25">
      <c r="A515" s="44" t="s">
        <v>395</v>
      </c>
      <c r="B515" s="45"/>
      <c r="C515" s="45"/>
      <c r="D515" s="45"/>
      <c r="E515" s="45"/>
      <c r="F515" s="45">
        <v>1</v>
      </c>
      <c r="G515" s="45"/>
      <c r="H515" s="45">
        <v>1</v>
      </c>
    </row>
    <row r="516" spans="1:8" x14ac:dyDescent="0.25">
      <c r="A516" s="44" t="s">
        <v>2821</v>
      </c>
      <c r="B516" s="45"/>
      <c r="C516" s="45"/>
      <c r="D516" s="45"/>
      <c r="E516" s="45"/>
      <c r="F516" s="45">
        <v>1</v>
      </c>
      <c r="G516" s="45"/>
      <c r="H516" s="45">
        <v>1</v>
      </c>
    </row>
    <row r="517" spans="1:8" x14ac:dyDescent="0.25">
      <c r="A517" s="44" t="s">
        <v>1244</v>
      </c>
      <c r="B517" s="45">
        <v>1</v>
      </c>
      <c r="C517" s="45"/>
      <c r="D517" s="45"/>
      <c r="E517" s="45"/>
      <c r="F517" s="45"/>
      <c r="G517" s="45"/>
      <c r="H517" s="45">
        <v>1</v>
      </c>
    </row>
    <row r="518" spans="1:8" x14ac:dyDescent="0.25">
      <c r="A518" s="44" t="s">
        <v>889</v>
      </c>
      <c r="B518" s="45">
        <v>1</v>
      </c>
      <c r="C518" s="45"/>
      <c r="D518" s="45"/>
      <c r="E518" s="45"/>
      <c r="F518" s="45"/>
      <c r="G518" s="45"/>
      <c r="H518" s="45">
        <v>1</v>
      </c>
    </row>
    <row r="519" spans="1:8" x14ac:dyDescent="0.25">
      <c r="A519" s="44" t="s">
        <v>2930</v>
      </c>
      <c r="B519" s="45"/>
      <c r="C519" s="45"/>
      <c r="D519" s="45"/>
      <c r="E519" s="45">
        <v>1</v>
      </c>
      <c r="F519" s="45"/>
      <c r="G519" s="45"/>
      <c r="H519" s="45">
        <v>1</v>
      </c>
    </row>
    <row r="520" spans="1:8" x14ac:dyDescent="0.25">
      <c r="A520" s="44" t="s">
        <v>3274</v>
      </c>
      <c r="B520" s="45"/>
      <c r="C520" s="45">
        <v>1</v>
      </c>
      <c r="D520" s="45"/>
      <c r="E520" s="45"/>
      <c r="F520" s="45"/>
      <c r="G520" s="45"/>
      <c r="H520" s="45">
        <v>1</v>
      </c>
    </row>
    <row r="521" spans="1:8" x14ac:dyDescent="0.25">
      <c r="A521" s="44" t="s">
        <v>1665</v>
      </c>
      <c r="B521" s="45">
        <v>2</v>
      </c>
      <c r="C521" s="45"/>
      <c r="D521" s="45"/>
      <c r="E521" s="45"/>
      <c r="F521" s="45"/>
      <c r="G521" s="45"/>
      <c r="H521" s="45">
        <v>2</v>
      </c>
    </row>
    <row r="522" spans="1:8" x14ac:dyDescent="0.25">
      <c r="A522" s="44" t="s">
        <v>1838</v>
      </c>
      <c r="B522" s="45"/>
      <c r="C522" s="45"/>
      <c r="D522" s="45"/>
      <c r="E522" s="45"/>
      <c r="F522" s="45"/>
      <c r="G522" s="45">
        <v>1</v>
      </c>
      <c r="H522" s="45">
        <v>1</v>
      </c>
    </row>
    <row r="523" spans="1:8" x14ac:dyDescent="0.25">
      <c r="A523" s="44" t="s">
        <v>1804</v>
      </c>
      <c r="B523" s="45">
        <v>1</v>
      </c>
      <c r="C523" s="45"/>
      <c r="D523" s="45"/>
      <c r="E523" s="45"/>
      <c r="F523" s="45"/>
      <c r="G523" s="45"/>
      <c r="H523" s="45">
        <v>1</v>
      </c>
    </row>
    <row r="524" spans="1:8" x14ac:dyDescent="0.25">
      <c r="A524" s="44" t="s">
        <v>3492</v>
      </c>
      <c r="B524" s="45"/>
      <c r="C524" s="45"/>
      <c r="D524" s="45"/>
      <c r="E524" s="45"/>
      <c r="F524" s="45">
        <v>1</v>
      </c>
      <c r="G524" s="45"/>
      <c r="H524" s="45">
        <v>1</v>
      </c>
    </row>
    <row r="525" spans="1:8" x14ac:dyDescent="0.25">
      <c r="A525" s="44" t="s">
        <v>3040</v>
      </c>
      <c r="B525" s="45"/>
      <c r="C525" s="45">
        <v>1</v>
      </c>
      <c r="D525" s="45"/>
      <c r="E525" s="45"/>
      <c r="F525" s="45"/>
      <c r="G525" s="45"/>
      <c r="H525" s="45">
        <v>1</v>
      </c>
    </row>
    <row r="526" spans="1:8" x14ac:dyDescent="0.25">
      <c r="A526" s="44" t="s">
        <v>3477</v>
      </c>
      <c r="B526" s="45"/>
      <c r="C526" s="45"/>
      <c r="D526" s="45"/>
      <c r="E526" s="45"/>
      <c r="F526" s="45">
        <v>1</v>
      </c>
      <c r="G526" s="45"/>
      <c r="H526" s="45">
        <v>1</v>
      </c>
    </row>
    <row r="527" spans="1:8" x14ac:dyDescent="0.25">
      <c r="A527" s="44" t="s">
        <v>4062</v>
      </c>
      <c r="B527" s="45">
        <v>1</v>
      </c>
      <c r="C527" s="45"/>
      <c r="D527" s="45"/>
      <c r="E527" s="45"/>
      <c r="F527" s="45"/>
      <c r="G527" s="45"/>
      <c r="H527" s="45">
        <v>1</v>
      </c>
    </row>
    <row r="528" spans="1:8" x14ac:dyDescent="0.25">
      <c r="A528" s="44" t="s">
        <v>2793</v>
      </c>
      <c r="B528" s="45">
        <v>1</v>
      </c>
      <c r="C528" s="45"/>
      <c r="D528" s="45"/>
      <c r="E528" s="45"/>
      <c r="F528" s="45"/>
      <c r="G528" s="45"/>
      <c r="H528" s="45">
        <v>1</v>
      </c>
    </row>
    <row r="529" spans="1:8" x14ac:dyDescent="0.25">
      <c r="A529" s="44" t="s">
        <v>3940</v>
      </c>
      <c r="B529" s="45"/>
      <c r="C529" s="45">
        <v>1</v>
      </c>
      <c r="D529" s="45"/>
      <c r="E529" s="45"/>
      <c r="F529" s="45"/>
      <c r="G529" s="45"/>
      <c r="H529" s="45">
        <v>1</v>
      </c>
    </row>
    <row r="530" spans="1:8" x14ac:dyDescent="0.25">
      <c r="A530" s="44" t="s">
        <v>258</v>
      </c>
      <c r="B530" s="45"/>
      <c r="C530" s="45"/>
      <c r="D530" s="45"/>
      <c r="E530" s="45"/>
      <c r="F530" s="45">
        <v>1</v>
      </c>
      <c r="G530" s="45"/>
      <c r="H530" s="45">
        <v>1</v>
      </c>
    </row>
    <row r="531" spans="1:8" x14ac:dyDescent="0.25">
      <c r="A531" s="44" t="s">
        <v>1464</v>
      </c>
      <c r="B531" s="45"/>
      <c r="C531" s="45"/>
      <c r="D531" s="45"/>
      <c r="E531" s="45"/>
      <c r="F531" s="45">
        <v>1</v>
      </c>
      <c r="G531" s="45"/>
      <c r="H531" s="45">
        <v>1</v>
      </c>
    </row>
    <row r="532" spans="1:8" x14ac:dyDescent="0.25">
      <c r="A532" s="44" t="s">
        <v>1298</v>
      </c>
      <c r="B532" s="45">
        <v>1</v>
      </c>
      <c r="C532" s="45"/>
      <c r="D532" s="45"/>
      <c r="E532" s="45"/>
      <c r="F532" s="45"/>
      <c r="G532" s="45"/>
      <c r="H532" s="45">
        <v>1</v>
      </c>
    </row>
    <row r="533" spans="1:8" x14ac:dyDescent="0.25">
      <c r="A533" s="44" t="s">
        <v>1569</v>
      </c>
      <c r="B533" s="45">
        <v>1</v>
      </c>
      <c r="C533" s="45"/>
      <c r="D533" s="45"/>
      <c r="E533" s="45"/>
      <c r="F533" s="45"/>
      <c r="G533" s="45"/>
      <c r="H533" s="45">
        <v>1</v>
      </c>
    </row>
    <row r="534" spans="1:8" x14ac:dyDescent="0.25">
      <c r="A534" s="44" t="s">
        <v>900</v>
      </c>
      <c r="B534" s="45"/>
      <c r="C534" s="45"/>
      <c r="D534" s="45"/>
      <c r="E534" s="45"/>
      <c r="F534" s="45">
        <v>1</v>
      </c>
      <c r="G534" s="45"/>
      <c r="H534" s="45">
        <v>1</v>
      </c>
    </row>
    <row r="535" spans="1:8" x14ac:dyDescent="0.25">
      <c r="A535" s="44" t="s">
        <v>3137</v>
      </c>
      <c r="B535" s="45"/>
      <c r="C535" s="45"/>
      <c r="D535" s="45"/>
      <c r="E535" s="45">
        <v>1</v>
      </c>
      <c r="F535" s="45"/>
      <c r="G535" s="45"/>
      <c r="H535" s="45">
        <v>1</v>
      </c>
    </row>
    <row r="536" spans="1:8" x14ac:dyDescent="0.25">
      <c r="A536" s="44" t="s">
        <v>539</v>
      </c>
      <c r="B536" s="45"/>
      <c r="C536" s="45"/>
      <c r="D536" s="45"/>
      <c r="E536" s="45"/>
      <c r="F536" s="45">
        <v>1</v>
      </c>
      <c r="G536" s="45"/>
      <c r="H536" s="45">
        <v>1</v>
      </c>
    </row>
    <row r="537" spans="1:8" x14ac:dyDescent="0.25">
      <c r="A537" s="44" t="s">
        <v>2923</v>
      </c>
      <c r="B537" s="45"/>
      <c r="C537" s="45"/>
      <c r="D537" s="45"/>
      <c r="E537" s="45"/>
      <c r="F537" s="45">
        <v>1</v>
      </c>
      <c r="G537" s="45"/>
      <c r="H537" s="45">
        <v>1</v>
      </c>
    </row>
    <row r="538" spans="1:8" x14ac:dyDescent="0.25">
      <c r="A538" s="44" t="s">
        <v>1367</v>
      </c>
      <c r="B538" s="45">
        <v>1</v>
      </c>
      <c r="C538" s="45"/>
      <c r="D538" s="45"/>
      <c r="E538" s="45"/>
      <c r="F538" s="45"/>
      <c r="G538" s="45"/>
      <c r="H538" s="45">
        <v>1</v>
      </c>
    </row>
    <row r="539" spans="1:8" x14ac:dyDescent="0.25">
      <c r="A539" s="44" t="s">
        <v>452</v>
      </c>
      <c r="B539" s="45">
        <v>1</v>
      </c>
      <c r="C539" s="45"/>
      <c r="D539" s="45"/>
      <c r="E539" s="45"/>
      <c r="F539" s="45"/>
      <c r="G539" s="45"/>
      <c r="H539" s="45">
        <v>1</v>
      </c>
    </row>
    <row r="540" spans="1:8" x14ac:dyDescent="0.25">
      <c r="A540" s="44" t="s">
        <v>3425</v>
      </c>
      <c r="B540" s="45"/>
      <c r="C540" s="45"/>
      <c r="D540" s="45"/>
      <c r="E540" s="45"/>
      <c r="F540" s="45">
        <v>1</v>
      </c>
      <c r="G540" s="45"/>
      <c r="H540" s="45">
        <v>1</v>
      </c>
    </row>
    <row r="541" spans="1:8" x14ac:dyDescent="0.25">
      <c r="A541" s="44" t="s">
        <v>108</v>
      </c>
      <c r="B541" s="45">
        <v>1</v>
      </c>
      <c r="C541" s="45"/>
      <c r="D541" s="45"/>
      <c r="E541" s="45"/>
      <c r="F541" s="45"/>
      <c r="G541" s="45"/>
      <c r="H541" s="45">
        <v>1</v>
      </c>
    </row>
    <row r="542" spans="1:8" x14ac:dyDescent="0.25">
      <c r="A542" s="44" t="s">
        <v>3637</v>
      </c>
      <c r="B542" s="45"/>
      <c r="C542" s="45">
        <v>1</v>
      </c>
      <c r="D542" s="45"/>
      <c r="E542" s="45"/>
      <c r="F542" s="45"/>
      <c r="G542" s="45"/>
      <c r="H542" s="45">
        <v>1</v>
      </c>
    </row>
    <row r="543" spans="1:8" x14ac:dyDescent="0.25">
      <c r="A543" s="44" t="s">
        <v>3194</v>
      </c>
      <c r="B543" s="45">
        <v>1</v>
      </c>
      <c r="C543" s="45"/>
      <c r="D543" s="45"/>
      <c r="E543" s="45"/>
      <c r="F543" s="45"/>
      <c r="G543" s="45"/>
      <c r="H543" s="45">
        <v>1</v>
      </c>
    </row>
    <row r="544" spans="1:8" x14ac:dyDescent="0.25">
      <c r="A544" s="44" t="s">
        <v>810</v>
      </c>
      <c r="B544" s="45">
        <v>1</v>
      </c>
      <c r="C544" s="45"/>
      <c r="D544" s="45"/>
      <c r="E544" s="45"/>
      <c r="F544" s="45"/>
      <c r="G544" s="45"/>
      <c r="H544" s="45">
        <v>1</v>
      </c>
    </row>
    <row r="545" spans="1:8" x14ac:dyDescent="0.25">
      <c r="A545" s="44" t="s">
        <v>1710</v>
      </c>
      <c r="B545" s="45">
        <v>2</v>
      </c>
      <c r="C545" s="45"/>
      <c r="D545" s="45"/>
      <c r="E545" s="45"/>
      <c r="F545" s="45"/>
      <c r="G545" s="45"/>
      <c r="H545" s="45">
        <v>2</v>
      </c>
    </row>
    <row r="546" spans="1:8" x14ac:dyDescent="0.25">
      <c r="A546" s="44" t="s">
        <v>730</v>
      </c>
      <c r="B546" s="45">
        <v>1</v>
      </c>
      <c r="C546" s="45"/>
      <c r="D546" s="45"/>
      <c r="E546" s="45"/>
      <c r="F546" s="45"/>
      <c r="G546" s="45"/>
      <c r="H546" s="45">
        <v>1</v>
      </c>
    </row>
    <row r="547" spans="1:8" x14ac:dyDescent="0.25">
      <c r="A547" s="44" t="s">
        <v>3140</v>
      </c>
      <c r="B547" s="45"/>
      <c r="C547" s="45"/>
      <c r="D547" s="45"/>
      <c r="E547" s="45"/>
      <c r="F547" s="45">
        <v>1</v>
      </c>
      <c r="G547" s="45"/>
      <c r="H547" s="45">
        <v>1</v>
      </c>
    </row>
    <row r="548" spans="1:8" x14ac:dyDescent="0.25">
      <c r="A548" s="44" t="s">
        <v>3386</v>
      </c>
      <c r="B548" s="45">
        <v>1</v>
      </c>
      <c r="C548" s="45"/>
      <c r="D548" s="45"/>
      <c r="E548" s="45"/>
      <c r="F548" s="45"/>
      <c r="G548" s="45"/>
      <c r="H548" s="45">
        <v>1</v>
      </c>
    </row>
    <row r="549" spans="1:8" x14ac:dyDescent="0.25">
      <c r="A549" s="44" t="s">
        <v>3912</v>
      </c>
      <c r="B549" s="45"/>
      <c r="C549" s="45"/>
      <c r="D549" s="45"/>
      <c r="E549" s="45"/>
      <c r="F549" s="45">
        <v>1</v>
      </c>
      <c r="G549" s="45"/>
      <c r="H549" s="45">
        <v>1</v>
      </c>
    </row>
    <row r="550" spans="1:8" x14ac:dyDescent="0.25">
      <c r="A550" s="44" t="s">
        <v>4100</v>
      </c>
      <c r="B550" s="45">
        <v>1</v>
      </c>
      <c r="C550" s="45"/>
      <c r="D550" s="45"/>
      <c r="E550" s="45"/>
      <c r="F550" s="45"/>
      <c r="G550" s="45"/>
      <c r="H550" s="45">
        <v>1</v>
      </c>
    </row>
    <row r="551" spans="1:8" x14ac:dyDescent="0.25">
      <c r="A551" s="44" t="s">
        <v>2136</v>
      </c>
      <c r="B551" s="45">
        <v>1</v>
      </c>
      <c r="C551" s="45"/>
      <c r="D551" s="45"/>
      <c r="E551" s="45"/>
      <c r="F551" s="45"/>
      <c r="G551" s="45"/>
      <c r="H551" s="45">
        <v>1</v>
      </c>
    </row>
    <row r="552" spans="1:8" x14ac:dyDescent="0.25">
      <c r="A552" s="44" t="s">
        <v>612</v>
      </c>
      <c r="B552" s="45">
        <v>2</v>
      </c>
      <c r="C552" s="45"/>
      <c r="D552" s="45"/>
      <c r="E552" s="45"/>
      <c r="F552" s="45"/>
      <c r="G552" s="45"/>
      <c r="H552" s="45">
        <v>2</v>
      </c>
    </row>
    <row r="553" spans="1:8" x14ac:dyDescent="0.25">
      <c r="A553" s="44" t="s">
        <v>2804</v>
      </c>
      <c r="B553" s="45"/>
      <c r="C553" s="45"/>
      <c r="D553" s="45"/>
      <c r="E553" s="45"/>
      <c r="F553" s="45">
        <v>1</v>
      </c>
      <c r="G553" s="45"/>
      <c r="H553" s="45">
        <v>1</v>
      </c>
    </row>
    <row r="554" spans="1:8" x14ac:dyDescent="0.25">
      <c r="A554" s="44" t="s">
        <v>4066</v>
      </c>
      <c r="B554" s="45"/>
      <c r="C554" s="45"/>
      <c r="D554" s="45"/>
      <c r="E554" s="45">
        <v>1</v>
      </c>
      <c r="F554" s="45"/>
      <c r="G554" s="45"/>
      <c r="H554" s="45">
        <v>1</v>
      </c>
    </row>
    <row r="555" spans="1:8" x14ac:dyDescent="0.25">
      <c r="A555" s="44" t="s">
        <v>1797</v>
      </c>
      <c r="B555" s="45">
        <v>1</v>
      </c>
      <c r="C555" s="45"/>
      <c r="D555" s="45"/>
      <c r="E555" s="45"/>
      <c r="F555" s="45"/>
      <c r="G555" s="45"/>
      <c r="H555" s="45">
        <v>1</v>
      </c>
    </row>
    <row r="556" spans="1:8" x14ac:dyDescent="0.25">
      <c r="A556" s="44" t="s">
        <v>3304</v>
      </c>
      <c r="B556" s="45">
        <v>1</v>
      </c>
      <c r="C556" s="45"/>
      <c r="D556" s="45"/>
      <c r="E556" s="45"/>
      <c r="F556" s="45"/>
      <c r="G556" s="45"/>
      <c r="H556" s="45">
        <v>1</v>
      </c>
    </row>
    <row r="557" spans="1:8" x14ac:dyDescent="0.25">
      <c r="A557" s="44" t="s">
        <v>3267</v>
      </c>
      <c r="B557" s="45">
        <v>1</v>
      </c>
      <c r="C557" s="45"/>
      <c r="D557" s="45"/>
      <c r="E557" s="45"/>
      <c r="F557" s="45"/>
      <c r="G557" s="45"/>
      <c r="H557" s="45">
        <v>1</v>
      </c>
    </row>
    <row r="558" spans="1:8" x14ac:dyDescent="0.25">
      <c r="A558" s="44" t="s">
        <v>2854</v>
      </c>
      <c r="B558" s="45">
        <v>1</v>
      </c>
      <c r="C558" s="45"/>
      <c r="D558" s="45"/>
      <c r="E558" s="45"/>
      <c r="F558" s="45"/>
      <c r="G558" s="45"/>
      <c r="H558" s="45">
        <v>1</v>
      </c>
    </row>
    <row r="559" spans="1:8" x14ac:dyDescent="0.25">
      <c r="A559" s="44" t="s">
        <v>576</v>
      </c>
      <c r="B559" s="45">
        <v>1</v>
      </c>
      <c r="C559" s="45"/>
      <c r="D559" s="45"/>
      <c r="E559" s="45"/>
      <c r="F559" s="45"/>
      <c r="G559" s="45"/>
      <c r="H559" s="45">
        <v>1</v>
      </c>
    </row>
    <row r="560" spans="1:8" x14ac:dyDescent="0.25">
      <c r="A560" s="44" t="s">
        <v>1438</v>
      </c>
      <c r="B560" s="45">
        <v>1</v>
      </c>
      <c r="C560" s="45"/>
      <c r="D560" s="45"/>
      <c r="E560" s="45"/>
      <c r="F560" s="45"/>
      <c r="G560" s="45"/>
      <c r="H560" s="45">
        <v>1</v>
      </c>
    </row>
    <row r="561" spans="1:8" x14ac:dyDescent="0.25">
      <c r="A561" s="44" t="s">
        <v>2264</v>
      </c>
      <c r="B561" s="45"/>
      <c r="C561" s="45"/>
      <c r="D561" s="45"/>
      <c r="E561" s="45">
        <v>1</v>
      </c>
      <c r="F561" s="45"/>
      <c r="G561" s="45"/>
      <c r="H561" s="45">
        <v>1</v>
      </c>
    </row>
    <row r="562" spans="1:8" x14ac:dyDescent="0.25">
      <c r="A562" s="44" t="s">
        <v>3520</v>
      </c>
      <c r="B562" s="45"/>
      <c r="C562" s="45">
        <v>1</v>
      </c>
      <c r="D562" s="45"/>
      <c r="E562" s="45"/>
      <c r="F562" s="45"/>
      <c r="G562" s="45"/>
      <c r="H562" s="45">
        <v>1</v>
      </c>
    </row>
    <row r="563" spans="1:8" x14ac:dyDescent="0.25">
      <c r="A563" s="44" t="s">
        <v>943</v>
      </c>
      <c r="B563" s="45"/>
      <c r="C563" s="45"/>
      <c r="D563" s="45"/>
      <c r="E563" s="45"/>
      <c r="F563" s="45">
        <v>1</v>
      </c>
      <c r="G563" s="45"/>
      <c r="H563" s="45">
        <v>1</v>
      </c>
    </row>
    <row r="564" spans="1:8" x14ac:dyDescent="0.25">
      <c r="A564" s="44" t="s">
        <v>3486</v>
      </c>
      <c r="B564" s="45">
        <v>1</v>
      </c>
      <c r="C564" s="45"/>
      <c r="D564" s="45"/>
      <c r="E564" s="45"/>
      <c r="F564" s="45"/>
      <c r="G564" s="45"/>
      <c r="H564" s="45">
        <v>1</v>
      </c>
    </row>
    <row r="565" spans="1:8" x14ac:dyDescent="0.25">
      <c r="A565" s="44" t="s">
        <v>1216</v>
      </c>
      <c r="B565" s="45"/>
      <c r="C565" s="45">
        <v>1</v>
      </c>
      <c r="D565" s="45"/>
      <c r="E565" s="45"/>
      <c r="F565" s="45"/>
      <c r="G565" s="45"/>
      <c r="H565" s="45">
        <v>1</v>
      </c>
    </row>
    <row r="566" spans="1:8" x14ac:dyDescent="0.25">
      <c r="A566" s="44" t="s">
        <v>3524</v>
      </c>
      <c r="B566" s="45">
        <v>1</v>
      </c>
      <c r="C566" s="45"/>
      <c r="D566" s="45"/>
      <c r="E566" s="45"/>
      <c r="F566" s="45"/>
      <c r="G566" s="45"/>
      <c r="H566" s="45">
        <v>1</v>
      </c>
    </row>
    <row r="567" spans="1:8" x14ac:dyDescent="0.25">
      <c r="A567" s="44" t="s">
        <v>1171</v>
      </c>
      <c r="B567" s="45"/>
      <c r="C567" s="45"/>
      <c r="D567" s="45"/>
      <c r="E567" s="45"/>
      <c r="F567" s="45">
        <v>1</v>
      </c>
      <c r="G567" s="45"/>
      <c r="H567" s="45">
        <v>1</v>
      </c>
    </row>
    <row r="568" spans="1:8" x14ac:dyDescent="0.25">
      <c r="A568" s="44" t="s">
        <v>582</v>
      </c>
      <c r="B568" s="45"/>
      <c r="C568" s="45"/>
      <c r="D568" s="45"/>
      <c r="E568" s="45"/>
      <c r="F568" s="45">
        <v>1</v>
      </c>
      <c r="G568" s="45"/>
      <c r="H568" s="45">
        <v>1</v>
      </c>
    </row>
    <row r="569" spans="1:8" x14ac:dyDescent="0.25">
      <c r="A569" s="44" t="s">
        <v>1775</v>
      </c>
      <c r="B569" s="45">
        <v>1</v>
      </c>
      <c r="C569" s="45"/>
      <c r="D569" s="45"/>
      <c r="E569" s="45"/>
      <c r="F569" s="45"/>
      <c r="G569" s="45"/>
      <c r="H569" s="45">
        <v>1</v>
      </c>
    </row>
    <row r="570" spans="1:8" x14ac:dyDescent="0.25">
      <c r="A570" s="44" t="s">
        <v>1656</v>
      </c>
      <c r="B570" s="45"/>
      <c r="C570" s="45"/>
      <c r="D570" s="45"/>
      <c r="E570" s="45"/>
      <c r="F570" s="45">
        <v>1</v>
      </c>
      <c r="G570" s="45"/>
      <c r="H570" s="45">
        <v>1</v>
      </c>
    </row>
    <row r="571" spans="1:8" x14ac:dyDescent="0.25">
      <c r="A571" s="44" t="s">
        <v>789</v>
      </c>
      <c r="B571" s="45">
        <v>1</v>
      </c>
      <c r="C571" s="45"/>
      <c r="D571" s="45"/>
      <c r="E571" s="45"/>
      <c r="F571" s="45">
        <v>1</v>
      </c>
      <c r="G571" s="45"/>
      <c r="H571" s="45">
        <v>2</v>
      </c>
    </row>
    <row r="572" spans="1:8" x14ac:dyDescent="0.25">
      <c r="A572" s="44" t="s">
        <v>3688</v>
      </c>
      <c r="B572" s="45"/>
      <c r="C572" s="45">
        <v>1</v>
      </c>
      <c r="D572" s="45"/>
      <c r="E572" s="45"/>
      <c r="F572" s="45"/>
      <c r="G572" s="45"/>
      <c r="H572" s="45">
        <v>1</v>
      </c>
    </row>
    <row r="573" spans="1:8" x14ac:dyDescent="0.25">
      <c r="A573" s="44" t="s">
        <v>1430</v>
      </c>
      <c r="B573" s="45"/>
      <c r="C573" s="45">
        <v>1</v>
      </c>
      <c r="D573" s="45"/>
      <c r="E573" s="45"/>
      <c r="F573" s="45"/>
      <c r="G573" s="45"/>
      <c r="H573" s="45">
        <v>1</v>
      </c>
    </row>
    <row r="574" spans="1:8" x14ac:dyDescent="0.25">
      <c r="A574" s="44" t="s">
        <v>627</v>
      </c>
      <c r="B574" s="45"/>
      <c r="C574" s="45"/>
      <c r="D574" s="45"/>
      <c r="E574" s="45"/>
      <c r="F574" s="45">
        <v>1</v>
      </c>
      <c r="G574" s="45"/>
      <c r="H574" s="45">
        <v>1</v>
      </c>
    </row>
    <row r="575" spans="1:8" x14ac:dyDescent="0.25">
      <c r="A575" s="44" t="s">
        <v>518</v>
      </c>
      <c r="B575" s="45">
        <v>1</v>
      </c>
      <c r="C575" s="45"/>
      <c r="D575" s="45"/>
      <c r="E575" s="45"/>
      <c r="F575" s="45"/>
      <c r="G575" s="45"/>
      <c r="H575" s="45">
        <v>1</v>
      </c>
    </row>
    <row r="576" spans="1:8" x14ac:dyDescent="0.25">
      <c r="A576" s="44" t="s">
        <v>1240</v>
      </c>
      <c r="B576" s="45"/>
      <c r="C576" s="45"/>
      <c r="D576" s="45"/>
      <c r="E576" s="45"/>
      <c r="F576" s="45">
        <v>1</v>
      </c>
      <c r="G576" s="45"/>
      <c r="H576" s="45">
        <v>1</v>
      </c>
    </row>
    <row r="577" spans="1:8" x14ac:dyDescent="0.25">
      <c r="A577" s="44" t="s">
        <v>3656</v>
      </c>
      <c r="B577" s="45"/>
      <c r="C577" s="45"/>
      <c r="D577" s="45"/>
      <c r="E577" s="45"/>
      <c r="F577" s="45">
        <v>1</v>
      </c>
      <c r="G577" s="45"/>
      <c r="H577" s="45">
        <v>1</v>
      </c>
    </row>
    <row r="578" spans="1:8" x14ac:dyDescent="0.25">
      <c r="A578" s="44" t="s">
        <v>276</v>
      </c>
      <c r="B578" s="45"/>
      <c r="C578" s="45"/>
      <c r="D578" s="45"/>
      <c r="E578" s="45"/>
      <c r="F578" s="45">
        <v>2</v>
      </c>
      <c r="G578" s="45"/>
      <c r="H578" s="45">
        <v>2</v>
      </c>
    </row>
    <row r="579" spans="1:8" x14ac:dyDescent="0.25">
      <c r="A579" s="44" t="s">
        <v>1236</v>
      </c>
      <c r="B579" s="45"/>
      <c r="C579" s="45"/>
      <c r="D579" s="45"/>
      <c r="E579" s="45"/>
      <c r="F579" s="45">
        <v>2</v>
      </c>
      <c r="G579" s="45"/>
      <c r="H579" s="45">
        <v>2</v>
      </c>
    </row>
    <row r="580" spans="1:8" x14ac:dyDescent="0.25">
      <c r="A580" s="44" t="s">
        <v>1457</v>
      </c>
      <c r="B580" s="45"/>
      <c r="C580" s="45"/>
      <c r="D580" s="45"/>
      <c r="E580" s="45"/>
      <c r="F580" s="45">
        <v>1</v>
      </c>
      <c r="G580" s="45"/>
      <c r="H580" s="45">
        <v>1</v>
      </c>
    </row>
    <row r="581" spans="1:8" x14ac:dyDescent="0.25">
      <c r="A581" s="44" t="s">
        <v>844</v>
      </c>
      <c r="B581" s="45"/>
      <c r="C581" s="45"/>
      <c r="D581" s="45"/>
      <c r="E581" s="45"/>
      <c r="F581" s="45">
        <v>1</v>
      </c>
      <c r="G581" s="45"/>
      <c r="H581" s="45">
        <v>1</v>
      </c>
    </row>
    <row r="582" spans="1:8" x14ac:dyDescent="0.25">
      <c r="A582" s="44" t="s">
        <v>2337</v>
      </c>
      <c r="B582" s="45"/>
      <c r="C582" s="45"/>
      <c r="D582" s="45"/>
      <c r="E582" s="45"/>
      <c r="F582" s="45">
        <v>1</v>
      </c>
      <c r="G582" s="45"/>
      <c r="H582" s="45">
        <v>1</v>
      </c>
    </row>
    <row r="583" spans="1:8" x14ac:dyDescent="0.25">
      <c r="A583" s="44" t="s">
        <v>4028</v>
      </c>
      <c r="B583" s="45"/>
      <c r="C583" s="45"/>
      <c r="D583" s="45"/>
      <c r="E583" s="45"/>
      <c r="F583" s="45">
        <v>1</v>
      </c>
      <c r="G583" s="45"/>
      <c r="H583" s="45">
        <v>1</v>
      </c>
    </row>
    <row r="584" spans="1:8" x14ac:dyDescent="0.25">
      <c r="A584" s="44" t="s">
        <v>3792</v>
      </c>
      <c r="B584" s="45"/>
      <c r="C584" s="45">
        <v>1</v>
      </c>
      <c r="D584" s="45"/>
      <c r="E584" s="45"/>
      <c r="F584" s="45"/>
      <c r="G584" s="45"/>
      <c r="H584" s="45">
        <v>1</v>
      </c>
    </row>
    <row r="585" spans="1:8" x14ac:dyDescent="0.25">
      <c r="A585" s="44" t="s">
        <v>3794</v>
      </c>
      <c r="B585" s="45">
        <v>1</v>
      </c>
      <c r="C585" s="45"/>
      <c r="D585" s="45"/>
      <c r="E585" s="45"/>
      <c r="F585" s="45"/>
      <c r="G585" s="45"/>
      <c r="H585" s="45">
        <v>1</v>
      </c>
    </row>
    <row r="586" spans="1:8" x14ac:dyDescent="0.25">
      <c r="A586" s="44" t="s">
        <v>1424</v>
      </c>
      <c r="B586" s="45"/>
      <c r="C586" s="45"/>
      <c r="D586" s="45"/>
      <c r="E586" s="45"/>
      <c r="F586" s="45"/>
      <c r="G586" s="45">
        <v>1</v>
      </c>
      <c r="H586" s="45">
        <v>1</v>
      </c>
    </row>
    <row r="587" spans="1:8" x14ac:dyDescent="0.25">
      <c r="A587" s="44" t="s">
        <v>1247</v>
      </c>
      <c r="B587" s="45"/>
      <c r="C587" s="45"/>
      <c r="D587" s="45"/>
      <c r="E587" s="45"/>
      <c r="F587" s="45">
        <v>1</v>
      </c>
      <c r="G587" s="45"/>
      <c r="H587" s="45">
        <v>1</v>
      </c>
    </row>
    <row r="588" spans="1:8" x14ac:dyDescent="0.25">
      <c r="A588" s="44" t="s">
        <v>3459</v>
      </c>
      <c r="B588" s="45"/>
      <c r="C588" s="45"/>
      <c r="D588" s="45"/>
      <c r="E588" s="45"/>
      <c r="F588" s="45">
        <v>1</v>
      </c>
      <c r="G588" s="45"/>
      <c r="H588" s="45">
        <v>1</v>
      </c>
    </row>
    <row r="589" spans="1:8" x14ac:dyDescent="0.25">
      <c r="A589" s="44" t="s">
        <v>524</v>
      </c>
      <c r="B589" s="45"/>
      <c r="C589" s="45"/>
      <c r="D589" s="45"/>
      <c r="E589" s="45"/>
      <c r="F589" s="45"/>
      <c r="G589" s="45">
        <v>1</v>
      </c>
      <c r="H589" s="45">
        <v>1</v>
      </c>
    </row>
    <row r="590" spans="1:8" x14ac:dyDescent="0.25">
      <c r="A590" s="44" t="s">
        <v>3816</v>
      </c>
      <c r="B590" s="45"/>
      <c r="C590" s="45"/>
      <c r="D590" s="45"/>
      <c r="E590" s="45"/>
      <c r="F590" s="45">
        <v>1</v>
      </c>
      <c r="G590" s="45"/>
      <c r="H590" s="45">
        <v>1</v>
      </c>
    </row>
    <row r="591" spans="1:8" x14ac:dyDescent="0.25">
      <c r="A591" s="44" t="s">
        <v>529</v>
      </c>
      <c r="B591" s="45"/>
      <c r="C591" s="45"/>
      <c r="D591" s="45"/>
      <c r="E591" s="45">
        <v>1</v>
      </c>
      <c r="F591" s="45"/>
      <c r="G591" s="45"/>
      <c r="H591" s="45">
        <v>1</v>
      </c>
    </row>
    <row r="592" spans="1:8" x14ac:dyDescent="0.25">
      <c r="A592" s="44" t="s">
        <v>602</v>
      </c>
      <c r="B592" s="45"/>
      <c r="C592" s="45"/>
      <c r="D592" s="45"/>
      <c r="E592" s="45"/>
      <c r="F592" s="45">
        <v>1</v>
      </c>
      <c r="G592" s="45"/>
      <c r="H592" s="45">
        <v>1</v>
      </c>
    </row>
    <row r="593" spans="1:8" x14ac:dyDescent="0.25">
      <c r="A593" s="44" t="s">
        <v>1850</v>
      </c>
      <c r="B593" s="45"/>
      <c r="C593" s="45"/>
      <c r="D593" s="45"/>
      <c r="E593" s="45"/>
      <c r="F593" s="45">
        <v>1</v>
      </c>
      <c r="G593" s="45"/>
      <c r="H593" s="45">
        <v>1</v>
      </c>
    </row>
    <row r="594" spans="1:8" x14ac:dyDescent="0.25">
      <c r="A594" s="44" t="s">
        <v>3790</v>
      </c>
      <c r="B594" s="45">
        <v>1</v>
      </c>
      <c r="C594" s="45"/>
      <c r="D594" s="45"/>
      <c r="E594" s="45"/>
      <c r="F594" s="45"/>
      <c r="G594" s="45"/>
      <c r="H594" s="45">
        <v>1</v>
      </c>
    </row>
    <row r="595" spans="1:8" x14ac:dyDescent="0.25">
      <c r="A595" s="44" t="s">
        <v>2666</v>
      </c>
      <c r="B595" s="45"/>
      <c r="C595" s="45"/>
      <c r="D595" s="45"/>
      <c r="E595" s="45"/>
      <c r="F595" s="45">
        <v>1</v>
      </c>
      <c r="G595" s="45"/>
      <c r="H595" s="45">
        <v>1</v>
      </c>
    </row>
    <row r="596" spans="1:8" x14ac:dyDescent="0.25">
      <c r="A596" s="44" t="s">
        <v>3320</v>
      </c>
      <c r="B596" s="45">
        <v>1</v>
      </c>
      <c r="C596" s="45"/>
      <c r="D596" s="45"/>
      <c r="E596" s="45"/>
      <c r="F596" s="45"/>
      <c r="G596" s="45"/>
      <c r="H596" s="45">
        <v>1</v>
      </c>
    </row>
    <row r="597" spans="1:8" x14ac:dyDescent="0.25">
      <c r="A597" s="44" t="s">
        <v>4045</v>
      </c>
      <c r="B597" s="45">
        <v>1</v>
      </c>
      <c r="C597" s="45"/>
      <c r="D597" s="45"/>
      <c r="E597" s="45"/>
      <c r="F597" s="45"/>
      <c r="G597" s="45"/>
      <c r="H597" s="45">
        <v>1</v>
      </c>
    </row>
    <row r="598" spans="1:8" x14ac:dyDescent="0.25">
      <c r="A598" s="44" t="s">
        <v>579</v>
      </c>
      <c r="B598" s="45"/>
      <c r="C598" s="45">
        <v>1</v>
      </c>
      <c r="D598" s="45"/>
      <c r="E598" s="45"/>
      <c r="F598" s="45"/>
      <c r="G598" s="45"/>
      <c r="H598" s="45">
        <v>1</v>
      </c>
    </row>
    <row r="599" spans="1:8" x14ac:dyDescent="0.25">
      <c r="A599" s="44" t="s">
        <v>4021</v>
      </c>
      <c r="B599" s="45"/>
      <c r="C599" s="45"/>
      <c r="D599" s="45"/>
      <c r="E599" s="45"/>
      <c r="F599" s="45">
        <v>1</v>
      </c>
      <c r="G599" s="45"/>
      <c r="H599" s="45">
        <v>1</v>
      </c>
    </row>
    <row r="600" spans="1:8" x14ac:dyDescent="0.25">
      <c r="A600" s="44" t="s">
        <v>3377</v>
      </c>
      <c r="B600" s="45">
        <v>1</v>
      </c>
      <c r="C600" s="45"/>
      <c r="D600" s="45"/>
      <c r="E600" s="45"/>
      <c r="F600" s="45"/>
      <c r="G600" s="45"/>
      <c r="H600" s="45">
        <v>1</v>
      </c>
    </row>
    <row r="601" spans="1:8" x14ac:dyDescent="0.25">
      <c r="A601" s="44" t="s">
        <v>1312</v>
      </c>
      <c r="B601" s="45"/>
      <c r="C601" s="45"/>
      <c r="D601" s="45"/>
      <c r="E601" s="45"/>
      <c r="F601" s="45">
        <v>1</v>
      </c>
      <c r="G601" s="45"/>
      <c r="H601" s="45">
        <v>1</v>
      </c>
    </row>
    <row r="602" spans="1:8" x14ac:dyDescent="0.25">
      <c r="A602" s="44" t="s">
        <v>230</v>
      </c>
      <c r="B602" s="45"/>
      <c r="C602" s="45"/>
      <c r="D602" s="45"/>
      <c r="E602" s="45"/>
      <c r="F602" s="45">
        <v>1</v>
      </c>
      <c r="G602" s="45"/>
      <c r="H602" s="45">
        <v>1</v>
      </c>
    </row>
    <row r="603" spans="1:8" x14ac:dyDescent="0.25">
      <c r="A603" s="44" t="s">
        <v>3247</v>
      </c>
      <c r="B603" s="45"/>
      <c r="C603" s="45"/>
      <c r="D603" s="45"/>
      <c r="E603" s="45"/>
      <c r="F603" s="45">
        <v>1</v>
      </c>
      <c r="G603" s="45"/>
      <c r="H603" s="45">
        <v>1</v>
      </c>
    </row>
    <row r="604" spans="1:8" x14ac:dyDescent="0.25">
      <c r="A604" s="44" t="s">
        <v>967</v>
      </c>
      <c r="B604" s="45"/>
      <c r="C604" s="45"/>
      <c r="D604" s="45"/>
      <c r="E604" s="45"/>
      <c r="F604" s="45">
        <v>1</v>
      </c>
      <c r="G604" s="45"/>
      <c r="H604" s="45">
        <v>1</v>
      </c>
    </row>
    <row r="605" spans="1:8" x14ac:dyDescent="0.25">
      <c r="A605" s="44" t="s">
        <v>3162</v>
      </c>
      <c r="B605" s="45"/>
      <c r="C605" s="45"/>
      <c r="D605" s="45"/>
      <c r="E605" s="45"/>
      <c r="F605" s="45">
        <v>1</v>
      </c>
      <c r="G605" s="45"/>
      <c r="H605" s="45">
        <v>1</v>
      </c>
    </row>
    <row r="606" spans="1:8" x14ac:dyDescent="0.25">
      <c r="A606" s="44" t="s">
        <v>554</v>
      </c>
      <c r="B606" s="45"/>
      <c r="C606" s="45"/>
      <c r="D606" s="45"/>
      <c r="E606" s="45"/>
      <c r="F606" s="45"/>
      <c r="G606" s="45">
        <v>1</v>
      </c>
      <c r="H606" s="45">
        <v>1</v>
      </c>
    </row>
    <row r="607" spans="1:8" x14ac:dyDescent="0.25">
      <c r="A607" s="44" t="s">
        <v>3833</v>
      </c>
      <c r="B607" s="45">
        <v>1</v>
      </c>
      <c r="C607" s="45"/>
      <c r="D607" s="45"/>
      <c r="E607" s="45"/>
      <c r="F607" s="45"/>
      <c r="G607" s="45"/>
      <c r="H607" s="45">
        <v>1</v>
      </c>
    </row>
    <row r="608" spans="1:8" x14ac:dyDescent="0.25">
      <c r="A608" s="44" t="s">
        <v>3919</v>
      </c>
      <c r="B608" s="45"/>
      <c r="C608" s="45"/>
      <c r="D608" s="45"/>
      <c r="E608" s="45"/>
      <c r="F608" s="45">
        <v>1</v>
      </c>
      <c r="G608" s="45"/>
      <c r="H608" s="45">
        <v>1</v>
      </c>
    </row>
    <row r="609" spans="1:8" x14ac:dyDescent="0.25">
      <c r="A609" s="44" t="s">
        <v>2722</v>
      </c>
      <c r="B609" s="45">
        <v>1</v>
      </c>
      <c r="C609" s="45"/>
      <c r="D609" s="45"/>
      <c r="E609" s="45"/>
      <c r="F609" s="45"/>
      <c r="G609" s="45"/>
      <c r="H609" s="45">
        <v>1</v>
      </c>
    </row>
    <row r="610" spans="1:8" x14ac:dyDescent="0.25">
      <c r="A610" s="44" t="s">
        <v>3921</v>
      </c>
      <c r="B610" s="45"/>
      <c r="C610" s="45"/>
      <c r="D610" s="45"/>
      <c r="E610" s="45"/>
      <c r="F610" s="45">
        <v>1</v>
      </c>
      <c r="G610" s="45"/>
      <c r="H610" s="45">
        <v>1</v>
      </c>
    </row>
    <row r="611" spans="1:8" x14ac:dyDescent="0.25">
      <c r="A611" s="44" t="s">
        <v>775</v>
      </c>
      <c r="B611" s="45">
        <v>1</v>
      </c>
      <c r="C611" s="45"/>
      <c r="D611" s="45"/>
      <c r="E611" s="45"/>
      <c r="F611" s="45"/>
      <c r="G611" s="45"/>
      <c r="H611" s="45">
        <v>1</v>
      </c>
    </row>
    <row r="612" spans="1:8" x14ac:dyDescent="0.25">
      <c r="A612" s="44" t="s">
        <v>3914</v>
      </c>
      <c r="B612" s="45"/>
      <c r="C612" s="45"/>
      <c r="D612" s="45"/>
      <c r="E612" s="45"/>
      <c r="F612" s="45">
        <v>1</v>
      </c>
      <c r="G612" s="45"/>
      <c r="H612" s="45">
        <v>1</v>
      </c>
    </row>
    <row r="613" spans="1:8" x14ac:dyDescent="0.25">
      <c r="A613" s="44" t="s">
        <v>3607</v>
      </c>
      <c r="B613" s="45"/>
      <c r="C613" s="45"/>
      <c r="D613" s="45"/>
      <c r="E613" s="45"/>
      <c r="F613" s="45">
        <v>1</v>
      </c>
      <c r="G613" s="45"/>
      <c r="H613" s="45">
        <v>1</v>
      </c>
    </row>
    <row r="614" spans="1:8" x14ac:dyDescent="0.25">
      <c r="A614" s="44" t="s">
        <v>83</v>
      </c>
      <c r="B614" s="45">
        <v>1</v>
      </c>
      <c r="C614" s="45"/>
      <c r="D614" s="45"/>
      <c r="E614" s="45"/>
      <c r="F614" s="45"/>
      <c r="G614" s="45"/>
      <c r="H614" s="45">
        <v>1</v>
      </c>
    </row>
    <row r="615" spans="1:8" x14ac:dyDescent="0.25">
      <c r="A615" s="44" t="s">
        <v>3283</v>
      </c>
      <c r="B615" s="45"/>
      <c r="C615" s="45">
        <v>1</v>
      </c>
      <c r="D615" s="45"/>
      <c r="E615" s="45"/>
      <c r="F615" s="45"/>
      <c r="G615" s="45"/>
      <c r="H615" s="45">
        <v>1</v>
      </c>
    </row>
    <row r="616" spans="1:8" x14ac:dyDescent="0.25">
      <c r="A616" s="44" t="s">
        <v>1001</v>
      </c>
      <c r="B616" s="45"/>
      <c r="C616" s="45"/>
      <c r="D616" s="45"/>
      <c r="E616" s="45"/>
      <c r="F616" s="45">
        <v>1</v>
      </c>
      <c r="G616" s="45"/>
      <c r="H616" s="45">
        <v>1</v>
      </c>
    </row>
    <row r="617" spans="1:8" x14ac:dyDescent="0.25">
      <c r="A617" s="44" t="s">
        <v>3633</v>
      </c>
      <c r="B617" s="45"/>
      <c r="C617" s="45"/>
      <c r="D617" s="45"/>
      <c r="E617" s="45"/>
      <c r="F617" s="45">
        <v>1</v>
      </c>
      <c r="G617" s="45"/>
      <c r="H617" s="45">
        <v>1</v>
      </c>
    </row>
    <row r="618" spans="1:8" x14ac:dyDescent="0.25">
      <c r="A618" s="44" t="s">
        <v>1821</v>
      </c>
      <c r="B618" s="45"/>
      <c r="C618" s="45"/>
      <c r="D618" s="45"/>
      <c r="E618" s="45"/>
      <c r="F618" s="45"/>
      <c r="G618" s="45">
        <v>1</v>
      </c>
      <c r="H618" s="45">
        <v>1</v>
      </c>
    </row>
    <row r="619" spans="1:8" x14ac:dyDescent="0.25">
      <c r="A619" s="44" t="s">
        <v>1771</v>
      </c>
      <c r="B619" s="45"/>
      <c r="C619" s="45">
        <v>1</v>
      </c>
      <c r="D619" s="45"/>
      <c r="E619" s="45"/>
      <c r="F619" s="45"/>
      <c r="G619" s="45"/>
      <c r="H619" s="45">
        <v>1</v>
      </c>
    </row>
    <row r="620" spans="1:8" x14ac:dyDescent="0.25">
      <c r="A620" s="44" t="s">
        <v>3044</v>
      </c>
      <c r="B620" s="45"/>
      <c r="C620" s="45"/>
      <c r="D620" s="45"/>
      <c r="E620" s="45"/>
      <c r="F620" s="45">
        <v>1</v>
      </c>
      <c r="G620" s="45"/>
      <c r="H620" s="45">
        <v>1</v>
      </c>
    </row>
    <row r="621" spans="1:8" x14ac:dyDescent="0.25">
      <c r="A621" s="44" t="s">
        <v>1454</v>
      </c>
      <c r="B621" s="45"/>
      <c r="C621" s="45"/>
      <c r="D621" s="45"/>
      <c r="E621" s="45"/>
      <c r="F621" s="45">
        <v>1</v>
      </c>
      <c r="G621" s="45"/>
      <c r="H621" s="45">
        <v>1</v>
      </c>
    </row>
    <row r="622" spans="1:8" x14ac:dyDescent="0.25">
      <c r="A622" s="44" t="s">
        <v>1759</v>
      </c>
      <c r="B622" s="45">
        <v>1</v>
      </c>
      <c r="C622" s="45"/>
      <c r="D622" s="45"/>
      <c r="E622" s="45"/>
      <c r="F622" s="45"/>
      <c r="G622" s="45"/>
      <c r="H622" s="45">
        <v>1</v>
      </c>
    </row>
    <row r="623" spans="1:8" x14ac:dyDescent="0.25">
      <c r="A623" s="44" t="s">
        <v>3480</v>
      </c>
      <c r="B623" s="45"/>
      <c r="C623" s="45"/>
      <c r="D623" s="45"/>
      <c r="E623" s="45"/>
      <c r="F623" s="45">
        <v>1</v>
      </c>
      <c r="G623" s="45"/>
      <c r="H623" s="45">
        <v>1</v>
      </c>
    </row>
    <row r="624" spans="1:8" x14ac:dyDescent="0.25">
      <c r="A624" s="44" t="s">
        <v>3538</v>
      </c>
      <c r="B624" s="45">
        <v>1</v>
      </c>
      <c r="C624" s="45"/>
      <c r="D624" s="45"/>
      <c r="E624" s="45"/>
      <c r="F624" s="45"/>
      <c r="G624" s="45"/>
      <c r="H624" s="45">
        <v>1</v>
      </c>
    </row>
    <row r="625" spans="1:8" x14ac:dyDescent="0.25">
      <c r="A625" s="44" t="s">
        <v>3358</v>
      </c>
      <c r="B625" s="45"/>
      <c r="C625" s="45"/>
      <c r="D625" s="45"/>
      <c r="E625" s="45">
        <v>1</v>
      </c>
      <c r="F625" s="45"/>
      <c r="G625" s="45"/>
      <c r="H625" s="45">
        <v>1</v>
      </c>
    </row>
    <row r="626" spans="1:8" x14ac:dyDescent="0.25">
      <c r="A626" s="44" t="s">
        <v>593</v>
      </c>
      <c r="B626" s="45"/>
      <c r="C626" s="45"/>
      <c r="D626" s="45"/>
      <c r="E626" s="45"/>
      <c r="F626" s="45">
        <v>1</v>
      </c>
      <c r="G626" s="45"/>
      <c r="H626" s="45">
        <v>1</v>
      </c>
    </row>
    <row r="627" spans="1:8" x14ac:dyDescent="0.25">
      <c r="A627" s="44" t="s">
        <v>2377</v>
      </c>
      <c r="B627" s="45">
        <v>1</v>
      </c>
      <c r="C627" s="45"/>
      <c r="D627" s="45"/>
      <c r="E627" s="45"/>
      <c r="F627" s="45"/>
      <c r="G627" s="45"/>
      <c r="H627" s="45">
        <v>1</v>
      </c>
    </row>
    <row r="628" spans="1:8" x14ac:dyDescent="0.25">
      <c r="A628" s="44" t="s">
        <v>2634</v>
      </c>
      <c r="B628" s="45"/>
      <c r="C628" s="45"/>
      <c r="D628" s="45"/>
      <c r="E628" s="45"/>
      <c r="F628" s="45">
        <v>1</v>
      </c>
      <c r="G628" s="45"/>
      <c r="H628" s="45">
        <v>1</v>
      </c>
    </row>
    <row r="629" spans="1:8" x14ac:dyDescent="0.25">
      <c r="A629" s="44" t="s">
        <v>3424</v>
      </c>
      <c r="B629" s="45">
        <v>1</v>
      </c>
      <c r="C629" s="45"/>
      <c r="D629" s="45"/>
      <c r="E629" s="45"/>
      <c r="F629" s="45"/>
      <c r="G629" s="45"/>
      <c r="H629" s="45">
        <v>1</v>
      </c>
    </row>
    <row r="630" spans="1:8" x14ac:dyDescent="0.25">
      <c r="A630" s="44" t="s">
        <v>3101</v>
      </c>
      <c r="B630" s="45"/>
      <c r="C630" s="45"/>
      <c r="D630" s="45"/>
      <c r="E630" s="45"/>
      <c r="F630" s="45">
        <v>1</v>
      </c>
      <c r="G630" s="45"/>
      <c r="H630" s="45">
        <v>1</v>
      </c>
    </row>
    <row r="631" spans="1:8" x14ac:dyDescent="0.25">
      <c r="A631" s="44" t="s">
        <v>2148</v>
      </c>
      <c r="B631" s="45"/>
      <c r="C631" s="45"/>
      <c r="D631" s="45"/>
      <c r="E631" s="45"/>
      <c r="F631" s="45">
        <v>1</v>
      </c>
      <c r="G631" s="45"/>
      <c r="H631" s="45">
        <v>1</v>
      </c>
    </row>
    <row r="632" spans="1:8" x14ac:dyDescent="0.25">
      <c r="A632" s="44" t="s">
        <v>1206</v>
      </c>
      <c r="B632" s="45"/>
      <c r="C632" s="45"/>
      <c r="D632" s="45"/>
      <c r="E632" s="45">
        <v>1</v>
      </c>
      <c r="F632" s="45"/>
      <c r="G632" s="45"/>
      <c r="H632" s="45">
        <v>1</v>
      </c>
    </row>
    <row r="633" spans="1:8" x14ac:dyDescent="0.25">
      <c r="A633" s="44" t="s">
        <v>2464</v>
      </c>
      <c r="B633" s="45"/>
      <c r="C633" s="45">
        <v>1</v>
      </c>
      <c r="D633" s="45"/>
      <c r="E633" s="45"/>
      <c r="F633" s="45"/>
      <c r="G633" s="45"/>
      <c r="H633" s="45">
        <v>1</v>
      </c>
    </row>
    <row r="634" spans="1:8" x14ac:dyDescent="0.25">
      <c r="A634" s="44" t="s">
        <v>3203</v>
      </c>
      <c r="B634" s="45"/>
      <c r="C634" s="45"/>
      <c r="D634" s="45"/>
      <c r="E634" s="45"/>
      <c r="F634" s="45">
        <v>1</v>
      </c>
      <c r="G634" s="45"/>
      <c r="H634" s="45">
        <v>1</v>
      </c>
    </row>
    <row r="635" spans="1:8" x14ac:dyDescent="0.25">
      <c r="A635" s="44" t="s">
        <v>3373</v>
      </c>
      <c r="B635" s="45">
        <v>1</v>
      </c>
      <c r="C635" s="45"/>
      <c r="D635" s="45"/>
      <c r="E635" s="45"/>
      <c r="F635" s="45"/>
      <c r="G635" s="45"/>
      <c r="H635" s="45">
        <v>1</v>
      </c>
    </row>
    <row r="636" spans="1:8" x14ac:dyDescent="0.25">
      <c r="A636" s="44" t="s">
        <v>1824</v>
      </c>
      <c r="B636" s="45"/>
      <c r="C636" s="45"/>
      <c r="D636" s="45"/>
      <c r="E636" s="45"/>
      <c r="F636" s="45">
        <v>1</v>
      </c>
      <c r="G636" s="45"/>
      <c r="H636" s="45">
        <v>1</v>
      </c>
    </row>
    <row r="637" spans="1:8" x14ac:dyDescent="0.25">
      <c r="A637" s="44" t="s">
        <v>427</v>
      </c>
      <c r="B637" s="45"/>
      <c r="C637" s="45"/>
      <c r="D637" s="45"/>
      <c r="E637" s="45"/>
      <c r="F637" s="45"/>
      <c r="G637" s="45">
        <v>1</v>
      </c>
      <c r="H637" s="45">
        <v>1</v>
      </c>
    </row>
    <row r="638" spans="1:8" x14ac:dyDescent="0.25">
      <c r="A638" s="44" t="s">
        <v>2207</v>
      </c>
      <c r="B638" s="45"/>
      <c r="C638" s="45"/>
      <c r="D638" s="45"/>
      <c r="E638" s="45"/>
      <c r="F638" s="45">
        <v>1</v>
      </c>
      <c r="G638" s="45"/>
      <c r="H638" s="45">
        <v>1</v>
      </c>
    </row>
    <row r="639" spans="1:8" x14ac:dyDescent="0.25">
      <c r="A639" s="44" t="s">
        <v>3620</v>
      </c>
      <c r="B639" s="45">
        <v>1</v>
      </c>
      <c r="C639" s="45"/>
      <c r="D639" s="45"/>
      <c r="E639" s="45"/>
      <c r="F639" s="45"/>
      <c r="G639" s="45"/>
      <c r="H639" s="45">
        <v>1</v>
      </c>
    </row>
    <row r="640" spans="1:8" x14ac:dyDescent="0.25">
      <c r="A640" s="44" t="s">
        <v>3314</v>
      </c>
      <c r="B640" s="45">
        <v>1</v>
      </c>
      <c r="C640" s="45"/>
      <c r="D640" s="45"/>
      <c r="E640" s="45"/>
      <c r="F640" s="45"/>
      <c r="G640" s="45"/>
      <c r="H640" s="45">
        <v>1</v>
      </c>
    </row>
    <row r="641" spans="1:8" x14ac:dyDescent="0.25">
      <c r="A641" s="44" t="s">
        <v>125</v>
      </c>
      <c r="B641" s="45"/>
      <c r="C641" s="45"/>
      <c r="D641" s="45"/>
      <c r="E641" s="45"/>
      <c r="F641" s="45"/>
      <c r="G641" s="45">
        <v>1</v>
      </c>
      <c r="H641" s="45">
        <v>1</v>
      </c>
    </row>
    <row r="642" spans="1:8" x14ac:dyDescent="0.25">
      <c r="A642" s="44" t="s">
        <v>2774</v>
      </c>
      <c r="B642" s="45"/>
      <c r="C642" s="45">
        <v>1</v>
      </c>
      <c r="D642" s="45"/>
      <c r="E642" s="45"/>
      <c r="F642" s="45"/>
      <c r="G642" s="45"/>
      <c r="H642" s="45">
        <v>1</v>
      </c>
    </row>
    <row r="643" spans="1:8" x14ac:dyDescent="0.25">
      <c r="A643" s="44" t="s">
        <v>3204</v>
      </c>
      <c r="B643" s="45"/>
      <c r="C643" s="45"/>
      <c r="D643" s="45"/>
      <c r="E643" s="45"/>
      <c r="F643" s="45"/>
      <c r="G643" s="45">
        <v>1</v>
      </c>
      <c r="H643" s="45">
        <v>1</v>
      </c>
    </row>
    <row r="644" spans="1:8" x14ac:dyDescent="0.25">
      <c r="A644" s="44" t="s">
        <v>3496</v>
      </c>
      <c r="B644" s="45"/>
      <c r="C644" s="45"/>
      <c r="D644" s="45"/>
      <c r="E644" s="45"/>
      <c r="F644" s="45">
        <v>1</v>
      </c>
      <c r="G644" s="45"/>
      <c r="H644" s="45">
        <v>1</v>
      </c>
    </row>
    <row r="645" spans="1:8" x14ac:dyDescent="0.25">
      <c r="A645" s="44" t="s">
        <v>797</v>
      </c>
      <c r="B645" s="45"/>
      <c r="C645" s="45"/>
      <c r="D645" s="45"/>
      <c r="E645" s="45"/>
      <c r="F645" s="45">
        <v>1</v>
      </c>
      <c r="G645" s="45"/>
      <c r="H645" s="45">
        <v>1</v>
      </c>
    </row>
    <row r="646" spans="1:8" x14ac:dyDescent="0.25">
      <c r="A646" s="44" t="s">
        <v>150</v>
      </c>
      <c r="B646" s="45">
        <v>1</v>
      </c>
      <c r="C646" s="45"/>
      <c r="D646" s="45"/>
      <c r="E646" s="45"/>
      <c r="F646" s="45"/>
      <c r="G646" s="45"/>
      <c r="H646" s="45">
        <v>1</v>
      </c>
    </row>
    <row r="647" spans="1:8" x14ac:dyDescent="0.25">
      <c r="A647" s="44" t="s">
        <v>332</v>
      </c>
      <c r="B647" s="45">
        <v>1</v>
      </c>
      <c r="C647" s="45"/>
      <c r="D647" s="45"/>
      <c r="E647" s="45"/>
      <c r="F647" s="45"/>
      <c r="G647" s="45"/>
      <c r="H647" s="45">
        <v>1</v>
      </c>
    </row>
    <row r="648" spans="1:8" x14ac:dyDescent="0.25">
      <c r="A648" s="44" t="s">
        <v>1702</v>
      </c>
      <c r="B648" s="45"/>
      <c r="C648" s="45"/>
      <c r="D648" s="45"/>
      <c r="E648" s="45">
        <v>1</v>
      </c>
      <c r="F648" s="45"/>
      <c r="G648" s="45"/>
      <c r="H648" s="45">
        <v>1</v>
      </c>
    </row>
    <row r="649" spans="1:8" x14ac:dyDescent="0.25">
      <c r="A649" s="44" t="s">
        <v>192</v>
      </c>
      <c r="B649" s="45">
        <v>4</v>
      </c>
      <c r="C649" s="45">
        <v>1</v>
      </c>
      <c r="D649" s="45"/>
      <c r="E649" s="45"/>
      <c r="F649" s="45">
        <v>2</v>
      </c>
      <c r="G649" s="45">
        <v>1</v>
      </c>
      <c r="H649" s="45">
        <v>8</v>
      </c>
    </row>
    <row r="650" spans="1:8" x14ac:dyDescent="0.25">
      <c r="A650" s="44" t="s">
        <v>892</v>
      </c>
      <c r="B650" s="45">
        <v>1</v>
      </c>
      <c r="C650" s="45"/>
      <c r="D650" s="45"/>
      <c r="E650" s="45"/>
      <c r="F650" s="45">
        <v>1</v>
      </c>
      <c r="G650" s="45"/>
      <c r="H650" s="45">
        <v>2</v>
      </c>
    </row>
    <row r="651" spans="1:8" x14ac:dyDescent="0.25">
      <c r="A651" s="44" t="s">
        <v>3797</v>
      </c>
      <c r="B651" s="45"/>
      <c r="C651" s="45"/>
      <c r="D651" s="45"/>
      <c r="E651" s="45"/>
      <c r="F651" s="45">
        <v>1</v>
      </c>
      <c r="G651" s="45"/>
      <c r="H651" s="45">
        <v>1</v>
      </c>
    </row>
    <row r="652" spans="1:8" x14ac:dyDescent="0.25">
      <c r="A652" s="44" t="s">
        <v>2757</v>
      </c>
      <c r="B652" s="45"/>
      <c r="C652" s="45"/>
      <c r="D652" s="45"/>
      <c r="E652" s="45"/>
      <c r="F652" s="45">
        <v>1</v>
      </c>
      <c r="G652" s="45"/>
      <c r="H652" s="45">
        <v>1</v>
      </c>
    </row>
    <row r="653" spans="1:8" x14ac:dyDescent="0.25">
      <c r="A653" s="44" t="s">
        <v>1474</v>
      </c>
      <c r="B653" s="45"/>
      <c r="C653" s="45"/>
      <c r="D653" s="45"/>
      <c r="E653" s="45">
        <v>1</v>
      </c>
      <c r="F653" s="45"/>
      <c r="G653" s="45"/>
      <c r="H653" s="45">
        <v>1</v>
      </c>
    </row>
    <row r="654" spans="1:8" x14ac:dyDescent="0.25">
      <c r="A654" s="44" t="s">
        <v>292</v>
      </c>
      <c r="B654" s="45"/>
      <c r="C654" s="45"/>
      <c r="D654" s="45"/>
      <c r="E654" s="45"/>
      <c r="F654" s="45">
        <v>1</v>
      </c>
      <c r="G654" s="45"/>
      <c r="H654" s="45">
        <v>1</v>
      </c>
    </row>
    <row r="655" spans="1:8" x14ac:dyDescent="0.25">
      <c r="A655" s="44" t="s">
        <v>74</v>
      </c>
      <c r="B655" s="45"/>
      <c r="C655" s="45"/>
      <c r="D655" s="45"/>
      <c r="E655" s="45"/>
      <c r="F655" s="45">
        <v>1</v>
      </c>
      <c r="G655" s="45"/>
      <c r="H655" s="45">
        <v>1</v>
      </c>
    </row>
    <row r="656" spans="1:8" x14ac:dyDescent="0.25">
      <c r="A656" s="44" t="s">
        <v>3144</v>
      </c>
      <c r="B656" s="45"/>
      <c r="C656" s="45"/>
      <c r="D656" s="45"/>
      <c r="E656" s="45"/>
      <c r="F656" s="45">
        <v>1</v>
      </c>
      <c r="G656" s="45"/>
      <c r="H656" s="45">
        <v>1</v>
      </c>
    </row>
    <row r="657" spans="1:8" x14ac:dyDescent="0.25">
      <c r="A657" s="44" t="s">
        <v>423</v>
      </c>
      <c r="B657" s="45"/>
      <c r="C657" s="45"/>
      <c r="D657" s="45"/>
      <c r="E657" s="45"/>
      <c r="F657" s="45">
        <v>1</v>
      </c>
      <c r="G657" s="45"/>
      <c r="H657" s="45">
        <v>1</v>
      </c>
    </row>
    <row r="658" spans="1:8" x14ac:dyDescent="0.25">
      <c r="A658" s="44" t="s">
        <v>624</v>
      </c>
      <c r="B658" s="45"/>
      <c r="C658" s="45"/>
      <c r="D658" s="45"/>
      <c r="E658" s="45"/>
      <c r="F658" s="45">
        <v>1</v>
      </c>
      <c r="G658" s="45"/>
      <c r="H658" s="45">
        <v>1</v>
      </c>
    </row>
    <row r="659" spans="1:8" x14ac:dyDescent="0.25">
      <c r="A659" s="44" t="s">
        <v>2330</v>
      </c>
      <c r="B659" s="45"/>
      <c r="C659" s="45"/>
      <c r="D659" s="45"/>
      <c r="E659" s="45"/>
      <c r="F659" s="45">
        <v>1</v>
      </c>
      <c r="G659" s="45"/>
      <c r="H659" s="45">
        <v>1</v>
      </c>
    </row>
    <row r="660" spans="1:8" x14ac:dyDescent="0.25">
      <c r="A660" s="44" t="s">
        <v>3482</v>
      </c>
      <c r="B660" s="45"/>
      <c r="C660" s="45">
        <v>1</v>
      </c>
      <c r="D660" s="45"/>
      <c r="E660" s="45"/>
      <c r="F660" s="45"/>
      <c r="G660" s="45"/>
      <c r="H660" s="45">
        <v>1</v>
      </c>
    </row>
    <row r="661" spans="1:8" x14ac:dyDescent="0.25">
      <c r="A661" s="44" t="s">
        <v>1973</v>
      </c>
      <c r="B661" s="45"/>
      <c r="C661" s="45">
        <v>1</v>
      </c>
      <c r="D661" s="45"/>
      <c r="E661" s="45"/>
      <c r="F661" s="45"/>
      <c r="G661" s="45"/>
      <c r="H661" s="45">
        <v>1</v>
      </c>
    </row>
    <row r="662" spans="1:8" x14ac:dyDescent="0.25">
      <c r="A662" s="44" t="s">
        <v>3527</v>
      </c>
      <c r="B662" s="45"/>
      <c r="C662" s="45"/>
      <c r="D662" s="45"/>
      <c r="E662" s="45"/>
      <c r="F662" s="45">
        <v>1</v>
      </c>
      <c r="G662" s="45"/>
      <c r="H662" s="45">
        <v>1</v>
      </c>
    </row>
    <row r="663" spans="1:8" x14ac:dyDescent="0.25">
      <c r="A663" s="44" t="s">
        <v>1275</v>
      </c>
      <c r="B663" s="45"/>
      <c r="C663" s="45"/>
      <c r="D663" s="45"/>
      <c r="E663" s="45"/>
      <c r="F663" s="45">
        <v>1</v>
      </c>
      <c r="G663" s="45"/>
      <c r="H663" s="45">
        <v>1</v>
      </c>
    </row>
    <row r="664" spans="1:8" x14ac:dyDescent="0.25">
      <c r="A664" s="44" t="s">
        <v>3295</v>
      </c>
      <c r="B664" s="45">
        <v>1</v>
      </c>
      <c r="C664" s="45"/>
      <c r="D664" s="45"/>
      <c r="E664" s="45"/>
      <c r="F664" s="45"/>
      <c r="G664" s="45"/>
      <c r="H664" s="45">
        <v>1</v>
      </c>
    </row>
    <row r="665" spans="1:8" x14ac:dyDescent="0.25">
      <c r="A665" s="44" t="s">
        <v>3642</v>
      </c>
      <c r="B665" s="45">
        <v>1</v>
      </c>
      <c r="C665" s="45"/>
      <c r="D665" s="45"/>
      <c r="E665" s="45"/>
      <c r="F665" s="45"/>
      <c r="G665" s="45"/>
      <c r="H665" s="45">
        <v>1</v>
      </c>
    </row>
    <row r="666" spans="1:8" x14ac:dyDescent="0.25">
      <c r="A666" s="44" t="s">
        <v>2687</v>
      </c>
      <c r="B666" s="45">
        <v>1</v>
      </c>
      <c r="C666" s="45"/>
      <c r="D666" s="45"/>
      <c r="E666" s="45"/>
      <c r="F666" s="45"/>
      <c r="G666" s="45"/>
      <c r="H666" s="45">
        <v>1</v>
      </c>
    </row>
    <row r="667" spans="1:8" x14ac:dyDescent="0.25">
      <c r="A667" s="44" t="s">
        <v>909</v>
      </c>
      <c r="B667" s="45"/>
      <c r="C667" s="45"/>
      <c r="D667" s="45"/>
      <c r="E667" s="45"/>
      <c r="F667" s="45">
        <v>1</v>
      </c>
      <c r="G667" s="45"/>
      <c r="H667" s="45">
        <v>1</v>
      </c>
    </row>
    <row r="668" spans="1:8" x14ac:dyDescent="0.25">
      <c r="A668" s="44" t="s">
        <v>1492</v>
      </c>
      <c r="B668" s="45"/>
      <c r="C668" s="45"/>
      <c r="D668" s="45"/>
      <c r="E668" s="45"/>
      <c r="F668" s="45">
        <v>1</v>
      </c>
      <c r="G668" s="45"/>
      <c r="H668" s="45">
        <v>1</v>
      </c>
    </row>
    <row r="669" spans="1:8" x14ac:dyDescent="0.25">
      <c r="A669" s="44" t="s">
        <v>675</v>
      </c>
      <c r="B669" s="45"/>
      <c r="C669" s="45"/>
      <c r="D669" s="45"/>
      <c r="E669" s="45"/>
      <c r="F669" s="45">
        <v>1</v>
      </c>
      <c r="G669" s="45"/>
      <c r="H669" s="45">
        <v>1</v>
      </c>
    </row>
    <row r="670" spans="1:8" x14ac:dyDescent="0.25">
      <c r="A670" s="44" t="s">
        <v>3600</v>
      </c>
      <c r="B670" s="45">
        <v>1</v>
      </c>
      <c r="C670" s="45"/>
      <c r="D670" s="45"/>
      <c r="E670" s="45"/>
      <c r="F670" s="45"/>
      <c r="G670" s="45"/>
      <c r="H670" s="45">
        <v>1</v>
      </c>
    </row>
    <row r="671" spans="1:8" x14ac:dyDescent="0.25">
      <c r="A671" s="44" t="s">
        <v>921</v>
      </c>
      <c r="B671" s="45"/>
      <c r="C671" s="45"/>
      <c r="D671" s="45"/>
      <c r="E671" s="45"/>
      <c r="F671" s="45">
        <v>1</v>
      </c>
      <c r="G671" s="45"/>
      <c r="H671" s="45">
        <v>1</v>
      </c>
    </row>
    <row r="672" spans="1:8" x14ac:dyDescent="0.25">
      <c r="A672" s="44" t="s">
        <v>996</v>
      </c>
      <c r="B672" s="45"/>
      <c r="C672" s="45"/>
      <c r="D672" s="45"/>
      <c r="E672" s="45"/>
      <c r="F672" s="45">
        <v>1</v>
      </c>
      <c r="G672" s="45"/>
      <c r="H672" s="45">
        <v>1</v>
      </c>
    </row>
    <row r="673" spans="1:8" x14ac:dyDescent="0.25">
      <c r="A673" s="44" t="s">
        <v>3197</v>
      </c>
      <c r="B673" s="45"/>
      <c r="C673" s="45"/>
      <c r="D673" s="45"/>
      <c r="E673" s="45"/>
      <c r="F673" s="45">
        <v>1</v>
      </c>
      <c r="G673" s="45"/>
      <c r="H673" s="45">
        <v>1</v>
      </c>
    </row>
    <row r="674" spans="1:8" x14ac:dyDescent="0.25">
      <c r="A674" s="44" t="s">
        <v>3242</v>
      </c>
      <c r="B674" s="45">
        <v>1</v>
      </c>
      <c r="C674" s="45"/>
      <c r="D674" s="45"/>
      <c r="E674" s="45"/>
      <c r="F674" s="45"/>
      <c r="G674" s="45"/>
      <c r="H674" s="45">
        <v>1</v>
      </c>
    </row>
    <row r="675" spans="1:8" x14ac:dyDescent="0.25">
      <c r="A675" s="44" t="s">
        <v>4111</v>
      </c>
      <c r="B675" s="45"/>
      <c r="C675" s="45"/>
      <c r="D675" s="45"/>
      <c r="E675" s="45"/>
      <c r="F675" s="45"/>
      <c r="G675" s="45">
        <v>1</v>
      </c>
      <c r="H675" s="45">
        <v>1</v>
      </c>
    </row>
    <row r="676" spans="1:8" x14ac:dyDescent="0.25">
      <c r="A676" s="44" t="s">
        <v>527</v>
      </c>
      <c r="B676" s="45">
        <v>1</v>
      </c>
      <c r="C676" s="45"/>
      <c r="D676" s="45"/>
      <c r="E676" s="45"/>
      <c r="F676" s="45"/>
      <c r="G676" s="45"/>
      <c r="H676" s="45">
        <v>1</v>
      </c>
    </row>
    <row r="677" spans="1:8" x14ac:dyDescent="0.25">
      <c r="A677" s="44" t="s">
        <v>3462</v>
      </c>
      <c r="B677" s="45">
        <v>1</v>
      </c>
      <c r="C677" s="45"/>
      <c r="D677" s="45"/>
      <c r="E677" s="45"/>
      <c r="F677" s="45"/>
      <c r="G677" s="45"/>
      <c r="H677" s="45">
        <v>1</v>
      </c>
    </row>
    <row r="678" spans="1:8" x14ac:dyDescent="0.25">
      <c r="A678" s="44" t="s">
        <v>2484</v>
      </c>
      <c r="B678" s="45">
        <v>1</v>
      </c>
      <c r="C678" s="45"/>
      <c r="D678" s="45"/>
      <c r="E678" s="45"/>
      <c r="F678" s="45"/>
      <c r="G678" s="45"/>
      <c r="H678" s="45">
        <v>1</v>
      </c>
    </row>
    <row r="679" spans="1:8" x14ac:dyDescent="0.25">
      <c r="A679" s="44" t="s">
        <v>2152</v>
      </c>
      <c r="B679" s="45"/>
      <c r="C679" s="45"/>
      <c r="D679" s="45"/>
      <c r="E679" s="45"/>
      <c r="F679" s="45">
        <v>1</v>
      </c>
      <c r="G679" s="45"/>
      <c r="H679" s="45">
        <v>1</v>
      </c>
    </row>
    <row r="680" spans="1:8" x14ac:dyDescent="0.25">
      <c r="A680" s="44" t="s">
        <v>3223</v>
      </c>
      <c r="B680" s="45"/>
      <c r="C680" s="45"/>
      <c r="D680" s="45"/>
      <c r="E680" s="45"/>
      <c r="F680" s="45">
        <v>1</v>
      </c>
      <c r="G680" s="45"/>
      <c r="H680" s="45">
        <v>1</v>
      </c>
    </row>
    <row r="681" spans="1:8" x14ac:dyDescent="0.25">
      <c r="A681" s="44" t="s">
        <v>3872</v>
      </c>
      <c r="B681" s="45"/>
      <c r="C681" s="45"/>
      <c r="D681" s="45"/>
      <c r="E681" s="45"/>
      <c r="F681" s="45">
        <v>1</v>
      </c>
      <c r="G681" s="45"/>
      <c r="H681" s="45">
        <v>1</v>
      </c>
    </row>
    <row r="682" spans="1:8" x14ac:dyDescent="0.25">
      <c r="A682" s="44" t="s">
        <v>3164</v>
      </c>
      <c r="B682" s="45">
        <v>1</v>
      </c>
      <c r="C682" s="45"/>
      <c r="D682" s="45"/>
      <c r="E682" s="45"/>
      <c r="F682" s="45"/>
      <c r="G682" s="45"/>
      <c r="H682" s="45">
        <v>1</v>
      </c>
    </row>
    <row r="683" spans="1:8" x14ac:dyDescent="0.25">
      <c r="A683" s="44" t="s">
        <v>3924</v>
      </c>
      <c r="B683" s="45"/>
      <c r="C683" s="45"/>
      <c r="D683" s="45"/>
      <c r="E683" s="45"/>
      <c r="F683" s="45">
        <v>1</v>
      </c>
      <c r="G683" s="45"/>
      <c r="H683" s="45">
        <v>1</v>
      </c>
    </row>
    <row r="684" spans="1:8" x14ac:dyDescent="0.25">
      <c r="A684" s="44" t="s">
        <v>3965</v>
      </c>
      <c r="B684" s="45">
        <v>1</v>
      </c>
      <c r="C684" s="45"/>
      <c r="D684" s="45"/>
      <c r="E684" s="45"/>
      <c r="F684" s="45"/>
      <c r="G684" s="45"/>
      <c r="H684" s="45">
        <v>1</v>
      </c>
    </row>
    <row r="685" spans="1:8" x14ac:dyDescent="0.25">
      <c r="A685" s="44" t="s">
        <v>2815</v>
      </c>
      <c r="B685" s="45">
        <v>1</v>
      </c>
      <c r="C685" s="45"/>
      <c r="D685" s="45"/>
      <c r="E685" s="45"/>
      <c r="F685" s="45"/>
      <c r="G685" s="45"/>
      <c r="H685" s="45">
        <v>1</v>
      </c>
    </row>
    <row r="686" spans="1:8" x14ac:dyDescent="0.25">
      <c r="A686" s="44" t="s">
        <v>1273</v>
      </c>
      <c r="B686" s="45"/>
      <c r="C686" s="45"/>
      <c r="D686" s="45"/>
      <c r="E686" s="45"/>
      <c r="F686" s="45">
        <v>1</v>
      </c>
      <c r="G686" s="45"/>
      <c r="H686" s="45">
        <v>1</v>
      </c>
    </row>
    <row r="687" spans="1:8" x14ac:dyDescent="0.25">
      <c r="A687" s="44" t="s">
        <v>3756</v>
      </c>
      <c r="B687" s="45"/>
      <c r="C687" s="45"/>
      <c r="D687" s="45"/>
      <c r="E687" s="45"/>
      <c r="F687" s="45"/>
      <c r="G687" s="45">
        <v>1</v>
      </c>
      <c r="H687" s="45">
        <v>1</v>
      </c>
    </row>
    <row r="688" spans="1:8" x14ac:dyDescent="0.25">
      <c r="A688" s="44" t="s">
        <v>3516</v>
      </c>
      <c r="B688" s="45"/>
      <c r="C688" s="45"/>
      <c r="D688" s="45"/>
      <c r="E688" s="45"/>
      <c r="F688" s="45">
        <v>1</v>
      </c>
      <c r="G688" s="45"/>
      <c r="H688" s="45">
        <v>1</v>
      </c>
    </row>
    <row r="689" spans="1:8" x14ac:dyDescent="0.25">
      <c r="A689" s="44" t="s">
        <v>1401</v>
      </c>
      <c r="B689" s="45">
        <v>1</v>
      </c>
      <c r="C689" s="45"/>
      <c r="D689" s="45"/>
      <c r="E689" s="45"/>
      <c r="F689" s="45"/>
      <c r="G689" s="45"/>
      <c r="H689" s="45">
        <v>1</v>
      </c>
    </row>
    <row r="690" spans="1:8" x14ac:dyDescent="0.25">
      <c r="A690" s="44" t="s">
        <v>1990</v>
      </c>
      <c r="B690" s="45">
        <v>1</v>
      </c>
      <c r="C690" s="45"/>
      <c r="D690" s="45"/>
      <c r="E690" s="45"/>
      <c r="F690" s="45"/>
      <c r="G690" s="45"/>
      <c r="H690" s="45">
        <v>1</v>
      </c>
    </row>
    <row r="691" spans="1:8" x14ac:dyDescent="0.25">
      <c r="A691" s="44" t="s">
        <v>3208</v>
      </c>
      <c r="B691" s="45"/>
      <c r="C691" s="45"/>
      <c r="D691" s="45"/>
      <c r="E691" s="45"/>
      <c r="F691" s="45">
        <v>1</v>
      </c>
      <c r="G691" s="45"/>
      <c r="H691" s="45">
        <v>1</v>
      </c>
    </row>
    <row r="692" spans="1:8" x14ac:dyDescent="0.25">
      <c r="A692" s="44" t="s">
        <v>1135</v>
      </c>
      <c r="B692" s="45"/>
      <c r="C692" s="45"/>
      <c r="D692" s="45"/>
      <c r="E692" s="45"/>
      <c r="F692" s="45"/>
      <c r="G692" s="45">
        <v>1</v>
      </c>
      <c r="H692" s="45">
        <v>1</v>
      </c>
    </row>
    <row r="693" spans="1:8" x14ac:dyDescent="0.25">
      <c r="A693" s="44" t="s">
        <v>143</v>
      </c>
      <c r="B693" s="45">
        <v>2</v>
      </c>
      <c r="C693" s="45"/>
      <c r="D693" s="45"/>
      <c r="E693" s="45">
        <v>1</v>
      </c>
      <c r="F693" s="45">
        <v>1</v>
      </c>
      <c r="G693" s="45"/>
      <c r="H693" s="45">
        <v>4</v>
      </c>
    </row>
    <row r="694" spans="1:8" x14ac:dyDescent="0.25">
      <c r="A694" s="44" t="s">
        <v>3143</v>
      </c>
      <c r="B694" s="45">
        <v>1</v>
      </c>
      <c r="C694" s="45"/>
      <c r="D694" s="45"/>
      <c r="E694" s="45"/>
      <c r="F694" s="45"/>
      <c r="G694" s="45"/>
      <c r="H694" s="45">
        <v>1</v>
      </c>
    </row>
    <row r="695" spans="1:8" x14ac:dyDescent="0.25">
      <c r="A695" s="44" t="s">
        <v>2478</v>
      </c>
      <c r="B695" s="45">
        <v>1</v>
      </c>
      <c r="C695" s="45"/>
      <c r="D695" s="45"/>
      <c r="E695" s="45"/>
      <c r="F695" s="45"/>
      <c r="G695" s="45"/>
      <c r="H695" s="45">
        <v>1</v>
      </c>
    </row>
    <row r="696" spans="1:8" x14ac:dyDescent="0.25">
      <c r="A696" s="44" t="s">
        <v>655</v>
      </c>
      <c r="B696" s="45">
        <v>1</v>
      </c>
      <c r="C696" s="45"/>
      <c r="D696" s="45"/>
      <c r="E696" s="45"/>
      <c r="F696" s="45"/>
      <c r="G696" s="45"/>
      <c r="H696" s="45">
        <v>1</v>
      </c>
    </row>
    <row r="697" spans="1:8" x14ac:dyDescent="0.25">
      <c r="A697" s="44" t="s">
        <v>3316</v>
      </c>
      <c r="B697" s="45">
        <v>1</v>
      </c>
      <c r="C697" s="45"/>
      <c r="D697" s="45"/>
      <c r="E697" s="45"/>
      <c r="F697" s="45"/>
      <c r="G697" s="45"/>
      <c r="H697" s="45">
        <v>1</v>
      </c>
    </row>
    <row r="698" spans="1:8" x14ac:dyDescent="0.25">
      <c r="A698" s="44" t="s">
        <v>416</v>
      </c>
      <c r="B698" s="45">
        <v>1</v>
      </c>
      <c r="C698" s="45"/>
      <c r="D698" s="45"/>
      <c r="E698" s="45"/>
      <c r="F698" s="45"/>
      <c r="G698" s="45"/>
      <c r="H698" s="45">
        <v>1</v>
      </c>
    </row>
    <row r="699" spans="1:8" x14ac:dyDescent="0.25">
      <c r="A699" s="44" t="s">
        <v>744</v>
      </c>
      <c r="B699" s="45">
        <v>1</v>
      </c>
      <c r="C699" s="45"/>
      <c r="D699" s="45"/>
      <c r="E699" s="45"/>
      <c r="F699" s="45"/>
      <c r="G699" s="45"/>
      <c r="H699" s="45">
        <v>1</v>
      </c>
    </row>
    <row r="700" spans="1:8" x14ac:dyDescent="0.25">
      <c r="A700" s="44" t="s">
        <v>2679</v>
      </c>
      <c r="B700" s="45">
        <v>1</v>
      </c>
      <c r="C700" s="45"/>
      <c r="D700" s="45"/>
      <c r="E700" s="45"/>
      <c r="F700" s="45"/>
      <c r="G700" s="45"/>
      <c r="H700" s="45">
        <v>1</v>
      </c>
    </row>
    <row r="701" spans="1:8" x14ac:dyDescent="0.25">
      <c r="A701" s="44" t="s">
        <v>1740</v>
      </c>
      <c r="B701" s="45"/>
      <c r="C701" s="45"/>
      <c r="D701" s="45"/>
      <c r="E701" s="45"/>
      <c r="F701" s="45"/>
      <c r="G701" s="45">
        <v>1</v>
      </c>
      <c r="H701" s="45">
        <v>1</v>
      </c>
    </row>
    <row r="702" spans="1:8" x14ac:dyDescent="0.25">
      <c r="A702" s="44" t="s">
        <v>875</v>
      </c>
      <c r="B702" s="45">
        <v>1</v>
      </c>
      <c r="C702" s="45"/>
      <c r="D702" s="45"/>
      <c r="E702" s="45"/>
      <c r="F702" s="45"/>
      <c r="G702" s="45"/>
      <c r="H702" s="45">
        <v>1</v>
      </c>
    </row>
    <row r="703" spans="1:8" x14ac:dyDescent="0.25">
      <c r="A703" s="44" t="s">
        <v>1225</v>
      </c>
      <c r="B703" s="45">
        <v>1</v>
      </c>
      <c r="C703" s="45"/>
      <c r="D703" s="45"/>
      <c r="E703" s="45"/>
      <c r="F703" s="45"/>
      <c r="G703" s="45"/>
      <c r="H703" s="45">
        <v>1</v>
      </c>
    </row>
    <row r="704" spans="1:8" x14ac:dyDescent="0.25">
      <c r="A704" s="44" t="s">
        <v>2397</v>
      </c>
      <c r="B704" s="45"/>
      <c r="C704" s="45"/>
      <c r="D704" s="45"/>
      <c r="E704" s="45"/>
      <c r="F704" s="45">
        <v>1</v>
      </c>
      <c r="G704" s="45"/>
      <c r="H704" s="45">
        <v>1</v>
      </c>
    </row>
    <row r="705" spans="1:8" x14ac:dyDescent="0.25">
      <c r="A705" s="44" t="s">
        <v>1736</v>
      </c>
      <c r="B705" s="45">
        <v>1</v>
      </c>
      <c r="C705" s="45"/>
      <c r="D705" s="45"/>
      <c r="E705" s="45"/>
      <c r="F705" s="45"/>
      <c r="G705" s="45"/>
      <c r="H705" s="45">
        <v>1</v>
      </c>
    </row>
    <row r="706" spans="1:8" x14ac:dyDescent="0.25">
      <c r="A706" s="44" t="s">
        <v>3449</v>
      </c>
      <c r="B706" s="45">
        <v>1</v>
      </c>
      <c r="C706" s="45"/>
      <c r="D706" s="45"/>
      <c r="E706" s="45"/>
      <c r="F706" s="45"/>
      <c r="G706" s="45"/>
      <c r="H706" s="45">
        <v>1</v>
      </c>
    </row>
    <row r="707" spans="1:8" x14ac:dyDescent="0.25">
      <c r="A707" s="44" t="s">
        <v>940</v>
      </c>
      <c r="B707" s="45"/>
      <c r="C707" s="45"/>
      <c r="D707" s="45"/>
      <c r="E707" s="45"/>
      <c r="F707" s="45">
        <v>1</v>
      </c>
      <c r="G707" s="45"/>
      <c r="H707" s="45">
        <v>1</v>
      </c>
    </row>
    <row r="708" spans="1:8" x14ac:dyDescent="0.25">
      <c r="A708" s="44" t="s">
        <v>3030</v>
      </c>
      <c r="B708" s="45"/>
      <c r="C708" s="45"/>
      <c r="D708" s="45"/>
      <c r="E708" s="45"/>
      <c r="F708" s="45">
        <v>1</v>
      </c>
      <c r="G708" s="45"/>
      <c r="H708" s="45">
        <v>1</v>
      </c>
    </row>
    <row r="709" spans="1:8" x14ac:dyDescent="0.25">
      <c r="A709" s="44" t="s">
        <v>402</v>
      </c>
      <c r="B709" s="45">
        <v>1</v>
      </c>
      <c r="C709" s="45"/>
      <c r="D709" s="45"/>
      <c r="E709" s="45"/>
      <c r="F709" s="45"/>
      <c r="G709" s="45"/>
      <c r="H709" s="45">
        <v>1</v>
      </c>
    </row>
    <row r="710" spans="1:8" x14ac:dyDescent="0.25">
      <c r="A710" s="44" t="s">
        <v>4118</v>
      </c>
      <c r="B710" s="45"/>
      <c r="C710" s="45"/>
      <c r="D710" s="45"/>
      <c r="E710" s="45"/>
      <c r="F710" s="45">
        <v>1</v>
      </c>
      <c r="G710" s="45"/>
      <c r="H710" s="45">
        <v>1</v>
      </c>
    </row>
    <row r="711" spans="1:8" x14ac:dyDescent="0.25">
      <c r="A711" s="44" t="s">
        <v>989</v>
      </c>
      <c r="B711" s="45"/>
      <c r="C711" s="45">
        <v>1</v>
      </c>
      <c r="D711" s="45"/>
      <c r="E711" s="45"/>
      <c r="F711" s="45"/>
      <c r="G711" s="45"/>
      <c r="H711" s="45">
        <v>1</v>
      </c>
    </row>
    <row r="712" spans="1:8" x14ac:dyDescent="0.25">
      <c r="A712" s="44" t="s">
        <v>4056</v>
      </c>
      <c r="B712" s="45"/>
      <c r="C712" s="45">
        <v>1</v>
      </c>
      <c r="D712" s="45"/>
      <c r="E712" s="45"/>
      <c r="F712" s="45"/>
      <c r="G712" s="45"/>
      <c r="H712" s="45">
        <v>1</v>
      </c>
    </row>
    <row r="713" spans="1:8" x14ac:dyDescent="0.25">
      <c r="A713" s="44" t="s">
        <v>2618</v>
      </c>
      <c r="B713" s="45">
        <v>1</v>
      </c>
      <c r="C713" s="45"/>
      <c r="D713" s="45"/>
      <c r="E713" s="45"/>
      <c r="F713" s="45"/>
      <c r="G713" s="45"/>
      <c r="H713" s="45">
        <v>1</v>
      </c>
    </row>
    <row r="714" spans="1:8" x14ac:dyDescent="0.25">
      <c r="A714" s="44" t="s">
        <v>514</v>
      </c>
      <c r="B714" s="45"/>
      <c r="C714" s="45">
        <v>1</v>
      </c>
      <c r="D714" s="45"/>
      <c r="E714" s="45"/>
      <c r="F714" s="45"/>
      <c r="G714" s="45"/>
      <c r="H714" s="45">
        <v>1</v>
      </c>
    </row>
    <row r="715" spans="1:8" x14ac:dyDescent="0.25">
      <c r="A715" s="44" t="s">
        <v>3778</v>
      </c>
      <c r="B715" s="45">
        <v>1</v>
      </c>
      <c r="C715" s="45"/>
      <c r="D715" s="45"/>
      <c r="E715" s="45"/>
      <c r="F715" s="45"/>
      <c r="G715" s="45"/>
      <c r="H715" s="45">
        <v>1</v>
      </c>
    </row>
    <row r="716" spans="1:8" x14ac:dyDescent="0.25">
      <c r="A716" s="44" t="s">
        <v>1263</v>
      </c>
      <c r="B716" s="45">
        <v>1</v>
      </c>
      <c r="C716" s="45"/>
      <c r="D716" s="45"/>
      <c r="E716" s="45"/>
      <c r="F716" s="45"/>
      <c r="G716" s="45"/>
      <c r="H716" s="45">
        <v>1</v>
      </c>
    </row>
    <row r="717" spans="1:8" x14ac:dyDescent="0.25">
      <c r="A717" s="44" t="s">
        <v>758</v>
      </c>
      <c r="B717" s="45"/>
      <c r="C717" s="45">
        <v>1</v>
      </c>
      <c r="D717" s="45"/>
      <c r="E717" s="45"/>
      <c r="F717" s="45"/>
      <c r="G717" s="45"/>
      <c r="H717" s="45">
        <v>1</v>
      </c>
    </row>
    <row r="718" spans="1:8" x14ac:dyDescent="0.25">
      <c r="A718" s="44" t="s">
        <v>885</v>
      </c>
      <c r="B718" s="45"/>
      <c r="C718" s="45">
        <v>1</v>
      </c>
      <c r="D718" s="45"/>
      <c r="E718" s="45"/>
      <c r="F718" s="45"/>
      <c r="G718" s="45"/>
      <c r="H718" s="45">
        <v>1</v>
      </c>
    </row>
    <row r="719" spans="1:8" x14ac:dyDescent="0.25">
      <c r="A719" s="44" t="s">
        <v>1243</v>
      </c>
      <c r="B719" s="45">
        <v>1</v>
      </c>
      <c r="C719" s="45"/>
      <c r="D719" s="45"/>
      <c r="E719" s="45"/>
      <c r="F719" s="45"/>
      <c r="G719" s="45"/>
      <c r="H719" s="45">
        <v>1</v>
      </c>
    </row>
    <row r="720" spans="1:8" x14ac:dyDescent="0.25">
      <c r="A720" s="44" t="s">
        <v>1328</v>
      </c>
      <c r="B720" s="45">
        <v>1</v>
      </c>
      <c r="C720" s="45"/>
      <c r="D720" s="45"/>
      <c r="E720" s="45"/>
      <c r="F720" s="45"/>
      <c r="G720" s="45"/>
      <c r="H720" s="45">
        <v>1</v>
      </c>
    </row>
    <row r="721" spans="1:8" x14ac:dyDescent="0.25">
      <c r="A721" s="44" t="s">
        <v>1678</v>
      </c>
      <c r="B721" s="45"/>
      <c r="C721" s="45"/>
      <c r="D721" s="45"/>
      <c r="E721" s="45"/>
      <c r="F721" s="45">
        <v>1</v>
      </c>
      <c r="G721" s="45"/>
      <c r="H721" s="45">
        <v>1</v>
      </c>
    </row>
    <row r="722" spans="1:8" x14ac:dyDescent="0.25">
      <c r="A722" s="44" t="s">
        <v>920</v>
      </c>
      <c r="B722" s="45"/>
      <c r="C722" s="45"/>
      <c r="D722" s="45"/>
      <c r="E722" s="45"/>
      <c r="F722" s="45">
        <v>1</v>
      </c>
      <c r="G722" s="45"/>
      <c r="H722" s="45">
        <v>1</v>
      </c>
    </row>
    <row r="723" spans="1:8" x14ac:dyDescent="0.25">
      <c r="A723" s="44" t="s">
        <v>3836</v>
      </c>
      <c r="B723" s="45"/>
      <c r="C723" s="45"/>
      <c r="D723" s="45"/>
      <c r="E723" s="45"/>
      <c r="F723" s="45">
        <v>1</v>
      </c>
      <c r="G723" s="45"/>
      <c r="H723" s="45">
        <v>1</v>
      </c>
    </row>
    <row r="724" spans="1:8" x14ac:dyDescent="0.25">
      <c r="A724" s="44" t="s">
        <v>2438</v>
      </c>
      <c r="B724" s="45"/>
      <c r="C724" s="45"/>
      <c r="D724" s="45"/>
      <c r="E724" s="45"/>
      <c r="F724" s="45">
        <v>1</v>
      </c>
      <c r="G724" s="45"/>
      <c r="H724" s="45">
        <v>1</v>
      </c>
    </row>
    <row r="725" spans="1:8" x14ac:dyDescent="0.25">
      <c r="A725" s="44" t="s">
        <v>929</v>
      </c>
      <c r="B725" s="45"/>
      <c r="C725" s="45"/>
      <c r="D725" s="45"/>
      <c r="E725" s="45"/>
      <c r="F725" s="45">
        <v>1</v>
      </c>
      <c r="G725" s="45"/>
      <c r="H725" s="45">
        <v>1</v>
      </c>
    </row>
    <row r="726" spans="1:8" x14ac:dyDescent="0.25">
      <c r="A726" s="44" t="s">
        <v>980</v>
      </c>
      <c r="B726" s="45"/>
      <c r="C726" s="45"/>
      <c r="D726" s="45"/>
      <c r="E726" s="45"/>
      <c r="F726" s="45">
        <v>1</v>
      </c>
      <c r="G726" s="45"/>
      <c r="H726" s="45">
        <v>1</v>
      </c>
    </row>
    <row r="727" spans="1:8" x14ac:dyDescent="0.25">
      <c r="A727" s="44" t="s">
        <v>3347</v>
      </c>
      <c r="B727" s="45">
        <v>1</v>
      </c>
      <c r="C727" s="45"/>
      <c r="D727" s="45"/>
      <c r="E727" s="45"/>
      <c r="F727" s="45"/>
      <c r="G727" s="45"/>
      <c r="H727" s="45">
        <v>1</v>
      </c>
    </row>
    <row r="728" spans="1:8" x14ac:dyDescent="0.25">
      <c r="A728" s="44" t="s">
        <v>3903</v>
      </c>
      <c r="B728" s="45">
        <v>1</v>
      </c>
      <c r="C728" s="45"/>
      <c r="D728" s="45"/>
      <c r="E728" s="45"/>
      <c r="F728" s="45"/>
      <c r="G728" s="45"/>
      <c r="H728" s="45">
        <v>1</v>
      </c>
    </row>
    <row r="729" spans="1:8" x14ac:dyDescent="0.25">
      <c r="A729" s="44" t="s">
        <v>2221</v>
      </c>
      <c r="B729" s="45"/>
      <c r="C729" s="45"/>
      <c r="D729" s="45"/>
      <c r="E729" s="45"/>
      <c r="F729" s="45">
        <v>1</v>
      </c>
      <c r="G729" s="45"/>
      <c r="H729" s="45">
        <v>1</v>
      </c>
    </row>
    <row r="730" spans="1:8" x14ac:dyDescent="0.25">
      <c r="A730" s="44" t="s">
        <v>407</v>
      </c>
      <c r="B730" s="45">
        <v>1</v>
      </c>
      <c r="C730" s="45"/>
      <c r="D730" s="45"/>
      <c r="E730" s="45"/>
      <c r="F730" s="45"/>
      <c r="G730" s="45"/>
      <c r="H730" s="45">
        <v>1</v>
      </c>
    </row>
    <row r="731" spans="1:8" x14ac:dyDescent="0.25">
      <c r="A731" s="44" t="s">
        <v>2121</v>
      </c>
      <c r="B731" s="45">
        <v>1</v>
      </c>
      <c r="C731" s="45"/>
      <c r="D731" s="45"/>
      <c r="E731" s="45"/>
      <c r="F731" s="45"/>
      <c r="G731" s="45"/>
      <c r="H731" s="45">
        <v>1</v>
      </c>
    </row>
    <row r="732" spans="1:8" x14ac:dyDescent="0.25">
      <c r="A732" s="44" t="s">
        <v>1023</v>
      </c>
      <c r="B732" s="45">
        <v>1</v>
      </c>
      <c r="C732" s="45"/>
      <c r="D732" s="45"/>
      <c r="E732" s="45"/>
      <c r="F732" s="45"/>
      <c r="G732" s="45"/>
      <c r="H732" s="45">
        <v>1</v>
      </c>
    </row>
    <row r="733" spans="1:8" x14ac:dyDescent="0.25">
      <c r="A733" s="44" t="s">
        <v>4014</v>
      </c>
      <c r="B733" s="45">
        <v>1</v>
      </c>
      <c r="C733" s="45"/>
      <c r="D733" s="45"/>
      <c r="E733" s="45"/>
      <c r="F733" s="45"/>
      <c r="G733" s="45"/>
      <c r="H733" s="45">
        <v>1</v>
      </c>
    </row>
    <row r="734" spans="1:8" x14ac:dyDescent="0.25">
      <c r="A734" s="44" t="s">
        <v>3555</v>
      </c>
      <c r="B734" s="45"/>
      <c r="C734" s="45"/>
      <c r="D734" s="45"/>
      <c r="E734" s="45"/>
      <c r="F734" s="45">
        <v>1</v>
      </c>
      <c r="G734" s="45"/>
      <c r="H734" s="45">
        <v>1</v>
      </c>
    </row>
    <row r="735" spans="1:8" x14ac:dyDescent="0.25">
      <c r="A735" s="44" t="s">
        <v>1828</v>
      </c>
      <c r="B735" s="45"/>
      <c r="C735" s="45"/>
      <c r="D735" s="45"/>
      <c r="E735" s="45"/>
      <c r="F735" s="45">
        <v>1</v>
      </c>
      <c r="G735" s="45"/>
      <c r="H735" s="45">
        <v>1</v>
      </c>
    </row>
    <row r="736" spans="1:8" x14ac:dyDescent="0.25">
      <c r="A736" s="44" t="s">
        <v>1043</v>
      </c>
      <c r="B736" s="45"/>
      <c r="C736" s="45"/>
      <c r="D736" s="45"/>
      <c r="E736" s="45"/>
      <c r="F736" s="45">
        <v>1</v>
      </c>
      <c r="G736" s="45"/>
      <c r="H736" s="45">
        <v>1</v>
      </c>
    </row>
    <row r="737" spans="1:8" x14ac:dyDescent="0.25">
      <c r="A737" s="44" t="s">
        <v>826</v>
      </c>
      <c r="B737" s="45">
        <v>1</v>
      </c>
      <c r="C737" s="45"/>
      <c r="D737" s="45"/>
      <c r="E737" s="45"/>
      <c r="F737" s="45"/>
      <c r="G737" s="45"/>
      <c r="H737" s="45">
        <v>1</v>
      </c>
    </row>
    <row r="738" spans="1:8" x14ac:dyDescent="0.25">
      <c r="A738" s="44" t="s">
        <v>894</v>
      </c>
      <c r="B738" s="45"/>
      <c r="C738" s="45"/>
      <c r="D738" s="45"/>
      <c r="E738" s="45"/>
      <c r="F738" s="45">
        <v>1</v>
      </c>
      <c r="G738" s="45"/>
      <c r="H738" s="45">
        <v>1</v>
      </c>
    </row>
    <row r="739" spans="1:8" x14ac:dyDescent="0.25">
      <c r="A739" s="44" t="s">
        <v>572</v>
      </c>
      <c r="B739" s="45">
        <v>1</v>
      </c>
      <c r="C739" s="45"/>
      <c r="D739" s="45"/>
      <c r="E739" s="45"/>
      <c r="F739" s="45"/>
      <c r="G739" s="45"/>
      <c r="H739" s="45">
        <v>1</v>
      </c>
    </row>
    <row r="740" spans="1:8" x14ac:dyDescent="0.25">
      <c r="A740" s="44" t="s">
        <v>1639</v>
      </c>
      <c r="B740" s="45">
        <v>1</v>
      </c>
      <c r="C740" s="45"/>
      <c r="D740" s="45"/>
      <c r="E740" s="45"/>
      <c r="F740" s="45"/>
      <c r="G740" s="45"/>
      <c r="H740" s="45">
        <v>1</v>
      </c>
    </row>
    <row r="741" spans="1:8" x14ac:dyDescent="0.25">
      <c r="A741" s="44" t="s">
        <v>3880</v>
      </c>
      <c r="B741" s="45"/>
      <c r="C741" s="45"/>
      <c r="D741" s="45"/>
      <c r="E741" s="45"/>
      <c r="F741" s="45">
        <v>1</v>
      </c>
      <c r="G741" s="45"/>
      <c r="H741" s="45">
        <v>1</v>
      </c>
    </row>
    <row r="742" spans="1:8" x14ac:dyDescent="0.25">
      <c r="A742" s="44" t="s">
        <v>1231</v>
      </c>
      <c r="B742" s="45"/>
      <c r="C742" s="45"/>
      <c r="D742" s="45"/>
      <c r="E742" s="45"/>
      <c r="F742" s="45">
        <v>1</v>
      </c>
      <c r="G742" s="45"/>
      <c r="H742" s="45">
        <v>1</v>
      </c>
    </row>
    <row r="743" spans="1:8" x14ac:dyDescent="0.25">
      <c r="A743" s="44" t="s">
        <v>3417</v>
      </c>
      <c r="B743" s="45"/>
      <c r="C743" s="45"/>
      <c r="D743" s="45"/>
      <c r="E743" s="45"/>
      <c r="F743" s="45">
        <v>1</v>
      </c>
      <c r="G743" s="45"/>
      <c r="H743" s="45">
        <v>1</v>
      </c>
    </row>
    <row r="744" spans="1:8" x14ac:dyDescent="0.25">
      <c r="A744" s="44" t="s">
        <v>849</v>
      </c>
      <c r="B744" s="45">
        <v>1</v>
      </c>
      <c r="C744" s="45"/>
      <c r="D744" s="45"/>
      <c r="E744" s="45"/>
      <c r="F744" s="45"/>
      <c r="G744" s="45"/>
      <c r="H744" s="45">
        <v>1</v>
      </c>
    </row>
    <row r="745" spans="1:8" x14ac:dyDescent="0.25">
      <c r="A745" s="44" t="s">
        <v>1691</v>
      </c>
      <c r="B745" s="45"/>
      <c r="C745" s="45"/>
      <c r="D745" s="45"/>
      <c r="E745" s="45"/>
      <c r="F745" s="45">
        <v>1</v>
      </c>
      <c r="G745" s="45"/>
      <c r="H745" s="45">
        <v>1</v>
      </c>
    </row>
    <row r="746" spans="1:8" x14ac:dyDescent="0.25">
      <c r="A746" s="44" t="s">
        <v>118</v>
      </c>
      <c r="B746" s="45"/>
      <c r="C746" s="45">
        <v>1</v>
      </c>
      <c r="D746" s="45"/>
      <c r="E746" s="45"/>
      <c r="F746" s="45"/>
      <c r="G746" s="45"/>
      <c r="H746" s="45">
        <v>1</v>
      </c>
    </row>
    <row r="747" spans="1:8" x14ac:dyDescent="0.25">
      <c r="A747" s="44" t="s">
        <v>1178</v>
      </c>
      <c r="B747" s="45">
        <v>1</v>
      </c>
      <c r="C747" s="45"/>
      <c r="D747" s="45"/>
      <c r="E747" s="45"/>
      <c r="F747" s="45"/>
      <c r="G747" s="45"/>
      <c r="H747" s="45">
        <v>1</v>
      </c>
    </row>
    <row r="748" spans="1:8" x14ac:dyDescent="0.25">
      <c r="A748" s="44" t="s">
        <v>299</v>
      </c>
      <c r="B748" s="45">
        <v>1</v>
      </c>
      <c r="C748" s="45"/>
      <c r="D748" s="45"/>
      <c r="E748" s="45"/>
      <c r="F748" s="45"/>
      <c r="G748" s="45"/>
      <c r="H748" s="45">
        <v>1</v>
      </c>
    </row>
    <row r="749" spans="1:8" x14ac:dyDescent="0.25">
      <c r="A749" s="44" t="s">
        <v>1552</v>
      </c>
      <c r="B749" s="45"/>
      <c r="C749" s="45"/>
      <c r="D749" s="45"/>
      <c r="E749" s="45"/>
      <c r="F749" s="45">
        <v>1</v>
      </c>
      <c r="G749" s="45"/>
      <c r="H749" s="45">
        <v>1</v>
      </c>
    </row>
    <row r="750" spans="1:8" x14ac:dyDescent="0.25">
      <c r="A750" s="44" t="s">
        <v>1020</v>
      </c>
      <c r="B750" s="45">
        <v>1</v>
      </c>
      <c r="C750" s="45"/>
      <c r="D750" s="45"/>
      <c r="E750" s="45"/>
      <c r="F750" s="45"/>
      <c r="G750" s="45"/>
      <c r="H750" s="45">
        <v>1</v>
      </c>
    </row>
    <row r="751" spans="1:8" x14ac:dyDescent="0.25">
      <c r="A751" s="44" t="s">
        <v>1153</v>
      </c>
      <c r="B751" s="45"/>
      <c r="C751" s="45"/>
      <c r="D751" s="45"/>
      <c r="E751" s="45"/>
      <c r="F751" s="45">
        <v>1</v>
      </c>
      <c r="G751" s="45"/>
      <c r="H751" s="45">
        <v>1</v>
      </c>
    </row>
    <row r="752" spans="1:8" x14ac:dyDescent="0.25">
      <c r="A752" s="44" t="s">
        <v>1072</v>
      </c>
      <c r="B752" s="45"/>
      <c r="C752" s="45"/>
      <c r="D752" s="45"/>
      <c r="E752" s="45"/>
      <c r="F752" s="45"/>
      <c r="G752" s="45">
        <v>1</v>
      </c>
      <c r="H752" s="45">
        <v>1</v>
      </c>
    </row>
    <row r="753" spans="1:8" x14ac:dyDescent="0.25">
      <c r="A753" s="44" t="s">
        <v>3889</v>
      </c>
      <c r="B753" s="45">
        <v>1</v>
      </c>
      <c r="C753" s="45"/>
      <c r="D753" s="45"/>
      <c r="E753" s="45"/>
      <c r="F753" s="45"/>
      <c r="G753" s="45"/>
      <c r="H753" s="45">
        <v>1</v>
      </c>
    </row>
    <row r="754" spans="1:8" x14ac:dyDescent="0.25">
      <c r="A754" s="44" t="s">
        <v>2029</v>
      </c>
      <c r="B754" s="45"/>
      <c r="C754" s="45"/>
      <c r="D754" s="45"/>
      <c r="E754" s="45"/>
      <c r="F754" s="45">
        <v>1</v>
      </c>
      <c r="G754" s="45"/>
      <c r="H754" s="45">
        <v>1</v>
      </c>
    </row>
    <row r="755" spans="1:8" x14ac:dyDescent="0.25">
      <c r="A755" s="44" t="s">
        <v>1688</v>
      </c>
      <c r="B755" s="45">
        <v>1</v>
      </c>
      <c r="C755" s="45"/>
      <c r="D755" s="45"/>
      <c r="E755" s="45"/>
      <c r="F755" s="45"/>
      <c r="G755" s="45"/>
      <c r="H755" s="45">
        <v>1</v>
      </c>
    </row>
    <row r="756" spans="1:8" x14ac:dyDescent="0.25">
      <c r="A756" s="44" t="s">
        <v>3344</v>
      </c>
      <c r="B756" s="45"/>
      <c r="C756" s="45"/>
      <c r="D756" s="45"/>
      <c r="E756" s="45"/>
      <c r="F756" s="45">
        <v>1</v>
      </c>
      <c r="G756" s="45"/>
      <c r="H756" s="45">
        <v>1</v>
      </c>
    </row>
    <row r="757" spans="1:8" x14ac:dyDescent="0.25">
      <c r="A757" s="44" t="s">
        <v>4074</v>
      </c>
      <c r="B757" s="45">
        <v>1</v>
      </c>
      <c r="C757" s="45"/>
      <c r="D757" s="45"/>
      <c r="E757" s="45"/>
      <c r="F757" s="45"/>
      <c r="G757" s="45"/>
      <c r="H757" s="45">
        <v>1</v>
      </c>
    </row>
    <row r="758" spans="1:8" x14ac:dyDescent="0.25">
      <c r="A758" s="44" t="s">
        <v>303</v>
      </c>
      <c r="B758" s="45"/>
      <c r="C758" s="45"/>
      <c r="D758" s="45"/>
      <c r="E758" s="45"/>
      <c r="F758" s="45">
        <v>1</v>
      </c>
      <c r="G758" s="45"/>
      <c r="H758" s="45">
        <v>1</v>
      </c>
    </row>
    <row r="759" spans="1:8" x14ac:dyDescent="0.25">
      <c r="A759" s="44" t="s">
        <v>490</v>
      </c>
      <c r="B759" s="45"/>
      <c r="C759" s="45"/>
      <c r="D759" s="45"/>
      <c r="E759" s="45"/>
      <c r="F759" s="45">
        <v>1</v>
      </c>
      <c r="G759" s="45"/>
      <c r="H759" s="45">
        <v>1</v>
      </c>
    </row>
    <row r="760" spans="1:8" x14ac:dyDescent="0.25">
      <c r="A760" s="44" t="s">
        <v>699</v>
      </c>
      <c r="B760" s="45"/>
      <c r="C760" s="45"/>
      <c r="D760" s="45"/>
      <c r="E760" s="45"/>
      <c r="F760" s="45">
        <v>4</v>
      </c>
      <c r="G760" s="45"/>
      <c r="H760" s="45">
        <v>4</v>
      </c>
    </row>
    <row r="761" spans="1:8" x14ac:dyDescent="0.25">
      <c r="A761" s="44" t="s">
        <v>1908</v>
      </c>
      <c r="B761" s="45"/>
      <c r="C761" s="45"/>
      <c r="D761" s="45"/>
      <c r="E761" s="45"/>
      <c r="F761" s="45">
        <v>1</v>
      </c>
      <c r="G761" s="45"/>
      <c r="H761" s="45">
        <v>1</v>
      </c>
    </row>
    <row r="762" spans="1:8" x14ac:dyDescent="0.25">
      <c r="A762" s="44" t="s">
        <v>3604</v>
      </c>
      <c r="B762" s="45"/>
      <c r="C762" s="45"/>
      <c r="D762" s="45"/>
      <c r="E762" s="45"/>
      <c r="F762" s="45">
        <v>1</v>
      </c>
      <c r="G762" s="45"/>
      <c r="H762" s="45">
        <v>1</v>
      </c>
    </row>
    <row r="763" spans="1:8" x14ac:dyDescent="0.25">
      <c r="A763" s="44" t="s">
        <v>4124</v>
      </c>
      <c r="B763" s="45"/>
      <c r="C763" s="45"/>
      <c r="D763" s="45"/>
      <c r="E763" s="45"/>
      <c r="F763" s="45">
        <v>1</v>
      </c>
      <c r="G763" s="45"/>
      <c r="H763" s="45">
        <v>1</v>
      </c>
    </row>
    <row r="764" spans="1:8" x14ac:dyDescent="0.25">
      <c r="A764" s="44" t="s">
        <v>1108</v>
      </c>
      <c r="B764" s="45"/>
      <c r="C764" s="45"/>
      <c r="D764" s="45"/>
      <c r="E764" s="45"/>
      <c r="F764" s="45">
        <v>1</v>
      </c>
      <c r="G764" s="45"/>
      <c r="H764" s="45">
        <v>1</v>
      </c>
    </row>
    <row r="765" spans="1:8" x14ac:dyDescent="0.25">
      <c r="A765" s="44" t="s">
        <v>608</v>
      </c>
      <c r="B765" s="45"/>
      <c r="C765" s="45">
        <v>1</v>
      </c>
      <c r="D765" s="45"/>
      <c r="E765" s="45"/>
      <c r="F765" s="45"/>
      <c r="G765" s="45"/>
      <c r="H765" s="45">
        <v>1</v>
      </c>
    </row>
    <row r="766" spans="1:8" x14ac:dyDescent="0.25">
      <c r="A766" s="44" t="s">
        <v>1480</v>
      </c>
      <c r="B766" s="45"/>
      <c r="C766" s="45"/>
      <c r="D766" s="45"/>
      <c r="E766" s="45"/>
      <c r="F766" s="45">
        <v>1</v>
      </c>
      <c r="G766" s="45"/>
      <c r="H766" s="45">
        <v>1</v>
      </c>
    </row>
    <row r="767" spans="1:8" x14ac:dyDescent="0.25">
      <c r="A767" s="44" t="s">
        <v>3764</v>
      </c>
      <c r="B767" s="45"/>
      <c r="C767" s="45">
        <v>1</v>
      </c>
      <c r="D767" s="45"/>
      <c r="E767" s="45"/>
      <c r="F767" s="45"/>
      <c r="G767" s="45"/>
      <c r="H767" s="45">
        <v>1</v>
      </c>
    </row>
    <row r="768" spans="1:8" x14ac:dyDescent="0.25">
      <c r="A768" s="44" t="s">
        <v>2133</v>
      </c>
      <c r="B768" s="45"/>
      <c r="C768" s="45"/>
      <c r="D768" s="45"/>
      <c r="E768" s="45"/>
      <c r="F768" s="45">
        <v>1</v>
      </c>
      <c r="G768" s="45"/>
      <c r="H768" s="45">
        <v>1</v>
      </c>
    </row>
    <row r="769" spans="1:8" x14ac:dyDescent="0.25">
      <c r="A769" s="44" t="s">
        <v>254</v>
      </c>
      <c r="B769" s="45">
        <v>1</v>
      </c>
      <c r="C769" s="45"/>
      <c r="D769" s="45"/>
      <c r="E769" s="45"/>
      <c r="F769" s="45">
        <v>1</v>
      </c>
      <c r="G769" s="45"/>
      <c r="H769" s="45">
        <v>2</v>
      </c>
    </row>
    <row r="770" spans="1:8" x14ac:dyDescent="0.25">
      <c r="A770" s="44" t="s">
        <v>4036</v>
      </c>
      <c r="B770" s="45">
        <v>1</v>
      </c>
      <c r="C770" s="45"/>
      <c r="D770" s="45"/>
      <c r="E770" s="45"/>
      <c r="F770" s="45"/>
      <c r="G770" s="45"/>
      <c r="H770" s="45">
        <v>1</v>
      </c>
    </row>
    <row r="771" spans="1:8" x14ac:dyDescent="0.25">
      <c r="A771" s="44" t="s">
        <v>3858</v>
      </c>
      <c r="B771" s="45">
        <v>1</v>
      </c>
      <c r="C771" s="45"/>
      <c r="D771" s="45"/>
      <c r="E771" s="45"/>
      <c r="F771" s="45"/>
      <c r="G771" s="45"/>
      <c r="H771" s="45">
        <v>1</v>
      </c>
    </row>
    <row r="772" spans="1:8" x14ac:dyDescent="0.25">
      <c r="A772" s="44" t="s">
        <v>985</v>
      </c>
      <c r="B772" s="45"/>
      <c r="C772" s="45">
        <v>1</v>
      </c>
      <c r="D772" s="45"/>
      <c r="E772" s="45"/>
      <c r="F772" s="45"/>
      <c r="G772" s="45"/>
      <c r="H772" s="45">
        <v>1</v>
      </c>
    </row>
    <row r="773" spans="1:8" x14ac:dyDescent="0.25">
      <c r="A773" s="44" t="s">
        <v>868</v>
      </c>
      <c r="B773" s="45"/>
      <c r="C773" s="45"/>
      <c r="D773" s="45"/>
      <c r="E773" s="45"/>
      <c r="F773" s="45"/>
      <c r="G773" s="45">
        <v>1</v>
      </c>
      <c r="H773" s="45">
        <v>1</v>
      </c>
    </row>
    <row r="774" spans="1:8" x14ac:dyDescent="0.25">
      <c r="A774" s="44" t="s">
        <v>1117</v>
      </c>
      <c r="B774" s="45"/>
      <c r="C774" s="45"/>
      <c r="D774" s="45"/>
      <c r="E774" s="45"/>
      <c r="F774" s="45">
        <v>1</v>
      </c>
      <c r="G774" s="45"/>
      <c r="H774" s="45">
        <v>1</v>
      </c>
    </row>
    <row r="775" spans="1:8" x14ac:dyDescent="0.25">
      <c r="A775" s="44" t="s">
        <v>1653</v>
      </c>
      <c r="B775" s="45">
        <v>1</v>
      </c>
      <c r="C775" s="45"/>
      <c r="D775" s="45"/>
      <c r="E775" s="45"/>
      <c r="F775" s="45"/>
      <c r="G775" s="45"/>
      <c r="H775" s="45">
        <v>1</v>
      </c>
    </row>
    <row r="776" spans="1:8" x14ac:dyDescent="0.25">
      <c r="A776" s="44" t="s">
        <v>2013</v>
      </c>
      <c r="B776" s="45"/>
      <c r="C776" s="45">
        <v>1</v>
      </c>
      <c r="D776" s="45"/>
      <c r="E776" s="45"/>
      <c r="F776" s="45"/>
      <c r="G776" s="45"/>
      <c r="H776" s="45">
        <v>1</v>
      </c>
    </row>
    <row r="777" spans="1:8" x14ac:dyDescent="0.25">
      <c r="A777" s="44" t="s">
        <v>1089</v>
      </c>
      <c r="B777" s="45">
        <v>1</v>
      </c>
      <c r="C777" s="45"/>
      <c r="D777" s="45"/>
      <c r="E777" s="45"/>
      <c r="F777" s="45"/>
      <c r="G777" s="45"/>
      <c r="H777" s="45">
        <v>1</v>
      </c>
    </row>
    <row r="778" spans="1:8" x14ac:dyDescent="0.25">
      <c r="A778" s="44" t="s">
        <v>2387</v>
      </c>
      <c r="B778" s="45"/>
      <c r="C778" s="45"/>
      <c r="D778" s="45"/>
      <c r="E778" s="45"/>
      <c r="F778" s="45">
        <v>1</v>
      </c>
      <c r="G778" s="45"/>
      <c r="H778" s="45">
        <v>1</v>
      </c>
    </row>
    <row r="779" spans="1:8" x14ac:dyDescent="0.25">
      <c r="A779" s="44" t="s">
        <v>3489</v>
      </c>
      <c r="B779" s="45"/>
      <c r="C779" s="45"/>
      <c r="D779" s="45"/>
      <c r="E779" s="45"/>
      <c r="F779" s="45">
        <v>1</v>
      </c>
      <c r="G779" s="45"/>
      <c r="H779" s="45">
        <v>1</v>
      </c>
    </row>
    <row r="780" spans="1:8" x14ac:dyDescent="0.25">
      <c r="A780" s="44" t="s">
        <v>3678</v>
      </c>
      <c r="B780" s="45">
        <v>1</v>
      </c>
      <c r="C780" s="45"/>
      <c r="D780" s="45"/>
      <c r="E780" s="45"/>
      <c r="F780" s="45"/>
      <c r="G780" s="45"/>
      <c r="H780" s="45">
        <v>1</v>
      </c>
    </row>
    <row r="781" spans="1:8" x14ac:dyDescent="0.25">
      <c r="A781" s="44" t="s">
        <v>1732</v>
      </c>
      <c r="B781" s="45">
        <v>1</v>
      </c>
      <c r="C781" s="45"/>
      <c r="D781" s="45"/>
      <c r="E781" s="45"/>
      <c r="F781" s="45"/>
      <c r="G781" s="45"/>
      <c r="H781" s="45">
        <v>1</v>
      </c>
    </row>
    <row r="782" spans="1:8" x14ac:dyDescent="0.25">
      <c r="A782" s="44" t="s">
        <v>1521</v>
      </c>
      <c r="B782" s="45"/>
      <c r="C782" s="45"/>
      <c r="D782" s="45"/>
      <c r="E782" s="45">
        <v>1</v>
      </c>
      <c r="F782" s="45"/>
      <c r="G782" s="45"/>
      <c r="H782" s="45">
        <v>1</v>
      </c>
    </row>
    <row r="783" spans="1:8" x14ac:dyDescent="0.25">
      <c r="A783" s="44" t="s">
        <v>2422</v>
      </c>
      <c r="B783" s="45"/>
      <c r="C783" s="45"/>
      <c r="D783" s="45"/>
      <c r="E783" s="45"/>
      <c r="F783" s="45">
        <v>1</v>
      </c>
      <c r="G783" s="45"/>
      <c r="H783" s="45">
        <v>1</v>
      </c>
    </row>
    <row r="784" spans="1:8" x14ac:dyDescent="0.25">
      <c r="A784" s="44" t="s">
        <v>564</v>
      </c>
      <c r="B784" s="45"/>
      <c r="C784" s="45">
        <v>1</v>
      </c>
      <c r="D784" s="45"/>
      <c r="E784" s="45"/>
      <c r="F784" s="45"/>
      <c r="G784" s="45"/>
      <c r="H784" s="45">
        <v>1</v>
      </c>
    </row>
    <row r="785" spans="1:8" x14ac:dyDescent="0.25">
      <c r="A785" s="44" t="s">
        <v>3840</v>
      </c>
      <c r="B785" s="45">
        <v>1</v>
      </c>
      <c r="C785" s="45"/>
      <c r="D785" s="45"/>
      <c r="E785" s="45"/>
      <c r="F785" s="45"/>
      <c r="G785" s="45"/>
      <c r="H785" s="45">
        <v>1</v>
      </c>
    </row>
    <row r="786" spans="1:8" x14ac:dyDescent="0.25">
      <c r="A786" s="44" t="s">
        <v>3623</v>
      </c>
      <c r="B786" s="45">
        <v>1</v>
      </c>
      <c r="C786" s="45"/>
      <c r="D786" s="45"/>
      <c r="E786" s="45"/>
      <c r="F786" s="45"/>
      <c r="G786" s="45"/>
      <c r="H786" s="45">
        <v>1</v>
      </c>
    </row>
    <row r="787" spans="1:8" x14ac:dyDescent="0.25">
      <c r="A787" s="44" t="s">
        <v>2162</v>
      </c>
      <c r="B787" s="45"/>
      <c r="C787" s="45"/>
      <c r="D787" s="45"/>
      <c r="E787" s="45"/>
      <c r="F787" s="45">
        <v>1</v>
      </c>
      <c r="G787" s="45"/>
      <c r="H787" s="45">
        <v>1</v>
      </c>
    </row>
    <row r="788" spans="1:8" x14ac:dyDescent="0.25">
      <c r="A788" s="44" t="s">
        <v>1138</v>
      </c>
      <c r="B788" s="45"/>
      <c r="C788" s="45"/>
      <c r="D788" s="45"/>
      <c r="E788" s="45"/>
      <c r="F788" s="45">
        <v>1</v>
      </c>
      <c r="G788" s="45"/>
      <c r="H788" s="45">
        <v>1</v>
      </c>
    </row>
    <row r="789" spans="1:8" x14ac:dyDescent="0.25">
      <c r="A789" s="44" t="s">
        <v>2606</v>
      </c>
      <c r="B789" s="45"/>
      <c r="C789" s="45"/>
      <c r="D789" s="45"/>
      <c r="E789" s="45"/>
      <c r="F789" s="45"/>
      <c r="G789" s="45">
        <v>1</v>
      </c>
      <c r="H789" s="45">
        <v>1</v>
      </c>
    </row>
    <row r="790" spans="1:8" x14ac:dyDescent="0.25">
      <c r="A790" s="44" t="s">
        <v>1489</v>
      </c>
      <c r="B790" s="45">
        <v>1</v>
      </c>
      <c r="C790" s="45"/>
      <c r="D790" s="45"/>
      <c r="E790" s="45"/>
      <c r="F790" s="45"/>
      <c r="G790" s="45"/>
      <c r="H790" s="45">
        <v>1</v>
      </c>
    </row>
    <row r="791" spans="1:8" x14ac:dyDescent="0.25">
      <c r="A791" s="44" t="s">
        <v>1253</v>
      </c>
      <c r="B791" s="45">
        <v>1</v>
      </c>
      <c r="C791" s="45"/>
      <c r="D791" s="45"/>
      <c r="E791" s="45"/>
      <c r="F791" s="45"/>
      <c r="G791" s="45"/>
      <c r="H791" s="45">
        <v>1</v>
      </c>
    </row>
    <row r="792" spans="1:8" x14ac:dyDescent="0.25">
      <c r="A792" s="44" t="s">
        <v>1471</v>
      </c>
      <c r="B792" s="45"/>
      <c r="C792" s="45">
        <v>1</v>
      </c>
      <c r="D792" s="45"/>
      <c r="E792" s="45"/>
      <c r="F792" s="45"/>
      <c r="G792" s="45"/>
      <c r="H792" s="45">
        <v>1</v>
      </c>
    </row>
    <row r="793" spans="1:8" x14ac:dyDescent="0.25">
      <c r="A793" s="44" t="s">
        <v>2459</v>
      </c>
      <c r="B793" s="45"/>
      <c r="C793" s="45"/>
      <c r="D793" s="45"/>
      <c r="E793" s="45"/>
      <c r="F793" s="45">
        <v>1</v>
      </c>
      <c r="G793" s="45"/>
      <c r="H793" s="45">
        <v>1</v>
      </c>
    </row>
    <row r="794" spans="1:8" x14ac:dyDescent="0.25">
      <c r="A794" s="44" t="s">
        <v>2428</v>
      </c>
      <c r="B794" s="45">
        <v>1</v>
      </c>
      <c r="C794" s="45"/>
      <c r="D794" s="45"/>
      <c r="E794" s="45"/>
      <c r="F794" s="45"/>
      <c r="G794" s="45"/>
      <c r="H794" s="45">
        <v>1</v>
      </c>
    </row>
    <row r="795" spans="1:8" x14ac:dyDescent="0.25">
      <c r="A795" s="44" t="s">
        <v>2716</v>
      </c>
      <c r="B795" s="45"/>
      <c r="C795" s="45">
        <v>1</v>
      </c>
      <c r="D795" s="45"/>
      <c r="E795" s="45"/>
      <c r="F795" s="45"/>
      <c r="G795" s="45"/>
      <c r="H795" s="45">
        <v>1</v>
      </c>
    </row>
    <row r="796" spans="1:8" x14ac:dyDescent="0.25">
      <c r="A796" s="44" t="s">
        <v>2114</v>
      </c>
      <c r="B796" s="45"/>
      <c r="C796" s="45"/>
      <c r="D796" s="45"/>
      <c r="E796" s="45"/>
      <c r="F796" s="45">
        <v>1</v>
      </c>
      <c r="G796" s="45"/>
      <c r="H796" s="45">
        <v>1</v>
      </c>
    </row>
    <row r="797" spans="1:8" x14ac:dyDescent="0.25">
      <c r="A797" s="44" t="s">
        <v>2791</v>
      </c>
      <c r="B797" s="45">
        <v>1</v>
      </c>
      <c r="C797" s="45"/>
      <c r="D797" s="45"/>
      <c r="E797" s="45"/>
      <c r="F797" s="45"/>
      <c r="G797" s="45"/>
      <c r="H797" s="45">
        <v>1</v>
      </c>
    </row>
    <row r="798" spans="1:8" x14ac:dyDescent="0.25">
      <c r="A798" s="44" t="s">
        <v>2862</v>
      </c>
      <c r="B798" s="45"/>
      <c r="C798" s="45"/>
      <c r="D798" s="45"/>
      <c r="E798" s="45"/>
      <c r="F798" s="45">
        <v>1</v>
      </c>
      <c r="G798" s="45"/>
      <c r="H798" s="45">
        <v>1</v>
      </c>
    </row>
    <row r="799" spans="1:8" x14ac:dyDescent="0.25">
      <c r="A799" s="44" t="s">
        <v>1853</v>
      </c>
      <c r="B799" s="45"/>
      <c r="C799" s="45"/>
      <c r="D799" s="45"/>
      <c r="E799" s="45"/>
      <c r="F799" s="45">
        <v>1</v>
      </c>
      <c r="G799" s="45"/>
      <c r="H799" s="45">
        <v>1</v>
      </c>
    </row>
    <row r="800" spans="1:8" x14ac:dyDescent="0.25">
      <c r="A800" s="44" t="s">
        <v>4071</v>
      </c>
      <c r="B800" s="45">
        <v>1</v>
      </c>
      <c r="C800" s="45"/>
      <c r="D800" s="45"/>
      <c r="E800" s="45"/>
      <c r="F800" s="45"/>
      <c r="G800" s="45"/>
      <c r="H800" s="45">
        <v>1</v>
      </c>
    </row>
    <row r="801" spans="1:8" x14ac:dyDescent="0.25">
      <c r="A801" s="44" t="s">
        <v>2600</v>
      </c>
      <c r="B801" s="45">
        <v>1</v>
      </c>
      <c r="C801" s="45"/>
      <c r="D801" s="45"/>
      <c r="E801" s="45"/>
      <c r="F801" s="45"/>
      <c r="G801" s="45"/>
      <c r="H801" s="45">
        <v>1</v>
      </c>
    </row>
    <row r="802" spans="1:8" x14ac:dyDescent="0.25">
      <c r="A802" s="44" t="s">
        <v>1862</v>
      </c>
      <c r="B802" s="45">
        <v>1</v>
      </c>
      <c r="C802" s="45"/>
      <c r="D802" s="45"/>
      <c r="E802" s="45"/>
      <c r="F802" s="45"/>
      <c r="G802" s="45"/>
      <c r="H802" s="45">
        <v>1</v>
      </c>
    </row>
    <row r="803" spans="1:8" x14ac:dyDescent="0.25">
      <c r="A803" s="44" t="s">
        <v>285</v>
      </c>
      <c r="B803" s="45"/>
      <c r="C803" s="45"/>
      <c r="D803" s="45"/>
      <c r="E803" s="45"/>
      <c r="F803" s="45">
        <v>1</v>
      </c>
      <c r="G803" s="45"/>
      <c r="H803" s="45">
        <v>1</v>
      </c>
    </row>
    <row r="804" spans="1:8" x14ac:dyDescent="0.25">
      <c r="A804" s="44" t="s">
        <v>3258</v>
      </c>
      <c r="B804" s="45">
        <v>1</v>
      </c>
      <c r="C804" s="45"/>
      <c r="D804" s="45"/>
      <c r="E804" s="45"/>
      <c r="F804" s="45"/>
      <c r="G804" s="45"/>
      <c r="H804" s="45">
        <v>1</v>
      </c>
    </row>
    <row r="805" spans="1:8" x14ac:dyDescent="0.25">
      <c r="A805" s="44" t="s">
        <v>1640</v>
      </c>
      <c r="B805" s="45">
        <v>1</v>
      </c>
      <c r="C805" s="45"/>
      <c r="D805" s="45"/>
      <c r="E805" s="45"/>
      <c r="F805" s="45"/>
      <c r="G805" s="45"/>
      <c r="H805" s="45">
        <v>1</v>
      </c>
    </row>
    <row r="806" spans="1:8" x14ac:dyDescent="0.25">
      <c r="A806" s="44" t="s">
        <v>3329</v>
      </c>
      <c r="B806" s="45"/>
      <c r="C806" s="45"/>
      <c r="D806" s="45"/>
      <c r="E806" s="45"/>
      <c r="F806" s="45"/>
      <c r="G806" s="45">
        <v>1</v>
      </c>
      <c r="H806" s="45">
        <v>1</v>
      </c>
    </row>
    <row r="807" spans="1:8" x14ac:dyDescent="0.25">
      <c r="A807" s="44" t="s">
        <v>2833</v>
      </c>
      <c r="B807" s="45"/>
      <c r="C807" s="45"/>
      <c r="D807" s="45"/>
      <c r="E807" s="45"/>
      <c r="F807" s="45">
        <v>1</v>
      </c>
      <c r="G807" s="45"/>
      <c r="H807" s="45">
        <v>1</v>
      </c>
    </row>
    <row r="808" spans="1:8" x14ac:dyDescent="0.25">
      <c r="A808" s="44" t="s">
        <v>3571</v>
      </c>
      <c r="B808" s="45"/>
      <c r="C808" s="45"/>
      <c r="D808" s="45"/>
      <c r="E808" s="45"/>
      <c r="F808" s="45">
        <v>1</v>
      </c>
      <c r="G808" s="45"/>
      <c r="H808" s="45">
        <v>1</v>
      </c>
    </row>
    <row r="809" spans="1:8" x14ac:dyDescent="0.25">
      <c r="A809" s="44" t="s">
        <v>975</v>
      </c>
      <c r="B809" s="45"/>
      <c r="C809" s="45">
        <v>1</v>
      </c>
      <c r="D809" s="45"/>
      <c r="E809" s="45"/>
      <c r="F809" s="45"/>
      <c r="G809" s="45"/>
      <c r="H809" s="45">
        <v>1</v>
      </c>
    </row>
    <row r="810" spans="1:8" x14ac:dyDescent="0.25">
      <c r="A810" s="44" t="s">
        <v>2767</v>
      </c>
      <c r="B810" s="45">
        <v>1</v>
      </c>
      <c r="C810" s="45"/>
      <c r="D810" s="45"/>
      <c r="E810" s="45"/>
      <c r="F810" s="45"/>
      <c r="G810" s="45"/>
      <c r="H810" s="45">
        <v>1</v>
      </c>
    </row>
    <row r="811" spans="1:8" x14ac:dyDescent="0.25">
      <c r="A811" s="44" t="s">
        <v>1930</v>
      </c>
      <c r="B811" s="45">
        <v>1</v>
      </c>
      <c r="C811" s="45"/>
      <c r="D811" s="45"/>
      <c r="E811" s="45"/>
      <c r="F811" s="45"/>
      <c r="G811" s="45"/>
      <c r="H811" s="45">
        <v>1</v>
      </c>
    </row>
    <row r="812" spans="1:8" x14ac:dyDescent="0.25">
      <c r="A812" s="44" t="s">
        <v>1595</v>
      </c>
      <c r="B812" s="45"/>
      <c r="C812" s="45"/>
      <c r="D812" s="45"/>
      <c r="E812" s="45"/>
      <c r="F812" s="45"/>
      <c r="G812" s="45">
        <v>1</v>
      </c>
      <c r="H812" s="45">
        <v>1</v>
      </c>
    </row>
    <row r="813" spans="1:8" x14ac:dyDescent="0.25">
      <c r="A813" s="44" t="s">
        <v>3149</v>
      </c>
      <c r="B813" s="45">
        <v>1</v>
      </c>
      <c r="C813" s="45"/>
      <c r="D813" s="45"/>
      <c r="E813" s="45"/>
      <c r="F813" s="45"/>
      <c r="G813" s="45"/>
      <c r="H813" s="45">
        <v>1</v>
      </c>
    </row>
    <row r="814" spans="1:8" x14ac:dyDescent="0.25">
      <c r="A814" s="44" t="s">
        <v>3192</v>
      </c>
      <c r="B814" s="45"/>
      <c r="C814" s="45"/>
      <c r="D814" s="45"/>
      <c r="E814" s="45"/>
      <c r="F814" s="45">
        <v>1</v>
      </c>
      <c r="G814" s="45"/>
      <c r="H814" s="45">
        <v>1</v>
      </c>
    </row>
    <row r="815" spans="1:8" x14ac:dyDescent="0.25">
      <c r="A815" s="44" t="s">
        <v>836</v>
      </c>
      <c r="B815" s="45"/>
      <c r="C815" s="45"/>
      <c r="D815" s="45"/>
      <c r="E815" s="45"/>
      <c r="F815" s="45">
        <v>1</v>
      </c>
      <c r="G815" s="45"/>
      <c r="H815" s="45">
        <v>1</v>
      </c>
    </row>
    <row r="816" spans="1:8" x14ac:dyDescent="0.25">
      <c r="A816" s="44" t="s">
        <v>1502</v>
      </c>
      <c r="B816" s="45">
        <v>1</v>
      </c>
      <c r="C816" s="45"/>
      <c r="D816" s="45"/>
      <c r="E816" s="45"/>
      <c r="F816" s="45"/>
      <c r="G816" s="45"/>
      <c r="H816" s="45">
        <v>1</v>
      </c>
    </row>
    <row r="817" spans="1:8" x14ac:dyDescent="0.25">
      <c r="A817" s="44" t="s">
        <v>1971</v>
      </c>
      <c r="B817" s="45">
        <v>4</v>
      </c>
      <c r="C817" s="45"/>
      <c r="D817" s="45"/>
      <c r="E817" s="45"/>
      <c r="F817" s="45">
        <v>1</v>
      </c>
      <c r="G817" s="45"/>
      <c r="H817" s="45">
        <v>5</v>
      </c>
    </row>
    <row r="818" spans="1:8" x14ac:dyDescent="0.25">
      <c r="A818" s="44" t="s">
        <v>1566</v>
      </c>
      <c r="B818" s="45"/>
      <c r="C818" s="45"/>
      <c r="D818" s="45"/>
      <c r="E818" s="45"/>
      <c r="F818" s="45"/>
      <c r="G818" s="45">
        <v>1</v>
      </c>
      <c r="H818" s="45">
        <v>1</v>
      </c>
    </row>
    <row r="819" spans="1:8" x14ac:dyDescent="0.25">
      <c r="A819" s="44" t="s">
        <v>3651</v>
      </c>
      <c r="B819" s="45"/>
      <c r="C819" s="45"/>
      <c r="D819" s="45"/>
      <c r="E819" s="45"/>
      <c r="F819" s="45">
        <v>1</v>
      </c>
      <c r="G819" s="45"/>
      <c r="H819" s="45">
        <v>1</v>
      </c>
    </row>
    <row r="820" spans="1:8" x14ac:dyDescent="0.25">
      <c r="A820" s="44" t="s">
        <v>2091</v>
      </c>
      <c r="B820" s="45"/>
      <c r="C820" s="45">
        <v>1</v>
      </c>
      <c r="D820" s="45"/>
      <c r="E820" s="45"/>
      <c r="F820" s="45"/>
      <c r="G820" s="45"/>
      <c r="H820" s="45">
        <v>1</v>
      </c>
    </row>
    <row r="821" spans="1:8" x14ac:dyDescent="0.25">
      <c r="A821" s="44" t="s">
        <v>1094</v>
      </c>
      <c r="B821" s="45"/>
      <c r="C821" s="45"/>
      <c r="D821" s="45"/>
      <c r="E821" s="45"/>
      <c r="F821" s="45">
        <v>1</v>
      </c>
      <c r="G821" s="45"/>
      <c r="H821" s="45">
        <v>1</v>
      </c>
    </row>
    <row r="822" spans="1:8" x14ac:dyDescent="0.25">
      <c r="A822" s="44" t="s">
        <v>1337</v>
      </c>
      <c r="B822" s="45">
        <v>1</v>
      </c>
      <c r="C822" s="45"/>
      <c r="D822" s="45"/>
      <c r="E822" s="45"/>
      <c r="F822" s="45"/>
      <c r="G822" s="45"/>
      <c r="H822" s="45">
        <v>1</v>
      </c>
    </row>
    <row r="823" spans="1:8" x14ac:dyDescent="0.25">
      <c r="A823" s="44" t="s">
        <v>3562</v>
      </c>
      <c r="B823" s="45"/>
      <c r="C823" s="45"/>
      <c r="D823" s="45"/>
      <c r="E823" s="45"/>
      <c r="F823" s="45">
        <v>1</v>
      </c>
      <c r="G823" s="45"/>
      <c r="H823" s="45">
        <v>1</v>
      </c>
    </row>
    <row r="824" spans="1:8" x14ac:dyDescent="0.25">
      <c r="A824" s="44" t="s">
        <v>1860</v>
      </c>
      <c r="B824" s="45"/>
      <c r="C824" s="45"/>
      <c r="D824" s="45"/>
      <c r="E824" s="45"/>
      <c r="F824" s="45">
        <v>1</v>
      </c>
      <c r="G824" s="45"/>
      <c r="H824" s="45">
        <v>1</v>
      </c>
    </row>
    <row r="825" spans="1:8" x14ac:dyDescent="0.25">
      <c r="A825" s="44" t="s">
        <v>4109</v>
      </c>
      <c r="B825" s="45">
        <v>1</v>
      </c>
      <c r="C825" s="45"/>
      <c r="D825" s="45"/>
      <c r="E825" s="45"/>
      <c r="F825" s="45"/>
      <c r="G825" s="45"/>
      <c r="H825" s="45">
        <v>1</v>
      </c>
    </row>
    <row r="826" spans="1:8" x14ac:dyDescent="0.25">
      <c r="A826" s="44" t="s">
        <v>3634</v>
      </c>
      <c r="B826" s="45"/>
      <c r="C826" s="45"/>
      <c r="D826" s="45"/>
      <c r="E826" s="45"/>
      <c r="F826" s="45">
        <v>1</v>
      </c>
      <c r="G826" s="45"/>
      <c r="H826" s="45">
        <v>1</v>
      </c>
    </row>
    <row r="827" spans="1:8" x14ac:dyDescent="0.25">
      <c r="A827" s="44" t="s">
        <v>3335</v>
      </c>
      <c r="B827" s="45"/>
      <c r="C827" s="45">
        <v>1</v>
      </c>
      <c r="D827" s="45"/>
      <c r="E827" s="45"/>
      <c r="F827" s="45"/>
      <c r="G827" s="45"/>
      <c r="H827" s="45">
        <v>1</v>
      </c>
    </row>
    <row r="828" spans="1:8" x14ac:dyDescent="0.25">
      <c r="A828" s="44" t="s">
        <v>339</v>
      </c>
      <c r="B828" s="45"/>
      <c r="C828" s="45"/>
      <c r="D828" s="45"/>
      <c r="E828" s="45"/>
      <c r="F828" s="45">
        <v>1</v>
      </c>
      <c r="G828" s="45"/>
      <c r="H828" s="45">
        <v>1</v>
      </c>
    </row>
    <row r="829" spans="1:8" x14ac:dyDescent="0.25">
      <c r="A829" s="44" t="s">
        <v>2127</v>
      </c>
      <c r="B829" s="45">
        <v>1</v>
      </c>
      <c r="C829" s="45"/>
      <c r="D829" s="45"/>
      <c r="E829" s="45"/>
      <c r="F829" s="45"/>
      <c r="G829" s="45"/>
      <c r="H829" s="45">
        <v>1</v>
      </c>
    </row>
    <row r="830" spans="1:8" x14ac:dyDescent="0.25">
      <c r="A830" s="44" t="s">
        <v>1026</v>
      </c>
      <c r="B830" s="45"/>
      <c r="C830" s="45"/>
      <c r="D830" s="45"/>
      <c r="E830" s="45"/>
      <c r="F830" s="45">
        <v>1</v>
      </c>
      <c r="G830" s="45"/>
      <c r="H830" s="45">
        <v>1</v>
      </c>
    </row>
    <row r="831" spans="1:8" x14ac:dyDescent="0.25">
      <c r="A831" s="44" t="s">
        <v>925</v>
      </c>
      <c r="B831" s="45"/>
      <c r="C831" s="45"/>
      <c r="D831" s="45"/>
      <c r="E831" s="45"/>
      <c r="F831" s="45">
        <v>1</v>
      </c>
      <c r="G831" s="45"/>
      <c r="H831" s="45">
        <v>1</v>
      </c>
    </row>
    <row r="832" spans="1:8" x14ac:dyDescent="0.25">
      <c r="A832" s="44" t="s">
        <v>3802</v>
      </c>
      <c r="B832" s="45">
        <v>1</v>
      </c>
      <c r="C832" s="45"/>
      <c r="D832" s="45"/>
      <c r="E832" s="45"/>
      <c r="F832" s="45"/>
      <c r="G832" s="45"/>
      <c r="H832" s="45">
        <v>1</v>
      </c>
    </row>
    <row r="833" spans="1:8" x14ac:dyDescent="0.25">
      <c r="A833" s="44" t="s">
        <v>1891</v>
      </c>
      <c r="B833" s="45"/>
      <c r="C833" s="45"/>
      <c r="D833" s="45"/>
      <c r="E833" s="45"/>
      <c r="F833" s="45"/>
      <c r="G833" s="45">
        <v>1</v>
      </c>
      <c r="H833" s="45">
        <v>1</v>
      </c>
    </row>
    <row r="834" spans="1:8" x14ac:dyDescent="0.25">
      <c r="A834" s="44" t="s">
        <v>223</v>
      </c>
      <c r="B834" s="45">
        <v>1</v>
      </c>
      <c r="C834" s="45"/>
      <c r="D834" s="45"/>
      <c r="E834" s="45"/>
      <c r="F834" s="45"/>
      <c r="G834" s="45"/>
      <c r="H834" s="45">
        <v>1</v>
      </c>
    </row>
    <row r="835" spans="1:8" x14ac:dyDescent="0.25">
      <c r="A835" s="44" t="s">
        <v>3843</v>
      </c>
      <c r="B835" s="45"/>
      <c r="C835" s="45"/>
      <c r="D835" s="45"/>
      <c r="E835" s="45"/>
      <c r="F835" s="45"/>
      <c r="G835" s="45">
        <v>1</v>
      </c>
      <c r="H835" s="45">
        <v>1</v>
      </c>
    </row>
    <row r="836" spans="1:8" x14ac:dyDescent="0.25">
      <c r="A836" s="44" t="s">
        <v>3747</v>
      </c>
      <c r="B836" s="45"/>
      <c r="C836" s="45"/>
      <c r="D836" s="45"/>
      <c r="E836" s="45"/>
      <c r="F836" s="45">
        <v>1</v>
      </c>
      <c r="G836" s="45"/>
      <c r="H836" s="45">
        <v>1</v>
      </c>
    </row>
    <row r="837" spans="1:8" x14ac:dyDescent="0.25">
      <c r="A837" s="44" t="s">
        <v>2986</v>
      </c>
      <c r="B837" s="45">
        <v>1</v>
      </c>
      <c r="C837" s="45"/>
      <c r="D837" s="45"/>
      <c r="E837" s="45"/>
      <c r="F837" s="45"/>
      <c r="G837" s="45"/>
      <c r="H837" s="45">
        <v>1</v>
      </c>
    </row>
    <row r="838" spans="1:8" x14ac:dyDescent="0.25">
      <c r="A838" s="44" t="s">
        <v>972</v>
      </c>
      <c r="B838" s="45">
        <v>1</v>
      </c>
      <c r="C838" s="45"/>
      <c r="D838" s="45"/>
      <c r="E838" s="45"/>
      <c r="F838" s="45">
        <v>1</v>
      </c>
      <c r="G838" s="45"/>
      <c r="H838" s="45">
        <v>2</v>
      </c>
    </row>
    <row r="839" spans="1:8" x14ac:dyDescent="0.25">
      <c r="A839" s="44" t="s">
        <v>2474</v>
      </c>
      <c r="B839" s="45"/>
      <c r="C839" s="45"/>
      <c r="D839" s="45"/>
      <c r="E839" s="45"/>
      <c r="F839" s="45"/>
      <c r="G839" s="45">
        <v>1</v>
      </c>
      <c r="H839" s="45">
        <v>1</v>
      </c>
    </row>
    <row r="840" spans="1:8" x14ac:dyDescent="0.25">
      <c r="A840" s="44" t="s">
        <v>3669</v>
      </c>
      <c r="B840" s="45">
        <v>1</v>
      </c>
      <c r="C840" s="45"/>
      <c r="D840" s="45"/>
      <c r="E840" s="45"/>
      <c r="F840" s="45"/>
      <c r="G840" s="45"/>
      <c r="H840" s="45">
        <v>1</v>
      </c>
    </row>
    <row r="841" spans="1:8" x14ac:dyDescent="0.25">
      <c r="A841" s="44" t="s">
        <v>3928</v>
      </c>
      <c r="B841" s="45">
        <v>1</v>
      </c>
      <c r="C841" s="45"/>
      <c r="D841" s="45"/>
      <c r="E841" s="45"/>
      <c r="F841" s="45"/>
      <c r="G841" s="45"/>
      <c r="H841" s="45">
        <v>1</v>
      </c>
    </row>
    <row r="842" spans="1:8" x14ac:dyDescent="0.25">
      <c r="A842" s="44" t="s">
        <v>2547</v>
      </c>
      <c r="B842" s="45">
        <v>1</v>
      </c>
      <c r="C842" s="45"/>
      <c r="D842" s="45"/>
      <c r="E842" s="45"/>
      <c r="F842" s="45"/>
      <c r="G842" s="45"/>
      <c r="H842" s="45">
        <v>1</v>
      </c>
    </row>
    <row r="843" spans="1:8" x14ac:dyDescent="0.25">
      <c r="A843" s="44" t="s">
        <v>3298</v>
      </c>
      <c r="B843" s="45"/>
      <c r="C843" s="45">
        <v>1</v>
      </c>
      <c r="D843" s="45"/>
      <c r="E843" s="45"/>
      <c r="F843" s="45"/>
      <c r="G843" s="45"/>
      <c r="H843" s="45">
        <v>1</v>
      </c>
    </row>
    <row r="844" spans="1:8" x14ac:dyDescent="0.25">
      <c r="A844" s="44" t="s">
        <v>2652</v>
      </c>
      <c r="B844" s="45">
        <v>1</v>
      </c>
      <c r="C844" s="45"/>
      <c r="D844" s="45"/>
      <c r="E844" s="45"/>
      <c r="F844" s="45"/>
      <c r="G844" s="45"/>
      <c r="H844" s="45">
        <v>1</v>
      </c>
    </row>
    <row r="845" spans="1:8" x14ac:dyDescent="0.25">
      <c r="A845" s="44" t="s">
        <v>1540</v>
      </c>
      <c r="B845" s="45"/>
      <c r="C845" s="45"/>
      <c r="D845" s="45"/>
      <c r="E845" s="45"/>
      <c r="F845" s="45"/>
      <c r="G845" s="45">
        <v>1</v>
      </c>
      <c r="H845" s="45">
        <v>1</v>
      </c>
    </row>
    <row r="846" spans="1:8" x14ac:dyDescent="0.25">
      <c r="A846" s="44" t="s">
        <v>4024</v>
      </c>
      <c r="B846" s="45">
        <v>1</v>
      </c>
      <c r="C846" s="45"/>
      <c r="D846" s="45"/>
      <c r="E846" s="45"/>
      <c r="F846" s="45"/>
      <c r="G846" s="45"/>
      <c r="H846" s="45">
        <v>1</v>
      </c>
    </row>
    <row r="847" spans="1:8" x14ac:dyDescent="0.25">
      <c r="A847" s="44" t="s">
        <v>2978</v>
      </c>
      <c r="B847" s="45"/>
      <c r="C847" s="45"/>
      <c r="D847" s="45"/>
      <c r="E847" s="45"/>
      <c r="F847" s="45"/>
      <c r="G847" s="45">
        <v>1</v>
      </c>
      <c r="H847" s="45">
        <v>1</v>
      </c>
    </row>
    <row r="848" spans="1:8" x14ac:dyDescent="0.25">
      <c r="A848" s="44" t="s">
        <v>160</v>
      </c>
      <c r="B848" s="45">
        <v>1</v>
      </c>
      <c r="C848" s="45"/>
      <c r="D848" s="45"/>
      <c r="E848" s="45"/>
      <c r="F848" s="45"/>
      <c r="G848" s="45"/>
      <c r="H848" s="45">
        <v>1</v>
      </c>
    </row>
    <row r="849" spans="1:8" x14ac:dyDescent="0.25">
      <c r="A849" s="44" t="s">
        <v>2802</v>
      </c>
      <c r="B849" s="45">
        <v>1</v>
      </c>
      <c r="C849" s="45"/>
      <c r="D849" s="45"/>
      <c r="E849" s="45"/>
      <c r="F849" s="45"/>
      <c r="G849" s="45"/>
      <c r="H849" s="45">
        <v>1</v>
      </c>
    </row>
    <row r="850" spans="1:8" x14ac:dyDescent="0.25">
      <c r="A850" s="44" t="s">
        <v>1078</v>
      </c>
      <c r="B850" s="45"/>
      <c r="C850" s="45">
        <v>1</v>
      </c>
      <c r="D850" s="45"/>
      <c r="E850" s="45"/>
      <c r="F850" s="45"/>
      <c r="G850" s="45"/>
      <c r="H850" s="45">
        <v>1</v>
      </c>
    </row>
    <row r="851" spans="1:8" x14ac:dyDescent="0.25">
      <c r="A851" s="44" t="s">
        <v>880</v>
      </c>
      <c r="B851" s="45"/>
      <c r="C851" s="45"/>
      <c r="D851" s="45"/>
      <c r="E851" s="45"/>
      <c r="F851" s="45"/>
      <c r="G851" s="45">
        <v>1</v>
      </c>
      <c r="H851" s="45">
        <v>1</v>
      </c>
    </row>
    <row r="852" spans="1:8" x14ac:dyDescent="0.25">
      <c r="A852" s="44" t="s">
        <v>708</v>
      </c>
      <c r="B852" s="45">
        <v>1</v>
      </c>
      <c r="C852" s="45"/>
      <c r="D852" s="45"/>
      <c r="E852" s="45"/>
      <c r="F852" s="45"/>
      <c r="G852" s="45"/>
      <c r="H852" s="45">
        <v>1</v>
      </c>
    </row>
    <row r="853" spans="1:8" x14ac:dyDescent="0.25">
      <c r="A853" s="44" t="s">
        <v>1056</v>
      </c>
      <c r="B853" s="45"/>
      <c r="C853" s="45"/>
      <c r="D853" s="45"/>
      <c r="E853" s="45"/>
      <c r="F853" s="45">
        <v>1</v>
      </c>
      <c r="G853" s="45"/>
      <c r="H853" s="45">
        <v>1</v>
      </c>
    </row>
    <row r="854" spans="1:8" x14ac:dyDescent="0.25">
      <c r="A854" s="44" t="s">
        <v>1586</v>
      </c>
      <c r="B854" s="45"/>
      <c r="C854" s="45"/>
      <c r="D854" s="45"/>
      <c r="E854" s="45"/>
      <c r="F854" s="45">
        <v>1</v>
      </c>
      <c r="G854" s="45"/>
      <c r="H854" s="45">
        <v>1</v>
      </c>
    </row>
    <row r="855" spans="1:8" x14ac:dyDescent="0.25">
      <c r="A855" s="44" t="s">
        <v>596</v>
      </c>
      <c r="B855" s="45"/>
      <c r="C855" s="45"/>
      <c r="D855" s="45"/>
      <c r="E855" s="45"/>
      <c r="F855" s="45">
        <v>1</v>
      </c>
      <c r="G855" s="45"/>
      <c r="H855" s="45">
        <v>1</v>
      </c>
    </row>
    <row r="856" spans="1:8" x14ac:dyDescent="0.25">
      <c r="A856" s="44" t="s">
        <v>3716</v>
      </c>
      <c r="B856" s="45"/>
      <c r="C856" s="45"/>
      <c r="D856" s="45"/>
      <c r="E856" s="45"/>
      <c r="F856" s="45">
        <v>1</v>
      </c>
      <c r="G856" s="45"/>
      <c r="H856" s="45">
        <v>1</v>
      </c>
    </row>
    <row r="857" spans="1:8" x14ac:dyDescent="0.25">
      <c r="A857" s="44" t="s">
        <v>3970</v>
      </c>
      <c r="B857" s="45"/>
      <c r="C857" s="45"/>
      <c r="D857" s="45"/>
      <c r="E857" s="45"/>
      <c r="F857" s="45">
        <v>1</v>
      </c>
      <c r="G857" s="45"/>
      <c r="H857" s="45">
        <v>1</v>
      </c>
    </row>
    <row r="858" spans="1:8" x14ac:dyDescent="0.25">
      <c r="A858" s="44" t="s">
        <v>1173</v>
      </c>
      <c r="B858" s="45"/>
      <c r="C858" s="45"/>
      <c r="D858" s="45"/>
      <c r="E858" s="45"/>
      <c r="F858" s="45">
        <v>1</v>
      </c>
      <c r="G858" s="45"/>
      <c r="H858" s="45">
        <v>1</v>
      </c>
    </row>
    <row r="859" spans="1:8" x14ac:dyDescent="0.25">
      <c r="A859" s="44" t="s">
        <v>3312</v>
      </c>
      <c r="B859" s="45"/>
      <c r="C859" s="45"/>
      <c r="D859" s="45"/>
      <c r="E859" s="45"/>
      <c r="F859" s="45">
        <v>1</v>
      </c>
      <c r="G859" s="45"/>
      <c r="H859" s="45">
        <v>1</v>
      </c>
    </row>
    <row r="860" spans="1:8" x14ac:dyDescent="0.25">
      <c r="A860" s="44" t="s">
        <v>685</v>
      </c>
      <c r="B860" s="45"/>
      <c r="C860" s="45"/>
      <c r="D860" s="45"/>
      <c r="E860" s="45"/>
      <c r="F860" s="45"/>
      <c r="G860" s="45">
        <v>1</v>
      </c>
      <c r="H860" s="45">
        <v>1</v>
      </c>
    </row>
    <row r="861" spans="1:8" x14ac:dyDescent="0.25">
      <c r="A861" s="44" t="s">
        <v>1346</v>
      </c>
      <c r="B861" s="45"/>
      <c r="C861" s="45"/>
      <c r="D861" s="45"/>
      <c r="E861" s="45"/>
      <c r="F861" s="45"/>
      <c r="G861" s="45">
        <v>1</v>
      </c>
      <c r="H861" s="45">
        <v>1</v>
      </c>
    </row>
    <row r="862" spans="1:8" x14ac:dyDescent="0.25">
      <c r="A862" s="44" t="s">
        <v>4088</v>
      </c>
      <c r="B862" s="45"/>
      <c r="C862" s="45">
        <v>1</v>
      </c>
      <c r="D862" s="45"/>
      <c r="E862" s="45"/>
      <c r="F862" s="45"/>
      <c r="G862" s="45"/>
      <c r="H862" s="45">
        <v>1</v>
      </c>
    </row>
    <row r="863" spans="1:8" x14ac:dyDescent="0.25">
      <c r="A863" s="44" t="s">
        <v>1047</v>
      </c>
      <c r="B863" s="45"/>
      <c r="C863" s="45"/>
      <c r="D863" s="45"/>
      <c r="E863" s="45"/>
      <c r="F863" s="45">
        <v>1</v>
      </c>
      <c r="G863" s="45"/>
      <c r="H863" s="45">
        <v>1</v>
      </c>
    </row>
    <row r="864" spans="1:8" x14ac:dyDescent="0.25">
      <c r="A864" s="44" t="s">
        <v>3339</v>
      </c>
      <c r="B864" s="45"/>
      <c r="C864" s="45"/>
      <c r="D864" s="45"/>
      <c r="E864" s="45"/>
      <c r="F864" s="45">
        <v>1</v>
      </c>
      <c r="G864" s="45"/>
      <c r="H864" s="45">
        <v>1</v>
      </c>
    </row>
    <row r="865" spans="1:8" x14ac:dyDescent="0.25">
      <c r="A865" s="44" t="s">
        <v>4115</v>
      </c>
      <c r="B865" s="45">
        <v>1</v>
      </c>
      <c r="C865" s="45"/>
      <c r="D865" s="45"/>
      <c r="E865" s="45"/>
      <c r="F865" s="45"/>
      <c r="G865" s="45"/>
      <c r="H865" s="45">
        <v>1</v>
      </c>
    </row>
    <row r="866" spans="1:8" x14ac:dyDescent="0.25">
      <c r="A866" s="44" t="s">
        <v>1720</v>
      </c>
      <c r="B866" s="45"/>
      <c r="C866" s="45"/>
      <c r="D866" s="45"/>
      <c r="E866" s="45"/>
      <c r="F866" s="45"/>
      <c r="G866" s="45">
        <v>1</v>
      </c>
      <c r="H866" s="45">
        <v>1</v>
      </c>
    </row>
    <row r="867" spans="1:8" x14ac:dyDescent="0.25">
      <c r="A867" s="44" t="s">
        <v>2242</v>
      </c>
      <c r="B867" s="45"/>
      <c r="C867" s="45"/>
      <c r="D867" s="45"/>
      <c r="E867" s="45"/>
      <c r="F867" s="45">
        <v>1</v>
      </c>
      <c r="G867" s="45"/>
      <c r="H867" s="45">
        <v>1</v>
      </c>
    </row>
    <row r="868" spans="1:8" x14ac:dyDescent="0.25">
      <c r="A868" s="44" t="s">
        <v>1005</v>
      </c>
      <c r="B868" s="45">
        <v>1</v>
      </c>
      <c r="C868" s="45"/>
      <c r="D868" s="45"/>
      <c r="E868" s="45"/>
      <c r="F868" s="45"/>
      <c r="G868" s="45"/>
      <c r="H868" s="45">
        <v>1</v>
      </c>
    </row>
    <row r="869" spans="1:8" x14ac:dyDescent="0.25">
      <c r="A869" s="44" t="s">
        <v>1527</v>
      </c>
      <c r="B869" s="45"/>
      <c r="C869" s="45"/>
      <c r="D869" s="45"/>
      <c r="E869" s="45"/>
      <c r="F869" s="45">
        <v>1</v>
      </c>
      <c r="G869" s="45"/>
      <c r="H869" s="45">
        <v>1</v>
      </c>
    </row>
    <row r="870" spans="1:8" x14ac:dyDescent="0.25">
      <c r="A870" s="44" t="s">
        <v>3362</v>
      </c>
      <c r="B870" s="45"/>
      <c r="C870" s="45"/>
      <c r="D870" s="45"/>
      <c r="E870" s="45"/>
      <c r="F870" s="45">
        <v>1</v>
      </c>
      <c r="G870" s="45"/>
      <c r="H870" s="45">
        <v>1</v>
      </c>
    </row>
    <row r="871" spans="1:8" x14ac:dyDescent="0.25">
      <c r="A871" s="44" t="s">
        <v>854</v>
      </c>
      <c r="B871" s="45"/>
      <c r="C871" s="45"/>
      <c r="D871" s="45"/>
      <c r="E871" s="45">
        <v>1</v>
      </c>
      <c r="F871" s="45"/>
      <c r="G871" s="45"/>
      <c r="H871" s="45">
        <v>1</v>
      </c>
    </row>
    <row r="872" spans="1:8" x14ac:dyDescent="0.25">
      <c r="A872" s="44" t="s">
        <v>999</v>
      </c>
      <c r="B872" s="45"/>
      <c r="C872" s="45"/>
      <c r="D872" s="45"/>
      <c r="E872" s="45"/>
      <c r="F872" s="45">
        <v>1</v>
      </c>
      <c r="G872" s="45"/>
      <c r="H872" s="45">
        <v>1</v>
      </c>
    </row>
    <row r="873" spans="1:8" x14ac:dyDescent="0.25">
      <c r="A873" s="44" t="s">
        <v>3025</v>
      </c>
      <c r="B873" s="45">
        <v>1</v>
      </c>
      <c r="C873" s="45"/>
      <c r="D873" s="45"/>
      <c r="E873" s="45"/>
      <c r="F873" s="45"/>
      <c r="G873" s="45"/>
      <c r="H873" s="45">
        <v>1</v>
      </c>
    </row>
    <row r="874" spans="1:8" x14ac:dyDescent="0.25">
      <c r="A874" s="44" t="s">
        <v>841</v>
      </c>
      <c r="B874" s="45"/>
      <c r="C874" s="45"/>
      <c r="D874" s="45"/>
      <c r="E874" s="45"/>
      <c r="F874" s="45">
        <v>1</v>
      </c>
      <c r="G874" s="45"/>
      <c r="H874" s="45">
        <v>1</v>
      </c>
    </row>
    <row r="875" spans="1:8" x14ac:dyDescent="0.25">
      <c r="A875" s="44" t="s">
        <v>2700</v>
      </c>
      <c r="B875" s="45"/>
      <c r="C875" s="45"/>
      <c r="D875" s="45"/>
      <c r="E875" s="45"/>
      <c r="F875" s="45">
        <v>1</v>
      </c>
      <c r="G875" s="45"/>
      <c r="H875" s="45">
        <v>1</v>
      </c>
    </row>
    <row r="876" spans="1:8" x14ac:dyDescent="0.25">
      <c r="A876" s="44" t="s">
        <v>1196</v>
      </c>
      <c r="B876" s="45"/>
      <c r="C876" s="45"/>
      <c r="D876" s="45"/>
      <c r="E876" s="45"/>
      <c r="F876" s="45">
        <v>1</v>
      </c>
      <c r="G876" s="45"/>
      <c r="H876" s="45">
        <v>1</v>
      </c>
    </row>
    <row r="877" spans="1:8" x14ac:dyDescent="0.25">
      <c r="A877" s="44" t="s">
        <v>1248</v>
      </c>
      <c r="B877" s="45">
        <v>1</v>
      </c>
      <c r="C877" s="45"/>
      <c r="D877" s="45"/>
      <c r="E877" s="45"/>
      <c r="F877" s="45"/>
      <c r="G877" s="45"/>
      <c r="H877" s="45">
        <v>1</v>
      </c>
    </row>
    <row r="878" spans="1:8" x14ac:dyDescent="0.25">
      <c r="A878" s="44" t="s">
        <v>1317</v>
      </c>
      <c r="B878" s="45"/>
      <c r="C878" s="45"/>
      <c r="D878" s="45"/>
      <c r="E878" s="45"/>
      <c r="F878" s="45">
        <v>1</v>
      </c>
      <c r="G878" s="45"/>
      <c r="H878" s="45">
        <v>1</v>
      </c>
    </row>
    <row r="879" spans="1:8" x14ac:dyDescent="0.25">
      <c r="A879" s="44" t="s">
        <v>498</v>
      </c>
      <c r="B879" s="45"/>
      <c r="C879" s="45"/>
      <c r="D879" s="45"/>
      <c r="E879" s="45"/>
      <c r="F879" s="45">
        <v>1</v>
      </c>
      <c r="G879" s="45"/>
      <c r="H879" s="45">
        <v>1</v>
      </c>
    </row>
    <row r="880" spans="1:8" x14ac:dyDescent="0.25">
      <c r="A880" s="44" t="s">
        <v>1660</v>
      </c>
      <c r="B880" s="45"/>
      <c r="C880" s="45"/>
      <c r="D880" s="45"/>
      <c r="E880" s="45"/>
      <c r="F880" s="45"/>
      <c r="G880" s="45">
        <v>1</v>
      </c>
      <c r="H880" s="45">
        <v>1</v>
      </c>
    </row>
    <row r="881" spans="1:8" x14ac:dyDescent="0.25">
      <c r="A881" s="44" t="s">
        <v>2824</v>
      </c>
      <c r="B881" s="45"/>
      <c r="C881" s="45"/>
      <c r="D881" s="45"/>
      <c r="E881" s="45"/>
      <c r="F881" s="45"/>
      <c r="G881" s="45">
        <v>1</v>
      </c>
      <c r="H881" s="45">
        <v>1</v>
      </c>
    </row>
    <row r="882" spans="1:8" x14ac:dyDescent="0.25">
      <c r="A882" s="44" t="s">
        <v>4038</v>
      </c>
      <c r="B882" s="45"/>
      <c r="C882" s="45"/>
      <c r="D882" s="45"/>
      <c r="E882" s="45"/>
      <c r="F882" s="45">
        <v>1</v>
      </c>
      <c r="G882" s="45"/>
      <c r="H882" s="45">
        <v>1</v>
      </c>
    </row>
    <row r="883" spans="1:8" x14ac:dyDescent="0.25">
      <c r="A883" s="44" t="s">
        <v>551</v>
      </c>
      <c r="B883" s="45"/>
      <c r="C883" s="45"/>
      <c r="D883" s="45"/>
      <c r="E883" s="45"/>
      <c r="F883" s="45">
        <v>1</v>
      </c>
      <c r="G883" s="45"/>
      <c r="H883" s="45">
        <v>1</v>
      </c>
    </row>
    <row r="884" spans="1:8" x14ac:dyDescent="0.25">
      <c r="A884" s="44" t="s">
        <v>861</v>
      </c>
      <c r="B884" s="45"/>
      <c r="C884" s="45"/>
      <c r="D884" s="45"/>
      <c r="E884" s="45"/>
      <c r="F884" s="45">
        <v>1</v>
      </c>
      <c r="G884" s="45"/>
      <c r="H884" s="45">
        <v>1</v>
      </c>
    </row>
    <row r="885" spans="1:8" x14ac:dyDescent="0.25">
      <c r="A885" s="44" t="s">
        <v>916</v>
      </c>
      <c r="B885" s="45">
        <v>2</v>
      </c>
      <c r="C885" s="45"/>
      <c r="D885" s="45"/>
      <c r="E885" s="45"/>
      <c r="F885" s="45">
        <v>1</v>
      </c>
      <c r="G885" s="45"/>
      <c r="H885" s="45">
        <v>3</v>
      </c>
    </row>
    <row r="886" spans="1:8" x14ac:dyDescent="0.25">
      <c r="A886" s="44" t="s">
        <v>1388</v>
      </c>
      <c r="B886" s="45">
        <v>1</v>
      </c>
      <c r="C886" s="45"/>
      <c r="D886" s="45"/>
      <c r="E886" s="45"/>
      <c r="F886" s="45"/>
      <c r="G886" s="45"/>
      <c r="H886" s="45">
        <v>1</v>
      </c>
    </row>
    <row r="887" spans="1:8" x14ac:dyDescent="0.25">
      <c r="A887" s="44" t="s">
        <v>2753</v>
      </c>
      <c r="B887" s="45"/>
      <c r="C887" s="45"/>
      <c r="D887" s="45"/>
      <c r="E887" s="45"/>
      <c r="F887" s="45">
        <v>1</v>
      </c>
      <c r="G887" s="45"/>
      <c r="H887" s="45">
        <v>1</v>
      </c>
    </row>
    <row r="888" spans="1:8" x14ac:dyDescent="0.25">
      <c r="A888" s="44" t="s">
        <v>1442</v>
      </c>
      <c r="B888" s="45"/>
      <c r="C888" s="45"/>
      <c r="D888" s="45"/>
      <c r="E888" s="45"/>
      <c r="F888" s="45"/>
      <c r="G888" s="45">
        <v>1</v>
      </c>
      <c r="H888" s="45">
        <v>1</v>
      </c>
    </row>
    <row r="889" spans="1:8" x14ac:dyDescent="0.25">
      <c r="A889" s="44" t="s">
        <v>2227</v>
      </c>
      <c r="B889" s="45">
        <v>1</v>
      </c>
      <c r="C889" s="45"/>
      <c r="D889" s="45"/>
      <c r="E889" s="45"/>
      <c r="F889" s="45"/>
      <c r="G889" s="45"/>
      <c r="H889" s="45">
        <v>1</v>
      </c>
    </row>
    <row r="890" spans="1:8" x14ac:dyDescent="0.25">
      <c r="A890" s="44" t="s">
        <v>617</v>
      </c>
      <c r="B890" s="45"/>
      <c r="C890" s="45"/>
      <c r="D890" s="45"/>
      <c r="E890" s="45">
        <v>1</v>
      </c>
      <c r="F890" s="45"/>
      <c r="G890" s="45"/>
      <c r="H890" s="45">
        <v>1</v>
      </c>
    </row>
    <row r="891" spans="1:8" x14ac:dyDescent="0.25">
      <c r="A891" s="44" t="s">
        <v>1783</v>
      </c>
      <c r="B891" s="45">
        <v>1</v>
      </c>
      <c r="C891" s="45"/>
      <c r="D891" s="45"/>
      <c r="E891" s="45"/>
      <c r="F891" s="45"/>
      <c r="G891" s="45"/>
      <c r="H891" s="45">
        <v>1</v>
      </c>
    </row>
    <row r="892" spans="1:8" x14ac:dyDescent="0.25">
      <c r="A892" s="44" t="s">
        <v>3309</v>
      </c>
      <c r="B892" s="45">
        <v>1</v>
      </c>
      <c r="C892" s="45"/>
      <c r="D892" s="45"/>
      <c r="E892" s="45"/>
      <c r="F892" s="45"/>
      <c r="G892" s="45"/>
      <c r="H892" s="45">
        <v>1</v>
      </c>
    </row>
    <row r="893" spans="1:8" x14ac:dyDescent="0.25">
      <c r="A893" s="44" t="s">
        <v>462</v>
      </c>
      <c r="B893" s="45"/>
      <c r="C893" s="45"/>
      <c r="D893" s="45"/>
      <c r="E893" s="45"/>
      <c r="F893" s="45">
        <v>1</v>
      </c>
      <c r="G893" s="45"/>
      <c r="H893" s="45">
        <v>1</v>
      </c>
    </row>
    <row r="894" spans="1:8" x14ac:dyDescent="0.25">
      <c r="A894" s="44" t="s">
        <v>4117</v>
      </c>
      <c r="B894" s="45">
        <v>1</v>
      </c>
      <c r="C894" s="45"/>
      <c r="D894" s="45"/>
      <c r="E894" s="45"/>
      <c r="F894" s="45"/>
      <c r="G894" s="45"/>
      <c r="H894" s="45">
        <v>1</v>
      </c>
    </row>
    <row r="895" spans="1:8" x14ac:dyDescent="0.25">
      <c r="A895" s="44" t="s">
        <v>4096</v>
      </c>
      <c r="B895" s="45"/>
      <c r="C895" s="45"/>
      <c r="D895" s="45"/>
      <c r="E895" s="45"/>
      <c r="F895" s="45"/>
      <c r="G895" s="45">
        <v>1</v>
      </c>
      <c r="H895" s="45">
        <v>1</v>
      </c>
    </row>
    <row r="896" spans="1:8" x14ac:dyDescent="0.25">
      <c r="A896" s="44" t="s">
        <v>992</v>
      </c>
      <c r="B896" s="45"/>
      <c r="C896" s="45"/>
      <c r="D896" s="45"/>
      <c r="E896" s="45"/>
      <c r="F896" s="45">
        <v>1</v>
      </c>
      <c r="G896" s="45"/>
      <c r="H896" s="45">
        <v>1</v>
      </c>
    </row>
    <row r="897" spans="1:8" x14ac:dyDescent="0.25">
      <c r="A897" s="44" t="s">
        <v>200</v>
      </c>
      <c r="B897" s="45"/>
      <c r="C897" s="45"/>
      <c r="D897" s="45"/>
      <c r="E897" s="45"/>
      <c r="F897" s="45"/>
      <c r="G897" s="45">
        <v>1</v>
      </c>
      <c r="H897" s="45">
        <v>1</v>
      </c>
    </row>
    <row r="898" spans="1:8" x14ac:dyDescent="0.25">
      <c r="A898" s="44" t="s">
        <v>1921</v>
      </c>
      <c r="B898" s="45"/>
      <c r="C898" s="45"/>
      <c r="D898" s="45"/>
      <c r="E898" s="45"/>
      <c r="F898" s="45">
        <v>1</v>
      </c>
      <c r="G898" s="45"/>
      <c r="H898" s="45">
        <v>1</v>
      </c>
    </row>
    <row r="899" spans="1:8" x14ac:dyDescent="0.25">
      <c r="A899" s="44" t="s">
        <v>2251</v>
      </c>
      <c r="B899" s="45"/>
      <c r="C899" s="45">
        <v>1</v>
      </c>
      <c r="D899" s="45"/>
      <c r="E899" s="45"/>
      <c r="F899" s="45"/>
      <c r="G899" s="45"/>
      <c r="H899" s="45">
        <v>1</v>
      </c>
    </row>
    <row r="900" spans="1:8" x14ac:dyDescent="0.25">
      <c r="A900" s="44" t="s">
        <v>3160</v>
      </c>
      <c r="B900" s="45">
        <v>2</v>
      </c>
      <c r="C900" s="45"/>
      <c r="D900" s="45"/>
      <c r="E900" s="45"/>
      <c r="F900" s="45"/>
      <c r="G900" s="45"/>
      <c r="H900" s="45">
        <v>2</v>
      </c>
    </row>
    <row r="901" spans="1:8" x14ac:dyDescent="0.25">
      <c r="A901" s="44" t="s">
        <v>194</v>
      </c>
      <c r="B901" s="45"/>
      <c r="C901" s="45"/>
      <c r="D901" s="45"/>
      <c r="E901" s="45"/>
      <c r="F901" s="45">
        <v>1</v>
      </c>
      <c r="G901" s="45"/>
      <c r="H901" s="45">
        <v>1</v>
      </c>
    </row>
    <row r="902" spans="1:8" x14ac:dyDescent="0.25">
      <c r="A902" s="44" t="s">
        <v>4091</v>
      </c>
      <c r="B902" s="45">
        <v>1</v>
      </c>
      <c r="C902" s="45"/>
      <c r="D902" s="45"/>
      <c r="E902" s="45"/>
      <c r="F902" s="45"/>
      <c r="G902" s="45"/>
      <c r="H902" s="45">
        <v>1</v>
      </c>
    </row>
    <row r="903" spans="1:8" x14ac:dyDescent="0.25">
      <c r="A903" s="44" t="s">
        <v>671</v>
      </c>
      <c r="B903" s="45"/>
      <c r="C903" s="45"/>
      <c r="D903" s="45"/>
      <c r="E903" s="45"/>
      <c r="F903" s="45">
        <v>1</v>
      </c>
      <c r="G903" s="45"/>
      <c r="H903" s="45">
        <v>1</v>
      </c>
    </row>
    <row r="904" spans="1:8" x14ac:dyDescent="0.25">
      <c r="A904" s="44" t="s">
        <v>242</v>
      </c>
      <c r="B904" s="45">
        <v>1</v>
      </c>
      <c r="C904" s="45">
        <v>2</v>
      </c>
      <c r="D904" s="45"/>
      <c r="E904" s="45"/>
      <c r="F904" s="45">
        <v>2</v>
      </c>
      <c r="G904" s="45">
        <v>1</v>
      </c>
      <c r="H904" s="45">
        <v>6</v>
      </c>
    </row>
    <row r="905" spans="1:8" x14ac:dyDescent="0.25">
      <c r="A905" s="44" t="s">
        <v>2972</v>
      </c>
      <c r="B905" s="45"/>
      <c r="C905" s="45"/>
      <c r="D905" s="45"/>
      <c r="E905" s="45"/>
      <c r="F905" s="45"/>
      <c r="G905" s="45">
        <v>1</v>
      </c>
      <c r="H905" s="45">
        <v>1</v>
      </c>
    </row>
    <row r="906" spans="1:8" x14ac:dyDescent="0.25">
      <c r="A906" s="44" t="s">
        <v>3934</v>
      </c>
      <c r="B906" s="45"/>
      <c r="C906" s="45"/>
      <c r="D906" s="45"/>
      <c r="E906" s="45"/>
      <c r="F906" s="45">
        <v>1</v>
      </c>
      <c r="G906" s="45"/>
      <c r="H906" s="45">
        <v>1</v>
      </c>
    </row>
    <row r="907" spans="1:8" x14ac:dyDescent="0.25">
      <c r="A907" s="44" t="s">
        <v>668</v>
      </c>
      <c r="B907" s="45"/>
      <c r="C907" s="45"/>
      <c r="D907" s="45"/>
      <c r="E907" s="45"/>
      <c r="F907" s="45"/>
      <c r="G907" s="45">
        <v>1</v>
      </c>
      <c r="H907" s="45">
        <v>1</v>
      </c>
    </row>
    <row r="908" spans="1:8" x14ac:dyDescent="0.25">
      <c r="A908" s="44" t="s">
        <v>633</v>
      </c>
      <c r="B908" s="45"/>
      <c r="C908" s="45"/>
      <c r="D908" s="45"/>
      <c r="E908" s="45"/>
      <c r="F908" s="45">
        <v>1</v>
      </c>
      <c r="G908" s="45"/>
      <c r="H908" s="45">
        <v>1</v>
      </c>
    </row>
    <row r="909" spans="1:8" x14ac:dyDescent="0.25">
      <c r="A909" s="44" t="s">
        <v>3133</v>
      </c>
      <c r="B909" s="45">
        <v>1</v>
      </c>
      <c r="C909" s="45"/>
      <c r="D909" s="45"/>
      <c r="E909" s="45"/>
      <c r="F909" s="45"/>
      <c r="G909" s="45"/>
      <c r="H909" s="45">
        <v>1</v>
      </c>
    </row>
    <row r="910" spans="1:8" x14ac:dyDescent="0.25">
      <c r="A910" s="44" t="s">
        <v>3699</v>
      </c>
      <c r="B910" s="45"/>
      <c r="C910" s="45"/>
      <c r="D910" s="45"/>
      <c r="E910" s="45"/>
      <c r="F910" s="45">
        <v>1</v>
      </c>
      <c r="G910" s="45"/>
      <c r="H910" s="45">
        <v>1</v>
      </c>
    </row>
    <row r="911" spans="1:8" x14ac:dyDescent="0.25">
      <c r="A911" s="44" t="s">
        <v>1282</v>
      </c>
      <c r="B911" s="45"/>
      <c r="C911" s="45"/>
      <c r="D911" s="45"/>
      <c r="E911" s="45"/>
      <c r="F911" s="45">
        <v>1</v>
      </c>
      <c r="G911" s="45"/>
      <c r="H911" s="45">
        <v>1</v>
      </c>
    </row>
    <row r="912" spans="1:8" x14ac:dyDescent="0.25">
      <c r="A912" s="44" t="s">
        <v>2641</v>
      </c>
      <c r="B912" s="45"/>
      <c r="C912" s="45"/>
      <c r="D912" s="45"/>
      <c r="E912" s="45"/>
      <c r="F912" s="45"/>
      <c r="G912" s="45">
        <v>1</v>
      </c>
      <c r="H912" s="45">
        <v>1</v>
      </c>
    </row>
    <row r="913" spans="1:8" x14ac:dyDescent="0.25">
      <c r="A913" s="44" t="s">
        <v>4034</v>
      </c>
      <c r="B913" s="45">
        <v>1</v>
      </c>
      <c r="C913" s="45"/>
      <c r="D913" s="45"/>
      <c r="E913" s="45"/>
      <c r="F913" s="45"/>
      <c r="G913" s="45"/>
      <c r="H913" s="45">
        <v>1</v>
      </c>
    </row>
    <row r="914" spans="1:8" x14ac:dyDescent="0.25">
      <c r="A914" s="44" t="s">
        <v>716</v>
      </c>
      <c r="B914" s="45"/>
      <c r="C914" s="45"/>
      <c r="D914" s="45"/>
      <c r="E914" s="45"/>
      <c r="F914" s="45">
        <v>1</v>
      </c>
      <c r="G914" s="45"/>
      <c r="H914" s="45">
        <v>1</v>
      </c>
    </row>
    <row r="915" spans="1:8" x14ac:dyDescent="0.25">
      <c r="A915" s="44" t="s">
        <v>392</v>
      </c>
      <c r="B915" s="45"/>
      <c r="C915" s="45"/>
      <c r="D915" s="45"/>
      <c r="E915" s="45"/>
      <c r="F915" s="45">
        <v>1</v>
      </c>
      <c r="G915" s="45"/>
      <c r="H915" s="45">
        <v>1</v>
      </c>
    </row>
    <row r="916" spans="1:8" x14ac:dyDescent="0.25">
      <c r="A916" s="44" t="s">
        <v>689</v>
      </c>
      <c r="B916" s="45"/>
      <c r="C916" s="45"/>
      <c r="D916" s="45"/>
      <c r="E916" s="45"/>
      <c r="F916" s="45">
        <v>1</v>
      </c>
      <c r="G916" s="45"/>
      <c r="H916" s="45">
        <v>1</v>
      </c>
    </row>
    <row r="917" spans="1:8" x14ac:dyDescent="0.25">
      <c r="A917" s="44" t="s">
        <v>1446</v>
      </c>
      <c r="B917" s="45"/>
      <c r="C917" s="45"/>
      <c r="D917" s="45"/>
      <c r="E917" s="45"/>
      <c r="F917" s="45">
        <v>1</v>
      </c>
      <c r="G917" s="45"/>
      <c r="H917" s="45">
        <v>1</v>
      </c>
    </row>
    <row r="918" spans="1:8" x14ac:dyDescent="0.25">
      <c r="A918" s="44" t="s">
        <v>532</v>
      </c>
      <c r="B918" s="45"/>
      <c r="C918" s="45"/>
      <c r="D918" s="45"/>
      <c r="E918" s="45"/>
      <c r="F918" s="45">
        <v>1</v>
      </c>
      <c r="G918" s="45"/>
      <c r="H918" s="45">
        <v>1</v>
      </c>
    </row>
    <row r="919" spans="1:8" x14ac:dyDescent="0.25">
      <c r="A919" s="44" t="s">
        <v>136</v>
      </c>
      <c r="B919" s="45">
        <v>1</v>
      </c>
      <c r="C919" s="45"/>
      <c r="D919" s="45"/>
      <c r="E919" s="45"/>
      <c r="F919" s="45"/>
      <c r="G919" s="45"/>
      <c r="H919" s="45">
        <v>1</v>
      </c>
    </row>
    <row r="920" spans="1:8" x14ac:dyDescent="0.25">
      <c r="A920" s="44" t="s">
        <v>1150</v>
      </c>
      <c r="B920" s="45">
        <v>1</v>
      </c>
      <c r="C920" s="45"/>
      <c r="D920" s="45"/>
      <c r="E920" s="45"/>
      <c r="F920" s="45"/>
      <c r="G920" s="45"/>
      <c r="H920" s="45">
        <v>1</v>
      </c>
    </row>
    <row r="921" spans="1:8" x14ac:dyDescent="0.25">
      <c r="A921" s="44" t="s">
        <v>3237</v>
      </c>
      <c r="B921" s="45"/>
      <c r="C921" s="45"/>
      <c r="D921" s="45"/>
      <c r="E921" s="45"/>
      <c r="F921" s="45">
        <v>1</v>
      </c>
      <c r="G921" s="45"/>
      <c r="H921" s="45">
        <v>1</v>
      </c>
    </row>
    <row r="922" spans="1:8" x14ac:dyDescent="0.25">
      <c r="A922" s="44" t="s">
        <v>2587</v>
      </c>
      <c r="B922" s="45"/>
      <c r="C922" s="45"/>
      <c r="D922" s="45"/>
      <c r="E922" s="45"/>
      <c r="F922" s="45">
        <v>1</v>
      </c>
      <c r="G922" s="45"/>
      <c r="H922" s="45">
        <v>1</v>
      </c>
    </row>
    <row r="923" spans="1:8" x14ac:dyDescent="0.25">
      <c r="A923" s="44" t="s">
        <v>2006</v>
      </c>
      <c r="B923" s="45"/>
      <c r="C923" s="45">
        <v>1</v>
      </c>
      <c r="D923" s="45"/>
      <c r="E923" s="45"/>
      <c r="F923" s="45"/>
      <c r="G923" s="45"/>
      <c r="H923" s="45">
        <v>1</v>
      </c>
    </row>
    <row r="924" spans="1:8" x14ac:dyDescent="0.25">
      <c r="A924" s="44" t="s">
        <v>1635</v>
      </c>
      <c r="B924" s="45">
        <v>1</v>
      </c>
      <c r="C924" s="45"/>
      <c r="D924" s="45"/>
      <c r="E924" s="45"/>
      <c r="F924" s="45"/>
      <c r="G924" s="45"/>
      <c r="H924" s="45">
        <v>1</v>
      </c>
    </row>
    <row r="925" spans="1:8" x14ac:dyDescent="0.25">
      <c r="A925" s="44" t="s">
        <v>1960</v>
      </c>
      <c r="B925" s="45"/>
      <c r="C925" s="45"/>
      <c r="D925" s="45"/>
      <c r="E925" s="45"/>
      <c r="F925" s="45">
        <v>1</v>
      </c>
      <c r="G925" s="45"/>
      <c r="H925" s="45">
        <v>1</v>
      </c>
    </row>
    <row r="926" spans="1:8" x14ac:dyDescent="0.25">
      <c r="A926" s="44" t="s">
        <v>769</v>
      </c>
      <c r="B926" s="45">
        <v>1</v>
      </c>
      <c r="C926" s="45"/>
      <c r="D926" s="45"/>
      <c r="E926" s="45"/>
      <c r="F926" s="45"/>
      <c r="G926" s="45"/>
      <c r="H926" s="45">
        <v>1</v>
      </c>
    </row>
    <row r="927" spans="1:8" x14ac:dyDescent="0.25">
      <c r="A927" s="44" t="s">
        <v>937</v>
      </c>
      <c r="B927" s="45"/>
      <c r="C927" s="45"/>
      <c r="D927" s="45"/>
      <c r="E927" s="45"/>
      <c r="F927" s="45">
        <v>1</v>
      </c>
      <c r="G927" s="45"/>
      <c r="H927" s="45">
        <v>1</v>
      </c>
    </row>
    <row r="928" spans="1:8" x14ac:dyDescent="0.25">
      <c r="A928" s="44" t="s">
        <v>3579</v>
      </c>
      <c r="B928" s="45">
        <v>1</v>
      </c>
      <c r="C928" s="45"/>
      <c r="D928" s="45"/>
      <c r="E928" s="45"/>
      <c r="F928" s="45"/>
      <c r="G928" s="45"/>
      <c r="H928" s="45">
        <v>1</v>
      </c>
    </row>
    <row r="929" spans="1:8" x14ac:dyDescent="0.25">
      <c r="A929" s="44" t="s">
        <v>4133</v>
      </c>
      <c r="B929" s="45"/>
      <c r="C929" s="45"/>
      <c r="D929" s="45"/>
      <c r="E929" s="45"/>
      <c r="F929" s="45">
        <v>1</v>
      </c>
      <c r="G929" s="45"/>
      <c r="H929" s="45">
        <v>1</v>
      </c>
    </row>
    <row r="930" spans="1:8" x14ac:dyDescent="0.25">
      <c r="A930" s="44" t="s">
        <v>3827</v>
      </c>
      <c r="B930" s="45">
        <v>1</v>
      </c>
      <c r="C930" s="45"/>
      <c r="D930" s="45"/>
      <c r="E930" s="45"/>
      <c r="F930" s="45"/>
      <c r="G930" s="45"/>
      <c r="H930" s="45">
        <v>1</v>
      </c>
    </row>
    <row r="931" spans="1:8" x14ac:dyDescent="0.25">
      <c r="A931" s="44" t="s">
        <v>3461</v>
      </c>
      <c r="B931" s="45"/>
      <c r="C931" s="45"/>
      <c r="D931" s="45"/>
      <c r="E931" s="45"/>
      <c r="F931" s="45">
        <v>1</v>
      </c>
      <c r="G931" s="45"/>
      <c r="H931" s="45">
        <v>1</v>
      </c>
    </row>
    <row r="932" spans="1:8" x14ac:dyDescent="0.25">
      <c r="A932" s="44" t="s">
        <v>713</v>
      </c>
      <c r="B932" s="45"/>
      <c r="C932" s="45"/>
      <c r="D932" s="45"/>
      <c r="E932" s="45"/>
      <c r="F932" s="45"/>
      <c r="G932" s="45">
        <v>1</v>
      </c>
      <c r="H932" s="45">
        <v>1</v>
      </c>
    </row>
    <row r="933" spans="1:8" x14ac:dyDescent="0.25">
      <c r="A933" s="44" t="s">
        <v>1936</v>
      </c>
      <c r="B933" s="45">
        <v>1</v>
      </c>
      <c r="C933" s="45">
        <v>1</v>
      </c>
      <c r="D933" s="45"/>
      <c r="E933" s="45"/>
      <c r="F933" s="45"/>
      <c r="G933" s="45"/>
      <c r="H933" s="45">
        <v>2</v>
      </c>
    </row>
    <row r="934" spans="1:8" x14ac:dyDescent="0.25">
      <c r="A934" s="44" t="s">
        <v>2490</v>
      </c>
      <c r="B934" s="45"/>
      <c r="C934" s="45">
        <v>1</v>
      </c>
      <c r="D934" s="45"/>
      <c r="E934" s="45"/>
      <c r="F934" s="45"/>
      <c r="G934" s="45"/>
      <c r="H934" s="45">
        <v>1</v>
      </c>
    </row>
    <row r="935" spans="1:8" x14ac:dyDescent="0.25">
      <c r="A935" s="44" t="s">
        <v>1060</v>
      </c>
      <c r="B935" s="45">
        <v>1</v>
      </c>
      <c r="C935" s="45"/>
      <c r="D935" s="45"/>
      <c r="E935" s="45"/>
      <c r="F935" s="45"/>
      <c r="G935" s="45"/>
      <c r="H935" s="45">
        <v>1</v>
      </c>
    </row>
    <row r="936" spans="1:8" x14ac:dyDescent="0.25">
      <c r="A936" s="44" t="s">
        <v>1506</v>
      </c>
      <c r="B936" s="45"/>
      <c r="C936" s="45"/>
      <c r="D936" s="45"/>
      <c r="E936" s="45">
        <v>1</v>
      </c>
      <c r="F936" s="45"/>
      <c r="G936" s="45"/>
      <c r="H936" s="45">
        <v>1</v>
      </c>
    </row>
    <row r="937" spans="1:8" x14ac:dyDescent="0.25">
      <c r="A937" s="44" t="s">
        <v>2720</v>
      </c>
      <c r="B937" s="45"/>
      <c r="C937" s="45"/>
      <c r="D937" s="45"/>
      <c r="E937" s="45"/>
      <c r="F937" s="45">
        <v>1</v>
      </c>
      <c r="G937" s="45"/>
      <c r="H937" s="45">
        <v>1</v>
      </c>
    </row>
    <row r="938" spans="1:8" x14ac:dyDescent="0.25">
      <c r="A938" s="44" t="s">
        <v>1165</v>
      </c>
      <c r="B938" s="45">
        <v>1</v>
      </c>
      <c r="C938" s="45"/>
      <c r="D938" s="45"/>
      <c r="E938" s="45"/>
      <c r="F938" s="45"/>
      <c r="G938" s="45"/>
      <c r="H938" s="45">
        <v>1</v>
      </c>
    </row>
    <row r="939" spans="1:8" x14ac:dyDescent="0.25">
      <c r="A939" s="44" t="s">
        <v>272</v>
      </c>
      <c r="B939" s="45">
        <v>1</v>
      </c>
      <c r="C939" s="45"/>
      <c r="D939" s="45"/>
      <c r="E939" s="45"/>
      <c r="F939" s="45"/>
      <c r="G939" s="45"/>
      <c r="H939" s="45">
        <v>1</v>
      </c>
    </row>
    <row r="940" spans="1:8" x14ac:dyDescent="0.25">
      <c r="A940" s="44" t="s">
        <v>1385</v>
      </c>
      <c r="B940" s="45"/>
      <c r="C940" s="45"/>
      <c r="D940" s="45"/>
      <c r="E940" s="45"/>
      <c r="F940" s="45"/>
      <c r="G940" s="45">
        <v>1</v>
      </c>
      <c r="H940" s="45">
        <v>1</v>
      </c>
    </row>
    <row r="941" spans="1:8" x14ac:dyDescent="0.25">
      <c r="A941" s="44" t="s">
        <v>473</v>
      </c>
      <c r="B941" s="45"/>
      <c r="C941" s="45"/>
      <c r="D941" s="45"/>
      <c r="E941" s="45"/>
      <c r="F941" s="45">
        <v>1</v>
      </c>
      <c r="G941" s="45"/>
      <c r="H941" s="45">
        <v>1</v>
      </c>
    </row>
    <row r="942" spans="1:8" x14ac:dyDescent="0.25">
      <c r="A942" s="44" t="s">
        <v>2539</v>
      </c>
      <c r="B942" s="45"/>
      <c r="C942" s="45"/>
      <c r="D942" s="45"/>
      <c r="E942" s="45"/>
      <c r="F942" s="45">
        <v>1</v>
      </c>
      <c r="G942" s="45"/>
      <c r="H942" s="45">
        <v>1</v>
      </c>
    </row>
    <row r="943" spans="1:8" x14ac:dyDescent="0.25">
      <c r="A943" s="44" t="s">
        <v>3190</v>
      </c>
      <c r="B943" s="45">
        <v>1</v>
      </c>
      <c r="C943" s="45"/>
      <c r="D943" s="45"/>
      <c r="E943" s="45"/>
      <c r="F943" s="45"/>
      <c r="G943" s="45"/>
      <c r="H943" s="45">
        <v>1</v>
      </c>
    </row>
    <row r="944" spans="1:8" x14ac:dyDescent="0.25">
      <c r="A944" s="44" t="s">
        <v>2513</v>
      </c>
      <c r="B944" s="45">
        <v>2</v>
      </c>
      <c r="C944" s="45">
        <v>1</v>
      </c>
      <c r="D944" s="45"/>
      <c r="E944" s="45"/>
      <c r="F944" s="45"/>
      <c r="G944" s="45"/>
      <c r="H944" s="45">
        <v>3</v>
      </c>
    </row>
    <row r="945" spans="1:8" x14ac:dyDescent="0.25">
      <c r="A945" s="44" t="s">
        <v>3631</v>
      </c>
      <c r="B945" s="45">
        <v>1</v>
      </c>
      <c r="C945" s="45"/>
      <c r="D945" s="45"/>
      <c r="E945" s="45"/>
      <c r="F945" s="45"/>
      <c r="G945" s="45"/>
      <c r="H945" s="45">
        <v>1</v>
      </c>
    </row>
    <row r="946" spans="1:8" x14ac:dyDescent="0.25">
      <c r="A946" s="44" t="s">
        <v>2628</v>
      </c>
      <c r="B946" s="45">
        <v>1</v>
      </c>
      <c r="C946" s="45"/>
      <c r="D946" s="45"/>
      <c r="E946" s="45"/>
      <c r="F946" s="45"/>
      <c r="G946" s="45"/>
      <c r="H946" s="45">
        <v>1</v>
      </c>
    </row>
    <row r="947" spans="1:8" x14ac:dyDescent="0.25">
      <c r="A947" s="44" t="s">
        <v>725</v>
      </c>
      <c r="B947" s="45"/>
      <c r="C947" s="45"/>
      <c r="D947" s="45"/>
      <c r="E947" s="45"/>
      <c r="F947" s="45">
        <v>1</v>
      </c>
      <c r="G947" s="45"/>
      <c r="H947" s="45">
        <v>1</v>
      </c>
    </row>
    <row r="948" spans="1:8" x14ac:dyDescent="0.25">
      <c r="A948" s="44" t="s">
        <v>1707</v>
      </c>
      <c r="B948" s="45">
        <v>1</v>
      </c>
      <c r="C948" s="45"/>
      <c r="D948" s="45"/>
      <c r="E948" s="45"/>
      <c r="F948" s="45"/>
      <c r="G948" s="45"/>
      <c r="H948" s="45">
        <v>1</v>
      </c>
    </row>
    <row r="949" spans="1:8" x14ac:dyDescent="0.25">
      <c r="A949" s="44" t="s">
        <v>1675</v>
      </c>
      <c r="B949" s="45"/>
      <c r="C949" s="45"/>
      <c r="D949" s="45"/>
      <c r="E949" s="45"/>
      <c r="F949" s="45"/>
      <c r="G949" s="45">
        <v>1</v>
      </c>
      <c r="H949" s="45">
        <v>1</v>
      </c>
    </row>
    <row r="950" spans="1:8" x14ac:dyDescent="0.25">
      <c r="A950" s="44" t="s">
        <v>2508</v>
      </c>
      <c r="B950" s="45"/>
      <c r="C950" s="45">
        <v>1</v>
      </c>
      <c r="D950" s="45"/>
      <c r="E950" s="45"/>
      <c r="F950" s="45"/>
      <c r="G950" s="45"/>
      <c r="H950" s="45">
        <v>1</v>
      </c>
    </row>
    <row r="951" spans="1:8" x14ac:dyDescent="0.25">
      <c r="A951" s="44" t="s">
        <v>2897</v>
      </c>
      <c r="B951" s="45"/>
      <c r="C951" s="45"/>
      <c r="D951" s="45"/>
      <c r="E951" s="45"/>
      <c r="F951" s="45">
        <v>1</v>
      </c>
      <c r="G951" s="45"/>
      <c r="H951" s="45">
        <v>1</v>
      </c>
    </row>
    <row r="952" spans="1:8" x14ac:dyDescent="0.25">
      <c r="A952" s="44" t="s">
        <v>1716</v>
      </c>
      <c r="B952" s="45">
        <v>1</v>
      </c>
      <c r="C952" s="45"/>
      <c r="D952" s="45"/>
      <c r="E952" s="45"/>
      <c r="F952" s="45"/>
      <c r="G952" s="45"/>
      <c r="H952" s="45">
        <v>1</v>
      </c>
    </row>
    <row r="953" spans="1:8" x14ac:dyDescent="0.25">
      <c r="A953" s="44" t="s">
        <v>3774</v>
      </c>
      <c r="B953" s="45"/>
      <c r="C953" s="45"/>
      <c r="D953" s="45"/>
      <c r="E953" s="45"/>
      <c r="F953" s="45">
        <v>1</v>
      </c>
      <c r="G953" s="45"/>
      <c r="H953" s="45">
        <v>1</v>
      </c>
    </row>
    <row r="954" spans="1:8" x14ac:dyDescent="0.25">
      <c r="A954" s="44" t="s">
        <v>1538</v>
      </c>
      <c r="B954" s="45">
        <v>1</v>
      </c>
      <c r="C954" s="45"/>
      <c r="D954" s="45"/>
      <c r="E954" s="45"/>
      <c r="F954" s="45"/>
      <c r="G954" s="45"/>
      <c r="H954" s="45">
        <v>1</v>
      </c>
    </row>
    <row r="955" spans="1:8" x14ac:dyDescent="0.25">
      <c r="A955" s="44" t="s">
        <v>4128</v>
      </c>
      <c r="B955" s="45"/>
      <c r="C955" s="45"/>
      <c r="D955" s="45"/>
      <c r="E955" s="45"/>
      <c r="F955" s="45"/>
      <c r="G955" s="45">
        <v>1</v>
      </c>
      <c r="H955" s="45">
        <v>1</v>
      </c>
    </row>
    <row r="956" spans="1:8" x14ac:dyDescent="0.25">
      <c r="A956" s="44" t="s">
        <v>2146</v>
      </c>
      <c r="B956" s="45">
        <v>1</v>
      </c>
      <c r="C956" s="45"/>
      <c r="D956" s="45"/>
      <c r="E956" s="45"/>
      <c r="F956" s="45"/>
      <c r="G956" s="45"/>
      <c r="H956" s="45">
        <v>1</v>
      </c>
    </row>
    <row r="957" spans="1:8" x14ac:dyDescent="0.25">
      <c r="A957" s="44" t="s">
        <v>3909</v>
      </c>
      <c r="B957" s="45"/>
      <c r="C957" s="45"/>
      <c r="D957" s="45"/>
      <c r="E957" s="45"/>
      <c r="F957" s="45">
        <v>1</v>
      </c>
      <c r="G957" s="45"/>
      <c r="H957" s="45">
        <v>1</v>
      </c>
    </row>
    <row r="958" spans="1:8" x14ac:dyDescent="0.25">
      <c r="A958" s="44" t="s">
        <v>2891</v>
      </c>
      <c r="B958" s="45">
        <v>1</v>
      </c>
      <c r="C958" s="45"/>
      <c r="D958" s="45"/>
      <c r="E958" s="45"/>
      <c r="F958" s="45"/>
      <c r="G958" s="45"/>
      <c r="H958" s="45">
        <v>1</v>
      </c>
    </row>
    <row r="959" spans="1:8" x14ac:dyDescent="0.25">
      <c r="A959" s="44" t="s">
        <v>384</v>
      </c>
      <c r="B959" s="45"/>
      <c r="C959" s="45"/>
      <c r="D959" s="45"/>
      <c r="E959" s="45"/>
      <c r="F959" s="45">
        <v>1</v>
      </c>
      <c r="G959" s="45"/>
      <c r="H959" s="45">
        <v>1</v>
      </c>
    </row>
    <row r="960" spans="1:8" x14ac:dyDescent="0.25">
      <c r="A960" s="44" t="s">
        <v>3897</v>
      </c>
      <c r="B960" s="45">
        <v>1</v>
      </c>
      <c r="C960" s="45"/>
      <c r="D960" s="45"/>
      <c r="E960" s="45"/>
      <c r="F960" s="45"/>
      <c r="G960" s="45"/>
      <c r="H960" s="45">
        <v>1</v>
      </c>
    </row>
    <row r="961" spans="1:8" x14ac:dyDescent="0.25">
      <c r="A961" s="44" t="s">
        <v>779</v>
      </c>
      <c r="B961" s="45"/>
      <c r="C961" s="45"/>
      <c r="D961" s="45"/>
      <c r="E961" s="45"/>
      <c r="F961" s="45">
        <v>1</v>
      </c>
      <c r="G961" s="45"/>
      <c r="H961" s="45">
        <v>1</v>
      </c>
    </row>
    <row r="962" spans="1:8" x14ac:dyDescent="0.25">
      <c r="A962" s="44" t="s">
        <v>793</v>
      </c>
      <c r="B962" s="45"/>
      <c r="C962" s="45"/>
      <c r="D962" s="45"/>
      <c r="E962" s="45"/>
      <c r="F962" s="45">
        <v>1</v>
      </c>
      <c r="G962" s="45"/>
      <c r="H962" s="45">
        <v>1</v>
      </c>
    </row>
    <row r="963" spans="1:8" x14ac:dyDescent="0.25">
      <c r="A963" s="44" t="s">
        <v>4387</v>
      </c>
      <c r="B963" s="45"/>
      <c r="C963" s="45"/>
      <c r="D963" s="45"/>
      <c r="E963" s="45"/>
      <c r="F963" s="45"/>
      <c r="G963" s="45"/>
      <c r="H963" s="45"/>
    </row>
    <row r="964" spans="1:8" x14ac:dyDescent="0.25">
      <c r="A964" s="44" t="s">
        <v>4385</v>
      </c>
      <c r="B964" s="45">
        <v>400</v>
      </c>
      <c r="C964" s="45">
        <v>98</v>
      </c>
      <c r="D964" s="45"/>
      <c r="E964" s="45">
        <v>26</v>
      </c>
      <c r="F964" s="45">
        <v>410</v>
      </c>
      <c r="G964" s="45">
        <v>108</v>
      </c>
      <c r="H964" s="45">
        <v>1042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AL1749"/>
  <sheetViews>
    <sheetView tabSelected="1" topLeftCell="P1" workbookViewId="0">
      <pane ySplit="1" topLeftCell="A82" activePane="bottomLeft" state="frozen"/>
      <selection pane="bottomLeft" activeCell="U41" sqref="U41"/>
    </sheetView>
  </sheetViews>
  <sheetFormatPr baseColWidth="10" defaultColWidth="14.44140625" defaultRowHeight="15" customHeight="1" x14ac:dyDescent="0.25"/>
  <cols>
    <col min="1" max="2" width="21.5546875" customWidth="1"/>
    <col min="3" max="3" width="44.33203125" customWidth="1"/>
    <col min="4" max="8" width="21.5546875" customWidth="1"/>
    <col min="9" max="9" width="9.33203125" customWidth="1"/>
    <col min="10" max="10" width="21.5546875" customWidth="1"/>
    <col min="11" max="11" width="10.33203125" customWidth="1"/>
    <col min="12" max="12" width="21.5546875" customWidth="1"/>
    <col min="13" max="13" width="9" customWidth="1"/>
    <col min="14" max="14" width="21.5546875" customWidth="1"/>
    <col min="15" max="15" width="8.6640625" customWidth="1"/>
    <col min="16" max="16" width="21.5546875" customWidth="1"/>
    <col min="17" max="17" width="9.33203125" customWidth="1"/>
    <col min="18" max="18" width="21.5546875" style="48" customWidth="1"/>
    <col min="19" max="26" width="11.5546875" style="14"/>
    <col min="27" max="27" width="7.88671875" customWidth="1"/>
    <col min="28" max="28" width="21.5546875" customWidth="1"/>
    <col min="29" max="29" width="8" customWidth="1"/>
    <col min="30" max="30" width="21.5546875" customWidth="1"/>
    <col min="31" max="31" width="7.44140625" customWidth="1"/>
    <col min="32" max="32" width="21.5546875" customWidth="1"/>
    <col min="33" max="33" width="7.33203125" customWidth="1"/>
    <col min="34" max="34" width="21.5546875" customWidth="1"/>
    <col min="35" max="35" width="8.6640625" customWidth="1"/>
    <col min="36" max="36" width="21.5546875" customWidth="1"/>
    <col min="37" max="38" width="8.109375" customWidth="1"/>
  </cols>
  <sheetData>
    <row r="1" spans="1:38" ht="15.75" customHeight="1" x14ac:dyDescent="0.25">
      <c r="A1" s="1" t="s">
        <v>0</v>
      </c>
      <c r="B1" s="1" t="s">
        <v>1</v>
      </c>
      <c r="C1" s="1" t="s">
        <v>2</v>
      </c>
      <c r="D1" s="1" t="s">
        <v>3</v>
      </c>
      <c r="E1" s="3" t="s">
        <v>4</v>
      </c>
      <c r="F1" s="3" t="s">
        <v>5</v>
      </c>
      <c r="G1" s="1" t="s">
        <v>6</v>
      </c>
      <c r="H1" s="1" t="s">
        <v>7</v>
      </c>
      <c r="I1" s="4" t="s">
        <v>8</v>
      </c>
      <c r="J1" s="1" t="s">
        <v>15</v>
      </c>
      <c r="K1" s="4" t="s">
        <v>8</v>
      </c>
      <c r="L1" s="3" t="s">
        <v>16</v>
      </c>
      <c r="M1" s="5" t="s">
        <v>8</v>
      </c>
      <c r="N1" s="3" t="s">
        <v>17</v>
      </c>
      <c r="O1" s="1" t="s">
        <v>8</v>
      </c>
      <c r="P1" s="3" t="s">
        <v>18</v>
      </c>
      <c r="Q1" s="1" t="s">
        <v>8</v>
      </c>
      <c r="R1" s="51" t="s">
        <v>19</v>
      </c>
      <c r="S1" s="51"/>
      <c r="T1" s="51"/>
      <c r="U1" s="51"/>
      <c r="V1" s="51"/>
      <c r="W1" s="51"/>
      <c r="X1" s="51"/>
      <c r="Y1" s="51"/>
      <c r="Z1" s="51"/>
      <c r="AA1" s="1" t="s">
        <v>8</v>
      </c>
      <c r="AB1" s="1" t="s">
        <v>21</v>
      </c>
      <c r="AC1" s="1" t="s">
        <v>8</v>
      </c>
      <c r="AD1" s="1" t="s">
        <v>22</v>
      </c>
      <c r="AE1" s="1" t="s">
        <v>8</v>
      </c>
      <c r="AF1" s="1" t="s">
        <v>23</v>
      </c>
      <c r="AG1" s="1" t="s">
        <v>8</v>
      </c>
      <c r="AH1" s="1" t="s">
        <v>24</v>
      </c>
      <c r="AI1" s="1" t="s">
        <v>8</v>
      </c>
      <c r="AJ1" s="1" t="s">
        <v>25</v>
      </c>
      <c r="AK1" s="1" t="s">
        <v>8</v>
      </c>
      <c r="AL1" s="1"/>
    </row>
    <row r="2" spans="1:38" ht="15.75" customHeight="1" x14ac:dyDescent="0.25">
      <c r="A2" s="7">
        <v>43417.646970520829</v>
      </c>
      <c r="B2" s="6" t="s">
        <v>44</v>
      </c>
      <c r="C2" s="6" t="s">
        <v>45</v>
      </c>
      <c r="D2" s="6" t="s">
        <v>46</v>
      </c>
      <c r="E2" s="6"/>
      <c r="F2" s="6" t="s">
        <v>47</v>
      </c>
      <c r="G2" s="6" t="s">
        <v>48</v>
      </c>
      <c r="H2" s="6" t="s">
        <v>49</v>
      </c>
      <c r="I2" s="6"/>
      <c r="J2" s="6" t="s">
        <v>50</v>
      </c>
      <c r="K2" s="6"/>
      <c r="L2" s="6"/>
      <c r="M2" s="6"/>
      <c r="N2" s="6" t="s">
        <v>51</v>
      </c>
      <c r="O2" s="6"/>
      <c r="P2" s="6" t="s">
        <v>52</v>
      </c>
      <c r="Q2" s="6"/>
      <c r="R2" s="47" t="s">
        <v>4286</v>
      </c>
      <c r="S2" s="14" t="s">
        <v>3243</v>
      </c>
      <c r="T2" s="14" t="s">
        <v>3994</v>
      </c>
      <c r="AA2" s="6"/>
      <c r="AB2" s="6" t="s">
        <v>55</v>
      </c>
      <c r="AC2" s="6"/>
      <c r="AD2" s="6" t="s">
        <v>56</v>
      </c>
      <c r="AE2" s="6"/>
      <c r="AF2" s="6" t="s">
        <v>57</v>
      </c>
      <c r="AG2" s="6"/>
      <c r="AH2" s="6" t="s">
        <v>58</v>
      </c>
      <c r="AI2" s="6"/>
      <c r="AJ2" s="6" t="s">
        <v>59</v>
      </c>
    </row>
    <row r="3" spans="1:38" ht="15.75" customHeight="1" x14ac:dyDescent="0.25">
      <c r="A3" s="7">
        <v>43417.683605428239</v>
      </c>
      <c r="B3" s="6" t="s">
        <v>60</v>
      </c>
      <c r="C3" s="6" t="s">
        <v>61</v>
      </c>
      <c r="E3" s="6"/>
      <c r="F3" s="6" t="s">
        <v>62</v>
      </c>
      <c r="G3" s="6" t="s">
        <v>48</v>
      </c>
      <c r="H3" s="6" t="s">
        <v>63</v>
      </c>
      <c r="I3" s="6"/>
      <c r="J3" s="6" t="s">
        <v>64</v>
      </c>
      <c r="K3" s="6"/>
      <c r="L3" s="6"/>
      <c r="M3" s="6"/>
      <c r="N3" s="6" t="s">
        <v>51</v>
      </c>
      <c r="O3" s="6"/>
      <c r="P3" s="6" t="s">
        <v>65</v>
      </c>
      <c r="Q3" s="6"/>
      <c r="R3" s="47" t="s">
        <v>143</v>
      </c>
      <c r="S3" s="14" t="s">
        <v>5059</v>
      </c>
      <c r="AA3" s="6"/>
      <c r="AB3" s="6" t="s">
        <v>67</v>
      </c>
      <c r="AC3" s="6"/>
      <c r="AD3" s="6" t="s">
        <v>56</v>
      </c>
      <c r="AE3" s="6"/>
      <c r="AF3" s="6" t="s">
        <v>68</v>
      </c>
      <c r="AG3" s="6"/>
      <c r="AH3" s="6" t="s">
        <v>58</v>
      </c>
      <c r="AI3" s="6"/>
      <c r="AJ3" s="6" t="s">
        <v>69</v>
      </c>
    </row>
    <row r="4" spans="1:38" ht="15.75" customHeight="1" x14ac:dyDescent="0.25">
      <c r="A4" s="7">
        <v>43417.725144328702</v>
      </c>
      <c r="B4" s="6" t="s">
        <v>70</v>
      </c>
      <c r="C4" s="6" t="s">
        <v>45</v>
      </c>
      <c r="D4" s="6" t="s">
        <v>46</v>
      </c>
      <c r="E4" s="6"/>
      <c r="F4" s="6" t="s">
        <v>71</v>
      </c>
      <c r="G4" s="6" t="s">
        <v>48</v>
      </c>
      <c r="H4" s="6" t="s">
        <v>72</v>
      </c>
      <c r="I4" s="6"/>
      <c r="J4" s="6" t="s">
        <v>73</v>
      </c>
      <c r="K4" s="6"/>
      <c r="L4" s="6"/>
      <c r="M4" s="6"/>
      <c r="N4" s="6" t="s">
        <v>51</v>
      </c>
      <c r="O4" s="6"/>
      <c r="P4" s="6" t="s">
        <v>52</v>
      </c>
      <c r="Q4" s="6"/>
      <c r="R4" s="47" t="s">
        <v>192</v>
      </c>
      <c r="S4" s="14" t="s">
        <v>5059</v>
      </c>
      <c r="T4" s="14" t="s">
        <v>5842</v>
      </c>
      <c r="AA4" s="6"/>
      <c r="AB4" s="6" t="s">
        <v>55</v>
      </c>
      <c r="AC4" s="6"/>
      <c r="AD4" s="6" t="s">
        <v>56</v>
      </c>
      <c r="AE4" s="6"/>
      <c r="AF4" s="6" t="s">
        <v>75</v>
      </c>
      <c r="AG4" s="6"/>
      <c r="AH4" s="6" t="s">
        <v>76</v>
      </c>
      <c r="AI4" s="6"/>
      <c r="AJ4" s="6" t="s">
        <v>77</v>
      </c>
    </row>
    <row r="5" spans="1:38" ht="15.75" customHeight="1" x14ac:dyDescent="0.25">
      <c r="A5" s="7">
        <v>43417.869383425925</v>
      </c>
      <c r="B5" s="6" t="s">
        <v>78</v>
      </c>
      <c r="C5" s="6" t="s">
        <v>79</v>
      </c>
      <c r="D5" s="6" t="s">
        <v>46</v>
      </c>
      <c r="E5" s="6"/>
      <c r="F5" s="6" t="s">
        <v>80</v>
      </c>
      <c r="G5" s="6" t="s">
        <v>81</v>
      </c>
      <c r="H5" s="6" t="s">
        <v>82</v>
      </c>
      <c r="I5" s="6"/>
      <c r="J5" s="6" t="s">
        <v>73</v>
      </c>
      <c r="K5" s="6"/>
      <c r="L5" s="6"/>
      <c r="M5" s="6"/>
      <c r="N5" s="6" t="s">
        <v>51</v>
      </c>
      <c r="O5" s="6"/>
      <c r="P5" s="6" t="s">
        <v>65</v>
      </c>
      <c r="Q5" s="6"/>
      <c r="R5" s="47" t="s">
        <v>5843</v>
      </c>
      <c r="S5" s="14" t="s">
        <v>969</v>
      </c>
      <c r="T5" s="14" t="s">
        <v>5844</v>
      </c>
      <c r="AA5" s="6"/>
      <c r="AB5" s="6" t="s">
        <v>67</v>
      </c>
      <c r="AC5" s="6"/>
      <c r="AD5" s="6" t="s">
        <v>56</v>
      </c>
      <c r="AE5" s="6"/>
      <c r="AF5" s="6" t="s">
        <v>75</v>
      </c>
      <c r="AG5" s="6"/>
      <c r="AH5" s="6" t="s">
        <v>58</v>
      </c>
      <c r="AI5" s="6"/>
      <c r="AJ5" s="6" t="s">
        <v>77</v>
      </c>
    </row>
    <row r="6" spans="1:38" ht="15.75" customHeight="1" x14ac:dyDescent="0.25">
      <c r="A6" s="7">
        <v>43417.905138414353</v>
      </c>
      <c r="B6" s="6" t="s">
        <v>44</v>
      </c>
      <c r="C6" s="6" t="s">
        <v>85</v>
      </c>
      <c r="F6" s="6" t="s">
        <v>86</v>
      </c>
      <c r="G6" s="6" t="s">
        <v>87</v>
      </c>
      <c r="H6" s="6" t="s">
        <v>88</v>
      </c>
      <c r="I6" s="6"/>
      <c r="J6" s="6" t="s">
        <v>89</v>
      </c>
      <c r="K6" s="6"/>
      <c r="N6" s="6" t="s">
        <v>51</v>
      </c>
      <c r="O6" s="6"/>
      <c r="P6" s="6" t="s">
        <v>65</v>
      </c>
      <c r="Q6" s="6"/>
      <c r="AA6" s="6"/>
      <c r="AB6" s="6" t="s">
        <v>67</v>
      </c>
      <c r="AC6" s="6"/>
      <c r="AD6" s="6" t="s">
        <v>57</v>
      </c>
      <c r="AE6" s="6"/>
      <c r="AF6" s="6" t="s">
        <v>57</v>
      </c>
      <c r="AG6" s="6"/>
      <c r="AH6" s="6" t="s">
        <v>57</v>
      </c>
      <c r="AJ6" s="11" t="s">
        <v>57</v>
      </c>
    </row>
    <row r="7" spans="1:38" ht="15.75" customHeight="1" x14ac:dyDescent="0.25">
      <c r="A7" s="7">
        <v>43418.489059479165</v>
      </c>
      <c r="B7" s="6" t="s">
        <v>30</v>
      </c>
      <c r="C7" s="6" t="s">
        <v>90</v>
      </c>
      <c r="D7" s="6" t="s">
        <v>91</v>
      </c>
      <c r="E7" s="6" t="s">
        <v>81</v>
      </c>
      <c r="G7" s="6" t="s">
        <v>87</v>
      </c>
      <c r="J7" s="6" t="s">
        <v>92</v>
      </c>
      <c r="K7" s="6"/>
      <c r="N7" s="6" t="s">
        <v>93</v>
      </c>
      <c r="O7" s="6"/>
      <c r="P7" s="6" t="s">
        <v>94</v>
      </c>
      <c r="Q7" s="6"/>
      <c r="AA7" s="6"/>
      <c r="AB7" s="6" t="s">
        <v>67</v>
      </c>
      <c r="AC7" s="6"/>
      <c r="AD7" s="6" t="s">
        <v>57</v>
      </c>
      <c r="AE7" s="6"/>
      <c r="AF7" s="6" t="s">
        <v>57</v>
      </c>
      <c r="AG7" s="6"/>
      <c r="AH7" s="6" t="s">
        <v>76</v>
      </c>
      <c r="AJ7" s="11" t="s">
        <v>57</v>
      </c>
    </row>
    <row r="8" spans="1:38" ht="15.75" customHeight="1" x14ac:dyDescent="0.25">
      <c r="A8" s="7">
        <v>43418.490131342594</v>
      </c>
      <c r="B8" s="6" t="s">
        <v>26</v>
      </c>
      <c r="C8" s="6" t="s">
        <v>95</v>
      </c>
      <c r="D8" s="6" t="s">
        <v>46</v>
      </c>
      <c r="E8" s="6" t="s">
        <v>81</v>
      </c>
      <c r="G8" s="6" t="s">
        <v>87</v>
      </c>
      <c r="H8" s="6" t="s">
        <v>96</v>
      </c>
      <c r="I8" s="6"/>
      <c r="J8" s="6" t="s">
        <v>50</v>
      </c>
      <c r="K8" s="6"/>
      <c r="L8" s="6" t="s">
        <v>97</v>
      </c>
      <c r="M8" s="6"/>
      <c r="N8" s="6" t="s">
        <v>98</v>
      </c>
      <c r="O8" s="6"/>
      <c r="P8" s="6" t="s">
        <v>99</v>
      </c>
      <c r="Q8" s="6"/>
      <c r="R8" s="47" t="s">
        <v>2751</v>
      </c>
      <c r="S8" s="14" t="s">
        <v>4391</v>
      </c>
      <c r="AA8" s="6"/>
      <c r="AB8" s="6" t="s">
        <v>101</v>
      </c>
      <c r="AC8" s="6"/>
      <c r="AD8" s="6" t="s">
        <v>57</v>
      </c>
      <c r="AE8" s="6"/>
      <c r="AF8" s="6" t="s">
        <v>68</v>
      </c>
      <c r="AG8" s="6"/>
      <c r="AH8" s="6" t="s">
        <v>58</v>
      </c>
      <c r="AI8" s="6"/>
      <c r="AJ8" s="6" t="s">
        <v>102</v>
      </c>
    </row>
    <row r="9" spans="1:38" ht="15.75" customHeight="1" x14ac:dyDescent="0.25">
      <c r="A9" s="7">
        <v>43418.49075271991</v>
      </c>
      <c r="B9" s="6" t="s">
        <v>103</v>
      </c>
      <c r="C9" s="6" t="s">
        <v>104</v>
      </c>
      <c r="D9" s="6" t="s">
        <v>46</v>
      </c>
      <c r="E9" s="6" t="s">
        <v>81</v>
      </c>
      <c r="G9" s="6" t="s">
        <v>87</v>
      </c>
      <c r="H9" s="6" t="s">
        <v>105</v>
      </c>
      <c r="I9" s="6"/>
      <c r="J9" s="6" t="s">
        <v>106</v>
      </c>
      <c r="K9" s="6"/>
      <c r="L9" s="6" t="s">
        <v>107</v>
      </c>
      <c r="M9" s="6"/>
      <c r="N9" s="6" t="s">
        <v>51</v>
      </c>
      <c r="O9" s="6"/>
      <c r="P9" s="6" t="s">
        <v>52</v>
      </c>
      <c r="Q9" s="6"/>
      <c r="R9" s="47" t="s">
        <v>2751</v>
      </c>
      <c r="S9" s="14" t="s">
        <v>4392</v>
      </c>
      <c r="T9" s="14" t="s">
        <v>4393</v>
      </c>
      <c r="U9" s="14" t="s">
        <v>4394</v>
      </c>
      <c r="V9" s="14" t="s">
        <v>4395</v>
      </c>
      <c r="AA9" s="6"/>
      <c r="AB9" s="6" t="s">
        <v>55</v>
      </c>
      <c r="AC9" s="6"/>
      <c r="AD9" s="6" t="s">
        <v>109</v>
      </c>
      <c r="AE9" s="6"/>
      <c r="AF9" s="6" t="s">
        <v>75</v>
      </c>
      <c r="AG9" s="6"/>
      <c r="AH9" s="6" t="s">
        <v>58</v>
      </c>
      <c r="AI9" s="6"/>
      <c r="AJ9" s="6" t="s">
        <v>77</v>
      </c>
    </row>
    <row r="10" spans="1:38" ht="15.75" customHeight="1" x14ac:dyDescent="0.25">
      <c r="A10" s="7">
        <v>43418.491404930552</v>
      </c>
      <c r="B10" s="6" t="s">
        <v>30</v>
      </c>
      <c r="C10" s="6" t="s">
        <v>85</v>
      </c>
      <c r="D10" s="6" t="s">
        <v>46</v>
      </c>
      <c r="E10" s="6" t="s">
        <v>81</v>
      </c>
      <c r="G10" s="6" t="s">
        <v>87</v>
      </c>
      <c r="J10" s="6" t="s">
        <v>110</v>
      </c>
      <c r="K10" s="6"/>
      <c r="L10" s="6" t="s">
        <v>111</v>
      </c>
      <c r="M10" s="6"/>
      <c r="N10" s="6" t="s">
        <v>112</v>
      </c>
      <c r="O10" s="6"/>
      <c r="P10" s="6" t="s">
        <v>99</v>
      </c>
      <c r="Q10" s="6"/>
      <c r="R10" s="47" t="s">
        <v>3460</v>
      </c>
      <c r="S10" s="14" t="s">
        <v>4250</v>
      </c>
      <c r="T10" s="14" t="s">
        <v>4803</v>
      </c>
      <c r="AA10" s="6"/>
      <c r="AB10" s="6" t="s">
        <v>67</v>
      </c>
      <c r="AC10" s="6"/>
      <c r="AD10" s="6" t="s">
        <v>56</v>
      </c>
      <c r="AE10" s="6"/>
      <c r="AF10" s="6" t="s">
        <v>75</v>
      </c>
      <c r="AG10" s="6"/>
      <c r="AH10" s="6" t="s">
        <v>76</v>
      </c>
      <c r="AI10" s="6"/>
      <c r="AJ10" s="6" t="s">
        <v>115</v>
      </c>
    </row>
    <row r="11" spans="1:38" ht="15.75" customHeight="1" x14ac:dyDescent="0.25">
      <c r="A11" s="7">
        <v>43418.491769166663</v>
      </c>
      <c r="B11" s="6" t="s">
        <v>103</v>
      </c>
      <c r="C11" s="6" t="s">
        <v>90</v>
      </c>
      <c r="D11" s="6" t="s">
        <v>46</v>
      </c>
      <c r="E11" s="6" t="s">
        <v>81</v>
      </c>
      <c r="J11" s="6" t="s">
        <v>92</v>
      </c>
      <c r="K11" s="6"/>
      <c r="N11" s="6" t="s">
        <v>93</v>
      </c>
      <c r="O11" s="6"/>
      <c r="P11" s="6" t="s">
        <v>94</v>
      </c>
      <c r="Q11" s="6"/>
      <c r="AA11" s="6"/>
      <c r="AB11" s="6" t="s">
        <v>55</v>
      </c>
      <c r="AC11" s="6"/>
      <c r="AD11" s="6" t="s">
        <v>56</v>
      </c>
      <c r="AE11" s="6"/>
      <c r="AF11" s="6" t="s">
        <v>75</v>
      </c>
      <c r="AG11" s="6"/>
      <c r="AH11" s="6" t="s">
        <v>57</v>
      </c>
      <c r="AJ11" s="11" t="s">
        <v>57</v>
      </c>
    </row>
    <row r="12" spans="1:38" ht="15.75" customHeight="1" x14ac:dyDescent="0.25">
      <c r="A12" s="7">
        <v>43418.49185392361</v>
      </c>
      <c r="B12" s="6" t="s">
        <v>30</v>
      </c>
      <c r="C12" s="6" t="s">
        <v>116</v>
      </c>
      <c r="D12" s="6" t="s">
        <v>46</v>
      </c>
      <c r="E12" s="6" t="s">
        <v>81</v>
      </c>
      <c r="G12" s="6" t="s">
        <v>87</v>
      </c>
      <c r="J12" s="6" t="s">
        <v>50</v>
      </c>
      <c r="K12" s="6"/>
      <c r="L12" s="6" t="s">
        <v>117</v>
      </c>
      <c r="M12" s="6"/>
      <c r="N12" s="6" t="s">
        <v>93</v>
      </c>
      <c r="O12" s="6"/>
      <c r="P12" s="6" t="s">
        <v>94</v>
      </c>
      <c r="Q12" s="6"/>
      <c r="R12" s="47" t="s">
        <v>3640</v>
      </c>
      <c r="S12" s="14" t="s">
        <v>4398</v>
      </c>
      <c r="AA12" s="6"/>
      <c r="AB12" s="6" t="s">
        <v>101</v>
      </c>
      <c r="AC12" s="6"/>
      <c r="AD12" s="6" t="s">
        <v>56</v>
      </c>
      <c r="AE12" s="6"/>
      <c r="AF12" s="6" t="s">
        <v>57</v>
      </c>
      <c r="AG12" s="6"/>
      <c r="AH12" s="6" t="s">
        <v>57</v>
      </c>
      <c r="AI12" s="6"/>
      <c r="AJ12" s="6" t="s">
        <v>69</v>
      </c>
    </row>
    <row r="13" spans="1:38" ht="15.75" customHeight="1" x14ac:dyDescent="0.25">
      <c r="A13" s="7">
        <v>43418.492638541662</v>
      </c>
      <c r="B13" s="6" t="s">
        <v>30</v>
      </c>
      <c r="C13" s="6" t="s">
        <v>116</v>
      </c>
      <c r="D13" s="6" t="s">
        <v>46</v>
      </c>
      <c r="E13" s="6" t="s">
        <v>81</v>
      </c>
      <c r="G13" s="6" t="s">
        <v>87</v>
      </c>
      <c r="J13" s="6" t="s">
        <v>92</v>
      </c>
      <c r="K13" s="6"/>
      <c r="L13" s="6" t="s">
        <v>120</v>
      </c>
      <c r="M13" s="6"/>
      <c r="N13" s="6" t="s">
        <v>121</v>
      </c>
      <c r="O13" s="6"/>
      <c r="P13" s="6" t="s">
        <v>94</v>
      </c>
      <c r="Q13" s="6"/>
      <c r="R13" s="47" t="s">
        <v>4399</v>
      </c>
      <c r="S13" s="14" t="s">
        <v>4400</v>
      </c>
      <c r="AA13" s="6"/>
      <c r="AB13" s="6" t="s">
        <v>101</v>
      </c>
      <c r="AC13" s="6"/>
      <c r="AD13" s="6" t="s">
        <v>56</v>
      </c>
      <c r="AE13" s="6"/>
      <c r="AF13" s="6" t="s">
        <v>75</v>
      </c>
      <c r="AG13" s="6"/>
      <c r="AH13" s="6" t="s">
        <v>58</v>
      </c>
      <c r="AI13" s="6"/>
      <c r="AJ13" s="6" t="s">
        <v>69</v>
      </c>
    </row>
    <row r="14" spans="1:38" ht="15.75" customHeight="1" x14ac:dyDescent="0.25">
      <c r="A14" s="7">
        <v>43418.492641435187</v>
      </c>
      <c r="B14" s="6" t="s">
        <v>30</v>
      </c>
      <c r="C14" s="6" t="s">
        <v>79</v>
      </c>
      <c r="D14" s="6" t="s">
        <v>46</v>
      </c>
      <c r="E14" s="6" t="s">
        <v>81</v>
      </c>
      <c r="G14" s="6" t="s">
        <v>87</v>
      </c>
      <c r="H14" s="6" t="s">
        <v>123</v>
      </c>
      <c r="I14" s="6"/>
      <c r="J14" s="6" t="s">
        <v>106</v>
      </c>
      <c r="K14" s="6"/>
      <c r="L14" s="6" t="s">
        <v>124</v>
      </c>
      <c r="M14" s="6"/>
      <c r="N14" s="6" t="s">
        <v>98</v>
      </c>
      <c r="O14" s="6"/>
      <c r="P14" s="6" t="s">
        <v>94</v>
      </c>
      <c r="Q14" s="6"/>
      <c r="R14" s="47" t="s">
        <v>5845</v>
      </c>
      <c r="AA14" s="6"/>
      <c r="AB14" s="6" t="s">
        <v>101</v>
      </c>
      <c r="AC14" s="6"/>
      <c r="AD14" s="6" t="s">
        <v>56</v>
      </c>
      <c r="AE14" s="6"/>
      <c r="AF14" s="6" t="s">
        <v>75</v>
      </c>
      <c r="AG14" s="6"/>
      <c r="AH14" s="6" t="s">
        <v>126</v>
      </c>
      <c r="AI14" s="6"/>
      <c r="AJ14" s="6" t="s">
        <v>69</v>
      </c>
    </row>
    <row r="15" spans="1:38" ht="15.75" customHeight="1" x14ac:dyDescent="0.25">
      <c r="A15" s="7">
        <v>43418.492694768516</v>
      </c>
      <c r="B15" s="6" t="s">
        <v>127</v>
      </c>
      <c r="C15" s="6" t="s">
        <v>128</v>
      </c>
      <c r="D15" s="6" t="s">
        <v>129</v>
      </c>
      <c r="E15" s="6" t="s">
        <v>81</v>
      </c>
      <c r="G15" s="6" t="s">
        <v>87</v>
      </c>
      <c r="J15" s="6" t="s">
        <v>92</v>
      </c>
      <c r="K15" s="6"/>
      <c r="L15" s="6" t="s">
        <v>130</v>
      </c>
      <c r="M15" s="6"/>
      <c r="N15" s="6" t="s">
        <v>112</v>
      </c>
      <c r="O15" s="6"/>
      <c r="P15" s="6" t="s">
        <v>131</v>
      </c>
      <c r="Q15" s="6"/>
      <c r="AA15" s="6"/>
      <c r="AB15" s="6" t="s">
        <v>67</v>
      </c>
      <c r="AC15" s="6"/>
      <c r="AD15" s="6" t="s">
        <v>56</v>
      </c>
      <c r="AE15" s="6"/>
      <c r="AF15" s="6" t="s">
        <v>75</v>
      </c>
      <c r="AG15" s="6"/>
      <c r="AH15" s="6" t="s">
        <v>76</v>
      </c>
      <c r="AI15" s="6"/>
      <c r="AJ15" s="11" t="s">
        <v>132</v>
      </c>
    </row>
    <row r="16" spans="1:38" ht="15.75" customHeight="1" x14ac:dyDescent="0.25">
      <c r="A16" s="7">
        <v>43418.492715821762</v>
      </c>
      <c r="B16" s="6" t="s">
        <v>30</v>
      </c>
      <c r="C16" s="6" t="s">
        <v>116</v>
      </c>
      <c r="D16" s="6" t="s">
        <v>133</v>
      </c>
      <c r="E16" s="6" t="s">
        <v>81</v>
      </c>
      <c r="G16" s="6" t="s">
        <v>87</v>
      </c>
      <c r="H16" s="6" t="s">
        <v>134</v>
      </c>
      <c r="I16" s="6"/>
      <c r="J16" s="6" t="s">
        <v>64</v>
      </c>
      <c r="K16" s="6"/>
      <c r="L16" s="6" t="s">
        <v>135</v>
      </c>
      <c r="M16" s="6"/>
      <c r="N16" s="6" t="s">
        <v>121</v>
      </c>
      <c r="O16" s="6"/>
      <c r="P16" s="6" t="s">
        <v>94</v>
      </c>
      <c r="Q16" s="6"/>
      <c r="R16" s="47" t="s">
        <v>242</v>
      </c>
      <c r="S16" s="14" t="s">
        <v>4401</v>
      </c>
      <c r="T16" s="14" t="s">
        <v>4402</v>
      </c>
      <c r="AA16" s="6"/>
      <c r="AB16" s="6" t="s">
        <v>55</v>
      </c>
      <c r="AC16" s="6"/>
      <c r="AD16" s="6" t="s">
        <v>56</v>
      </c>
      <c r="AE16" s="6"/>
      <c r="AF16" s="6" t="s">
        <v>75</v>
      </c>
      <c r="AG16" s="6"/>
      <c r="AH16" s="6" t="s">
        <v>58</v>
      </c>
      <c r="AI16" s="6"/>
      <c r="AJ16" s="6" t="s">
        <v>137</v>
      </c>
    </row>
    <row r="17" spans="1:36" ht="15.75" customHeight="1" x14ac:dyDescent="0.25">
      <c r="A17" s="7">
        <v>43418.492728472222</v>
      </c>
      <c r="B17" s="6" t="s">
        <v>103</v>
      </c>
      <c r="C17" s="6" t="s">
        <v>79</v>
      </c>
      <c r="D17" s="6" t="s">
        <v>138</v>
      </c>
      <c r="E17" s="6" t="s">
        <v>48</v>
      </c>
      <c r="F17" s="6" t="s">
        <v>139</v>
      </c>
      <c r="G17" s="6" t="s">
        <v>48</v>
      </c>
      <c r="H17" s="6" t="s">
        <v>140</v>
      </c>
      <c r="I17" s="6"/>
      <c r="J17" s="6" t="s">
        <v>73</v>
      </c>
      <c r="K17" s="6"/>
      <c r="L17" s="6" t="s">
        <v>141</v>
      </c>
      <c r="M17" s="6"/>
      <c r="N17" s="6" t="s">
        <v>51</v>
      </c>
      <c r="O17" s="6"/>
      <c r="P17" s="6" t="s">
        <v>52</v>
      </c>
      <c r="Q17" s="6"/>
      <c r="R17" s="47" t="s">
        <v>143</v>
      </c>
      <c r="AA17" s="6"/>
      <c r="AB17" s="6" t="s">
        <v>55</v>
      </c>
      <c r="AC17" s="6"/>
      <c r="AD17" s="6" t="s">
        <v>56</v>
      </c>
      <c r="AE17" s="6"/>
      <c r="AF17" s="6" t="s">
        <v>75</v>
      </c>
      <c r="AG17" s="6"/>
      <c r="AH17" s="6" t="s">
        <v>144</v>
      </c>
      <c r="AI17" s="6"/>
      <c r="AJ17" s="6" t="s">
        <v>115</v>
      </c>
    </row>
    <row r="18" spans="1:36" ht="15.75" customHeight="1" x14ac:dyDescent="0.25">
      <c r="A18" s="7">
        <v>43418.492774224535</v>
      </c>
      <c r="B18" s="6" t="s">
        <v>60</v>
      </c>
      <c r="C18" s="6" t="s">
        <v>79</v>
      </c>
      <c r="D18" s="6" t="s">
        <v>46</v>
      </c>
      <c r="E18" s="6" t="s">
        <v>48</v>
      </c>
      <c r="F18" s="6" t="s">
        <v>146</v>
      </c>
      <c r="G18" s="6" t="s">
        <v>48</v>
      </c>
      <c r="H18" s="6" t="s">
        <v>147</v>
      </c>
      <c r="I18" s="6"/>
      <c r="J18" s="6" t="s">
        <v>106</v>
      </c>
      <c r="K18" s="6"/>
      <c r="L18" s="6" t="s">
        <v>148</v>
      </c>
      <c r="M18" s="6"/>
      <c r="N18" s="6" t="s">
        <v>112</v>
      </c>
      <c r="O18" s="6"/>
      <c r="P18" s="6" t="s">
        <v>99</v>
      </c>
      <c r="Q18" s="6"/>
      <c r="R18" s="47" t="s">
        <v>4403</v>
      </c>
      <c r="S18" s="14" t="s">
        <v>4404</v>
      </c>
      <c r="AA18" s="6"/>
      <c r="AB18" s="6" t="s">
        <v>67</v>
      </c>
      <c r="AC18" s="6"/>
      <c r="AD18" s="6" t="s">
        <v>56</v>
      </c>
      <c r="AE18" s="6"/>
      <c r="AF18" s="6" t="s">
        <v>75</v>
      </c>
      <c r="AG18" s="6"/>
      <c r="AH18" s="6" t="s">
        <v>58</v>
      </c>
      <c r="AI18" s="6"/>
      <c r="AJ18" s="6" t="s">
        <v>115</v>
      </c>
    </row>
    <row r="19" spans="1:36" ht="15.75" customHeight="1" x14ac:dyDescent="0.25">
      <c r="A19" s="7">
        <v>43418.493257835653</v>
      </c>
      <c r="B19" s="6" t="s">
        <v>30</v>
      </c>
      <c r="C19" s="6" t="s">
        <v>95</v>
      </c>
      <c r="D19" s="6" t="s">
        <v>138</v>
      </c>
      <c r="E19" s="6" t="s">
        <v>81</v>
      </c>
      <c r="G19" s="6" t="s">
        <v>87</v>
      </c>
      <c r="J19" s="6" t="s">
        <v>89</v>
      </c>
      <c r="K19" s="6"/>
      <c r="L19" s="6" t="s">
        <v>151</v>
      </c>
      <c r="M19" s="6"/>
      <c r="N19" s="6" t="s">
        <v>98</v>
      </c>
      <c r="O19" s="6"/>
      <c r="P19" s="6" t="s">
        <v>131</v>
      </c>
      <c r="Q19" s="6"/>
      <c r="AA19" s="6"/>
      <c r="AB19" s="6" t="s">
        <v>67</v>
      </c>
      <c r="AC19" s="6"/>
      <c r="AD19" s="6" t="s">
        <v>56</v>
      </c>
      <c r="AE19" s="6"/>
      <c r="AF19" s="6" t="s">
        <v>75</v>
      </c>
      <c r="AG19" s="6"/>
      <c r="AH19" s="6" t="s">
        <v>58</v>
      </c>
      <c r="AI19" s="6"/>
      <c r="AJ19" s="6" t="s">
        <v>77</v>
      </c>
    </row>
    <row r="20" spans="1:36" ht="15.75" customHeight="1" x14ac:dyDescent="0.25">
      <c r="A20" s="7">
        <v>43418.493624583338</v>
      </c>
      <c r="B20" s="6" t="s">
        <v>30</v>
      </c>
      <c r="C20" s="6" t="s">
        <v>116</v>
      </c>
      <c r="D20" s="6" t="s">
        <v>133</v>
      </c>
      <c r="E20" s="6" t="s">
        <v>81</v>
      </c>
      <c r="G20" s="6" t="s">
        <v>87</v>
      </c>
      <c r="J20" s="6" t="s">
        <v>92</v>
      </c>
      <c r="K20" s="6"/>
      <c r="L20" s="6" t="s">
        <v>152</v>
      </c>
      <c r="M20" s="6"/>
      <c r="N20" s="6" t="s">
        <v>121</v>
      </c>
      <c r="O20" s="6"/>
      <c r="P20" s="6" t="s">
        <v>94</v>
      </c>
      <c r="Q20" s="6"/>
      <c r="R20" s="47" t="s">
        <v>3618</v>
      </c>
      <c r="S20" s="14" t="s">
        <v>4405</v>
      </c>
      <c r="T20" s="14" t="s">
        <v>4406</v>
      </c>
      <c r="U20" s="14" t="s">
        <v>4407</v>
      </c>
      <c r="V20" s="14" t="s">
        <v>4408</v>
      </c>
      <c r="W20" s="14" t="s">
        <v>4409</v>
      </c>
      <c r="AA20" s="6"/>
      <c r="AB20" s="6" t="s">
        <v>67</v>
      </c>
      <c r="AC20" s="6"/>
      <c r="AD20" s="6" t="s">
        <v>57</v>
      </c>
      <c r="AE20" s="6"/>
      <c r="AF20" s="6" t="s">
        <v>75</v>
      </c>
      <c r="AG20" s="6"/>
      <c r="AH20" s="6" t="s">
        <v>126</v>
      </c>
      <c r="AI20" s="6"/>
      <c r="AJ20" s="6" t="s">
        <v>77</v>
      </c>
    </row>
    <row r="21" spans="1:36" ht="15.75" customHeight="1" x14ac:dyDescent="0.25">
      <c r="A21" s="7">
        <v>43418.493829872685</v>
      </c>
      <c r="B21" s="6" t="s">
        <v>154</v>
      </c>
      <c r="C21" s="6" t="s">
        <v>45</v>
      </c>
      <c r="D21" s="6" t="s">
        <v>155</v>
      </c>
      <c r="E21" s="6" t="s">
        <v>48</v>
      </c>
      <c r="F21" s="6" t="s">
        <v>156</v>
      </c>
      <c r="G21" s="6" t="s">
        <v>48</v>
      </c>
      <c r="H21" s="6" t="s">
        <v>157</v>
      </c>
      <c r="I21" s="6"/>
      <c r="J21" s="6" t="s">
        <v>158</v>
      </c>
      <c r="K21" s="6"/>
      <c r="L21" s="6" t="s">
        <v>159</v>
      </c>
      <c r="M21" s="6"/>
      <c r="N21" s="6" t="s">
        <v>51</v>
      </c>
      <c r="O21" s="6"/>
      <c r="P21" s="6" t="s">
        <v>65</v>
      </c>
      <c r="Q21" s="6"/>
      <c r="R21" s="47" t="s">
        <v>4410</v>
      </c>
      <c r="T21" s="14" t="s">
        <v>5277</v>
      </c>
      <c r="AA21" s="6"/>
      <c r="AB21" s="6" t="s">
        <v>101</v>
      </c>
      <c r="AC21" s="6"/>
      <c r="AD21" s="6" t="s">
        <v>56</v>
      </c>
      <c r="AE21" s="6"/>
      <c r="AF21" s="6" t="s">
        <v>161</v>
      </c>
      <c r="AG21" s="6"/>
      <c r="AH21" s="6" t="s">
        <v>58</v>
      </c>
      <c r="AI21" s="6"/>
      <c r="AJ21" s="6" t="s">
        <v>162</v>
      </c>
    </row>
    <row r="22" spans="1:36" ht="15.75" customHeight="1" x14ac:dyDescent="0.25">
      <c r="A22" s="7">
        <v>43418.494669444444</v>
      </c>
      <c r="B22" s="6" t="s">
        <v>30</v>
      </c>
      <c r="C22" s="6" t="s">
        <v>128</v>
      </c>
      <c r="D22" s="6" t="s">
        <v>163</v>
      </c>
      <c r="E22" s="6" t="s">
        <v>81</v>
      </c>
      <c r="G22" s="6" t="s">
        <v>81</v>
      </c>
      <c r="J22" s="6" t="s">
        <v>158</v>
      </c>
      <c r="K22" s="6"/>
      <c r="L22" s="6" t="s">
        <v>164</v>
      </c>
      <c r="M22" s="6"/>
      <c r="N22" s="6" t="s">
        <v>51</v>
      </c>
      <c r="O22" s="6"/>
      <c r="P22" s="6" t="s">
        <v>52</v>
      </c>
      <c r="Q22" s="6"/>
      <c r="AA22" s="6"/>
      <c r="AB22" s="6" t="s">
        <v>67</v>
      </c>
      <c r="AC22" s="6"/>
      <c r="AD22" s="6" t="s">
        <v>56</v>
      </c>
      <c r="AE22" s="6"/>
      <c r="AF22" s="6" t="s">
        <v>68</v>
      </c>
      <c r="AG22" s="6"/>
      <c r="AH22" s="6" t="s">
        <v>76</v>
      </c>
      <c r="AI22" s="6"/>
      <c r="AJ22" s="11" t="s">
        <v>115</v>
      </c>
    </row>
    <row r="23" spans="1:36" ht="15.75" customHeight="1" x14ac:dyDescent="0.25">
      <c r="A23" s="7">
        <v>43418.494980648145</v>
      </c>
      <c r="B23" s="6" t="s">
        <v>30</v>
      </c>
      <c r="C23" s="6" t="s">
        <v>116</v>
      </c>
      <c r="E23" s="6" t="s">
        <v>81</v>
      </c>
      <c r="G23" s="6" t="s">
        <v>87</v>
      </c>
      <c r="J23" s="6" t="s">
        <v>92</v>
      </c>
      <c r="K23" s="6"/>
      <c r="L23" s="6" t="s">
        <v>166</v>
      </c>
      <c r="M23" s="6"/>
      <c r="N23" s="6" t="s">
        <v>167</v>
      </c>
      <c r="O23" s="6"/>
      <c r="P23" s="6" t="s">
        <v>168</v>
      </c>
      <c r="Q23" s="6"/>
      <c r="R23" s="47" t="s">
        <v>169</v>
      </c>
      <c r="AA23" s="6"/>
      <c r="AB23" s="6" t="s">
        <v>67</v>
      </c>
      <c r="AC23" s="6"/>
      <c r="AD23" s="6" t="s">
        <v>56</v>
      </c>
      <c r="AE23" s="6"/>
      <c r="AF23" s="6" t="s">
        <v>68</v>
      </c>
      <c r="AG23" s="6"/>
      <c r="AH23" s="6" t="s">
        <v>126</v>
      </c>
      <c r="AI23" s="6"/>
      <c r="AJ23" s="6" t="s">
        <v>170</v>
      </c>
    </row>
    <row r="24" spans="1:36" ht="15.75" customHeight="1" x14ac:dyDescent="0.25">
      <c r="A24" s="7">
        <v>43418.495019456022</v>
      </c>
      <c r="B24" s="6" t="s">
        <v>60</v>
      </c>
      <c r="C24" s="6" t="s">
        <v>128</v>
      </c>
      <c r="D24" s="6" t="s">
        <v>46</v>
      </c>
      <c r="E24" s="6" t="s">
        <v>81</v>
      </c>
      <c r="G24" s="6" t="s">
        <v>87</v>
      </c>
      <c r="H24" s="6" t="s">
        <v>171</v>
      </c>
      <c r="I24" s="6"/>
      <c r="J24" s="6" t="s">
        <v>106</v>
      </c>
      <c r="K24" s="6"/>
      <c r="L24" s="6" t="s">
        <v>172</v>
      </c>
      <c r="M24" s="6"/>
      <c r="N24" s="6" t="s">
        <v>98</v>
      </c>
      <c r="O24" s="6"/>
      <c r="P24" s="6" t="s">
        <v>94</v>
      </c>
      <c r="Q24" s="6"/>
      <c r="R24" s="47" t="s">
        <v>149</v>
      </c>
      <c r="S24" s="14" t="s">
        <v>4411</v>
      </c>
      <c r="AA24" s="6"/>
      <c r="AB24" s="6" t="s">
        <v>67</v>
      </c>
      <c r="AC24" s="6"/>
      <c r="AD24" s="6" t="s">
        <v>56</v>
      </c>
      <c r="AE24" s="6"/>
      <c r="AF24" s="6" t="s">
        <v>75</v>
      </c>
      <c r="AG24" s="6"/>
      <c r="AH24" s="6" t="s">
        <v>76</v>
      </c>
      <c r="AI24" s="6"/>
      <c r="AJ24" s="6" t="s">
        <v>174</v>
      </c>
    </row>
    <row r="25" spans="1:36" ht="15.75" customHeight="1" x14ac:dyDescent="0.25">
      <c r="A25" s="7">
        <v>43418.495050393518</v>
      </c>
      <c r="B25" s="6" t="s">
        <v>26</v>
      </c>
      <c r="C25" s="6" t="s">
        <v>95</v>
      </c>
      <c r="E25" s="6" t="s">
        <v>81</v>
      </c>
      <c r="G25" s="6" t="s">
        <v>87</v>
      </c>
      <c r="H25" s="6" t="s">
        <v>177</v>
      </c>
      <c r="I25" s="6"/>
      <c r="J25" s="6" t="s">
        <v>106</v>
      </c>
      <c r="K25" s="6"/>
      <c r="L25" s="6" t="s">
        <v>178</v>
      </c>
      <c r="M25" s="6"/>
      <c r="N25" s="6" t="s">
        <v>98</v>
      </c>
      <c r="O25" s="6"/>
      <c r="P25" s="6" t="s">
        <v>94</v>
      </c>
      <c r="Q25" s="6"/>
      <c r="R25" s="47" t="s">
        <v>180</v>
      </c>
      <c r="AA25" s="6"/>
      <c r="AB25" s="6" t="s">
        <v>67</v>
      </c>
      <c r="AC25" s="6"/>
      <c r="AD25" s="6" t="s">
        <v>56</v>
      </c>
      <c r="AE25" s="6"/>
      <c r="AF25" s="6" t="s">
        <v>75</v>
      </c>
      <c r="AG25" s="6"/>
      <c r="AH25" s="6" t="s">
        <v>126</v>
      </c>
      <c r="AI25" s="6"/>
      <c r="AJ25" s="6" t="s">
        <v>174</v>
      </c>
    </row>
    <row r="26" spans="1:36" ht="15.75" customHeight="1" x14ac:dyDescent="0.25">
      <c r="A26" s="7">
        <v>43418.495192627313</v>
      </c>
      <c r="B26" s="6" t="s">
        <v>127</v>
      </c>
      <c r="C26" s="6" t="s">
        <v>90</v>
      </c>
      <c r="D26" s="6" t="s">
        <v>46</v>
      </c>
      <c r="E26" s="6" t="s">
        <v>48</v>
      </c>
      <c r="F26" s="6" t="s">
        <v>183</v>
      </c>
      <c r="G26" s="6" t="s">
        <v>48</v>
      </c>
      <c r="J26" s="6" t="s">
        <v>184</v>
      </c>
      <c r="K26" s="6"/>
      <c r="N26" s="6" t="s">
        <v>121</v>
      </c>
      <c r="O26" s="6"/>
      <c r="P26" s="6" t="s">
        <v>94</v>
      </c>
      <c r="Q26" s="6"/>
      <c r="R26" s="47" t="s">
        <v>185</v>
      </c>
      <c r="AA26" s="6"/>
      <c r="AB26" s="6" t="s">
        <v>55</v>
      </c>
      <c r="AC26" s="6"/>
      <c r="AD26" s="6" t="s">
        <v>56</v>
      </c>
      <c r="AE26" s="6"/>
      <c r="AF26" s="6" t="s">
        <v>68</v>
      </c>
      <c r="AG26" s="6"/>
      <c r="AH26" s="6" t="s">
        <v>58</v>
      </c>
      <c r="AI26" s="6"/>
      <c r="AJ26" s="6" t="s">
        <v>187</v>
      </c>
    </row>
    <row r="27" spans="1:36" ht="15.75" customHeight="1" x14ac:dyDescent="0.25">
      <c r="A27" s="7">
        <v>43418.495341770831</v>
      </c>
      <c r="B27" s="6" t="s">
        <v>30</v>
      </c>
      <c r="C27" s="6" t="s">
        <v>79</v>
      </c>
      <c r="D27" s="6" t="s">
        <v>190</v>
      </c>
      <c r="E27" s="6" t="s">
        <v>48</v>
      </c>
      <c r="F27" s="6" t="s">
        <v>191</v>
      </c>
      <c r="G27" s="6" t="s">
        <v>48</v>
      </c>
      <c r="H27" s="6" t="s">
        <v>48</v>
      </c>
      <c r="I27" s="6"/>
      <c r="J27" s="6" t="s">
        <v>92</v>
      </c>
      <c r="K27" s="6"/>
      <c r="L27" s="6" t="s">
        <v>193</v>
      </c>
      <c r="M27" s="6"/>
      <c r="N27" s="6" t="s">
        <v>112</v>
      </c>
      <c r="O27" s="6"/>
      <c r="P27" s="6" t="s">
        <v>131</v>
      </c>
      <c r="Q27" s="6"/>
      <c r="R27" s="47" t="s">
        <v>3160</v>
      </c>
      <c r="S27" s="14" t="s">
        <v>2751</v>
      </c>
      <c r="T27" s="14" t="s">
        <v>4413</v>
      </c>
      <c r="AA27" s="6"/>
      <c r="AB27" s="6" t="s">
        <v>67</v>
      </c>
      <c r="AC27" s="6"/>
      <c r="AD27" s="6" t="s">
        <v>56</v>
      </c>
      <c r="AE27" s="6"/>
      <c r="AF27" s="6" t="s">
        <v>75</v>
      </c>
      <c r="AG27" s="6"/>
      <c r="AH27" s="6" t="s">
        <v>76</v>
      </c>
      <c r="AI27" s="6"/>
      <c r="AJ27" s="6" t="s">
        <v>170</v>
      </c>
    </row>
    <row r="28" spans="1:36" ht="15.75" customHeight="1" x14ac:dyDescent="0.25">
      <c r="A28" s="7">
        <v>43418.49538349537</v>
      </c>
      <c r="B28" s="6" t="s">
        <v>60</v>
      </c>
      <c r="C28" s="6" t="s">
        <v>45</v>
      </c>
      <c r="D28" s="6" t="s">
        <v>138</v>
      </c>
      <c r="E28" s="6" t="s">
        <v>81</v>
      </c>
      <c r="G28" s="6" t="s">
        <v>87</v>
      </c>
      <c r="H28" s="6" t="s">
        <v>196</v>
      </c>
      <c r="I28" s="6"/>
      <c r="J28" s="6" t="s">
        <v>64</v>
      </c>
      <c r="K28" s="6"/>
      <c r="L28" s="6" t="s">
        <v>198</v>
      </c>
      <c r="M28" s="6"/>
      <c r="N28" s="6" t="s">
        <v>51</v>
      </c>
      <c r="O28" s="6"/>
      <c r="P28" s="6" t="s">
        <v>52</v>
      </c>
      <c r="Q28" s="6"/>
      <c r="R28" s="47" t="s">
        <v>4359</v>
      </c>
      <c r="S28" s="14" t="s">
        <v>4414</v>
      </c>
      <c r="T28" s="14" t="s">
        <v>4415</v>
      </c>
      <c r="AA28" s="6"/>
      <c r="AB28" s="6" t="s">
        <v>55</v>
      </c>
      <c r="AC28" s="6"/>
      <c r="AD28" s="6" t="s">
        <v>56</v>
      </c>
      <c r="AE28" s="6"/>
      <c r="AF28" s="6" t="s">
        <v>75</v>
      </c>
      <c r="AG28" s="6"/>
      <c r="AH28" s="6" t="s">
        <v>126</v>
      </c>
      <c r="AI28" s="6"/>
      <c r="AJ28" s="6" t="s">
        <v>204</v>
      </c>
    </row>
    <row r="29" spans="1:36" ht="15.75" customHeight="1" x14ac:dyDescent="0.25">
      <c r="A29" s="7">
        <v>43418.4965519213</v>
      </c>
      <c r="B29" s="6" t="s">
        <v>26</v>
      </c>
      <c r="C29" s="6" t="s">
        <v>45</v>
      </c>
      <c r="D29" s="6" t="s">
        <v>46</v>
      </c>
      <c r="E29" s="6" t="s">
        <v>48</v>
      </c>
      <c r="F29" s="6" t="s">
        <v>207</v>
      </c>
      <c r="G29" s="6" t="s">
        <v>48</v>
      </c>
      <c r="H29" s="6" t="s">
        <v>208</v>
      </c>
      <c r="I29" s="6"/>
      <c r="J29" s="6" t="s">
        <v>73</v>
      </c>
      <c r="K29" s="6"/>
      <c r="L29" s="6" t="s">
        <v>210</v>
      </c>
      <c r="M29" s="6"/>
      <c r="N29" s="6" t="s">
        <v>98</v>
      </c>
      <c r="O29" s="6"/>
      <c r="P29" s="6" t="s">
        <v>131</v>
      </c>
      <c r="Q29" s="6"/>
      <c r="R29" s="47" t="s">
        <v>213</v>
      </c>
      <c r="AA29" s="6"/>
      <c r="AB29" s="6" t="s">
        <v>101</v>
      </c>
      <c r="AC29" s="6"/>
      <c r="AD29" s="6" t="s">
        <v>56</v>
      </c>
      <c r="AE29" s="6"/>
      <c r="AF29" s="6" t="s">
        <v>68</v>
      </c>
      <c r="AG29" s="6"/>
      <c r="AH29" s="6" t="s">
        <v>58</v>
      </c>
      <c r="AI29" s="6"/>
      <c r="AJ29" s="6" t="s">
        <v>77</v>
      </c>
    </row>
    <row r="30" spans="1:36" ht="15.75" customHeight="1" x14ac:dyDescent="0.25">
      <c r="A30" s="7">
        <v>43418.496985081016</v>
      </c>
      <c r="B30" s="6" t="s">
        <v>60</v>
      </c>
      <c r="C30" s="6" t="s">
        <v>215</v>
      </c>
      <c r="D30" s="6" t="s">
        <v>163</v>
      </c>
      <c r="E30" s="6" t="s">
        <v>48</v>
      </c>
      <c r="F30" s="6" t="s">
        <v>216</v>
      </c>
      <c r="G30" s="6" t="s">
        <v>48</v>
      </c>
      <c r="H30" s="6" t="s">
        <v>219</v>
      </c>
      <c r="I30" s="6"/>
      <c r="J30" s="6" t="s">
        <v>89</v>
      </c>
      <c r="K30" s="6"/>
      <c r="L30" s="6" t="s">
        <v>221</v>
      </c>
      <c r="M30" s="6"/>
      <c r="N30" s="6" t="s">
        <v>98</v>
      </c>
      <c r="O30" s="6"/>
      <c r="P30" s="6" t="s">
        <v>94</v>
      </c>
      <c r="Q30" s="6"/>
      <c r="R30" s="47" t="s">
        <v>4416</v>
      </c>
      <c r="S30" s="14" t="s">
        <v>4417</v>
      </c>
      <c r="T30" s="14" t="s">
        <v>4418</v>
      </c>
      <c r="U30" s="14" t="s">
        <v>4419</v>
      </c>
      <c r="V30" s="14" t="s">
        <v>4420</v>
      </c>
      <c r="W30" s="14" t="s">
        <v>4421</v>
      </c>
      <c r="AA30" s="6"/>
      <c r="AB30" s="6" t="s">
        <v>101</v>
      </c>
      <c r="AC30" s="6"/>
      <c r="AD30" s="6" t="s">
        <v>56</v>
      </c>
      <c r="AE30" s="6"/>
      <c r="AF30" s="6" t="s">
        <v>68</v>
      </c>
      <c r="AG30" s="6"/>
      <c r="AH30" s="6" t="s">
        <v>58</v>
      </c>
      <c r="AI30" s="6"/>
      <c r="AJ30" s="6" t="s">
        <v>225</v>
      </c>
    </row>
    <row r="31" spans="1:36" ht="15.75" customHeight="1" x14ac:dyDescent="0.25">
      <c r="A31" s="7">
        <v>43418.497195254633</v>
      </c>
      <c r="B31" s="6" t="s">
        <v>30</v>
      </c>
      <c r="C31" s="6" t="s">
        <v>215</v>
      </c>
      <c r="D31" s="6" t="s">
        <v>163</v>
      </c>
      <c r="E31" s="6" t="s">
        <v>81</v>
      </c>
      <c r="G31" s="6" t="s">
        <v>87</v>
      </c>
      <c r="H31" s="6" t="s">
        <v>228</v>
      </c>
      <c r="I31" s="6"/>
      <c r="J31" s="6" t="s">
        <v>92</v>
      </c>
      <c r="K31" s="6"/>
      <c r="L31" s="6" t="s">
        <v>229</v>
      </c>
      <c r="M31" s="6"/>
      <c r="N31" s="6" t="s">
        <v>98</v>
      </c>
      <c r="O31" s="6"/>
      <c r="P31" s="6" t="s">
        <v>131</v>
      </c>
      <c r="Q31" s="6"/>
      <c r="R31" s="47" t="s">
        <v>230</v>
      </c>
      <c r="AA31" s="6"/>
      <c r="AB31" s="6" t="s">
        <v>101</v>
      </c>
      <c r="AC31" s="6"/>
      <c r="AD31" s="6" t="s">
        <v>56</v>
      </c>
      <c r="AE31" s="6"/>
      <c r="AF31" s="6" t="s">
        <v>161</v>
      </c>
      <c r="AG31" s="6"/>
      <c r="AH31" s="6" t="s">
        <v>76</v>
      </c>
      <c r="AI31" s="6"/>
      <c r="AJ31" s="6" t="s">
        <v>233</v>
      </c>
    </row>
    <row r="32" spans="1:36" ht="15.75" customHeight="1" x14ac:dyDescent="0.25">
      <c r="A32" s="7">
        <v>43418.497625520831</v>
      </c>
      <c r="B32" s="6" t="s">
        <v>235</v>
      </c>
      <c r="C32" s="6" t="s">
        <v>237</v>
      </c>
      <c r="D32" s="6" t="s">
        <v>165</v>
      </c>
      <c r="E32" s="6" t="s">
        <v>48</v>
      </c>
      <c r="F32" s="6" t="s">
        <v>239</v>
      </c>
      <c r="G32" s="6" t="s">
        <v>48</v>
      </c>
      <c r="H32" s="6" t="s">
        <v>240</v>
      </c>
      <c r="I32" s="6"/>
      <c r="J32" s="6" t="s">
        <v>110</v>
      </c>
      <c r="K32" s="6"/>
      <c r="L32" s="6" t="s">
        <v>241</v>
      </c>
      <c r="M32" s="6"/>
      <c r="N32" s="6" t="s">
        <v>93</v>
      </c>
      <c r="O32" s="6"/>
      <c r="P32" s="6" t="s">
        <v>131</v>
      </c>
      <c r="Q32" s="6"/>
      <c r="R32" s="47" t="s">
        <v>4422</v>
      </c>
      <c r="S32" s="14" t="s">
        <v>4423</v>
      </c>
      <c r="T32" s="14" t="s">
        <v>4424</v>
      </c>
      <c r="AA32" s="6"/>
      <c r="AB32" s="6" t="s">
        <v>101</v>
      </c>
      <c r="AC32" s="6"/>
      <c r="AD32" s="6" t="s">
        <v>56</v>
      </c>
      <c r="AE32" s="6"/>
      <c r="AF32" s="6" t="s">
        <v>68</v>
      </c>
      <c r="AG32" s="6"/>
      <c r="AH32" s="6" t="s">
        <v>58</v>
      </c>
      <c r="AI32" s="6"/>
      <c r="AJ32" s="11" t="s">
        <v>115</v>
      </c>
    </row>
    <row r="33" spans="1:36" ht="15.75" customHeight="1" x14ac:dyDescent="0.25">
      <c r="A33" s="7">
        <v>43418.497732013886</v>
      </c>
      <c r="B33" s="6" t="s">
        <v>60</v>
      </c>
      <c r="C33" s="6" t="s">
        <v>95</v>
      </c>
      <c r="D33" s="6" t="s">
        <v>247</v>
      </c>
      <c r="E33" s="6" t="s">
        <v>81</v>
      </c>
      <c r="G33" s="6" t="s">
        <v>87</v>
      </c>
      <c r="H33" s="6" t="s">
        <v>250</v>
      </c>
      <c r="I33" s="6"/>
      <c r="J33" s="6" t="s">
        <v>73</v>
      </c>
      <c r="K33" s="6"/>
      <c r="L33" s="6" t="s">
        <v>251</v>
      </c>
      <c r="M33" s="6"/>
      <c r="N33" s="6" t="s">
        <v>121</v>
      </c>
      <c r="O33" s="6"/>
      <c r="P33" s="6" t="s">
        <v>94</v>
      </c>
      <c r="Q33" s="6"/>
      <c r="R33" s="47" t="s">
        <v>507</v>
      </c>
      <c r="S33" s="14" t="s">
        <v>4425</v>
      </c>
      <c r="AA33" s="6"/>
      <c r="AB33" s="6" t="s">
        <v>67</v>
      </c>
      <c r="AC33" s="6"/>
      <c r="AD33" s="6" t="s">
        <v>109</v>
      </c>
      <c r="AE33" s="6"/>
      <c r="AF33" s="6" t="s">
        <v>75</v>
      </c>
      <c r="AG33" s="6"/>
      <c r="AH33" s="6" t="s">
        <v>58</v>
      </c>
      <c r="AI33" s="6"/>
      <c r="AJ33" s="6" t="s">
        <v>255</v>
      </c>
    </row>
    <row r="34" spans="1:36" ht="15.75" customHeight="1" x14ac:dyDescent="0.25">
      <c r="A34" s="7">
        <v>43418.497777905097</v>
      </c>
      <c r="B34" s="6" t="s">
        <v>30</v>
      </c>
      <c r="C34" s="6" t="s">
        <v>116</v>
      </c>
      <c r="D34" s="6" t="s">
        <v>46</v>
      </c>
      <c r="E34" s="6" t="s">
        <v>81</v>
      </c>
      <c r="G34" s="6" t="s">
        <v>87</v>
      </c>
      <c r="J34" s="6" t="s">
        <v>110</v>
      </c>
      <c r="K34" s="6"/>
      <c r="L34" s="6" t="s">
        <v>257</v>
      </c>
      <c r="M34" s="6"/>
      <c r="N34" s="6" t="s">
        <v>181</v>
      </c>
      <c r="O34" s="6"/>
      <c r="P34" s="6" t="s">
        <v>131</v>
      </c>
      <c r="Q34" s="6"/>
      <c r="R34" s="47" t="s">
        <v>1665</v>
      </c>
      <c r="S34" s="14" t="s">
        <v>4426</v>
      </c>
      <c r="T34" s="14" t="s">
        <v>4427</v>
      </c>
      <c r="U34" s="14" t="s">
        <v>4428</v>
      </c>
      <c r="V34" s="14" t="s">
        <v>4429</v>
      </c>
      <c r="AA34" s="6"/>
      <c r="AB34" s="6" t="s">
        <v>67</v>
      </c>
      <c r="AC34" s="6"/>
      <c r="AD34" s="6" t="s">
        <v>56</v>
      </c>
      <c r="AE34" s="6"/>
      <c r="AF34" s="6" t="s">
        <v>75</v>
      </c>
      <c r="AG34" s="6"/>
      <c r="AH34" s="6" t="s">
        <v>76</v>
      </c>
      <c r="AI34" s="6"/>
      <c r="AJ34" s="6" t="s">
        <v>132</v>
      </c>
    </row>
    <row r="35" spans="1:36" ht="15.75" customHeight="1" x14ac:dyDescent="0.25">
      <c r="A35" s="7">
        <v>43418.498595775462</v>
      </c>
      <c r="B35" s="6" t="s">
        <v>30</v>
      </c>
      <c r="C35" s="6" t="s">
        <v>79</v>
      </c>
      <c r="D35" s="6" t="s">
        <v>261</v>
      </c>
      <c r="E35" s="6" t="s">
        <v>48</v>
      </c>
      <c r="F35" s="6" t="s">
        <v>262</v>
      </c>
      <c r="G35" s="6" t="s">
        <v>48</v>
      </c>
      <c r="J35" s="6" t="s">
        <v>50</v>
      </c>
      <c r="K35" s="6"/>
      <c r="L35" s="6" t="s">
        <v>264</v>
      </c>
      <c r="M35" s="6"/>
      <c r="N35" s="6" t="s">
        <v>51</v>
      </c>
      <c r="O35" s="6"/>
      <c r="P35" s="6" t="s">
        <v>52</v>
      </c>
      <c r="Q35" s="6"/>
      <c r="R35" s="47" t="s">
        <v>265</v>
      </c>
      <c r="AA35" s="6"/>
      <c r="AB35" s="6" t="s">
        <v>55</v>
      </c>
      <c r="AC35" s="6"/>
      <c r="AD35" s="6" t="s">
        <v>56</v>
      </c>
      <c r="AE35" s="6"/>
      <c r="AF35" s="6" t="s">
        <v>68</v>
      </c>
      <c r="AG35" s="6"/>
      <c r="AH35" s="6" t="s">
        <v>58</v>
      </c>
      <c r="AI35" s="6"/>
      <c r="AJ35" s="11" t="s">
        <v>266</v>
      </c>
    </row>
    <row r="36" spans="1:36" ht="15.75" customHeight="1" x14ac:dyDescent="0.25">
      <c r="A36" s="7">
        <v>43418.498903842592</v>
      </c>
      <c r="B36" s="6" t="s">
        <v>60</v>
      </c>
      <c r="C36" s="6" t="s">
        <v>116</v>
      </c>
      <c r="D36" s="6" t="s">
        <v>165</v>
      </c>
      <c r="E36" s="6" t="s">
        <v>81</v>
      </c>
      <c r="G36" s="6" t="s">
        <v>87</v>
      </c>
      <c r="H36" s="6" t="s">
        <v>267</v>
      </c>
      <c r="I36" s="6"/>
      <c r="J36" s="6" t="s">
        <v>110</v>
      </c>
      <c r="K36" s="6"/>
      <c r="L36" s="6" t="s">
        <v>268</v>
      </c>
      <c r="M36" s="6"/>
      <c r="N36" s="6" t="s">
        <v>212</v>
      </c>
      <c r="O36" s="6"/>
      <c r="P36" s="6" t="s">
        <v>94</v>
      </c>
      <c r="Q36" s="6"/>
      <c r="R36" s="47" t="s">
        <v>3248</v>
      </c>
      <c r="S36" s="14" t="s">
        <v>4430</v>
      </c>
      <c r="AA36" s="6"/>
      <c r="AB36" s="6" t="s">
        <v>101</v>
      </c>
      <c r="AC36" s="6"/>
      <c r="AD36" s="6" t="s">
        <v>56</v>
      </c>
      <c r="AE36" s="6"/>
      <c r="AF36" s="6" t="s">
        <v>68</v>
      </c>
      <c r="AG36" s="6"/>
      <c r="AH36" s="6" t="s">
        <v>58</v>
      </c>
      <c r="AI36" s="6"/>
      <c r="AJ36" s="6" t="s">
        <v>77</v>
      </c>
    </row>
    <row r="37" spans="1:36" ht="15.75" customHeight="1" x14ac:dyDescent="0.25">
      <c r="A37" s="7">
        <v>43418.499046562501</v>
      </c>
      <c r="B37" s="6" t="s">
        <v>30</v>
      </c>
      <c r="C37" s="6" t="s">
        <v>215</v>
      </c>
      <c r="E37" s="6" t="s">
        <v>81</v>
      </c>
      <c r="G37" s="6" t="s">
        <v>87</v>
      </c>
      <c r="H37" s="6" t="s">
        <v>270</v>
      </c>
      <c r="I37" s="6"/>
      <c r="J37" s="6" t="s">
        <v>89</v>
      </c>
      <c r="K37" s="6"/>
      <c r="L37" s="6" t="s">
        <v>271</v>
      </c>
      <c r="M37" s="6"/>
      <c r="N37" s="6" t="s">
        <v>212</v>
      </c>
      <c r="O37" s="6"/>
      <c r="P37" s="6" t="s">
        <v>94</v>
      </c>
      <c r="Q37" s="6"/>
      <c r="R37" s="47" t="s">
        <v>234</v>
      </c>
      <c r="S37" s="14" t="s">
        <v>4431</v>
      </c>
      <c r="T37" s="14" t="s">
        <v>4432</v>
      </c>
      <c r="AA37" s="6"/>
      <c r="AB37" s="6" t="s">
        <v>67</v>
      </c>
      <c r="AC37" s="6"/>
      <c r="AD37" s="6" t="s">
        <v>56</v>
      </c>
      <c r="AE37" s="6"/>
      <c r="AF37" s="6" t="s">
        <v>68</v>
      </c>
      <c r="AG37" s="6"/>
      <c r="AH37" s="6" t="s">
        <v>58</v>
      </c>
      <c r="AI37" s="6"/>
      <c r="AJ37" s="6" t="s">
        <v>256</v>
      </c>
    </row>
    <row r="38" spans="1:36" ht="15.75" customHeight="1" x14ac:dyDescent="0.25">
      <c r="A38" s="7">
        <v>43418.499652372688</v>
      </c>
      <c r="B38" s="6" t="s">
        <v>154</v>
      </c>
      <c r="C38" s="6" t="s">
        <v>79</v>
      </c>
      <c r="D38" s="6" t="s">
        <v>138</v>
      </c>
      <c r="E38" s="6" t="s">
        <v>81</v>
      </c>
      <c r="G38" s="6" t="s">
        <v>87</v>
      </c>
      <c r="H38" s="6" t="s">
        <v>273</v>
      </c>
      <c r="I38" s="6"/>
      <c r="J38" s="6" t="s">
        <v>158</v>
      </c>
      <c r="K38" s="6"/>
      <c r="L38" s="6" t="s">
        <v>275</v>
      </c>
      <c r="M38" s="6"/>
      <c r="N38" s="6" t="s">
        <v>121</v>
      </c>
      <c r="O38" s="6"/>
      <c r="P38" s="6" t="s">
        <v>94</v>
      </c>
      <c r="Q38" s="6"/>
      <c r="R38" s="47" t="s">
        <v>3225</v>
      </c>
      <c r="S38" s="14" t="s">
        <v>4433</v>
      </c>
      <c r="AA38" s="6"/>
      <c r="AB38" s="6" t="s">
        <v>203</v>
      </c>
      <c r="AC38" s="6"/>
      <c r="AD38" s="6" t="s">
        <v>56</v>
      </c>
      <c r="AE38" s="6"/>
      <c r="AF38" s="6" t="s">
        <v>161</v>
      </c>
      <c r="AG38" s="6"/>
      <c r="AH38" s="6" t="s">
        <v>76</v>
      </c>
      <c r="AI38" s="6"/>
      <c r="AJ38" s="6" t="s">
        <v>69</v>
      </c>
    </row>
    <row r="39" spans="1:36" ht="15.75" customHeight="1" x14ac:dyDescent="0.25">
      <c r="A39" s="7">
        <v>43418.500204270837</v>
      </c>
      <c r="B39" s="6" t="s">
        <v>30</v>
      </c>
      <c r="C39" s="6" t="s">
        <v>95</v>
      </c>
      <c r="D39" s="6" t="s">
        <v>165</v>
      </c>
      <c r="E39" s="6" t="s">
        <v>48</v>
      </c>
      <c r="F39" s="6" t="s">
        <v>277</v>
      </c>
      <c r="G39" s="6" t="s">
        <v>48</v>
      </c>
      <c r="H39" s="6" t="s">
        <v>81</v>
      </c>
      <c r="I39" s="6"/>
      <c r="J39" s="6" t="s">
        <v>106</v>
      </c>
      <c r="K39" s="6"/>
      <c r="L39" s="6" t="s">
        <v>278</v>
      </c>
      <c r="M39" s="6"/>
      <c r="N39" s="6" t="s">
        <v>112</v>
      </c>
      <c r="O39" s="6"/>
      <c r="P39" s="6" t="s">
        <v>131</v>
      </c>
      <c r="Q39" s="6"/>
      <c r="R39" s="47" t="s">
        <v>192</v>
      </c>
      <c r="AA39" s="6"/>
      <c r="AB39" s="6" t="s">
        <v>101</v>
      </c>
      <c r="AC39" s="6"/>
      <c r="AD39" s="6" t="s">
        <v>56</v>
      </c>
      <c r="AE39" s="6"/>
      <c r="AF39" s="6" t="s">
        <v>75</v>
      </c>
      <c r="AG39" s="6"/>
      <c r="AH39" s="6" t="s">
        <v>76</v>
      </c>
      <c r="AI39" s="6"/>
      <c r="AJ39" s="11" t="s">
        <v>187</v>
      </c>
    </row>
    <row r="40" spans="1:36" ht="15.75" customHeight="1" x14ac:dyDescent="0.25">
      <c r="A40" s="7">
        <v>43418.50054025463</v>
      </c>
      <c r="B40" s="6" t="s">
        <v>60</v>
      </c>
      <c r="C40" s="6" t="s">
        <v>282</v>
      </c>
      <c r="D40" s="6" t="s">
        <v>46</v>
      </c>
      <c r="E40" s="6" t="s">
        <v>81</v>
      </c>
      <c r="G40" s="6" t="s">
        <v>87</v>
      </c>
      <c r="J40" s="6" t="s">
        <v>64</v>
      </c>
      <c r="K40" s="6"/>
      <c r="L40" s="6" t="s">
        <v>284</v>
      </c>
      <c r="M40" s="6"/>
      <c r="N40" s="6" t="s">
        <v>112</v>
      </c>
      <c r="O40" s="6"/>
      <c r="P40" s="6" t="s">
        <v>99</v>
      </c>
      <c r="Q40" s="6"/>
      <c r="R40" s="47" t="s">
        <v>4310</v>
      </c>
      <c r="S40" s="14" t="s">
        <v>4434</v>
      </c>
      <c r="AA40" s="6"/>
      <c r="AB40" s="6" t="s">
        <v>101</v>
      </c>
      <c r="AC40" s="6"/>
      <c r="AD40" s="6" t="s">
        <v>56</v>
      </c>
      <c r="AE40" s="6"/>
      <c r="AF40" s="6" t="s">
        <v>75</v>
      </c>
      <c r="AG40" s="6"/>
      <c r="AH40" s="6" t="s">
        <v>76</v>
      </c>
      <c r="AI40" s="6"/>
      <c r="AJ40" s="6" t="s">
        <v>69</v>
      </c>
    </row>
    <row r="41" spans="1:36" ht="15.75" customHeight="1" x14ac:dyDescent="0.25">
      <c r="A41" s="7">
        <v>43418.500654085648</v>
      </c>
      <c r="B41" s="6" t="s">
        <v>30</v>
      </c>
      <c r="C41" s="6" t="s">
        <v>287</v>
      </c>
      <c r="D41" s="6" t="s">
        <v>46</v>
      </c>
      <c r="E41" s="6" t="s">
        <v>81</v>
      </c>
      <c r="G41" s="6" t="s">
        <v>87</v>
      </c>
      <c r="H41" s="6" t="s">
        <v>289</v>
      </c>
      <c r="I41" s="6"/>
      <c r="J41" s="6" t="s">
        <v>106</v>
      </c>
      <c r="K41" s="6"/>
      <c r="L41" s="6" t="s">
        <v>290</v>
      </c>
      <c r="M41" s="6"/>
      <c r="N41" s="6" t="s">
        <v>121</v>
      </c>
      <c r="O41" s="6"/>
      <c r="P41" s="6" t="s">
        <v>94</v>
      </c>
      <c r="Q41" s="6"/>
      <c r="R41" s="47" t="s">
        <v>192</v>
      </c>
      <c r="S41" s="14" t="s">
        <v>4397</v>
      </c>
      <c r="AA41" s="6"/>
      <c r="AB41" s="6" t="s">
        <v>67</v>
      </c>
      <c r="AC41" s="6"/>
      <c r="AD41" s="6" t="s">
        <v>56</v>
      </c>
      <c r="AE41" s="6"/>
      <c r="AF41" s="6" t="s">
        <v>57</v>
      </c>
      <c r="AG41" s="6"/>
      <c r="AH41" s="6" t="s">
        <v>76</v>
      </c>
      <c r="AI41" s="6"/>
      <c r="AJ41" s="6" t="s">
        <v>69</v>
      </c>
    </row>
    <row r="42" spans="1:36" ht="15.75" customHeight="1" x14ac:dyDescent="0.25">
      <c r="A42" s="7">
        <v>43418.500885381945</v>
      </c>
      <c r="B42" s="6" t="s">
        <v>294</v>
      </c>
      <c r="C42" s="6" t="s">
        <v>215</v>
      </c>
      <c r="D42" s="6" t="s">
        <v>165</v>
      </c>
      <c r="E42" s="6" t="s">
        <v>81</v>
      </c>
      <c r="G42" s="6" t="s">
        <v>87</v>
      </c>
      <c r="J42" s="6" t="s">
        <v>89</v>
      </c>
      <c r="K42" s="6"/>
      <c r="N42" s="6" t="s">
        <v>212</v>
      </c>
      <c r="O42" s="6"/>
      <c r="P42" s="6" t="s">
        <v>131</v>
      </c>
      <c r="Q42" s="6"/>
      <c r="AA42" s="6"/>
      <c r="AB42" s="6" t="s">
        <v>203</v>
      </c>
      <c r="AC42" s="6"/>
      <c r="AD42" s="6" t="s">
        <v>56</v>
      </c>
      <c r="AE42" s="6"/>
      <c r="AF42" s="6" t="s">
        <v>75</v>
      </c>
      <c r="AG42" s="6"/>
      <c r="AH42" s="6" t="s">
        <v>76</v>
      </c>
      <c r="AJ42" s="11" t="s">
        <v>57</v>
      </c>
    </row>
    <row r="43" spans="1:36" ht="15.75" customHeight="1" x14ac:dyDescent="0.25">
      <c r="A43" s="7">
        <v>43418.501059317132</v>
      </c>
      <c r="B43" s="6" t="s">
        <v>30</v>
      </c>
      <c r="C43" s="6" t="s">
        <v>45</v>
      </c>
      <c r="E43" s="6" t="s">
        <v>81</v>
      </c>
      <c r="G43" s="6" t="s">
        <v>87</v>
      </c>
      <c r="J43" s="6" t="s">
        <v>110</v>
      </c>
      <c r="K43" s="6"/>
      <c r="L43" s="6" t="s">
        <v>298</v>
      </c>
      <c r="M43" s="6"/>
      <c r="N43" s="6" t="s">
        <v>112</v>
      </c>
      <c r="O43" s="6"/>
      <c r="P43" s="6" t="s">
        <v>99</v>
      </c>
      <c r="Q43" s="6"/>
      <c r="R43" s="47" t="s">
        <v>299</v>
      </c>
      <c r="AA43" s="6"/>
      <c r="AB43" s="6" t="s">
        <v>55</v>
      </c>
      <c r="AC43" s="6"/>
      <c r="AD43" s="6" t="s">
        <v>56</v>
      </c>
      <c r="AE43" s="6"/>
      <c r="AF43" s="6" t="s">
        <v>205</v>
      </c>
      <c r="AG43" s="6"/>
      <c r="AH43" s="6" t="s">
        <v>58</v>
      </c>
      <c r="AI43" s="6"/>
      <c r="AJ43" s="6" t="s">
        <v>69</v>
      </c>
    </row>
    <row r="44" spans="1:36" ht="15.75" customHeight="1" x14ac:dyDescent="0.25">
      <c r="A44" s="7">
        <v>43418.501136250001</v>
      </c>
      <c r="B44" s="6" t="s">
        <v>30</v>
      </c>
      <c r="C44" s="6" t="s">
        <v>237</v>
      </c>
      <c r="D44" s="6" t="s">
        <v>163</v>
      </c>
      <c r="E44" s="6" t="s">
        <v>48</v>
      </c>
      <c r="F44" s="6" t="s">
        <v>301</v>
      </c>
      <c r="G44" s="6" t="s">
        <v>48</v>
      </c>
      <c r="J44" s="6" t="s">
        <v>92</v>
      </c>
      <c r="K44" s="6"/>
      <c r="L44" s="6" t="s">
        <v>302</v>
      </c>
      <c r="M44" s="6"/>
      <c r="N44" s="6" t="s">
        <v>112</v>
      </c>
      <c r="O44" s="6"/>
      <c r="P44" s="6" t="s">
        <v>131</v>
      </c>
      <c r="Q44" s="6"/>
      <c r="R44" s="47" t="s">
        <v>3392</v>
      </c>
      <c r="S44" s="14" t="s">
        <v>4435</v>
      </c>
      <c r="AA44" s="6"/>
      <c r="AB44" s="6" t="s">
        <v>67</v>
      </c>
      <c r="AC44" s="6"/>
      <c r="AD44" s="6" t="s">
        <v>57</v>
      </c>
      <c r="AE44" s="6"/>
      <c r="AF44" s="6" t="s">
        <v>75</v>
      </c>
      <c r="AG44" s="6"/>
      <c r="AH44" s="6" t="s">
        <v>76</v>
      </c>
      <c r="AI44" s="6"/>
      <c r="AJ44" s="6" t="s">
        <v>115</v>
      </c>
    </row>
    <row r="45" spans="1:36" ht="15.75" customHeight="1" x14ac:dyDescent="0.25">
      <c r="A45" s="7">
        <v>43418.501521875005</v>
      </c>
      <c r="B45" s="6" t="s">
        <v>305</v>
      </c>
      <c r="C45" s="6" t="s">
        <v>306</v>
      </c>
      <c r="D45" s="6" t="s">
        <v>307</v>
      </c>
      <c r="E45" s="6" t="s">
        <v>81</v>
      </c>
      <c r="G45" s="6" t="s">
        <v>87</v>
      </c>
      <c r="H45" s="6" t="s">
        <v>308</v>
      </c>
      <c r="I45" s="6"/>
      <c r="J45" s="6" t="s">
        <v>106</v>
      </c>
      <c r="K45" s="6"/>
      <c r="L45" s="6" t="s">
        <v>310</v>
      </c>
      <c r="M45" s="6"/>
      <c r="N45" s="6" t="s">
        <v>121</v>
      </c>
      <c r="O45" s="6"/>
      <c r="P45" s="6" t="s">
        <v>131</v>
      </c>
      <c r="Q45" s="6"/>
      <c r="R45" s="47" t="s">
        <v>4436</v>
      </c>
      <c r="S45" s="14" t="s">
        <v>4437</v>
      </c>
      <c r="T45" s="14" t="s">
        <v>4438</v>
      </c>
      <c r="U45" s="14" t="s">
        <v>4439</v>
      </c>
      <c r="V45" s="14" t="s">
        <v>4440</v>
      </c>
      <c r="W45" s="14" t="s">
        <v>4441</v>
      </c>
      <c r="AA45" s="6"/>
      <c r="AB45" s="6" t="s">
        <v>67</v>
      </c>
      <c r="AC45" s="6"/>
      <c r="AD45" s="6" t="s">
        <v>56</v>
      </c>
      <c r="AE45" s="6"/>
      <c r="AF45" s="6" t="s">
        <v>75</v>
      </c>
      <c r="AG45" s="6"/>
      <c r="AH45" s="6" t="s">
        <v>58</v>
      </c>
      <c r="AI45" s="6"/>
      <c r="AJ45" s="6" t="s">
        <v>255</v>
      </c>
    </row>
    <row r="46" spans="1:36" ht="15.75" customHeight="1" x14ac:dyDescent="0.25">
      <c r="A46" s="7">
        <v>43418.501600115742</v>
      </c>
      <c r="B46" s="6" t="s">
        <v>30</v>
      </c>
      <c r="C46" s="6" t="s">
        <v>79</v>
      </c>
      <c r="D46" s="6" t="s">
        <v>163</v>
      </c>
      <c r="E46" s="6" t="s">
        <v>48</v>
      </c>
      <c r="F46" s="6" t="s">
        <v>315</v>
      </c>
      <c r="G46" s="6" t="s">
        <v>48</v>
      </c>
      <c r="H46" s="6" t="s">
        <v>316</v>
      </c>
      <c r="I46" s="6"/>
      <c r="J46" s="6" t="s">
        <v>92</v>
      </c>
      <c r="K46" s="6"/>
      <c r="L46" s="6" t="s">
        <v>317</v>
      </c>
      <c r="M46" s="6"/>
      <c r="N46" s="6" t="s">
        <v>181</v>
      </c>
      <c r="O46" s="6"/>
      <c r="P46" s="6" t="s">
        <v>94</v>
      </c>
      <c r="Q46" s="6"/>
      <c r="R46" s="47" t="s">
        <v>4206</v>
      </c>
      <c r="S46" s="14" t="s">
        <v>4442</v>
      </c>
      <c r="T46" s="14" t="s">
        <v>4443</v>
      </c>
      <c r="U46" s="14" t="s">
        <v>4397</v>
      </c>
      <c r="V46" s="14" t="s">
        <v>4431</v>
      </c>
      <c r="W46" s="14" t="s">
        <v>4400</v>
      </c>
      <c r="X46" s="14" t="s">
        <v>4444</v>
      </c>
      <c r="Y46" s="14" t="s">
        <v>4445</v>
      </c>
      <c r="Z46" s="14" t="s">
        <v>4446</v>
      </c>
      <c r="AA46" s="6"/>
      <c r="AB46" s="6" t="s">
        <v>67</v>
      </c>
      <c r="AC46" s="6"/>
      <c r="AD46" s="6" t="s">
        <v>56</v>
      </c>
      <c r="AE46" s="6"/>
      <c r="AF46" s="6" t="s">
        <v>75</v>
      </c>
      <c r="AG46" s="6"/>
      <c r="AH46" s="6" t="s">
        <v>76</v>
      </c>
      <c r="AI46" s="6"/>
      <c r="AJ46" s="6" t="s">
        <v>59</v>
      </c>
    </row>
    <row r="47" spans="1:36" ht="15.75" customHeight="1" x14ac:dyDescent="0.25">
      <c r="A47" s="7">
        <v>43418.502015648148</v>
      </c>
      <c r="B47" s="6" t="s">
        <v>30</v>
      </c>
      <c r="C47" s="6" t="s">
        <v>322</v>
      </c>
      <c r="D47" s="6" t="s">
        <v>165</v>
      </c>
      <c r="E47" s="6" t="s">
        <v>48</v>
      </c>
      <c r="F47" s="6" t="s">
        <v>323</v>
      </c>
      <c r="G47" s="6" t="s">
        <v>81</v>
      </c>
      <c r="H47" s="6" t="s">
        <v>325</v>
      </c>
      <c r="I47" s="6"/>
      <c r="J47" s="6" t="s">
        <v>92</v>
      </c>
      <c r="K47" s="6"/>
      <c r="L47" s="6" t="s">
        <v>326</v>
      </c>
      <c r="M47" s="6"/>
      <c r="N47" s="6" t="s">
        <v>212</v>
      </c>
      <c r="O47" s="6"/>
      <c r="P47" s="6" t="s">
        <v>99</v>
      </c>
      <c r="Q47" s="6"/>
      <c r="R47" s="47" t="s">
        <v>201</v>
      </c>
      <c r="S47" s="14" t="s">
        <v>4447</v>
      </c>
      <c r="AA47" s="6"/>
      <c r="AB47" s="6" t="s">
        <v>67</v>
      </c>
      <c r="AC47" s="6"/>
      <c r="AD47" s="6" t="s">
        <v>56</v>
      </c>
      <c r="AE47" s="6"/>
      <c r="AF47" s="6" t="s">
        <v>68</v>
      </c>
      <c r="AG47" s="6"/>
      <c r="AH47" s="6" t="s">
        <v>76</v>
      </c>
      <c r="AI47" s="6"/>
      <c r="AJ47" s="6" t="s">
        <v>174</v>
      </c>
    </row>
    <row r="48" spans="1:36" ht="15.75" customHeight="1" x14ac:dyDescent="0.25">
      <c r="A48" s="7">
        <v>43418.503070451392</v>
      </c>
      <c r="B48" s="6" t="s">
        <v>30</v>
      </c>
      <c r="C48" s="6" t="s">
        <v>95</v>
      </c>
      <c r="D48" s="6" t="s">
        <v>165</v>
      </c>
      <c r="E48" s="6" t="s">
        <v>48</v>
      </c>
      <c r="F48" s="6" t="s">
        <v>330</v>
      </c>
      <c r="G48" s="6" t="s">
        <v>48</v>
      </c>
      <c r="J48" s="6" t="s">
        <v>64</v>
      </c>
      <c r="K48" s="6"/>
      <c r="L48" s="6" t="s">
        <v>331</v>
      </c>
      <c r="M48" s="6"/>
      <c r="N48" s="6" t="s">
        <v>98</v>
      </c>
      <c r="O48" s="6"/>
      <c r="P48" s="6" t="s">
        <v>94</v>
      </c>
      <c r="Q48" s="6"/>
      <c r="R48" s="47" t="s">
        <v>4448</v>
      </c>
      <c r="S48" s="14" t="s">
        <v>4449</v>
      </c>
      <c r="AA48" s="6"/>
      <c r="AB48" s="6" t="s">
        <v>101</v>
      </c>
      <c r="AC48" s="6"/>
      <c r="AD48" s="6" t="s">
        <v>56</v>
      </c>
      <c r="AE48" s="6"/>
      <c r="AF48" s="6" t="s">
        <v>75</v>
      </c>
      <c r="AG48" s="6"/>
      <c r="AH48" s="6" t="s">
        <v>58</v>
      </c>
      <c r="AI48" s="6"/>
      <c r="AJ48" s="6" t="s">
        <v>174</v>
      </c>
    </row>
    <row r="49" spans="1:36" ht="15.75" customHeight="1" x14ac:dyDescent="0.25">
      <c r="A49" s="7">
        <v>43418.503162499997</v>
      </c>
      <c r="B49" s="6" t="s">
        <v>30</v>
      </c>
      <c r="C49" s="6" t="s">
        <v>95</v>
      </c>
      <c r="D49" s="6" t="s">
        <v>165</v>
      </c>
      <c r="E49" s="6" t="s">
        <v>48</v>
      </c>
      <c r="F49" s="6" t="s">
        <v>36</v>
      </c>
      <c r="G49" s="6" t="s">
        <v>48</v>
      </c>
      <c r="H49" s="6" t="s">
        <v>336</v>
      </c>
      <c r="I49" s="6"/>
      <c r="J49" s="6" t="s">
        <v>92</v>
      </c>
      <c r="K49" s="6"/>
      <c r="L49" s="6" t="s">
        <v>337</v>
      </c>
      <c r="M49" s="6"/>
      <c r="N49" s="6" t="s">
        <v>212</v>
      </c>
      <c r="O49" s="6"/>
      <c r="P49" s="6" t="s">
        <v>94</v>
      </c>
      <c r="Q49" s="6"/>
      <c r="R49" s="47" t="s">
        <v>1971</v>
      </c>
      <c r="S49" s="14" t="s">
        <v>4404</v>
      </c>
      <c r="AA49" s="6"/>
      <c r="AB49" s="6" t="s">
        <v>101</v>
      </c>
      <c r="AC49" s="6"/>
      <c r="AD49" s="6" t="s">
        <v>56</v>
      </c>
      <c r="AE49" s="6"/>
      <c r="AF49" s="6" t="s">
        <v>75</v>
      </c>
      <c r="AG49" s="6"/>
      <c r="AH49" s="6" t="s">
        <v>76</v>
      </c>
      <c r="AI49" s="6"/>
      <c r="AJ49" s="11" t="s">
        <v>77</v>
      </c>
    </row>
    <row r="50" spans="1:36" ht="15.75" customHeight="1" x14ac:dyDescent="0.25">
      <c r="A50" s="7">
        <v>43418.503291585643</v>
      </c>
      <c r="B50" s="6" t="s">
        <v>30</v>
      </c>
      <c r="C50" s="6" t="s">
        <v>341</v>
      </c>
      <c r="D50" s="6" t="s">
        <v>46</v>
      </c>
      <c r="E50" s="6" t="s">
        <v>48</v>
      </c>
      <c r="F50" s="6" t="s">
        <v>342</v>
      </c>
      <c r="G50" s="6" t="s">
        <v>48</v>
      </c>
      <c r="H50" s="6" t="s">
        <v>343</v>
      </c>
      <c r="I50" s="6"/>
      <c r="J50" s="6" t="s">
        <v>106</v>
      </c>
      <c r="K50" s="6"/>
      <c r="L50" s="6" t="s">
        <v>345</v>
      </c>
      <c r="M50" s="6"/>
      <c r="N50" s="6" t="s">
        <v>181</v>
      </c>
      <c r="O50" s="6"/>
      <c r="P50" s="6" t="s">
        <v>94</v>
      </c>
      <c r="Q50" s="6"/>
      <c r="R50" s="47" t="s">
        <v>2905</v>
      </c>
      <c r="S50" s="14" t="s">
        <v>4400</v>
      </c>
      <c r="T50" s="14" t="s">
        <v>4450</v>
      </c>
      <c r="U50" s="14" t="s">
        <v>4451</v>
      </c>
      <c r="V50" s="14" t="s">
        <v>4452</v>
      </c>
      <c r="W50" s="14" t="s">
        <v>3994</v>
      </c>
      <c r="AA50" s="6"/>
      <c r="AB50" s="6" t="s">
        <v>67</v>
      </c>
      <c r="AC50" s="6"/>
      <c r="AD50" s="6" t="s">
        <v>56</v>
      </c>
      <c r="AE50" s="6"/>
      <c r="AF50" s="6" t="s">
        <v>75</v>
      </c>
      <c r="AG50" s="6"/>
      <c r="AH50" s="6" t="s">
        <v>58</v>
      </c>
      <c r="AI50" s="6"/>
      <c r="AJ50" s="11" t="s">
        <v>77</v>
      </c>
    </row>
    <row r="51" spans="1:36" ht="15.75" customHeight="1" x14ac:dyDescent="0.25">
      <c r="A51" s="7">
        <v>43418.505565821761</v>
      </c>
      <c r="B51" s="6" t="s">
        <v>127</v>
      </c>
      <c r="C51" s="6" t="s">
        <v>349</v>
      </c>
      <c r="D51" s="6" t="s">
        <v>163</v>
      </c>
      <c r="E51" s="6" t="s">
        <v>81</v>
      </c>
      <c r="G51" s="6" t="s">
        <v>87</v>
      </c>
      <c r="J51" s="6" t="s">
        <v>92</v>
      </c>
      <c r="K51" s="6"/>
      <c r="L51" s="6" t="s">
        <v>351</v>
      </c>
      <c r="M51" s="6"/>
      <c r="N51" s="6" t="s">
        <v>98</v>
      </c>
      <c r="O51" s="6"/>
      <c r="P51" s="6" t="s">
        <v>94</v>
      </c>
      <c r="Q51" s="6"/>
      <c r="R51" s="47" t="s">
        <v>182</v>
      </c>
      <c r="S51" s="14" t="s">
        <v>4453</v>
      </c>
      <c r="T51" s="14" t="s">
        <v>4454</v>
      </c>
      <c r="AA51" s="6"/>
      <c r="AB51" s="6" t="s">
        <v>67</v>
      </c>
      <c r="AC51" s="6"/>
      <c r="AD51" s="6" t="s">
        <v>56</v>
      </c>
      <c r="AE51" s="6"/>
      <c r="AF51" s="6" t="s">
        <v>161</v>
      </c>
      <c r="AG51" s="6"/>
      <c r="AH51" s="6" t="s">
        <v>76</v>
      </c>
      <c r="AI51" s="6"/>
      <c r="AJ51" s="6" t="s">
        <v>233</v>
      </c>
    </row>
    <row r="52" spans="1:36" ht="15.75" customHeight="1" x14ac:dyDescent="0.25">
      <c r="A52" s="7">
        <v>43418.506042893518</v>
      </c>
      <c r="B52" s="6" t="s">
        <v>354</v>
      </c>
      <c r="C52" s="6" t="s">
        <v>95</v>
      </c>
      <c r="D52" s="6" t="s">
        <v>133</v>
      </c>
      <c r="E52" s="6" t="s">
        <v>81</v>
      </c>
      <c r="G52" s="6" t="s">
        <v>87</v>
      </c>
      <c r="H52" s="6" t="s">
        <v>355</v>
      </c>
      <c r="I52" s="6"/>
      <c r="J52" s="6" t="s">
        <v>106</v>
      </c>
      <c r="K52" s="6"/>
      <c r="L52" s="6" t="s">
        <v>357</v>
      </c>
      <c r="M52" s="6"/>
      <c r="N52" s="6" t="s">
        <v>98</v>
      </c>
      <c r="O52" s="6"/>
      <c r="P52" s="6" t="s">
        <v>131</v>
      </c>
      <c r="Q52" s="6"/>
      <c r="R52" s="47" t="s">
        <v>4455</v>
      </c>
      <c r="S52" s="14" t="s">
        <v>4456</v>
      </c>
      <c r="T52" s="14" t="s">
        <v>4457</v>
      </c>
      <c r="U52" s="14" t="s">
        <v>4458</v>
      </c>
      <c r="AA52" s="6"/>
      <c r="AB52" s="6" t="s">
        <v>101</v>
      </c>
      <c r="AC52" s="6"/>
      <c r="AD52" s="6" t="s">
        <v>56</v>
      </c>
      <c r="AE52" s="6"/>
      <c r="AF52" s="6" t="s">
        <v>68</v>
      </c>
      <c r="AG52" s="6"/>
      <c r="AH52" s="6" t="s">
        <v>58</v>
      </c>
      <c r="AI52" s="6"/>
      <c r="AJ52" s="6" t="s">
        <v>59</v>
      </c>
    </row>
    <row r="53" spans="1:36" ht="15.75" customHeight="1" x14ac:dyDescent="0.25">
      <c r="A53" s="7">
        <v>43418.506113645832</v>
      </c>
      <c r="B53" s="6" t="s">
        <v>154</v>
      </c>
      <c r="C53" s="6" t="s">
        <v>90</v>
      </c>
      <c r="D53" s="6" t="s">
        <v>46</v>
      </c>
      <c r="E53" s="6" t="s">
        <v>81</v>
      </c>
      <c r="G53" s="6" t="s">
        <v>87</v>
      </c>
      <c r="J53" s="6" t="s">
        <v>106</v>
      </c>
      <c r="K53" s="6"/>
      <c r="N53" s="6" t="s">
        <v>93</v>
      </c>
      <c r="O53" s="6"/>
      <c r="P53" s="6" t="s">
        <v>168</v>
      </c>
      <c r="Q53" s="6"/>
      <c r="AA53" s="6"/>
      <c r="AB53" s="6" t="s">
        <v>67</v>
      </c>
      <c r="AC53" s="6"/>
      <c r="AD53" s="6" t="s">
        <v>109</v>
      </c>
      <c r="AE53" s="6"/>
      <c r="AF53" s="6" t="s">
        <v>75</v>
      </c>
      <c r="AG53" s="6"/>
      <c r="AH53" s="6" t="s">
        <v>126</v>
      </c>
      <c r="AI53" s="6"/>
      <c r="AJ53" s="6" t="s">
        <v>288</v>
      </c>
    </row>
    <row r="54" spans="1:36" ht="15.75" customHeight="1" x14ac:dyDescent="0.25">
      <c r="A54" s="7">
        <v>43418.506756157411</v>
      </c>
      <c r="B54" s="6" t="s">
        <v>30</v>
      </c>
      <c r="C54" s="6" t="s">
        <v>116</v>
      </c>
      <c r="D54" s="6" t="s">
        <v>91</v>
      </c>
      <c r="E54" s="6" t="s">
        <v>81</v>
      </c>
      <c r="G54" s="6" t="s">
        <v>87</v>
      </c>
      <c r="H54" s="6" t="s">
        <v>86</v>
      </c>
      <c r="I54" s="6"/>
      <c r="J54" s="6" t="s">
        <v>110</v>
      </c>
      <c r="K54" s="6"/>
      <c r="L54" s="6" t="s">
        <v>365</v>
      </c>
      <c r="M54" s="6"/>
      <c r="N54" s="6" t="s">
        <v>212</v>
      </c>
      <c r="O54" s="6"/>
      <c r="P54" s="6" t="s">
        <v>99</v>
      </c>
      <c r="Q54" s="6"/>
      <c r="R54" s="47" t="s">
        <v>366</v>
      </c>
      <c r="AA54" s="6"/>
      <c r="AB54" s="6" t="s">
        <v>67</v>
      </c>
      <c r="AC54" s="6"/>
      <c r="AD54" s="6" t="s">
        <v>56</v>
      </c>
      <c r="AE54" s="6"/>
      <c r="AF54" s="6" t="s">
        <v>205</v>
      </c>
      <c r="AG54" s="6"/>
      <c r="AH54" s="6" t="s">
        <v>126</v>
      </c>
      <c r="AI54" s="6"/>
      <c r="AJ54" s="6" t="s">
        <v>59</v>
      </c>
    </row>
    <row r="55" spans="1:36" ht="15.75" customHeight="1" x14ac:dyDescent="0.25">
      <c r="A55" s="7">
        <v>43418.507249097223</v>
      </c>
      <c r="B55" s="6" t="s">
        <v>369</v>
      </c>
      <c r="C55" s="6" t="s">
        <v>45</v>
      </c>
      <c r="D55" s="6" t="s">
        <v>133</v>
      </c>
      <c r="E55" s="6" t="s">
        <v>81</v>
      </c>
      <c r="G55" s="6" t="s">
        <v>87</v>
      </c>
      <c r="H55" s="6" t="s">
        <v>370</v>
      </c>
      <c r="I55" s="6"/>
      <c r="J55" s="6" t="s">
        <v>110</v>
      </c>
      <c r="K55" s="6"/>
      <c r="L55" s="6" t="s">
        <v>372</v>
      </c>
      <c r="M55" s="6"/>
      <c r="N55" s="6" t="s">
        <v>121</v>
      </c>
      <c r="O55" s="6"/>
      <c r="R55" s="47" t="s">
        <v>373</v>
      </c>
      <c r="AA55" s="6"/>
      <c r="AB55" s="6" t="s">
        <v>101</v>
      </c>
      <c r="AC55" s="6"/>
      <c r="AD55" s="6" t="s">
        <v>56</v>
      </c>
      <c r="AE55" s="6"/>
      <c r="AF55" s="6" t="s">
        <v>161</v>
      </c>
      <c r="AG55" s="6"/>
      <c r="AH55" s="6" t="s">
        <v>57</v>
      </c>
      <c r="AI55" s="6"/>
      <c r="AJ55" s="11" t="s">
        <v>57</v>
      </c>
    </row>
    <row r="56" spans="1:36" ht="15.75" customHeight="1" x14ac:dyDescent="0.25">
      <c r="A56" s="7">
        <v>43418.507739768524</v>
      </c>
      <c r="B56" s="6" t="s">
        <v>30</v>
      </c>
      <c r="C56" s="6" t="s">
        <v>378</v>
      </c>
      <c r="D56" s="6" t="s">
        <v>46</v>
      </c>
      <c r="E56" s="6" t="s">
        <v>48</v>
      </c>
      <c r="F56" s="6" t="s">
        <v>379</v>
      </c>
      <c r="G56" s="6" t="s">
        <v>48</v>
      </c>
      <c r="H56" s="6" t="s">
        <v>380</v>
      </c>
      <c r="I56" s="6"/>
      <c r="J56" s="6" t="s">
        <v>106</v>
      </c>
      <c r="K56" s="6"/>
      <c r="L56" s="6" t="s">
        <v>382</v>
      </c>
      <c r="M56" s="6"/>
      <c r="N56" s="6" t="s">
        <v>112</v>
      </c>
      <c r="O56" s="6"/>
      <c r="P56" s="6" t="s">
        <v>131</v>
      </c>
      <c r="Q56" s="6"/>
      <c r="R56" s="47" t="s">
        <v>3909</v>
      </c>
      <c r="S56" s="14" t="s">
        <v>4459</v>
      </c>
      <c r="T56" s="14" t="s">
        <v>4460</v>
      </c>
      <c r="U56" s="14" t="s">
        <v>4461</v>
      </c>
      <c r="AA56" s="6"/>
      <c r="AB56" s="6" t="s">
        <v>55</v>
      </c>
      <c r="AC56" s="6"/>
      <c r="AD56" s="6" t="s">
        <v>109</v>
      </c>
      <c r="AE56" s="6"/>
      <c r="AF56" s="6" t="s">
        <v>68</v>
      </c>
      <c r="AG56" s="6"/>
      <c r="AH56" s="6" t="s">
        <v>76</v>
      </c>
      <c r="AI56" s="6"/>
      <c r="AJ56" s="11" t="s">
        <v>77</v>
      </c>
    </row>
    <row r="57" spans="1:36" ht="15.75" customHeight="1" x14ac:dyDescent="0.25">
      <c r="A57" s="7">
        <v>43418.507790567128</v>
      </c>
      <c r="B57" s="6" t="s">
        <v>30</v>
      </c>
      <c r="C57" s="6" t="s">
        <v>116</v>
      </c>
      <c r="D57" s="6" t="s">
        <v>91</v>
      </c>
      <c r="E57" s="6" t="s">
        <v>81</v>
      </c>
      <c r="G57" s="6" t="s">
        <v>87</v>
      </c>
      <c r="H57" s="6" t="s">
        <v>388</v>
      </c>
      <c r="I57" s="6"/>
      <c r="J57" s="6" t="s">
        <v>89</v>
      </c>
      <c r="K57" s="6"/>
      <c r="L57" s="6" t="s">
        <v>389</v>
      </c>
      <c r="M57" s="6"/>
      <c r="N57" s="6" t="s">
        <v>98</v>
      </c>
      <c r="O57" s="6"/>
      <c r="P57" s="6" t="s">
        <v>131</v>
      </c>
      <c r="Q57" s="6"/>
      <c r="R57" s="47" t="s">
        <v>242</v>
      </c>
      <c r="S57" s="14" t="s">
        <v>4425</v>
      </c>
      <c r="T57" s="14" t="s">
        <v>4462</v>
      </c>
      <c r="U57" s="14" t="s">
        <v>4463</v>
      </c>
      <c r="AA57" s="6"/>
      <c r="AB57" s="6" t="s">
        <v>101</v>
      </c>
      <c r="AC57" s="6"/>
      <c r="AD57" s="6" t="s">
        <v>56</v>
      </c>
      <c r="AE57" s="6"/>
      <c r="AF57" s="6" t="s">
        <v>161</v>
      </c>
      <c r="AG57" s="6"/>
      <c r="AH57" s="6" t="s">
        <v>76</v>
      </c>
      <c r="AI57" s="6"/>
      <c r="AJ57" s="11" t="s">
        <v>77</v>
      </c>
    </row>
    <row r="58" spans="1:36" ht="15.75" customHeight="1" x14ac:dyDescent="0.25">
      <c r="A58" s="7">
        <v>43418.50798336805</v>
      </c>
      <c r="B58" s="6" t="s">
        <v>154</v>
      </c>
      <c r="C58" s="6" t="s">
        <v>79</v>
      </c>
      <c r="D58" s="6" t="s">
        <v>165</v>
      </c>
      <c r="E58" s="6" t="s">
        <v>81</v>
      </c>
      <c r="G58" s="6" t="s">
        <v>87</v>
      </c>
      <c r="H58" s="6" t="s">
        <v>393</v>
      </c>
      <c r="I58" s="6"/>
      <c r="J58" s="6" t="s">
        <v>89</v>
      </c>
      <c r="K58" s="6"/>
      <c r="L58" s="6" t="s">
        <v>394</v>
      </c>
      <c r="M58" s="6"/>
      <c r="N58" s="6" t="s">
        <v>181</v>
      </c>
      <c r="O58" s="6"/>
      <c r="P58" s="6" t="s">
        <v>131</v>
      </c>
      <c r="Q58" s="6"/>
      <c r="R58" s="47" t="s">
        <v>4464</v>
      </c>
      <c r="S58" s="14" t="s">
        <v>4465</v>
      </c>
      <c r="T58" s="14" t="s">
        <v>4466</v>
      </c>
      <c r="U58" s="14" t="s">
        <v>4467</v>
      </c>
      <c r="AA58" s="6"/>
      <c r="AB58" s="6" t="s">
        <v>55</v>
      </c>
      <c r="AC58" s="6"/>
      <c r="AD58" s="6" t="s">
        <v>56</v>
      </c>
      <c r="AE58" s="6"/>
      <c r="AF58" s="6" t="s">
        <v>75</v>
      </c>
      <c r="AG58" s="6"/>
      <c r="AH58" s="6" t="s">
        <v>76</v>
      </c>
      <c r="AI58" s="6"/>
      <c r="AJ58" s="11" t="s">
        <v>77</v>
      </c>
    </row>
    <row r="59" spans="1:36" ht="15.75" customHeight="1" x14ac:dyDescent="0.25">
      <c r="A59" s="7">
        <v>43418.508470937501</v>
      </c>
      <c r="B59" s="6" t="s">
        <v>397</v>
      </c>
      <c r="C59" s="6" t="s">
        <v>128</v>
      </c>
      <c r="D59" s="6" t="s">
        <v>133</v>
      </c>
      <c r="E59" s="6" t="s">
        <v>48</v>
      </c>
      <c r="F59" s="6" t="s">
        <v>36</v>
      </c>
      <c r="G59" s="6" t="s">
        <v>48</v>
      </c>
      <c r="H59" s="6" t="s">
        <v>399</v>
      </c>
      <c r="I59" s="6"/>
      <c r="J59" s="6" t="s">
        <v>92</v>
      </c>
      <c r="K59" s="6"/>
      <c r="L59" s="6" t="s">
        <v>400</v>
      </c>
      <c r="M59" s="6"/>
      <c r="N59" s="6" t="s">
        <v>212</v>
      </c>
      <c r="O59" s="6"/>
      <c r="P59" s="6" t="s">
        <v>131</v>
      </c>
      <c r="Q59" s="6"/>
      <c r="R59" s="47" t="s">
        <v>3418</v>
      </c>
      <c r="S59" s="14" t="s">
        <v>4468</v>
      </c>
      <c r="T59" s="14" t="s">
        <v>4469</v>
      </c>
      <c r="U59" s="14" t="s">
        <v>4470</v>
      </c>
      <c r="AA59" s="6"/>
      <c r="AB59" s="6" t="s">
        <v>55</v>
      </c>
      <c r="AC59" s="6"/>
      <c r="AD59" s="6" t="s">
        <v>56</v>
      </c>
      <c r="AE59" s="6"/>
      <c r="AF59" s="6" t="s">
        <v>75</v>
      </c>
      <c r="AG59" s="6"/>
      <c r="AH59" s="6" t="s">
        <v>58</v>
      </c>
      <c r="AI59" s="6"/>
      <c r="AJ59" s="11" t="s">
        <v>77</v>
      </c>
    </row>
    <row r="60" spans="1:36" ht="15.75" customHeight="1" x14ac:dyDescent="0.25">
      <c r="A60" s="7">
        <v>43418.509173495375</v>
      </c>
      <c r="B60" s="6" t="s">
        <v>294</v>
      </c>
      <c r="C60" s="6" t="s">
        <v>116</v>
      </c>
      <c r="D60" s="6" t="s">
        <v>46</v>
      </c>
      <c r="E60" s="6" t="s">
        <v>81</v>
      </c>
      <c r="G60" s="6" t="s">
        <v>87</v>
      </c>
      <c r="H60" s="6" t="s">
        <v>405</v>
      </c>
      <c r="I60" s="6"/>
      <c r="J60" s="6" t="s">
        <v>106</v>
      </c>
      <c r="K60" s="6"/>
      <c r="L60" s="6" t="s">
        <v>406</v>
      </c>
      <c r="M60" s="6"/>
      <c r="N60" s="6" t="s">
        <v>121</v>
      </c>
      <c r="O60" s="6"/>
      <c r="P60" s="6" t="s">
        <v>131</v>
      </c>
      <c r="Q60" s="6"/>
      <c r="R60" s="47" t="s">
        <v>407</v>
      </c>
      <c r="AA60" s="6"/>
      <c r="AB60" s="6" t="s">
        <v>101</v>
      </c>
      <c r="AC60" s="6"/>
      <c r="AD60" s="6" t="s">
        <v>109</v>
      </c>
      <c r="AE60" s="6"/>
      <c r="AF60" s="6" t="s">
        <v>75</v>
      </c>
      <c r="AG60" s="6"/>
      <c r="AH60" s="6" t="s">
        <v>58</v>
      </c>
      <c r="AI60" s="6"/>
      <c r="AJ60" s="6" t="s">
        <v>225</v>
      </c>
    </row>
    <row r="61" spans="1:36" ht="15.75" customHeight="1" x14ac:dyDescent="0.25">
      <c r="A61" s="7">
        <v>43418.509185173607</v>
      </c>
      <c r="B61" s="6" t="s">
        <v>26</v>
      </c>
      <c r="C61" s="6" t="s">
        <v>79</v>
      </c>
      <c r="D61" s="6" t="s">
        <v>133</v>
      </c>
      <c r="E61" s="6" t="s">
        <v>81</v>
      </c>
      <c r="G61" s="6" t="s">
        <v>87</v>
      </c>
      <c r="J61" s="6" t="s">
        <v>50</v>
      </c>
      <c r="K61" s="6"/>
      <c r="N61" s="6" t="s">
        <v>93</v>
      </c>
      <c r="O61" s="6"/>
      <c r="P61" s="6" t="s">
        <v>94</v>
      </c>
      <c r="Q61" s="6"/>
      <c r="R61" s="47" t="s">
        <v>182</v>
      </c>
      <c r="AA61" s="6"/>
      <c r="AB61" s="6" t="s">
        <v>67</v>
      </c>
      <c r="AC61" s="6"/>
      <c r="AD61" s="6" t="s">
        <v>56</v>
      </c>
      <c r="AE61" s="6"/>
      <c r="AF61" s="6" t="s">
        <v>161</v>
      </c>
      <c r="AG61" s="6"/>
      <c r="AH61" s="6" t="s">
        <v>57</v>
      </c>
      <c r="AI61" s="6"/>
      <c r="AJ61" s="6" t="s">
        <v>69</v>
      </c>
    </row>
    <row r="62" spans="1:36" ht="15.75" customHeight="1" x14ac:dyDescent="0.25">
      <c r="A62" s="7">
        <v>43418.509236655096</v>
      </c>
      <c r="B62" s="6" t="s">
        <v>60</v>
      </c>
      <c r="C62" s="6" t="s">
        <v>45</v>
      </c>
      <c r="D62" s="6" t="s">
        <v>261</v>
      </c>
      <c r="E62" s="6" t="s">
        <v>81</v>
      </c>
      <c r="G62" s="6" t="s">
        <v>87</v>
      </c>
      <c r="H62" s="6" t="s">
        <v>413</v>
      </c>
      <c r="I62" s="6"/>
      <c r="J62" s="6" t="s">
        <v>89</v>
      </c>
      <c r="K62" s="6"/>
      <c r="L62" s="6" t="s">
        <v>414</v>
      </c>
      <c r="M62" s="6"/>
      <c r="N62" s="6" t="s">
        <v>51</v>
      </c>
      <c r="O62" s="6"/>
      <c r="P62" s="6" t="s">
        <v>99</v>
      </c>
      <c r="Q62" s="6"/>
      <c r="R62" s="47" t="s">
        <v>143</v>
      </c>
      <c r="S62" s="14" t="s">
        <v>4471</v>
      </c>
      <c r="T62" s="14" t="s">
        <v>4472</v>
      </c>
      <c r="AA62" s="6"/>
      <c r="AB62" s="6" t="s">
        <v>55</v>
      </c>
      <c r="AC62" s="6"/>
      <c r="AD62" s="6" t="s">
        <v>56</v>
      </c>
      <c r="AE62" s="6"/>
      <c r="AF62" s="6" t="s">
        <v>75</v>
      </c>
      <c r="AG62" s="6"/>
      <c r="AH62" s="6" t="s">
        <v>58</v>
      </c>
      <c r="AI62" s="6"/>
      <c r="AJ62" s="6" t="s">
        <v>260</v>
      </c>
    </row>
    <row r="63" spans="1:36" ht="15.75" customHeight="1" x14ac:dyDescent="0.25">
      <c r="A63" s="7">
        <v>43418.509428865742</v>
      </c>
      <c r="B63" s="6" t="s">
        <v>30</v>
      </c>
      <c r="C63" s="6" t="s">
        <v>419</v>
      </c>
      <c r="D63" s="6" t="s">
        <v>190</v>
      </c>
      <c r="E63" s="6" t="s">
        <v>81</v>
      </c>
      <c r="G63" s="6" t="s">
        <v>87</v>
      </c>
      <c r="H63" s="6" t="s">
        <v>420</v>
      </c>
      <c r="I63" s="6"/>
      <c r="J63" s="6" t="s">
        <v>92</v>
      </c>
      <c r="K63" s="6"/>
      <c r="L63" s="6" t="s">
        <v>422</v>
      </c>
      <c r="M63" s="6"/>
      <c r="N63" s="6" t="s">
        <v>212</v>
      </c>
      <c r="O63" s="6"/>
      <c r="P63" s="6" t="s">
        <v>99</v>
      </c>
      <c r="Q63" s="6"/>
      <c r="R63" s="47" t="s">
        <v>192</v>
      </c>
      <c r="S63" s="14" t="s">
        <v>4473</v>
      </c>
      <c r="T63" s="14" t="s">
        <v>4407</v>
      </c>
      <c r="U63" s="14" t="s">
        <v>4474</v>
      </c>
      <c r="AA63" s="6"/>
      <c r="AB63" s="6" t="s">
        <v>101</v>
      </c>
      <c r="AC63" s="6"/>
      <c r="AD63" s="6" t="s">
        <v>56</v>
      </c>
      <c r="AE63" s="6"/>
      <c r="AF63" s="6" t="s">
        <v>75</v>
      </c>
      <c r="AG63" s="6"/>
      <c r="AH63" s="6" t="s">
        <v>76</v>
      </c>
      <c r="AI63" s="6"/>
      <c r="AJ63" s="6" t="s">
        <v>390</v>
      </c>
    </row>
    <row r="64" spans="1:36" ht="15.75" customHeight="1" x14ac:dyDescent="0.25">
      <c r="A64" s="7">
        <v>43418.509986921301</v>
      </c>
      <c r="B64" s="6" t="s">
        <v>60</v>
      </c>
      <c r="C64" s="6" t="s">
        <v>116</v>
      </c>
      <c r="D64" s="6" t="s">
        <v>138</v>
      </c>
      <c r="E64" s="6" t="s">
        <v>81</v>
      </c>
      <c r="G64" s="6" t="s">
        <v>87</v>
      </c>
      <c r="J64" s="6" t="s">
        <v>92</v>
      </c>
      <c r="K64" s="6"/>
      <c r="L64" s="6" t="s">
        <v>426</v>
      </c>
      <c r="M64" s="6"/>
      <c r="N64" s="6" t="s">
        <v>212</v>
      </c>
      <c r="O64" s="6"/>
      <c r="P64" s="6" t="s">
        <v>94</v>
      </c>
      <c r="Q64" s="6"/>
      <c r="R64" s="47" t="s">
        <v>427</v>
      </c>
      <c r="AA64" s="6"/>
      <c r="AB64" s="6" t="s">
        <v>67</v>
      </c>
      <c r="AC64" s="6"/>
      <c r="AD64" s="6" t="s">
        <v>57</v>
      </c>
      <c r="AE64" s="6"/>
      <c r="AF64" s="6" t="s">
        <v>68</v>
      </c>
      <c r="AG64" s="6"/>
      <c r="AH64" s="6" t="s">
        <v>126</v>
      </c>
      <c r="AI64" s="6"/>
      <c r="AJ64" s="6" t="s">
        <v>174</v>
      </c>
    </row>
    <row r="65" spans="1:36" ht="15.75" customHeight="1" x14ac:dyDescent="0.25">
      <c r="A65" s="7">
        <v>43418.510900138892</v>
      </c>
      <c r="B65" s="6" t="s">
        <v>30</v>
      </c>
      <c r="C65" s="6" t="s">
        <v>95</v>
      </c>
      <c r="D65" s="6" t="s">
        <v>165</v>
      </c>
      <c r="E65" s="6" t="s">
        <v>48</v>
      </c>
      <c r="F65" s="6" t="s">
        <v>428</v>
      </c>
      <c r="G65" s="6" t="s">
        <v>48</v>
      </c>
      <c r="H65" s="6" t="s">
        <v>429</v>
      </c>
      <c r="I65" s="6"/>
      <c r="J65" s="6" t="s">
        <v>110</v>
      </c>
      <c r="K65" s="6"/>
      <c r="L65" s="6" t="s">
        <v>430</v>
      </c>
      <c r="M65" s="6"/>
      <c r="N65" s="6" t="s">
        <v>51</v>
      </c>
      <c r="O65" s="6"/>
      <c r="P65" s="6" t="s">
        <v>65</v>
      </c>
      <c r="Q65" s="6"/>
      <c r="R65" s="47" t="s">
        <v>3551</v>
      </c>
      <c r="S65" s="14" t="s">
        <v>4475</v>
      </c>
      <c r="T65" s="14" t="s">
        <v>4476</v>
      </c>
      <c r="U65" s="14" t="s">
        <v>4477</v>
      </c>
      <c r="AA65" s="6"/>
      <c r="AB65" s="6" t="s">
        <v>67</v>
      </c>
      <c r="AC65" s="6"/>
      <c r="AD65" s="6" t="s">
        <v>56</v>
      </c>
      <c r="AE65" s="6"/>
      <c r="AF65" s="6" t="s">
        <v>205</v>
      </c>
      <c r="AG65" s="6"/>
      <c r="AH65" s="6" t="s">
        <v>58</v>
      </c>
      <c r="AI65" s="6"/>
      <c r="AJ65" s="6" t="s">
        <v>132</v>
      </c>
    </row>
    <row r="66" spans="1:36" ht="15.75" customHeight="1" x14ac:dyDescent="0.25">
      <c r="A66" s="7">
        <v>43418.51091247685</v>
      </c>
      <c r="B66" s="6" t="s">
        <v>127</v>
      </c>
      <c r="C66" s="6" t="s">
        <v>45</v>
      </c>
      <c r="D66" s="6" t="s">
        <v>91</v>
      </c>
      <c r="E66" s="6" t="s">
        <v>81</v>
      </c>
      <c r="G66" s="6" t="s">
        <v>87</v>
      </c>
      <c r="J66" s="6" t="s">
        <v>106</v>
      </c>
      <c r="K66" s="6"/>
      <c r="L66" s="6" t="s">
        <v>432</v>
      </c>
      <c r="M66" s="6"/>
      <c r="N66" s="6" t="s">
        <v>212</v>
      </c>
      <c r="O66" s="6"/>
      <c r="P66" s="6" t="s">
        <v>131</v>
      </c>
      <c r="Q66" s="6"/>
      <c r="R66" s="47" t="s">
        <v>4478</v>
      </c>
      <c r="S66" s="14" t="s">
        <v>4479</v>
      </c>
      <c r="T66" s="14" t="s">
        <v>4480</v>
      </c>
      <c r="AA66" s="6"/>
      <c r="AB66" s="6" t="s">
        <v>101</v>
      </c>
      <c r="AC66" s="6"/>
      <c r="AD66" s="6" t="s">
        <v>56</v>
      </c>
      <c r="AE66" s="6"/>
      <c r="AF66" s="6" t="s">
        <v>75</v>
      </c>
      <c r="AG66" s="6"/>
      <c r="AH66" s="6" t="s">
        <v>76</v>
      </c>
      <c r="AI66" s="6"/>
      <c r="AJ66" s="6" t="s">
        <v>132</v>
      </c>
    </row>
    <row r="67" spans="1:36" ht="15.75" customHeight="1" x14ac:dyDescent="0.25">
      <c r="A67" s="7">
        <v>43418.511839664352</v>
      </c>
      <c r="B67" s="6" t="s">
        <v>30</v>
      </c>
      <c r="C67" s="6" t="s">
        <v>434</v>
      </c>
      <c r="D67" s="6" t="s">
        <v>155</v>
      </c>
      <c r="E67" s="6" t="s">
        <v>81</v>
      </c>
      <c r="G67" s="6" t="s">
        <v>87</v>
      </c>
      <c r="H67" s="6" t="s">
        <v>435</v>
      </c>
      <c r="I67" s="6"/>
      <c r="J67" s="6" t="s">
        <v>73</v>
      </c>
      <c r="K67" s="6"/>
      <c r="L67" s="6" t="s">
        <v>436</v>
      </c>
      <c r="M67" s="6"/>
      <c r="N67" s="6" t="s">
        <v>181</v>
      </c>
      <c r="O67" s="6"/>
      <c r="P67" s="6" t="s">
        <v>94</v>
      </c>
      <c r="Q67" s="6"/>
      <c r="R67" s="47" t="s">
        <v>182</v>
      </c>
      <c r="S67" s="14" t="s">
        <v>4481</v>
      </c>
      <c r="T67" s="14" t="s">
        <v>4482</v>
      </c>
      <c r="U67" s="14" t="s">
        <v>4483</v>
      </c>
      <c r="AA67" s="6"/>
      <c r="AB67" s="6" t="s">
        <v>101</v>
      </c>
      <c r="AC67" s="6"/>
      <c r="AD67" s="6" t="s">
        <v>56</v>
      </c>
      <c r="AE67" s="6"/>
      <c r="AF67" s="6" t="s">
        <v>161</v>
      </c>
      <c r="AG67" s="6"/>
      <c r="AH67" s="6" t="s">
        <v>76</v>
      </c>
      <c r="AI67" s="6"/>
      <c r="AJ67" s="11" t="s">
        <v>59</v>
      </c>
    </row>
    <row r="68" spans="1:36" ht="15.75" customHeight="1" x14ac:dyDescent="0.25">
      <c r="A68" s="7">
        <v>43418.512211539353</v>
      </c>
      <c r="B68" s="6" t="s">
        <v>30</v>
      </c>
      <c r="C68" s="6" t="s">
        <v>95</v>
      </c>
      <c r="D68" s="6" t="s">
        <v>307</v>
      </c>
      <c r="E68" s="6" t="s">
        <v>81</v>
      </c>
      <c r="G68" s="6" t="s">
        <v>87</v>
      </c>
      <c r="J68" s="6" t="s">
        <v>92</v>
      </c>
      <c r="K68" s="6"/>
      <c r="L68" s="6" t="s">
        <v>438</v>
      </c>
      <c r="M68" s="6"/>
      <c r="N68" s="6" t="s">
        <v>181</v>
      </c>
      <c r="O68" s="6"/>
      <c r="P68" s="6" t="s">
        <v>94</v>
      </c>
      <c r="Q68" s="6"/>
      <c r="AA68" s="6"/>
      <c r="AB68" s="6" t="s">
        <v>101</v>
      </c>
      <c r="AC68" s="6"/>
      <c r="AD68" s="6" t="s">
        <v>56</v>
      </c>
      <c r="AE68" s="6"/>
      <c r="AF68" s="6" t="s">
        <v>75</v>
      </c>
      <c r="AG68" s="6"/>
      <c r="AH68" s="6" t="s">
        <v>58</v>
      </c>
      <c r="AJ68" s="6" t="s">
        <v>57</v>
      </c>
    </row>
    <row r="69" spans="1:36" ht="15.75" customHeight="1" x14ac:dyDescent="0.25">
      <c r="A69" s="7">
        <v>43418.512851168984</v>
      </c>
      <c r="B69" s="6" t="s">
        <v>30</v>
      </c>
      <c r="C69" s="6" t="s">
        <v>95</v>
      </c>
      <c r="D69" s="6" t="s">
        <v>46</v>
      </c>
      <c r="E69" s="6" t="s">
        <v>81</v>
      </c>
      <c r="G69" s="6" t="s">
        <v>87</v>
      </c>
      <c r="J69" s="6" t="s">
        <v>106</v>
      </c>
      <c r="K69" s="6"/>
      <c r="N69" s="6" t="s">
        <v>93</v>
      </c>
      <c r="O69" s="6"/>
      <c r="P69" s="6" t="s">
        <v>168</v>
      </c>
      <c r="Q69" s="6"/>
      <c r="R69" s="47" t="s">
        <v>149</v>
      </c>
      <c r="S69" s="14" t="s">
        <v>4484</v>
      </c>
      <c r="AA69" s="6"/>
      <c r="AB69" s="6" t="s">
        <v>67</v>
      </c>
      <c r="AC69" s="6"/>
      <c r="AD69" s="6" t="s">
        <v>56</v>
      </c>
      <c r="AE69" s="6"/>
      <c r="AF69" s="6" t="s">
        <v>75</v>
      </c>
      <c r="AG69" s="6"/>
      <c r="AH69" s="6" t="s">
        <v>76</v>
      </c>
      <c r="AI69" s="6"/>
      <c r="AJ69" s="6" t="s">
        <v>115</v>
      </c>
    </row>
    <row r="70" spans="1:36" ht="15.75" customHeight="1" x14ac:dyDescent="0.25">
      <c r="A70" s="7">
        <v>43418.514416053236</v>
      </c>
      <c r="B70" s="6" t="s">
        <v>30</v>
      </c>
      <c r="C70" s="6" t="s">
        <v>95</v>
      </c>
      <c r="D70" s="6" t="s">
        <v>46</v>
      </c>
      <c r="E70" s="6" t="s">
        <v>81</v>
      </c>
      <c r="G70" s="6" t="s">
        <v>87</v>
      </c>
      <c r="J70" s="6" t="s">
        <v>106</v>
      </c>
      <c r="K70" s="6"/>
      <c r="N70" s="6" t="s">
        <v>121</v>
      </c>
      <c r="O70" s="6"/>
      <c r="P70" s="6" t="s">
        <v>94</v>
      </c>
      <c r="Q70" s="6"/>
      <c r="AA70" s="6"/>
      <c r="AB70" s="6" t="s">
        <v>67</v>
      </c>
      <c r="AC70" s="6"/>
      <c r="AD70" s="6" t="s">
        <v>56</v>
      </c>
      <c r="AE70" s="6"/>
      <c r="AF70" s="6" t="s">
        <v>75</v>
      </c>
      <c r="AG70" s="6"/>
      <c r="AH70" s="6" t="s">
        <v>76</v>
      </c>
      <c r="AJ70" s="6" t="s">
        <v>57</v>
      </c>
    </row>
    <row r="71" spans="1:36" ht="15.75" customHeight="1" x14ac:dyDescent="0.25">
      <c r="A71" s="7">
        <v>43418.514775891206</v>
      </c>
      <c r="B71" s="6" t="s">
        <v>60</v>
      </c>
      <c r="C71" s="6" t="s">
        <v>90</v>
      </c>
      <c r="D71" s="6" t="s">
        <v>163</v>
      </c>
      <c r="E71" s="6" t="s">
        <v>48</v>
      </c>
      <c r="F71" s="6" t="s">
        <v>36</v>
      </c>
      <c r="G71" s="6" t="s">
        <v>48</v>
      </c>
      <c r="J71" s="6" t="s">
        <v>64</v>
      </c>
      <c r="K71" s="6"/>
      <c r="N71" s="6" t="s">
        <v>98</v>
      </c>
      <c r="O71" s="6"/>
      <c r="P71" s="6" t="s">
        <v>131</v>
      </c>
      <c r="Q71" s="6"/>
      <c r="R71" s="47" t="s">
        <v>4485</v>
      </c>
      <c r="S71" s="14" t="s">
        <v>4486</v>
      </c>
      <c r="T71" s="14" t="s">
        <v>4487</v>
      </c>
      <c r="AA71" s="6"/>
      <c r="AB71" s="6" t="s">
        <v>101</v>
      </c>
      <c r="AC71" s="6"/>
      <c r="AD71" s="6" t="s">
        <v>56</v>
      </c>
      <c r="AE71" s="6"/>
      <c r="AF71" s="6" t="s">
        <v>205</v>
      </c>
      <c r="AG71" s="6"/>
      <c r="AH71" s="6" t="s">
        <v>58</v>
      </c>
      <c r="AI71" s="6"/>
      <c r="AJ71" s="6" t="s">
        <v>314</v>
      </c>
    </row>
    <row r="72" spans="1:36" ht="15.75" customHeight="1" x14ac:dyDescent="0.25">
      <c r="A72" s="7">
        <v>43418.515127349536</v>
      </c>
      <c r="B72" s="6" t="s">
        <v>60</v>
      </c>
      <c r="C72" s="6" t="s">
        <v>306</v>
      </c>
      <c r="D72" s="6" t="s">
        <v>165</v>
      </c>
      <c r="E72" s="6" t="s">
        <v>48</v>
      </c>
      <c r="F72" s="6" t="s">
        <v>441</v>
      </c>
      <c r="G72" s="6" t="s">
        <v>48</v>
      </c>
      <c r="H72" s="6" t="s">
        <v>442</v>
      </c>
      <c r="I72" s="6"/>
      <c r="J72" s="6" t="s">
        <v>92</v>
      </c>
      <c r="K72" s="6"/>
      <c r="L72" s="6" t="s">
        <v>443</v>
      </c>
      <c r="M72" s="6"/>
      <c r="N72" s="6" t="s">
        <v>181</v>
      </c>
      <c r="O72" s="6"/>
      <c r="P72" s="6" t="s">
        <v>131</v>
      </c>
      <c r="Q72" s="6"/>
      <c r="R72" s="47" t="s">
        <v>4166</v>
      </c>
      <c r="S72" s="14" t="s">
        <v>4488</v>
      </c>
      <c r="T72" s="14" t="s">
        <v>4489</v>
      </c>
      <c r="U72" s="14" t="s">
        <v>3994</v>
      </c>
      <c r="AA72" s="6"/>
      <c r="AB72" s="6" t="s">
        <v>101</v>
      </c>
      <c r="AC72" s="6"/>
      <c r="AD72" s="6" t="s">
        <v>56</v>
      </c>
      <c r="AE72" s="6"/>
      <c r="AF72" s="6" t="s">
        <v>68</v>
      </c>
      <c r="AG72" s="6"/>
      <c r="AH72" s="6" t="s">
        <v>58</v>
      </c>
      <c r="AI72" s="6"/>
      <c r="AJ72" s="6" t="s">
        <v>187</v>
      </c>
    </row>
    <row r="73" spans="1:36" ht="15.75" customHeight="1" x14ac:dyDescent="0.25">
      <c r="A73" s="7">
        <v>43418.515253472222</v>
      </c>
      <c r="B73" s="6" t="s">
        <v>445</v>
      </c>
      <c r="C73" s="6" t="s">
        <v>79</v>
      </c>
      <c r="D73" s="6" t="s">
        <v>261</v>
      </c>
      <c r="E73" s="6" t="s">
        <v>48</v>
      </c>
      <c r="F73" s="6" t="s">
        <v>446</v>
      </c>
      <c r="G73" s="6" t="s">
        <v>48</v>
      </c>
      <c r="H73" s="6" t="s">
        <v>447</v>
      </c>
      <c r="I73" s="6"/>
      <c r="J73" s="6" t="s">
        <v>50</v>
      </c>
      <c r="K73" s="6"/>
      <c r="L73" s="6" t="s">
        <v>448</v>
      </c>
      <c r="M73" s="6"/>
      <c r="N73" s="6" t="s">
        <v>51</v>
      </c>
      <c r="O73" s="6"/>
      <c r="P73" s="6" t="s">
        <v>65</v>
      </c>
      <c r="Q73" s="6"/>
      <c r="R73" s="47" t="s">
        <v>149</v>
      </c>
      <c r="S73" s="14" t="s">
        <v>3994</v>
      </c>
      <c r="AA73" s="6"/>
      <c r="AB73" s="6" t="s">
        <v>67</v>
      </c>
      <c r="AC73" s="6"/>
      <c r="AD73" s="6" t="s">
        <v>57</v>
      </c>
      <c r="AE73" s="6"/>
      <c r="AF73" s="6" t="s">
        <v>75</v>
      </c>
      <c r="AG73" s="6"/>
      <c r="AH73" s="6" t="s">
        <v>57</v>
      </c>
      <c r="AI73" s="6"/>
      <c r="AJ73" s="11" t="s">
        <v>115</v>
      </c>
    </row>
    <row r="74" spans="1:36" ht="15.75" customHeight="1" x14ac:dyDescent="0.25">
      <c r="A74" s="7">
        <v>43418.515336724537</v>
      </c>
      <c r="B74" s="6" t="s">
        <v>30</v>
      </c>
      <c r="C74" s="6" t="s">
        <v>79</v>
      </c>
      <c r="D74" s="6" t="s">
        <v>163</v>
      </c>
      <c r="E74" s="6" t="s">
        <v>81</v>
      </c>
      <c r="G74" s="6" t="s">
        <v>87</v>
      </c>
      <c r="H74" s="6" t="s">
        <v>450</v>
      </c>
      <c r="I74" s="6"/>
      <c r="J74" s="6" t="s">
        <v>92</v>
      </c>
      <c r="K74" s="6"/>
      <c r="L74" s="6" t="s">
        <v>451</v>
      </c>
      <c r="M74" s="6"/>
      <c r="N74" s="6" t="s">
        <v>98</v>
      </c>
      <c r="O74" s="6"/>
      <c r="P74" s="6" t="s">
        <v>94</v>
      </c>
      <c r="Q74" s="6"/>
      <c r="R74" s="47" t="s">
        <v>2751</v>
      </c>
      <c r="S74" s="14" t="s">
        <v>4490</v>
      </c>
      <c r="T74" s="14" t="s">
        <v>4491</v>
      </c>
      <c r="AA74" s="6"/>
      <c r="AB74" s="6" t="s">
        <v>203</v>
      </c>
      <c r="AC74" s="6"/>
      <c r="AD74" s="6" t="s">
        <v>109</v>
      </c>
      <c r="AE74" s="6"/>
      <c r="AF74" s="6" t="s">
        <v>75</v>
      </c>
      <c r="AG74" s="6"/>
      <c r="AH74" s="6" t="s">
        <v>58</v>
      </c>
      <c r="AI74" s="6"/>
      <c r="AJ74" s="11" t="s">
        <v>77</v>
      </c>
    </row>
    <row r="75" spans="1:36" ht="15.75" customHeight="1" x14ac:dyDescent="0.25">
      <c r="A75" s="7">
        <v>43418.515400266202</v>
      </c>
      <c r="B75" s="6" t="s">
        <v>30</v>
      </c>
      <c r="C75" s="6" t="s">
        <v>116</v>
      </c>
      <c r="D75" s="6" t="s">
        <v>163</v>
      </c>
      <c r="E75" s="6" t="s">
        <v>81</v>
      </c>
      <c r="G75" s="6" t="s">
        <v>87</v>
      </c>
      <c r="H75" s="6" t="s">
        <v>453</v>
      </c>
      <c r="I75" s="6"/>
      <c r="J75" s="6" t="s">
        <v>110</v>
      </c>
      <c r="K75" s="6"/>
      <c r="L75" s="6" t="s">
        <v>454</v>
      </c>
      <c r="M75" s="6"/>
      <c r="N75" s="6" t="s">
        <v>51</v>
      </c>
      <c r="O75" s="6"/>
      <c r="P75" s="6" t="s">
        <v>52</v>
      </c>
      <c r="Q75" s="6"/>
      <c r="R75" s="47" t="s">
        <v>455</v>
      </c>
      <c r="AA75" s="6"/>
      <c r="AB75" s="6" t="s">
        <v>55</v>
      </c>
      <c r="AC75" s="6"/>
      <c r="AD75" s="6" t="s">
        <v>56</v>
      </c>
      <c r="AE75" s="6"/>
      <c r="AF75" s="6" t="s">
        <v>68</v>
      </c>
      <c r="AG75" s="6"/>
      <c r="AH75" s="6" t="s">
        <v>58</v>
      </c>
      <c r="AI75" s="6"/>
      <c r="AJ75" s="6" t="s">
        <v>259</v>
      </c>
    </row>
    <row r="76" spans="1:36" ht="15.75" customHeight="1" x14ac:dyDescent="0.25">
      <c r="A76" s="7">
        <v>43418.515472638886</v>
      </c>
      <c r="B76" s="6" t="s">
        <v>30</v>
      </c>
      <c r="C76" s="6" t="s">
        <v>45</v>
      </c>
      <c r="D76" s="6" t="s">
        <v>46</v>
      </c>
      <c r="E76" s="6" t="s">
        <v>48</v>
      </c>
      <c r="F76" s="6" t="s">
        <v>456</v>
      </c>
      <c r="G76" s="6" t="s">
        <v>48</v>
      </c>
      <c r="H76" s="6" t="s">
        <v>457</v>
      </c>
      <c r="I76" s="6"/>
      <c r="J76" s="6" t="s">
        <v>89</v>
      </c>
      <c r="K76" s="6"/>
      <c r="L76" s="6" t="s">
        <v>458</v>
      </c>
      <c r="M76" s="6"/>
      <c r="N76" s="6" t="s">
        <v>51</v>
      </c>
      <c r="O76" s="6"/>
      <c r="P76" s="6" t="s">
        <v>52</v>
      </c>
      <c r="Q76" s="6"/>
      <c r="AA76" s="6"/>
      <c r="AB76" s="6" t="s">
        <v>67</v>
      </c>
      <c r="AC76" s="6"/>
      <c r="AD76" s="6" t="s">
        <v>56</v>
      </c>
      <c r="AE76" s="6"/>
      <c r="AF76" s="6" t="s">
        <v>68</v>
      </c>
      <c r="AG76" s="6"/>
      <c r="AH76" s="6" t="s">
        <v>58</v>
      </c>
      <c r="AI76" s="6"/>
      <c r="AJ76" s="6" t="s">
        <v>350</v>
      </c>
    </row>
    <row r="77" spans="1:36" ht="15.75" customHeight="1" x14ac:dyDescent="0.25">
      <c r="A77" s="7">
        <v>43418.515965358798</v>
      </c>
      <c r="B77" s="6" t="s">
        <v>459</v>
      </c>
      <c r="C77" s="6" t="s">
        <v>128</v>
      </c>
      <c r="D77" s="6" t="s">
        <v>163</v>
      </c>
      <c r="E77" s="6" t="s">
        <v>81</v>
      </c>
      <c r="G77" s="6" t="s">
        <v>48</v>
      </c>
      <c r="H77" s="6" t="s">
        <v>460</v>
      </c>
      <c r="I77" s="6"/>
      <c r="J77" s="6" t="s">
        <v>64</v>
      </c>
      <c r="K77" s="6"/>
      <c r="L77" s="6" t="s">
        <v>461</v>
      </c>
      <c r="M77" s="6"/>
      <c r="N77" s="6" t="s">
        <v>51</v>
      </c>
      <c r="O77" s="6"/>
      <c r="P77" s="6" t="s">
        <v>52</v>
      </c>
      <c r="Q77" s="6"/>
      <c r="R77" s="47" t="s">
        <v>462</v>
      </c>
      <c r="AA77" s="6"/>
      <c r="AB77" s="6" t="s">
        <v>101</v>
      </c>
      <c r="AC77" s="6"/>
      <c r="AD77" s="6" t="s">
        <v>56</v>
      </c>
      <c r="AE77" s="6"/>
      <c r="AF77" s="6" t="s">
        <v>75</v>
      </c>
      <c r="AG77" s="6"/>
      <c r="AH77" s="6" t="s">
        <v>76</v>
      </c>
      <c r="AI77" s="6"/>
      <c r="AJ77" s="11" t="s">
        <v>69</v>
      </c>
    </row>
    <row r="78" spans="1:36" ht="15.75" customHeight="1" x14ac:dyDescent="0.25">
      <c r="A78" s="7">
        <v>43418.516236608797</v>
      </c>
      <c r="B78" s="6" t="s">
        <v>463</v>
      </c>
      <c r="C78" s="6" t="s">
        <v>95</v>
      </c>
      <c r="D78" s="6" t="s">
        <v>129</v>
      </c>
      <c r="E78" s="6" t="s">
        <v>81</v>
      </c>
      <c r="G78" s="6" t="s">
        <v>48</v>
      </c>
      <c r="H78" s="6" t="s">
        <v>464</v>
      </c>
      <c r="I78" s="6"/>
      <c r="J78" s="6" t="s">
        <v>89</v>
      </c>
      <c r="K78" s="6"/>
      <c r="L78" s="6" t="s">
        <v>465</v>
      </c>
      <c r="M78" s="6"/>
      <c r="N78" s="6" t="s">
        <v>212</v>
      </c>
      <c r="O78" s="6"/>
      <c r="P78" s="6" t="s">
        <v>131</v>
      </c>
      <c r="Q78" s="6"/>
      <c r="AA78" s="6"/>
      <c r="AB78" s="6" t="s">
        <v>101</v>
      </c>
      <c r="AC78" s="6"/>
      <c r="AD78" s="6" t="s">
        <v>56</v>
      </c>
      <c r="AE78" s="6"/>
      <c r="AF78" s="6" t="s">
        <v>68</v>
      </c>
      <c r="AG78" s="6"/>
      <c r="AH78" s="6" t="s">
        <v>58</v>
      </c>
      <c r="AI78" s="6"/>
      <c r="AJ78" s="6" t="s">
        <v>244</v>
      </c>
    </row>
    <row r="79" spans="1:36" ht="15.75" customHeight="1" x14ac:dyDescent="0.25">
      <c r="A79" s="7">
        <v>43418.516538240743</v>
      </c>
      <c r="B79" s="6" t="s">
        <v>30</v>
      </c>
      <c r="C79" s="6" t="s">
        <v>45</v>
      </c>
      <c r="D79" s="6" t="s">
        <v>261</v>
      </c>
      <c r="E79" s="6" t="s">
        <v>81</v>
      </c>
      <c r="G79" s="6" t="s">
        <v>87</v>
      </c>
      <c r="J79" s="6" t="s">
        <v>64</v>
      </c>
      <c r="K79" s="6"/>
      <c r="L79" s="6" t="s">
        <v>466</v>
      </c>
      <c r="M79" s="6"/>
      <c r="N79" s="6" t="s">
        <v>51</v>
      </c>
      <c r="O79" s="6"/>
      <c r="P79" s="6" t="s">
        <v>52</v>
      </c>
      <c r="Q79" s="6"/>
      <c r="AA79" s="6"/>
      <c r="AB79" s="6" t="s">
        <v>203</v>
      </c>
      <c r="AC79" s="6"/>
      <c r="AD79" s="6" t="s">
        <v>56</v>
      </c>
      <c r="AE79" s="6"/>
      <c r="AF79" s="6" t="s">
        <v>75</v>
      </c>
      <c r="AG79" s="6"/>
      <c r="AH79" s="11" t="s">
        <v>76</v>
      </c>
      <c r="AI79" s="6"/>
      <c r="AJ79" s="6" t="s">
        <v>334</v>
      </c>
    </row>
    <row r="80" spans="1:36" ht="15.75" customHeight="1" x14ac:dyDescent="0.25">
      <c r="A80" s="7">
        <v>43418.516666400465</v>
      </c>
      <c r="B80" s="6" t="s">
        <v>154</v>
      </c>
      <c r="C80" s="6" t="s">
        <v>79</v>
      </c>
      <c r="E80" s="6" t="s">
        <v>48</v>
      </c>
      <c r="F80" s="6" t="s">
        <v>467</v>
      </c>
      <c r="G80" s="6" t="s">
        <v>81</v>
      </c>
      <c r="H80" s="6" t="s">
        <v>468</v>
      </c>
      <c r="I80" s="6"/>
      <c r="J80" s="6" t="s">
        <v>110</v>
      </c>
      <c r="K80" s="6"/>
      <c r="L80" s="6" t="s">
        <v>469</v>
      </c>
      <c r="M80" s="6"/>
      <c r="N80" s="6" t="s">
        <v>181</v>
      </c>
      <c r="O80" s="6"/>
      <c r="P80" s="6" t="s">
        <v>131</v>
      </c>
      <c r="Q80" s="6"/>
      <c r="R80" s="47" t="s">
        <v>149</v>
      </c>
      <c r="S80" s="14" t="s">
        <v>4400</v>
      </c>
      <c r="T80" s="14" t="s">
        <v>4431</v>
      </c>
      <c r="U80" s="14" t="s">
        <v>4393</v>
      </c>
      <c r="V80" s="14" t="s">
        <v>4473</v>
      </c>
      <c r="W80" s="14" t="s">
        <v>4492</v>
      </c>
      <c r="AA80" s="6"/>
      <c r="AB80" s="6" t="s">
        <v>55</v>
      </c>
      <c r="AC80" s="6"/>
      <c r="AD80" s="6" t="s">
        <v>56</v>
      </c>
      <c r="AE80" s="6"/>
      <c r="AF80" s="6" t="s">
        <v>75</v>
      </c>
      <c r="AG80" s="6"/>
      <c r="AH80" s="6" t="s">
        <v>126</v>
      </c>
      <c r="AI80" s="6"/>
      <c r="AJ80" s="6" t="s">
        <v>132</v>
      </c>
    </row>
    <row r="81" spans="1:36" ht="15.75" customHeight="1" x14ac:dyDescent="0.25">
      <c r="A81" s="7">
        <v>43418.517011354168</v>
      </c>
      <c r="B81" s="6" t="s">
        <v>30</v>
      </c>
      <c r="C81" s="6" t="s">
        <v>95</v>
      </c>
      <c r="D81" s="6" t="s">
        <v>165</v>
      </c>
      <c r="E81" s="6" t="s">
        <v>48</v>
      </c>
      <c r="F81" s="6" t="s">
        <v>471</v>
      </c>
      <c r="G81" s="6" t="s">
        <v>48</v>
      </c>
      <c r="J81" s="6" t="s">
        <v>158</v>
      </c>
      <c r="K81" s="6"/>
      <c r="L81" s="6" t="s">
        <v>472</v>
      </c>
      <c r="M81" s="6"/>
      <c r="N81" s="6" t="s">
        <v>181</v>
      </c>
      <c r="O81" s="6"/>
      <c r="P81" s="6" t="s">
        <v>94</v>
      </c>
      <c r="Q81" s="6"/>
      <c r="R81" s="47" t="s">
        <v>234</v>
      </c>
      <c r="S81" s="14" t="s">
        <v>4393</v>
      </c>
      <c r="T81" s="14" t="s">
        <v>4493</v>
      </c>
      <c r="AA81" s="6"/>
      <c r="AB81" s="6" t="s">
        <v>101</v>
      </c>
      <c r="AC81" s="6"/>
      <c r="AD81" s="6" t="s">
        <v>56</v>
      </c>
      <c r="AE81" s="6"/>
      <c r="AF81" s="6" t="s">
        <v>75</v>
      </c>
      <c r="AG81" s="6"/>
      <c r="AH81" s="6" t="s">
        <v>76</v>
      </c>
      <c r="AI81" s="6"/>
      <c r="AJ81" s="6" t="s">
        <v>132</v>
      </c>
    </row>
    <row r="82" spans="1:36" ht="15.75" customHeight="1" x14ac:dyDescent="0.25">
      <c r="A82" s="7">
        <v>43418.517244965275</v>
      </c>
      <c r="B82" s="6" t="s">
        <v>154</v>
      </c>
      <c r="C82" s="6" t="s">
        <v>215</v>
      </c>
      <c r="D82" s="6" t="s">
        <v>46</v>
      </c>
      <c r="E82" s="6" t="s">
        <v>81</v>
      </c>
      <c r="G82" s="6" t="s">
        <v>87</v>
      </c>
      <c r="H82" s="6" t="s">
        <v>474</v>
      </c>
      <c r="I82" s="6"/>
      <c r="J82" s="6" t="s">
        <v>106</v>
      </c>
      <c r="K82" s="6"/>
      <c r="L82" s="6" t="s">
        <v>475</v>
      </c>
      <c r="M82" s="6"/>
      <c r="N82" s="6" t="s">
        <v>181</v>
      </c>
      <c r="O82" s="6"/>
      <c r="P82" s="6" t="s">
        <v>131</v>
      </c>
      <c r="Q82" s="6"/>
      <c r="R82" s="47" t="s">
        <v>201</v>
      </c>
      <c r="S82" s="14" t="s">
        <v>4425</v>
      </c>
      <c r="T82" s="14" t="s">
        <v>4443</v>
      </c>
      <c r="U82" s="14" t="s">
        <v>4494</v>
      </c>
      <c r="AA82" s="6"/>
      <c r="AB82" s="6" t="s">
        <v>101</v>
      </c>
      <c r="AC82" s="6"/>
      <c r="AD82" s="6" t="s">
        <v>56</v>
      </c>
      <c r="AE82" s="6"/>
      <c r="AF82" s="6" t="s">
        <v>75</v>
      </c>
      <c r="AG82" s="6"/>
      <c r="AH82" s="6" t="s">
        <v>126</v>
      </c>
      <c r="AI82" s="6"/>
      <c r="AJ82" s="6" t="s">
        <v>77</v>
      </c>
    </row>
    <row r="83" spans="1:36" ht="15.75" customHeight="1" x14ac:dyDescent="0.25">
      <c r="A83" s="7">
        <v>43418.517261400462</v>
      </c>
      <c r="B83" s="6" t="s">
        <v>60</v>
      </c>
      <c r="C83" s="6" t="s">
        <v>477</v>
      </c>
      <c r="D83" s="6" t="s">
        <v>163</v>
      </c>
      <c r="E83" s="6" t="s">
        <v>48</v>
      </c>
      <c r="F83" s="6" t="s">
        <v>478</v>
      </c>
      <c r="G83" s="6" t="s">
        <v>48</v>
      </c>
      <c r="H83" s="6" t="s">
        <v>479</v>
      </c>
      <c r="I83" s="6"/>
      <c r="J83" s="6" t="s">
        <v>92</v>
      </c>
      <c r="K83" s="6"/>
      <c r="L83" s="6" t="s">
        <v>480</v>
      </c>
      <c r="M83" s="6"/>
      <c r="N83" s="6" t="s">
        <v>98</v>
      </c>
      <c r="O83" s="6"/>
      <c r="P83" s="6" t="s">
        <v>131</v>
      </c>
      <c r="Q83" s="6"/>
      <c r="R83" s="47" t="s">
        <v>4495</v>
      </c>
      <c r="S83" s="14" t="s">
        <v>4496</v>
      </c>
      <c r="T83" s="14" t="s">
        <v>4472</v>
      </c>
      <c r="U83" s="14" t="s">
        <v>4497</v>
      </c>
      <c r="V83" s="14" t="s">
        <v>4421</v>
      </c>
      <c r="AA83" s="6"/>
      <c r="AB83" s="6" t="s">
        <v>67</v>
      </c>
      <c r="AC83" s="6"/>
      <c r="AD83" s="6" t="s">
        <v>56</v>
      </c>
      <c r="AE83" s="6"/>
      <c r="AF83" s="6" t="s">
        <v>75</v>
      </c>
      <c r="AG83" s="6"/>
      <c r="AH83" s="6" t="s">
        <v>57</v>
      </c>
      <c r="AI83" s="6"/>
      <c r="AJ83" s="6" t="s">
        <v>255</v>
      </c>
    </row>
    <row r="84" spans="1:36" ht="15.75" customHeight="1" x14ac:dyDescent="0.25">
      <c r="A84" s="7">
        <v>43418.519441435186</v>
      </c>
      <c r="B84" s="6" t="s">
        <v>60</v>
      </c>
      <c r="C84" s="6" t="s">
        <v>482</v>
      </c>
      <c r="D84" s="6" t="s">
        <v>138</v>
      </c>
      <c r="E84" s="6" t="s">
        <v>48</v>
      </c>
      <c r="F84" s="6" t="s">
        <v>483</v>
      </c>
      <c r="G84" s="6" t="s">
        <v>48</v>
      </c>
      <c r="H84" s="6" t="s">
        <v>484</v>
      </c>
      <c r="I84" s="6"/>
      <c r="J84" s="6" t="s">
        <v>158</v>
      </c>
      <c r="K84" s="6"/>
      <c r="L84" s="6" t="s">
        <v>485</v>
      </c>
      <c r="M84" s="6"/>
      <c r="N84" s="6" t="s">
        <v>112</v>
      </c>
      <c r="O84" s="6"/>
      <c r="P84" s="6" t="s">
        <v>52</v>
      </c>
      <c r="Q84" s="6"/>
      <c r="R84" s="47" t="s">
        <v>3913</v>
      </c>
      <c r="S84" s="14" t="s">
        <v>4498</v>
      </c>
      <c r="AA84" s="6"/>
      <c r="AB84" s="6" t="s">
        <v>67</v>
      </c>
      <c r="AC84" s="6"/>
      <c r="AD84" s="6" t="s">
        <v>56</v>
      </c>
      <c r="AE84" s="6"/>
      <c r="AF84" s="6" t="s">
        <v>75</v>
      </c>
      <c r="AG84" s="6"/>
      <c r="AH84" s="6" t="s">
        <v>58</v>
      </c>
      <c r="AI84" s="6"/>
      <c r="AJ84" s="6" t="s">
        <v>233</v>
      </c>
    </row>
    <row r="85" spans="1:36" ht="15.75" customHeight="1" x14ac:dyDescent="0.25">
      <c r="A85" s="7">
        <v>43418.519474189816</v>
      </c>
      <c r="B85" s="6" t="s">
        <v>487</v>
      </c>
      <c r="C85" s="6" t="s">
        <v>90</v>
      </c>
      <c r="D85" s="6" t="s">
        <v>261</v>
      </c>
      <c r="E85" s="6" t="s">
        <v>81</v>
      </c>
      <c r="G85" s="6" t="s">
        <v>87</v>
      </c>
      <c r="H85" s="6" t="s">
        <v>488</v>
      </c>
      <c r="I85" s="6"/>
      <c r="J85" s="6" t="s">
        <v>106</v>
      </c>
      <c r="K85" s="6"/>
      <c r="L85" s="6" t="s">
        <v>489</v>
      </c>
      <c r="M85" s="6"/>
      <c r="N85" s="6" t="s">
        <v>51</v>
      </c>
      <c r="O85" s="6"/>
      <c r="P85" s="6" t="s">
        <v>52</v>
      </c>
      <c r="Q85" s="6"/>
      <c r="R85" s="47" t="s">
        <v>4499</v>
      </c>
      <c r="S85" s="14" t="s">
        <v>4500</v>
      </c>
      <c r="AA85" s="6"/>
      <c r="AB85" s="6" t="s">
        <v>67</v>
      </c>
      <c r="AC85" s="6"/>
      <c r="AD85" s="6" t="s">
        <v>56</v>
      </c>
      <c r="AE85" s="6"/>
      <c r="AF85" s="6" t="s">
        <v>75</v>
      </c>
      <c r="AG85" s="6"/>
      <c r="AH85" s="6" t="s">
        <v>76</v>
      </c>
      <c r="AI85" s="6"/>
      <c r="AJ85" s="11" t="s">
        <v>324</v>
      </c>
    </row>
    <row r="86" spans="1:36" ht="15.75" customHeight="1" x14ac:dyDescent="0.25">
      <c r="A86" s="7">
        <v>43418.519536782405</v>
      </c>
      <c r="B86" s="6" t="s">
        <v>28</v>
      </c>
      <c r="C86" s="6" t="s">
        <v>306</v>
      </c>
      <c r="D86" s="6" t="s">
        <v>133</v>
      </c>
      <c r="E86" s="6" t="s">
        <v>81</v>
      </c>
      <c r="G86" s="6" t="s">
        <v>87</v>
      </c>
      <c r="H86" s="6" t="s">
        <v>491</v>
      </c>
      <c r="I86" s="6"/>
      <c r="N86" s="6" t="s">
        <v>93</v>
      </c>
      <c r="O86" s="6"/>
      <c r="P86" s="6" t="s">
        <v>94</v>
      </c>
      <c r="Q86" s="6"/>
      <c r="R86" s="47" t="s">
        <v>492</v>
      </c>
      <c r="AA86" s="6"/>
      <c r="AB86" s="6" t="s">
        <v>55</v>
      </c>
      <c r="AC86" s="6"/>
      <c r="AD86" s="6" t="s">
        <v>56</v>
      </c>
      <c r="AE86" s="6"/>
      <c r="AF86" s="6" t="s">
        <v>161</v>
      </c>
      <c r="AG86" s="6"/>
      <c r="AH86" s="6" t="s">
        <v>76</v>
      </c>
      <c r="AI86" s="6"/>
      <c r="AJ86" s="11" t="s">
        <v>297</v>
      </c>
    </row>
    <row r="87" spans="1:36" ht="15.75" customHeight="1" x14ac:dyDescent="0.25">
      <c r="A87" s="7">
        <v>43418.519784097225</v>
      </c>
      <c r="B87" s="6" t="s">
        <v>60</v>
      </c>
      <c r="C87" s="6" t="s">
        <v>215</v>
      </c>
      <c r="D87" s="6" t="s">
        <v>138</v>
      </c>
      <c r="E87" s="6" t="s">
        <v>81</v>
      </c>
      <c r="G87" s="6" t="s">
        <v>87</v>
      </c>
      <c r="H87" s="6" t="s">
        <v>493</v>
      </c>
      <c r="I87" s="6"/>
      <c r="J87" s="6" t="s">
        <v>64</v>
      </c>
      <c r="K87" s="6"/>
      <c r="L87" s="6" t="s">
        <v>494</v>
      </c>
      <c r="M87" s="6"/>
      <c r="N87" s="6" t="s">
        <v>98</v>
      </c>
      <c r="O87" s="6"/>
      <c r="P87" s="6" t="s">
        <v>94</v>
      </c>
      <c r="Q87" s="6"/>
      <c r="R87" s="47" t="s">
        <v>149</v>
      </c>
      <c r="S87" s="14" t="s">
        <v>4407</v>
      </c>
      <c r="T87" s="14" t="s">
        <v>4501</v>
      </c>
      <c r="U87" s="14" t="s">
        <v>4502</v>
      </c>
      <c r="AA87" s="6"/>
      <c r="AB87" s="6" t="s">
        <v>67</v>
      </c>
      <c r="AC87" s="6"/>
      <c r="AD87" s="6" t="s">
        <v>56</v>
      </c>
      <c r="AE87" s="6"/>
      <c r="AF87" s="6" t="s">
        <v>75</v>
      </c>
      <c r="AG87" s="6"/>
      <c r="AH87" s="6" t="s">
        <v>76</v>
      </c>
      <c r="AI87" s="6"/>
      <c r="AJ87" s="6" t="s">
        <v>344</v>
      </c>
    </row>
    <row r="88" spans="1:36" ht="15.75" customHeight="1" x14ac:dyDescent="0.25">
      <c r="A88" s="7">
        <v>43418.519967581014</v>
      </c>
      <c r="B88" s="6" t="s">
        <v>30</v>
      </c>
      <c r="C88" s="6" t="s">
        <v>128</v>
      </c>
      <c r="D88" s="6" t="s">
        <v>46</v>
      </c>
      <c r="E88" s="6" t="s">
        <v>81</v>
      </c>
      <c r="G88" s="6" t="s">
        <v>87</v>
      </c>
      <c r="J88" s="6" t="s">
        <v>92</v>
      </c>
      <c r="K88" s="6"/>
      <c r="N88" s="6" t="s">
        <v>121</v>
      </c>
      <c r="O88" s="6"/>
      <c r="P88" s="6" t="s">
        <v>94</v>
      </c>
      <c r="Q88" s="6"/>
      <c r="AA88" s="6"/>
      <c r="AB88" s="6" t="s">
        <v>55</v>
      </c>
      <c r="AC88" s="6"/>
      <c r="AD88" s="6" t="s">
        <v>57</v>
      </c>
      <c r="AE88" s="6"/>
      <c r="AF88" s="6" t="s">
        <v>75</v>
      </c>
      <c r="AG88" s="6"/>
      <c r="AH88" s="6" t="s">
        <v>58</v>
      </c>
      <c r="AJ88" s="6" t="s">
        <v>57</v>
      </c>
    </row>
    <row r="89" spans="1:36" ht="15.75" customHeight="1" x14ac:dyDescent="0.25">
      <c r="A89" s="7">
        <v>43418.520789328701</v>
      </c>
      <c r="B89" s="6" t="s">
        <v>60</v>
      </c>
      <c r="C89" s="6" t="s">
        <v>45</v>
      </c>
      <c r="D89" s="6" t="s">
        <v>261</v>
      </c>
      <c r="E89" s="6" t="s">
        <v>81</v>
      </c>
      <c r="G89" s="6" t="s">
        <v>87</v>
      </c>
      <c r="H89" s="6" t="s">
        <v>496</v>
      </c>
      <c r="I89" s="6"/>
      <c r="J89" s="6" t="s">
        <v>50</v>
      </c>
      <c r="K89" s="6"/>
      <c r="L89" s="6" t="s">
        <v>497</v>
      </c>
      <c r="M89" s="6"/>
      <c r="N89" s="6" t="s">
        <v>51</v>
      </c>
      <c r="O89" s="6"/>
      <c r="P89" s="6" t="s">
        <v>65</v>
      </c>
      <c r="Q89" s="6"/>
      <c r="R89" s="47" t="s">
        <v>4503</v>
      </c>
      <c r="S89" s="14" t="s">
        <v>4504</v>
      </c>
      <c r="T89" s="14" t="s">
        <v>4505</v>
      </c>
      <c r="U89" s="14" t="s">
        <v>4506</v>
      </c>
      <c r="V89" s="14" t="s">
        <v>4507</v>
      </c>
      <c r="AA89" s="6"/>
      <c r="AB89" s="6" t="s">
        <v>67</v>
      </c>
      <c r="AC89" s="6"/>
      <c r="AD89" s="6" t="s">
        <v>56</v>
      </c>
      <c r="AE89" s="6"/>
      <c r="AF89" s="6" t="s">
        <v>161</v>
      </c>
      <c r="AG89" s="6"/>
      <c r="AH89" s="6" t="s">
        <v>76</v>
      </c>
      <c r="AI89" s="6"/>
      <c r="AJ89" s="6" t="s">
        <v>313</v>
      </c>
    </row>
    <row r="90" spans="1:36" ht="15.75" customHeight="1" x14ac:dyDescent="0.25">
      <c r="A90" s="7">
        <v>43418.523382106483</v>
      </c>
      <c r="B90" s="6" t="s">
        <v>499</v>
      </c>
      <c r="C90" s="6" t="s">
        <v>128</v>
      </c>
      <c r="D90" s="6" t="s">
        <v>165</v>
      </c>
      <c r="E90" s="6" t="s">
        <v>81</v>
      </c>
      <c r="G90" s="6" t="s">
        <v>87</v>
      </c>
      <c r="H90" s="6" t="s">
        <v>500</v>
      </c>
      <c r="I90" s="6"/>
      <c r="J90" s="6" t="s">
        <v>110</v>
      </c>
      <c r="K90" s="6"/>
      <c r="L90" s="6" t="s">
        <v>501</v>
      </c>
      <c r="M90" s="6"/>
      <c r="N90" s="6" t="s">
        <v>98</v>
      </c>
      <c r="O90" s="6"/>
      <c r="P90" s="6" t="s">
        <v>131</v>
      </c>
      <c r="Q90" s="6"/>
      <c r="R90" s="47" t="s">
        <v>502</v>
      </c>
      <c r="AA90" s="6"/>
      <c r="AB90" s="6" t="s">
        <v>101</v>
      </c>
      <c r="AC90" s="6"/>
      <c r="AD90" s="6" t="s">
        <v>57</v>
      </c>
      <c r="AE90" s="6"/>
      <c r="AF90" s="6" t="s">
        <v>57</v>
      </c>
      <c r="AG90" s="6"/>
      <c r="AH90" s="6" t="s">
        <v>57</v>
      </c>
      <c r="AI90" s="6"/>
      <c r="AJ90" s="6" t="s">
        <v>69</v>
      </c>
    </row>
    <row r="91" spans="1:36" ht="15.75" customHeight="1" x14ac:dyDescent="0.25">
      <c r="A91" s="7">
        <v>43418.523406840279</v>
      </c>
      <c r="B91" s="6" t="s">
        <v>30</v>
      </c>
      <c r="C91" s="6" t="s">
        <v>45</v>
      </c>
      <c r="D91" s="6" t="s">
        <v>46</v>
      </c>
      <c r="E91" s="6" t="s">
        <v>48</v>
      </c>
      <c r="F91" s="6" t="s">
        <v>503</v>
      </c>
      <c r="G91" s="6" t="s">
        <v>48</v>
      </c>
      <c r="H91" s="6" t="s">
        <v>504</v>
      </c>
      <c r="I91" s="6"/>
      <c r="J91" s="6" t="s">
        <v>184</v>
      </c>
      <c r="K91" s="6"/>
      <c r="L91" s="6" t="s">
        <v>505</v>
      </c>
      <c r="M91" s="6"/>
      <c r="N91" s="6" t="s">
        <v>51</v>
      </c>
      <c r="O91" s="6"/>
      <c r="P91" s="6" t="s">
        <v>52</v>
      </c>
      <c r="Q91" s="6"/>
      <c r="R91" s="47" t="s">
        <v>4508</v>
      </c>
      <c r="S91" s="14" t="s">
        <v>4509</v>
      </c>
      <c r="T91" s="14" t="s">
        <v>4510</v>
      </c>
      <c r="U91" s="14" t="s">
        <v>4511</v>
      </c>
      <c r="AA91" s="6"/>
      <c r="AB91" s="6" t="s">
        <v>55</v>
      </c>
      <c r="AC91" s="6"/>
      <c r="AD91" s="6" t="s">
        <v>56</v>
      </c>
      <c r="AE91" s="6"/>
      <c r="AF91" s="6" t="s">
        <v>68</v>
      </c>
      <c r="AG91" s="6"/>
      <c r="AH91" s="6" t="s">
        <v>58</v>
      </c>
      <c r="AI91" s="6"/>
      <c r="AJ91" s="11" t="s">
        <v>132</v>
      </c>
    </row>
    <row r="92" spans="1:36" ht="15.75" customHeight="1" x14ac:dyDescent="0.25">
      <c r="A92" s="7">
        <v>43418.523740231481</v>
      </c>
      <c r="B92" s="6" t="s">
        <v>60</v>
      </c>
      <c r="C92" s="6" t="s">
        <v>215</v>
      </c>
      <c r="D92" s="6" t="s">
        <v>163</v>
      </c>
      <c r="E92" s="6" t="s">
        <v>48</v>
      </c>
      <c r="F92" s="6" t="s">
        <v>36</v>
      </c>
      <c r="G92" s="6" t="s">
        <v>48</v>
      </c>
      <c r="J92" s="6" t="s">
        <v>64</v>
      </c>
      <c r="K92" s="6"/>
      <c r="N92" s="6" t="s">
        <v>212</v>
      </c>
      <c r="O92" s="6"/>
      <c r="P92" s="6" t="s">
        <v>131</v>
      </c>
      <c r="Q92" s="6"/>
      <c r="R92" s="47" t="s">
        <v>507</v>
      </c>
      <c r="AA92" s="6"/>
      <c r="AB92" s="6" t="s">
        <v>55</v>
      </c>
      <c r="AC92" s="6"/>
      <c r="AD92" s="6" t="s">
        <v>56</v>
      </c>
      <c r="AE92" s="6"/>
      <c r="AF92" s="6" t="s">
        <v>75</v>
      </c>
      <c r="AG92" s="6"/>
      <c r="AH92" s="11" t="s">
        <v>126</v>
      </c>
      <c r="AI92" s="6"/>
      <c r="AJ92" s="11" t="s">
        <v>174</v>
      </c>
    </row>
    <row r="93" spans="1:36" ht="15.75" customHeight="1" x14ac:dyDescent="0.25">
      <c r="A93" s="7">
        <v>43418.526696400462</v>
      </c>
      <c r="B93" s="6" t="s">
        <v>30</v>
      </c>
      <c r="C93" s="6" t="s">
        <v>116</v>
      </c>
      <c r="D93" s="6" t="s">
        <v>46</v>
      </c>
      <c r="E93" s="6" t="s">
        <v>81</v>
      </c>
      <c r="G93" s="6" t="s">
        <v>87</v>
      </c>
      <c r="J93" s="6" t="s">
        <v>110</v>
      </c>
      <c r="K93" s="6"/>
      <c r="L93" s="6" t="s">
        <v>508</v>
      </c>
      <c r="M93" s="6"/>
      <c r="N93" s="6" t="s">
        <v>93</v>
      </c>
      <c r="O93" s="6"/>
      <c r="P93" s="6" t="s">
        <v>131</v>
      </c>
      <c r="Q93" s="6"/>
      <c r="AA93" s="6"/>
      <c r="AB93" s="6" t="s">
        <v>101</v>
      </c>
      <c r="AC93" s="6"/>
      <c r="AD93" s="6" t="s">
        <v>56</v>
      </c>
      <c r="AE93" s="6"/>
      <c r="AF93" s="6" t="s">
        <v>75</v>
      </c>
      <c r="AG93" s="6"/>
      <c r="AH93" s="6" t="s">
        <v>57</v>
      </c>
      <c r="AI93" s="6"/>
      <c r="AJ93" s="11" t="s">
        <v>102</v>
      </c>
    </row>
    <row r="94" spans="1:36" ht="15.75" customHeight="1" x14ac:dyDescent="0.25">
      <c r="A94" s="7">
        <v>43418.528049340282</v>
      </c>
      <c r="B94" s="6" t="s">
        <v>30</v>
      </c>
      <c r="C94" s="6" t="s">
        <v>116</v>
      </c>
      <c r="D94" s="6" t="s">
        <v>165</v>
      </c>
      <c r="E94" s="6" t="s">
        <v>81</v>
      </c>
      <c r="G94" s="6" t="s">
        <v>87</v>
      </c>
      <c r="J94" s="6" t="s">
        <v>64</v>
      </c>
      <c r="K94" s="6"/>
      <c r="N94" s="6" t="s">
        <v>212</v>
      </c>
      <c r="O94" s="6"/>
      <c r="P94" s="6" t="s">
        <v>131</v>
      </c>
      <c r="Q94" s="6"/>
      <c r="AA94" s="6"/>
      <c r="AB94" s="6" t="s">
        <v>67</v>
      </c>
      <c r="AC94" s="6"/>
      <c r="AD94" s="6" t="s">
        <v>56</v>
      </c>
      <c r="AE94" s="6"/>
      <c r="AF94" s="6" t="s">
        <v>68</v>
      </c>
      <c r="AG94" s="6"/>
      <c r="AH94" s="6" t="s">
        <v>58</v>
      </c>
      <c r="AJ94" s="6" t="s">
        <v>57</v>
      </c>
    </row>
    <row r="95" spans="1:36" ht="15.75" customHeight="1" x14ac:dyDescent="0.25">
      <c r="A95" s="7">
        <v>43418.528089664353</v>
      </c>
      <c r="B95" s="6" t="s">
        <v>509</v>
      </c>
      <c r="C95" s="6" t="s">
        <v>215</v>
      </c>
      <c r="D95" s="6" t="s">
        <v>510</v>
      </c>
      <c r="E95" s="6" t="s">
        <v>48</v>
      </c>
      <c r="F95" s="6" t="s">
        <v>511</v>
      </c>
      <c r="G95" s="6" t="s">
        <v>81</v>
      </c>
      <c r="H95" s="6" t="s">
        <v>512</v>
      </c>
      <c r="I95" s="6"/>
      <c r="L95" s="6" t="s">
        <v>513</v>
      </c>
      <c r="M95" s="6"/>
      <c r="N95" s="6" t="s">
        <v>181</v>
      </c>
      <c r="O95" s="6"/>
      <c r="P95" s="6" t="s">
        <v>65</v>
      </c>
      <c r="Q95" s="6"/>
      <c r="R95" s="47" t="s">
        <v>4512</v>
      </c>
      <c r="S95" s="14" t="s">
        <v>4513</v>
      </c>
      <c r="AA95" s="6"/>
      <c r="AB95" s="6" t="s">
        <v>101</v>
      </c>
      <c r="AC95" s="6"/>
      <c r="AD95" s="6" t="s">
        <v>57</v>
      </c>
      <c r="AE95" s="6"/>
      <c r="AF95" s="6" t="s">
        <v>57</v>
      </c>
      <c r="AG95" s="6"/>
      <c r="AH95" s="6" t="s">
        <v>57</v>
      </c>
      <c r="AI95" s="6"/>
      <c r="AJ95" s="6" t="s">
        <v>57</v>
      </c>
    </row>
    <row r="96" spans="1:36" ht="15.75" customHeight="1" x14ac:dyDescent="0.25">
      <c r="A96" s="7">
        <v>43418.529699108796</v>
      </c>
      <c r="B96" s="6" t="s">
        <v>30</v>
      </c>
      <c r="C96" s="6" t="s">
        <v>116</v>
      </c>
      <c r="D96" s="6" t="s">
        <v>133</v>
      </c>
      <c r="E96" s="6" t="s">
        <v>48</v>
      </c>
      <c r="F96" s="6" t="s">
        <v>515</v>
      </c>
      <c r="G96" s="6" t="s">
        <v>48</v>
      </c>
      <c r="H96" s="6" t="s">
        <v>516</v>
      </c>
      <c r="I96" s="6"/>
      <c r="J96" s="6" t="s">
        <v>158</v>
      </c>
      <c r="K96" s="6"/>
      <c r="L96" s="6" t="s">
        <v>517</v>
      </c>
      <c r="M96" s="6"/>
      <c r="N96" s="6" t="s">
        <v>212</v>
      </c>
      <c r="O96" s="6"/>
      <c r="P96" s="6" t="s">
        <v>99</v>
      </c>
      <c r="Q96" s="6"/>
      <c r="R96" s="47" t="s">
        <v>3225</v>
      </c>
      <c r="S96" s="14" t="s">
        <v>4514</v>
      </c>
      <c r="T96" s="14" t="s">
        <v>4395</v>
      </c>
      <c r="U96" s="14" t="s">
        <v>4515</v>
      </c>
      <c r="AA96" s="6"/>
      <c r="AB96" s="6" t="s">
        <v>101</v>
      </c>
      <c r="AC96" s="6"/>
      <c r="AD96" s="6" t="s">
        <v>56</v>
      </c>
      <c r="AE96" s="6"/>
      <c r="AF96" s="6" t="s">
        <v>68</v>
      </c>
      <c r="AG96" s="6"/>
      <c r="AH96" s="6" t="s">
        <v>58</v>
      </c>
      <c r="AI96" s="6"/>
      <c r="AJ96" s="6" t="s">
        <v>244</v>
      </c>
    </row>
    <row r="97" spans="1:36" ht="15.75" customHeight="1" x14ac:dyDescent="0.25">
      <c r="A97" s="7">
        <v>43418.529878657406</v>
      </c>
      <c r="B97" s="6" t="s">
        <v>127</v>
      </c>
      <c r="C97" s="6" t="s">
        <v>287</v>
      </c>
      <c r="D97" s="6" t="s">
        <v>46</v>
      </c>
      <c r="E97" s="6" t="s">
        <v>81</v>
      </c>
      <c r="G97" s="6" t="s">
        <v>87</v>
      </c>
      <c r="H97" s="6" t="s">
        <v>519</v>
      </c>
      <c r="I97" s="6"/>
      <c r="J97" s="6" t="s">
        <v>50</v>
      </c>
      <c r="K97" s="6"/>
      <c r="L97" s="6" t="s">
        <v>520</v>
      </c>
      <c r="M97" s="6"/>
      <c r="N97" s="6" t="s">
        <v>121</v>
      </c>
      <c r="O97" s="6"/>
      <c r="P97" s="6" t="s">
        <v>131</v>
      </c>
      <c r="Q97" s="6"/>
      <c r="R97" s="47" t="s">
        <v>224</v>
      </c>
      <c r="S97" s="14" t="s">
        <v>4516</v>
      </c>
      <c r="AA97" s="6"/>
      <c r="AB97" s="6" t="s">
        <v>67</v>
      </c>
      <c r="AC97" s="6"/>
      <c r="AD97" s="6" t="s">
        <v>56</v>
      </c>
      <c r="AE97" s="6"/>
      <c r="AF97" s="6" t="s">
        <v>57</v>
      </c>
      <c r="AG97" s="6"/>
      <c r="AH97" s="6" t="s">
        <v>57</v>
      </c>
      <c r="AI97" s="6"/>
      <c r="AJ97" s="6" t="s">
        <v>77</v>
      </c>
    </row>
    <row r="98" spans="1:36" ht="15.75" customHeight="1" x14ac:dyDescent="0.25">
      <c r="A98" s="7">
        <v>43418.529990300929</v>
      </c>
      <c r="B98" s="6" t="s">
        <v>26</v>
      </c>
      <c r="C98" s="6" t="s">
        <v>116</v>
      </c>
      <c r="D98" s="6" t="s">
        <v>46</v>
      </c>
      <c r="E98" s="6" t="s">
        <v>81</v>
      </c>
      <c r="G98" s="6" t="s">
        <v>87</v>
      </c>
      <c r="H98" s="6" t="s">
        <v>522</v>
      </c>
      <c r="I98" s="6"/>
      <c r="J98" s="6" t="s">
        <v>64</v>
      </c>
      <c r="K98" s="6"/>
      <c r="L98" s="6" t="s">
        <v>523</v>
      </c>
      <c r="M98" s="6"/>
      <c r="N98" s="6" t="s">
        <v>98</v>
      </c>
      <c r="O98" s="6"/>
      <c r="P98" s="6" t="s">
        <v>94</v>
      </c>
      <c r="Q98" s="6"/>
      <c r="R98" s="47" t="s">
        <v>524</v>
      </c>
      <c r="AA98" s="6"/>
      <c r="AB98" s="6" t="s">
        <v>101</v>
      </c>
      <c r="AC98" s="6"/>
      <c r="AD98" s="6" t="s">
        <v>56</v>
      </c>
      <c r="AE98" s="6"/>
      <c r="AF98" s="6" t="s">
        <v>75</v>
      </c>
      <c r="AG98" s="6"/>
      <c r="AH98" s="6" t="s">
        <v>126</v>
      </c>
      <c r="AI98" s="6"/>
      <c r="AJ98" s="6" t="s">
        <v>259</v>
      </c>
    </row>
    <row r="99" spans="1:36" ht="15.75" customHeight="1" x14ac:dyDescent="0.25">
      <c r="A99" s="7">
        <v>43418.531044710646</v>
      </c>
      <c r="B99" s="6" t="s">
        <v>30</v>
      </c>
      <c r="C99" s="6" t="s">
        <v>95</v>
      </c>
      <c r="D99" s="6" t="s">
        <v>46</v>
      </c>
      <c r="E99" s="6" t="s">
        <v>48</v>
      </c>
      <c r="F99" s="6" t="s">
        <v>36</v>
      </c>
      <c r="G99" s="6" t="s">
        <v>48</v>
      </c>
      <c r="H99" s="6" t="s">
        <v>525</v>
      </c>
      <c r="I99" s="6"/>
      <c r="J99" s="6" t="s">
        <v>89</v>
      </c>
      <c r="K99" s="6"/>
      <c r="L99" s="6" t="s">
        <v>526</v>
      </c>
      <c r="M99" s="6"/>
      <c r="N99" s="6" t="s">
        <v>181</v>
      </c>
      <c r="O99" s="6"/>
      <c r="P99" s="6" t="s">
        <v>131</v>
      </c>
      <c r="Q99" s="6"/>
      <c r="R99" s="47" t="s">
        <v>192</v>
      </c>
      <c r="S99" s="14" t="s">
        <v>4517</v>
      </c>
      <c r="T99" s="14" t="s">
        <v>4518</v>
      </c>
      <c r="AA99" s="6"/>
      <c r="AB99" s="6" t="s">
        <v>203</v>
      </c>
      <c r="AC99" s="6"/>
      <c r="AD99" s="6" t="s">
        <v>56</v>
      </c>
      <c r="AE99" s="6"/>
      <c r="AF99" s="6" t="s">
        <v>75</v>
      </c>
      <c r="AG99" s="6"/>
      <c r="AH99" s="6" t="s">
        <v>58</v>
      </c>
      <c r="AI99" s="6"/>
      <c r="AJ99" s="6" t="s">
        <v>344</v>
      </c>
    </row>
    <row r="100" spans="1:36" ht="15.75" customHeight="1" x14ac:dyDescent="0.25">
      <c r="A100" s="7">
        <v>43418.531339108798</v>
      </c>
      <c r="B100" s="6" t="s">
        <v>30</v>
      </c>
      <c r="C100" s="6" t="s">
        <v>215</v>
      </c>
      <c r="D100" s="6" t="s">
        <v>46</v>
      </c>
      <c r="E100" s="6" t="s">
        <v>48</v>
      </c>
      <c r="F100" s="6" t="s">
        <v>36</v>
      </c>
      <c r="G100" s="6" t="s">
        <v>48</v>
      </c>
      <c r="J100" s="6" t="s">
        <v>110</v>
      </c>
      <c r="K100" s="6"/>
      <c r="L100" s="6" t="s">
        <v>528</v>
      </c>
      <c r="M100" s="6"/>
      <c r="N100" s="6" t="s">
        <v>98</v>
      </c>
      <c r="O100" s="6"/>
      <c r="P100" s="6" t="s">
        <v>168</v>
      </c>
      <c r="Q100" s="6"/>
      <c r="R100" s="47" t="s">
        <v>4519</v>
      </c>
      <c r="S100" s="14" t="s">
        <v>4520</v>
      </c>
      <c r="AA100" s="6"/>
      <c r="AB100" s="6" t="s">
        <v>55</v>
      </c>
      <c r="AC100" s="6"/>
      <c r="AD100" s="6" t="s">
        <v>56</v>
      </c>
      <c r="AE100" s="6"/>
      <c r="AH100" s="11" t="s">
        <v>144</v>
      </c>
      <c r="AI100" s="6"/>
      <c r="AJ100" s="11" t="s">
        <v>77</v>
      </c>
    </row>
    <row r="101" spans="1:36" ht="15.75" customHeight="1" x14ac:dyDescent="0.25">
      <c r="A101" s="7">
        <v>43418.532163483796</v>
      </c>
      <c r="B101" s="6" t="s">
        <v>127</v>
      </c>
      <c r="C101" s="6" t="s">
        <v>378</v>
      </c>
      <c r="D101" s="6" t="s">
        <v>165</v>
      </c>
      <c r="E101" s="6" t="s">
        <v>81</v>
      </c>
      <c r="G101" s="6" t="s">
        <v>87</v>
      </c>
      <c r="H101" s="6" t="s">
        <v>530</v>
      </c>
      <c r="I101" s="6"/>
      <c r="J101" s="6" t="s">
        <v>92</v>
      </c>
      <c r="K101" s="6"/>
      <c r="L101" s="6" t="s">
        <v>531</v>
      </c>
      <c r="M101" s="6"/>
      <c r="N101" s="6" t="s">
        <v>98</v>
      </c>
      <c r="O101" s="6"/>
      <c r="P101" s="6" t="s">
        <v>131</v>
      </c>
      <c r="Q101" s="6"/>
      <c r="R101" s="47" t="s">
        <v>242</v>
      </c>
      <c r="S101" s="14" t="s">
        <v>4521</v>
      </c>
      <c r="AA101" s="6"/>
      <c r="AB101" s="6" t="s">
        <v>67</v>
      </c>
      <c r="AC101" s="6"/>
      <c r="AD101" s="6" t="s">
        <v>56</v>
      </c>
      <c r="AE101" s="6"/>
      <c r="AF101" s="6" t="s">
        <v>75</v>
      </c>
      <c r="AG101" s="6"/>
      <c r="AH101" s="6" t="s">
        <v>76</v>
      </c>
      <c r="AI101" s="6"/>
      <c r="AJ101" s="6" t="s">
        <v>313</v>
      </c>
    </row>
    <row r="102" spans="1:36" ht="15.75" customHeight="1" x14ac:dyDescent="0.25">
      <c r="A102" s="7">
        <v>43418.532235497682</v>
      </c>
      <c r="B102" s="6" t="s">
        <v>30</v>
      </c>
      <c r="C102" s="6" t="s">
        <v>90</v>
      </c>
      <c r="E102" s="6" t="s">
        <v>81</v>
      </c>
      <c r="G102" s="6" t="s">
        <v>87</v>
      </c>
      <c r="H102" s="6" t="s">
        <v>533</v>
      </c>
      <c r="I102" s="6"/>
      <c r="J102" s="6" t="s">
        <v>73</v>
      </c>
      <c r="K102" s="6"/>
      <c r="L102" s="6" t="s">
        <v>534</v>
      </c>
      <c r="M102" s="6"/>
      <c r="N102" s="6" t="s">
        <v>121</v>
      </c>
      <c r="O102" s="6"/>
      <c r="P102" s="6" t="s">
        <v>94</v>
      </c>
      <c r="Q102" s="6"/>
      <c r="AA102" s="6"/>
      <c r="AB102" s="6" t="s">
        <v>101</v>
      </c>
      <c r="AC102" s="6"/>
      <c r="AD102" s="6" t="s">
        <v>56</v>
      </c>
      <c r="AE102" s="6"/>
      <c r="AF102" s="6" t="s">
        <v>75</v>
      </c>
      <c r="AG102" s="6"/>
      <c r="AH102" s="6" t="s">
        <v>58</v>
      </c>
      <c r="AI102" s="6"/>
      <c r="AJ102" s="6" t="s">
        <v>318</v>
      </c>
    </row>
    <row r="103" spans="1:36" ht="15.75" customHeight="1" x14ac:dyDescent="0.25">
      <c r="A103" s="7">
        <v>43418.53400266204</v>
      </c>
      <c r="B103" s="6" t="s">
        <v>535</v>
      </c>
      <c r="C103" s="6" t="s">
        <v>90</v>
      </c>
      <c r="D103" s="6" t="s">
        <v>163</v>
      </c>
      <c r="E103" s="6" t="s">
        <v>48</v>
      </c>
      <c r="F103" s="6" t="s">
        <v>536</v>
      </c>
      <c r="G103" s="6" t="s">
        <v>48</v>
      </c>
      <c r="H103" s="6" t="s">
        <v>537</v>
      </c>
      <c r="I103" s="6"/>
      <c r="J103" s="6" t="s">
        <v>106</v>
      </c>
      <c r="K103" s="6"/>
      <c r="L103" s="6" t="s">
        <v>538</v>
      </c>
      <c r="M103" s="6"/>
      <c r="N103" s="6" t="s">
        <v>212</v>
      </c>
      <c r="O103" s="6"/>
      <c r="P103" s="6" t="s">
        <v>131</v>
      </c>
      <c r="Q103" s="6"/>
      <c r="R103" s="47" t="s">
        <v>4522</v>
      </c>
      <c r="S103" s="14" t="s">
        <v>4523</v>
      </c>
      <c r="T103" s="14" t="s">
        <v>4400</v>
      </c>
      <c r="U103" s="14" t="s">
        <v>4524</v>
      </c>
      <c r="AA103" s="6"/>
      <c r="AB103" s="6" t="s">
        <v>101</v>
      </c>
      <c r="AC103" s="6"/>
      <c r="AD103" s="6" t="s">
        <v>56</v>
      </c>
      <c r="AE103" s="6"/>
      <c r="AF103" s="6" t="s">
        <v>75</v>
      </c>
      <c r="AG103" s="6"/>
      <c r="AH103" s="6" t="s">
        <v>76</v>
      </c>
      <c r="AI103" s="6"/>
      <c r="AJ103" s="6" t="s">
        <v>115</v>
      </c>
    </row>
    <row r="104" spans="1:36" ht="15.75" customHeight="1" x14ac:dyDescent="0.25">
      <c r="A104" s="7">
        <v>43418.534829189812</v>
      </c>
      <c r="B104" s="6" t="s">
        <v>127</v>
      </c>
      <c r="C104" s="6" t="s">
        <v>477</v>
      </c>
      <c r="D104" s="6" t="s">
        <v>307</v>
      </c>
      <c r="E104" s="6" t="s">
        <v>48</v>
      </c>
      <c r="F104" s="6" t="s">
        <v>36</v>
      </c>
      <c r="G104" s="6" t="s">
        <v>48</v>
      </c>
      <c r="H104" s="6" t="s">
        <v>540</v>
      </c>
      <c r="I104" s="6"/>
      <c r="J104" s="6" t="s">
        <v>106</v>
      </c>
      <c r="K104" s="6"/>
      <c r="L104" s="6" t="s">
        <v>541</v>
      </c>
      <c r="M104" s="6"/>
      <c r="N104" s="6" t="s">
        <v>121</v>
      </c>
      <c r="O104" s="6"/>
      <c r="P104" s="6" t="s">
        <v>94</v>
      </c>
      <c r="Q104" s="6"/>
      <c r="R104" s="47" t="s">
        <v>149</v>
      </c>
      <c r="S104" s="14" t="s">
        <v>4393</v>
      </c>
      <c r="T104" s="14" t="s">
        <v>4435</v>
      </c>
      <c r="U104" s="14" t="s">
        <v>4525</v>
      </c>
      <c r="V104" s="14" t="s">
        <v>4526</v>
      </c>
      <c r="W104" s="14" t="s">
        <v>4438</v>
      </c>
      <c r="X104" s="14" t="s">
        <v>4527</v>
      </c>
      <c r="Y104" s="14" t="s">
        <v>4528</v>
      </c>
      <c r="AA104" s="6"/>
      <c r="AB104" s="6" t="s">
        <v>101</v>
      </c>
      <c r="AC104" s="6"/>
      <c r="AD104" s="6" t="s">
        <v>109</v>
      </c>
      <c r="AE104" s="6"/>
      <c r="AF104" s="6" t="s">
        <v>75</v>
      </c>
      <c r="AG104" s="6"/>
      <c r="AH104" s="6" t="s">
        <v>126</v>
      </c>
      <c r="AI104" s="6"/>
      <c r="AJ104" s="6" t="s">
        <v>170</v>
      </c>
    </row>
    <row r="105" spans="1:36" ht="15.75" customHeight="1" x14ac:dyDescent="0.25">
      <c r="A105" s="7">
        <v>43418.53503068287</v>
      </c>
      <c r="B105" s="6" t="s">
        <v>543</v>
      </c>
      <c r="C105" s="6" t="s">
        <v>544</v>
      </c>
      <c r="D105" s="6" t="s">
        <v>129</v>
      </c>
      <c r="E105" s="6" t="s">
        <v>81</v>
      </c>
      <c r="G105" s="6" t="s">
        <v>87</v>
      </c>
      <c r="H105" s="6" t="s">
        <v>545</v>
      </c>
      <c r="I105" s="6"/>
      <c r="J105" s="6" t="s">
        <v>64</v>
      </c>
      <c r="K105" s="6"/>
      <c r="L105" s="6" t="s">
        <v>546</v>
      </c>
      <c r="M105" s="6"/>
      <c r="N105" s="6" t="s">
        <v>51</v>
      </c>
      <c r="O105" s="6"/>
      <c r="P105" s="6" t="s">
        <v>65</v>
      </c>
      <c r="Q105" s="6"/>
      <c r="R105" s="47" t="s">
        <v>547</v>
      </c>
      <c r="AA105" s="6"/>
      <c r="AB105" s="6" t="s">
        <v>55</v>
      </c>
      <c r="AC105" s="6"/>
      <c r="AD105" s="6" t="s">
        <v>56</v>
      </c>
      <c r="AE105" s="6"/>
      <c r="AF105" s="6" t="s">
        <v>75</v>
      </c>
      <c r="AG105" s="6"/>
      <c r="AH105" s="6" t="s">
        <v>58</v>
      </c>
      <c r="AI105" s="6"/>
      <c r="AJ105" s="6" t="s">
        <v>244</v>
      </c>
    </row>
    <row r="106" spans="1:36" ht="15.75" customHeight="1" x14ac:dyDescent="0.25">
      <c r="A106" s="7">
        <v>43418.535745081019</v>
      </c>
      <c r="B106" s="6" t="s">
        <v>30</v>
      </c>
      <c r="C106" s="6" t="s">
        <v>95</v>
      </c>
      <c r="D106" s="6" t="s">
        <v>46</v>
      </c>
      <c r="E106" s="6" t="s">
        <v>48</v>
      </c>
      <c r="F106" s="6" t="s">
        <v>548</v>
      </c>
      <c r="G106" s="6" t="s">
        <v>48</v>
      </c>
      <c r="H106" s="6" t="s">
        <v>549</v>
      </c>
      <c r="I106" s="6"/>
      <c r="J106" s="6" t="s">
        <v>110</v>
      </c>
      <c r="K106" s="6"/>
      <c r="L106" s="6" t="s">
        <v>550</v>
      </c>
      <c r="M106" s="6"/>
      <c r="N106" s="6" t="s">
        <v>212</v>
      </c>
      <c r="O106" s="6"/>
      <c r="P106" s="6" t="s">
        <v>131</v>
      </c>
      <c r="Q106" s="6"/>
      <c r="R106" s="47" t="s">
        <v>551</v>
      </c>
      <c r="AA106" s="6"/>
      <c r="AB106" s="6" t="s">
        <v>203</v>
      </c>
      <c r="AC106" s="6"/>
      <c r="AD106" s="6" t="s">
        <v>56</v>
      </c>
      <c r="AE106" s="6"/>
      <c r="AF106" s="6" t="s">
        <v>75</v>
      </c>
      <c r="AG106" s="6"/>
      <c r="AH106" s="6" t="s">
        <v>76</v>
      </c>
      <c r="AI106" s="6"/>
      <c r="AJ106" s="11" t="s">
        <v>174</v>
      </c>
    </row>
    <row r="107" spans="1:36" ht="15.75" customHeight="1" x14ac:dyDescent="0.25">
      <c r="A107" s="7">
        <v>43418.535746145833</v>
      </c>
      <c r="B107" s="6" t="s">
        <v>30</v>
      </c>
      <c r="C107" s="6" t="s">
        <v>79</v>
      </c>
      <c r="D107" s="6" t="s">
        <v>190</v>
      </c>
      <c r="E107" s="6" t="s">
        <v>81</v>
      </c>
      <c r="G107" s="6" t="s">
        <v>87</v>
      </c>
      <c r="J107" s="6" t="s">
        <v>106</v>
      </c>
      <c r="K107" s="6"/>
      <c r="L107" s="6" t="s">
        <v>552</v>
      </c>
      <c r="M107" s="6"/>
      <c r="N107" s="6" t="s">
        <v>121</v>
      </c>
      <c r="O107" s="6"/>
      <c r="P107" s="6" t="s">
        <v>94</v>
      </c>
      <c r="Q107" s="6"/>
      <c r="R107" s="47" t="s">
        <v>3219</v>
      </c>
      <c r="S107" s="14" t="s">
        <v>4529</v>
      </c>
      <c r="AA107" s="6"/>
      <c r="AB107" s="6" t="s">
        <v>67</v>
      </c>
      <c r="AC107" s="6"/>
      <c r="AD107" s="6" t="s">
        <v>56</v>
      </c>
      <c r="AE107" s="6"/>
      <c r="AF107" s="6" t="s">
        <v>75</v>
      </c>
      <c r="AG107" s="6"/>
      <c r="AH107" s="6" t="s">
        <v>76</v>
      </c>
      <c r="AI107" s="6"/>
      <c r="AJ107" s="6" t="s">
        <v>300</v>
      </c>
    </row>
    <row r="108" spans="1:36" ht="15.75" customHeight="1" x14ac:dyDescent="0.25">
      <c r="A108" s="7">
        <v>43418.536663252315</v>
      </c>
      <c r="B108" s="6" t="s">
        <v>30</v>
      </c>
      <c r="C108" s="6" t="s">
        <v>215</v>
      </c>
      <c r="D108" s="6" t="s">
        <v>91</v>
      </c>
      <c r="E108" s="6" t="s">
        <v>81</v>
      </c>
      <c r="G108" s="6" t="s">
        <v>87</v>
      </c>
      <c r="J108" s="6" t="s">
        <v>110</v>
      </c>
      <c r="K108" s="6"/>
      <c r="N108" s="6" t="s">
        <v>51</v>
      </c>
      <c r="O108" s="6"/>
      <c r="P108" s="6" t="s">
        <v>52</v>
      </c>
      <c r="Q108" s="6"/>
      <c r="R108" s="47" t="s">
        <v>554</v>
      </c>
      <c r="AA108" s="6"/>
      <c r="AB108" s="6" t="s">
        <v>67</v>
      </c>
      <c r="AC108" s="6"/>
      <c r="AD108" s="6" t="s">
        <v>56</v>
      </c>
      <c r="AE108" s="6"/>
      <c r="AF108" s="6" t="s">
        <v>68</v>
      </c>
      <c r="AG108" s="6"/>
      <c r="AH108" s="6" t="s">
        <v>126</v>
      </c>
      <c r="AI108" s="6"/>
      <c r="AJ108" s="11" t="s">
        <v>115</v>
      </c>
    </row>
    <row r="109" spans="1:36" ht="15.75" customHeight="1" x14ac:dyDescent="0.25">
      <c r="A109" s="7">
        <v>43418.537154270831</v>
      </c>
      <c r="B109" s="6" t="s">
        <v>30</v>
      </c>
      <c r="C109" s="6" t="s">
        <v>95</v>
      </c>
      <c r="D109" s="6" t="s">
        <v>165</v>
      </c>
      <c r="E109" s="6" t="s">
        <v>81</v>
      </c>
      <c r="G109" s="6" t="s">
        <v>87</v>
      </c>
      <c r="H109" s="6" t="s">
        <v>555</v>
      </c>
      <c r="I109" s="6"/>
      <c r="J109" s="6" t="s">
        <v>106</v>
      </c>
      <c r="K109" s="6"/>
      <c r="L109" s="6" t="s">
        <v>556</v>
      </c>
      <c r="M109" s="6"/>
      <c r="N109" s="6" t="s">
        <v>121</v>
      </c>
      <c r="O109" s="6"/>
      <c r="P109" s="6" t="s">
        <v>131</v>
      </c>
      <c r="Q109" s="6"/>
      <c r="R109" s="47" t="s">
        <v>4530</v>
      </c>
      <c r="S109" s="14" t="s">
        <v>4531</v>
      </c>
      <c r="T109" s="14" t="s">
        <v>4532</v>
      </c>
      <c r="AA109" s="6"/>
      <c r="AB109" s="6" t="s">
        <v>55</v>
      </c>
      <c r="AC109" s="6"/>
      <c r="AD109" s="6" t="s">
        <v>56</v>
      </c>
      <c r="AE109" s="6"/>
      <c r="AF109" s="6" t="s">
        <v>205</v>
      </c>
      <c r="AG109" s="6"/>
      <c r="AH109" s="6" t="s">
        <v>58</v>
      </c>
      <c r="AI109" s="6"/>
      <c r="AJ109" s="11" t="s">
        <v>77</v>
      </c>
    </row>
    <row r="110" spans="1:36" ht="15.75" customHeight="1" x14ac:dyDescent="0.25">
      <c r="A110" s="7">
        <v>43418.537993344908</v>
      </c>
      <c r="B110" s="6" t="s">
        <v>30</v>
      </c>
      <c r="C110" s="6" t="s">
        <v>95</v>
      </c>
      <c r="D110" s="6" t="s">
        <v>46</v>
      </c>
      <c r="E110" s="6" t="s">
        <v>48</v>
      </c>
      <c r="F110" s="6" t="s">
        <v>558</v>
      </c>
      <c r="G110" s="6" t="s">
        <v>48</v>
      </c>
      <c r="H110" s="6" t="s">
        <v>559</v>
      </c>
      <c r="I110" s="6"/>
      <c r="J110" s="6" t="s">
        <v>73</v>
      </c>
      <c r="K110" s="6"/>
      <c r="L110" s="6" t="s">
        <v>560</v>
      </c>
      <c r="M110" s="6"/>
      <c r="N110" s="6" t="s">
        <v>181</v>
      </c>
      <c r="O110" s="6"/>
      <c r="P110" s="6" t="s">
        <v>131</v>
      </c>
      <c r="Q110" s="6"/>
      <c r="R110" s="47" t="s">
        <v>561</v>
      </c>
      <c r="AA110" s="6"/>
      <c r="AB110" s="6" t="s">
        <v>67</v>
      </c>
      <c r="AC110" s="6"/>
      <c r="AD110" s="6" t="s">
        <v>56</v>
      </c>
      <c r="AE110" s="6"/>
      <c r="AF110" s="6" t="s">
        <v>68</v>
      </c>
      <c r="AG110" s="6"/>
      <c r="AH110" s="6" t="s">
        <v>58</v>
      </c>
      <c r="AI110" s="6"/>
      <c r="AJ110" s="6" t="s">
        <v>132</v>
      </c>
    </row>
    <row r="111" spans="1:36" ht="15.75" customHeight="1" x14ac:dyDescent="0.25">
      <c r="A111" s="7">
        <v>43418.538226666671</v>
      </c>
      <c r="B111" s="6" t="s">
        <v>30</v>
      </c>
      <c r="C111" s="6" t="s">
        <v>95</v>
      </c>
      <c r="D111" s="6" t="s">
        <v>133</v>
      </c>
      <c r="E111" s="6" t="s">
        <v>81</v>
      </c>
      <c r="G111" s="6" t="s">
        <v>87</v>
      </c>
      <c r="H111" s="6" t="s">
        <v>562</v>
      </c>
      <c r="I111" s="6"/>
      <c r="J111" s="6" t="s">
        <v>64</v>
      </c>
      <c r="K111" s="6"/>
      <c r="L111" s="6" t="s">
        <v>563</v>
      </c>
      <c r="M111" s="6"/>
      <c r="N111" s="6" t="s">
        <v>98</v>
      </c>
      <c r="O111" s="6"/>
      <c r="P111" s="6" t="s">
        <v>131</v>
      </c>
      <c r="Q111" s="6"/>
      <c r="R111" s="47" t="s">
        <v>254</v>
      </c>
      <c r="S111" s="14" t="s">
        <v>4533</v>
      </c>
      <c r="AA111" s="6"/>
      <c r="AB111" s="6" t="s">
        <v>55</v>
      </c>
      <c r="AC111" s="6"/>
      <c r="AD111" s="6" t="s">
        <v>56</v>
      </c>
      <c r="AE111" s="6"/>
      <c r="AF111" s="6" t="s">
        <v>161</v>
      </c>
      <c r="AG111" s="6"/>
      <c r="AH111" s="6" t="s">
        <v>57</v>
      </c>
      <c r="AI111" s="6"/>
      <c r="AJ111" s="11" t="s">
        <v>256</v>
      </c>
    </row>
    <row r="112" spans="1:36" ht="15.75" customHeight="1" x14ac:dyDescent="0.25">
      <c r="A112" s="7">
        <v>43418.539875972223</v>
      </c>
      <c r="B112" s="6" t="s">
        <v>30</v>
      </c>
      <c r="C112" s="6" t="s">
        <v>128</v>
      </c>
      <c r="D112" s="6" t="s">
        <v>138</v>
      </c>
      <c r="E112" s="6" t="s">
        <v>48</v>
      </c>
      <c r="F112" s="6" t="s">
        <v>565</v>
      </c>
      <c r="G112" s="6" t="s">
        <v>48</v>
      </c>
      <c r="H112" s="6" t="s">
        <v>566</v>
      </c>
      <c r="I112" s="6"/>
      <c r="J112" s="6" t="s">
        <v>89</v>
      </c>
      <c r="K112" s="6"/>
      <c r="L112" s="6" t="s">
        <v>567</v>
      </c>
      <c r="M112" s="6"/>
      <c r="N112" s="6" t="s">
        <v>112</v>
      </c>
      <c r="O112" s="6"/>
      <c r="P112" s="6" t="s">
        <v>131</v>
      </c>
      <c r="Q112" s="6"/>
      <c r="R112" s="47" t="s">
        <v>568</v>
      </c>
      <c r="AA112" s="6"/>
      <c r="AB112" s="6" t="s">
        <v>67</v>
      </c>
      <c r="AC112" s="6"/>
      <c r="AD112" s="6" t="s">
        <v>56</v>
      </c>
      <c r="AE112" s="6"/>
      <c r="AF112" s="6" t="s">
        <v>68</v>
      </c>
      <c r="AG112" s="6"/>
      <c r="AH112" s="6" t="s">
        <v>58</v>
      </c>
      <c r="AI112" s="6"/>
      <c r="AJ112" s="11" t="s">
        <v>174</v>
      </c>
    </row>
    <row r="113" spans="1:36" ht="15.75" customHeight="1" x14ac:dyDescent="0.25">
      <c r="A113" s="7">
        <v>43418.539991238431</v>
      </c>
      <c r="B113" s="6" t="s">
        <v>30</v>
      </c>
      <c r="C113" s="6" t="s">
        <v>95</v>
      </c>
      <c r="D113" s="6" t="s">
        <v>46</v>
      </c>
      <c r="E113" s="6" t="s">
        <v>48</v>
      </c>
      <c r="F113" s="6" t="s">
        <v>569</v>
      </c>
      <c r="G113" s="6" t="s">
        <v>48</v>
      </c>
      <c r="H113" s="6" t="s">
        <v>570</v>
      </c>
      <c r="I113" s="6"/>
      <c r="J113" s="6" t="s">
        <v>106</v>
      </c>
      <c r="K113" s="6"/>
      <c r="L113" s="6" t="s">
        <v>571</v>
      </c>
      <c r="M113" s="6"/>
      <c r="N113" s="6" t="s">
        <v>212</v>
      </c>
      <c r="O113" s="6"/>
      <c r="P113" s="6" t="s">
        <v>131</v>
      </c>
      <c r="Q113" s="6"/>
      <c r="R113" s="47" t="s">
        <v>3217</v>
      </c>
      <c r="S113" s="14" t="s">
        <v>4494</v>
      </c>
      <c r="T113" s="14" t="s">
        <v>4534</v>
      </c>
      <c r="U113" s="14" t="s">
        <v>4535</v>
      </c>
      <c r="AA113" s="6"/>
      <c r="AB113" s="6" t="s">
        <v>67</v>
      </c>
      <c r="AC113" s="6"/>
      <c r="AD113" s="6" t="s">
        <v>109</v>
      </c>
      <c r="AE113" s="6"/>
      <c r="AF113" s="6" t="s">
        <v>68</v>
      </c>
      <c r="AG113" s="6"/>
      <c r="AH113" s="6" t="s">
        <v>58</v>
      </c>
      <c r="AI113" s="6"/>
      <c r="AJ113" s="6" t="s">
        <v>115</v>
      </c>
    </row>
    <row r="114" spans="1:36" ht="15.75" customHeight="1" x14ac:dyDescent="0.25">
      <c r="A114" s="7">
        <v>43418.540732395835</v>
      </c>
      <c r="B114" s="6" t="s">
        <v>573</v>
      </c>
      <c r="C114" s="6" t="s">
        <v>104</v>
      </c>
      <c r="D114" s="6" t="s">
        <v>190</v>
      </c>
      <c r="E114" s="6" t="s">
        <v>81</v>
      </c>
      <c r="G114" s="6" t="s">
        <v>87</v>
      </c>
      <c r="H114" s="6" t="s">
        <v>574</v>
      </c>
      <c r="I114" s="6"/>
      <c r="J114" s="6" t="s">
        <v>64</v>
      </c>
      <c r="K114" s="6"/>
      <c r="L114" s="6" t="s">
        <v>575</v>
      </c>
      <c r="M114" s="6"/>
      <c r="N114" s="6" t="s">
        <v>51</v>
      </c>
      <c r="O114" s="6"/>
      <c r="P114" s="6" t="s">
        <v>52</v>
      </c>
      <c r="Q114" s="6"/>
      <c r="R114" s="47" t="s">
        <v>4536</v>
      </c>
      <c r="S114" s="14" t="s">
        <v>4537</v>
      </c>
      <c r="T114" s="14" t="s">
        <v>4538</v>
      </c>
      <c r="U114" s="14" t="s">
        <v>4539</v>
      </c>
      <c r="V114" s="14" t="s">
        <v>4540</v>
      </c>
      <c r="W114" s="14" t="s">
        <v>4541</v>
      </c>
      <c r="X114" s="14" t="s">
        <v>4542</v>
      </c>
      <c r="AA114" s="6"/>
      <c r="AB114" s="6" t="s">
        <v>67</v>
      </c>
      <c r="AC114" s="6"/>
      <c r="AD114" s="6" t="s">
        <v>56</v>
      </c>
      <c r="AE114" s="6"/>
      <c r="AF114" s="6" t="s">
        <v>68</v>
      </c>
      <c r="AG114" s="6"/>
      <c r="AH114" s="6" t="s">
        <v>58</v>
      </c>
      <c r="AI114" s="6"/>
      <c r="AJ114" s="6" t="s">
        <v>288</v>
      </c>
    </row>
    <row r="115" spans="1:36" ht="15.75" customHeight="1" x14ac:dyDescent="0.25">
      <c r="A115" s="7">
        <v>43418.54114335648</v>
      </c>
      <c r="B115" s="6" t="s">
        <v>30</v>
      </c>
      <c r="C115" s="6" t="s">
        <v>79</v>
      </c>
      <c r="D115" s="6" t="s">
        <v>46</v>
      </c>
      <c r="E115" s="6" t="s">
        <v>81</v>
      </c>
      <c r="G115" s="6" t="s">
        <v>87</v>
      </c>
      <c r="H115" s="6" t="s">
        <v>577</v>
      </c>
      <c r="I115" s="6"/>
      <c r="J115" s="6" t="s">
        <v>50</v>
      </c>
      <c r="K115" s="6"/>
      <c r="L115" s="6" t="s">
        <v>578</v>
      </c>
      <c r="M115" s="6"/>
      <c r="N115" s="6" t="s">
        <v>51</v>
      </c>
      <c r="O115" s="6"/>
      <c r="P115" s="6" t="s">
        <v>52</v>
      </c>
      <c r="Q115" s="6"/>
      <c r="R115" s="47" t="s">
        <v>4543</v>
      </c>
      <c r="S115" s="14" t="s">
        <v>4544</v>
      </c>
      <c r="T115" s="14" t="s">
        <v>4545</v>
      </c>
      <c r="U115" s="14" t="s">
        <v>4546</v>
      </c>
      <c r="V115" s="14" t="s">
        <v>4547</v>
      </c>
      <c r="W115" s="14" t="s">
        <v>4548</v>
      </c>
      <c r="AA115" s="6"/>
      <c r="AB115" s="6" t="s">
        <v>67</v>
      </c>
      <c r="AC115" s="6"/>
      <c r="AD115" s="6" t="s">
        <v>56</v>
      </c>
      <c r="AE115" s="6"/>
      <c r="AF115" s="6" t="s">
        <v>68</v>
      </c>
      <c r="AG115" s="6"/>
      <c r="AH115" s="6" t="s">
        <v>57</v>
      </c>
      <c r="AI115" s="6"/>
      <c r="AJ115" s="6" t="s">
        <v>115</v>
      </c>
    </row>
    <row r="116" spans="1:36" ht="15.75" customHeight="1" x14ac:dyDescent="0.25">
      <c r="A116" s="7">
        <v>43418.542082685184</v>
      </c>
      <c r="B116" s="6" t="s">
        <v>127</v>
      </c>
      <c r="C116" s="6" t="s">
        <v>45</v>
      </c>
      <c r="D116" s="6" t="s">
        <v>138</v>
      </c>
      <c r="E116" s="6" t="s">
        <v>81</v>
      </c>
      <c r="F116" s="6" t="s">
        <v>580</v>
      </c>
      <c r="G116" s="6" t="s">
        <v>87</v>
      </c>
      <c r="J116" s="6" t="s">
        <v>106</v>
      </c>
      <c r="K116" s="6"/>
      <c r="L116" s="6" t="s">
        <v>581</v>
      </c>
      <c r="M116" s="6"/>
      <c r="N116" s="6" t="s">
        <v>167</v>
      </c>
      <c r="O116" s="6"/>
      <c r="P116" s="6" t="s">
        <v>168</v>
      </c>
      <c r="Q116" s="6"/>
      <c r="R116" s="47" t="s">
        <v>4549</v>
      </c>
      <c r="S116" s="14" t="s">
        <v>4433</v>
      </c>
      <c r="T116" s="14" t="s">
        <v>4395</v>
      </c>
      <c r="U116" s="14" t="s">
        <v>4550</v>
      </c>
      <c r="AA116" s="6"/>
      <c r="AB116" s="6" t="s">
        <v>101</v>
      </c>
      <c r="AC116" s="6"/>
      <c r="AD116" s="6" t="s">
        <v>56</v>
      </c>
      <c r="AE116" s="6"/>
      <c r="AF116" s="6" t="s">
        <v>57</v>
      </c>
      <c r="AG116" s="6"/>
      <c r="AH116" s="6" t="s">
        <v>76</v>
      </c>
      <c r="AI116" s="6"/>
      <c r="AJ116" s="6" t="s">
        <v>57</v>
      </c>
    </row>
    <row r="117" spans="1:36" ht="15.75" customHeight="1" x14ac:dyDescent="0.25">
      <c r="A117" s="7">
        <v>43418.545087592589</v>
      </c>
      <c r="B117" s="6" t="s">
        <v>127</v>
      </c>
      <c r="C117" s="6" t="s">
        <v>79</v>
      </c>
      <c r="E117" s="6" t="s">
        <v>81</v>
      </c>
      <c r="G117" s="6" t="s">
        <v>48</v>
      </c>
      <c r="H117" s="6" t="s">
        <v>583</v>
      </c>
      <c r="I117" s="6"/>
      <c r="J117" s="6" t="s">
        <v>110</v>
      </c>
      <c r="K117" s="6"/>
      <c r="L117" s="6" t="s">
        <v>584</v>
      </c>
      <c r="M117" s="6"/>
      <c r="N117" s="6" t="s">
        <v>93</v>
      </c>
      <c r="O117" s="6"/>
      <c r="P117" s="6" t="s">
        <v>94</v>
      </c>
      <c r="Q117" s="6"/>
      <c r="R117" s="47" t="s">
        <v>4551</v>
      </c>
      <c r="S117" s="14" t="s">
        <v>4552</v>
      </c>
      <c r="T117" s="14" t="s">
        <v>4553</v>
      </c>
      <c r="U117" s="14" t="s">
        <v>4554</v>
      </c>
      <c r="AA117" s="6"/>
      <c r="AB117" s="6" t="s">
        <v>101</v>
      </c>
      <c r="AC117" s="6"/>
      <c r="AD117" s="6" t="s">
        <v>56</v>
      </c>
      <c r="AE117" s="6"/>
      <c r="AF117" s="6" t="s">
        <v>161</v>
      </c>
      <c r="AG117" s="6"/>
      <c r="AH117" s="6" t="s">
        <v>76</v>
      </c>
      <c r="AI117" s="6"/>
      <c r="AJ117" s="11" t="s">
        <v>174</v>
      </c>
    </row>
    <row r="118" spans="1:36" ht="15.75" customHeight="1" x14ac:dyDescent="0.25">
      <c r="A118" s="7">
        <v>43418.545882939812</v>
      </c>
      <c r="B118" s="6" t="s">
        <v>30</v>
      </c>
      <c r="C118" s="6" t="s">
        <v>79</v>
      </c>
      <c r="D118" s="6" t="s">
        <v>46</v>
      </c>
      <c r="E118" s="6" t="s">
        <v>48</v>
      </c>
      <c r="F118" s="6" t="s">
        <v>586</v>
      </c>
      <c r="G118" s="6" t="s">
        <v>48</v>
      </c>
      <c r="H118" s="6" t="s">
        <v>587</v>
      </c>
      <c r="I118" s="6"/>
      <c r="J118" s="6" t="s">
        <v>64</v>
      </c>
      <c r="K118" s="6"/>
      <c r="L118" s="6" t="s">
        <v>588</v>
      </c>
      <c r="M118" s="6"/>
      <c r="N118" s="6" t="s">
        <v>93</v>
      </c>
      <c r="O118" s="6"/>
      <c r="P118" s="6" t="s">
        <v>94</v>
      </c>
      <c r="Q118" s="6"/>
      <c r="R118" s="47" t="s">
        <v>589</v>
      </c>
      <c r="AA118" s="6"/>
      <c r="AB118" s="6" t="s">
        <v>55</v>
      </c>
      <c r="AC118" s="6"/>
      <c r="AD118" s="6" t="s">
        <v>56</v>
      </c>
      <c r="AE118" s="6"/>
      <c r="AF118" s="6" t="s">
        <v>75</v>
      </c>
      <c r="AG118" s="6"/>
      <c r="AH118" s="6" t="s">
        <v>126</v>
      </c>
      <c r="AI118" s="6"/>
      <c r="AJ118" s="11" t="s">
        <v>174</v>
      </c>
    </row>
    <row r="119" spans="1:36" ht="15.75" customHeight="1" x14ac:dyDescent="0.25">
      <c r="A119" s="7">
        <v>43418.546528645835</v>
      </c>
      <c r="B119" s="6" t="s">
        <v>30</v>
      </c>
      <c r="C119" s="6" t="s">
        <v>95</v>
      </c>
      <c r="D119" s="6" t="s">
        <v>165</v>
      </c>
      <c r="E119" s="6" t="s">
        <v>81</v>
      </c>
      <c r="G119" s="6" t="s">
        <v>87</v>
      </c>
      <c r="J119" s="6" t="s">
        <v>92</v>
      </c>
      <c r="K119" s="6"/>
      <c r="N119" s="6" t="s">
        <v>98</v>
      </c>
      <c r="O119" s="6"/>
      <c r="P119" s="6" t="s">
        <v>94</v>
      </c>
      <c r="Q119" s="6"/>
      <c r="R119" s="47" t="s">
        <v>4555</v>
      </c>
      <c r="S119" s="14" t="s">
        <v>4556</v>
      </c>
      <c r="T119" s="14" t="s">
        <v>4527</v>
      </c>
      <c r="U119" s="14" t="s">
        <v>4557</v>
      </c>
      <c r="V119" s="14" t="s">
        <v>4558</v>
      </c>
      <c r="AA119" s="6"/>
      <c r="AB119" s="6" t="s">
        <v>101</v>
      </c>
      <c r="AC119" s="6"/>
      <c r="AD119" s="6" t="s">
        <v>56</v>
      </c>
      <c r="AE119" s="6"/>
      <c r="AF119" s="6" t="s">
        <v>161</v>
      </c>
      <c r="AG119" s="6"/>
      <c r="AH119" s="6" t="s">
        <v>76</v>
      </c>
      <c r="AI119" s="6"/>
      <c r="AJ119" s="6" t="s">
        <v>233</v>
      </c>
    </row>
    <row r="120" spans="1:36" ht="15.75" customHeight="1" x14ac:dyDescent="0.25">
      <c r="A120" s="7">
        <v>43418.546695034718</v>
      </c>
      <c r="B120" s="6" t="s">
        <v>127</v>
      </c>
      <c r="C120" s="6" t="s">
        <v>116</v>
      </c>
      <c r="D120" s="6" t="s">
        <v>155</v>
      </c>
      <c r="E120" s="6" t="s">
        <v>81</v>
      </c>
      <c r="G120" s="6" t="s">
        <v>87</v>
      </c>
      <c r="H120" s="6" t="s">
        <v>591</v>
      </c>
      <c r="I120" s="6"/>
      <c r="J120" s="6" t="s">
        <v>106</v>
      </c>
      <c r="K120" s="6"/>
      <c r="L120" s="6" t="s">
        <v>592</v>
      </c>
      <c r="M120" s="6"/>
      <c r="N120" s="6" t="s">
        <v>121</v>
      </c>
      <c r="O120" s="6"/>
      <c r="P120" s="6" t="s">
        <v>94</v>
      </c>
      <c r="Q120" s="6"/>
      <c r="R120" s="47" t="s">
        <v>593</v>
      </c>
      <c r="AA120" s="6"/>
      <c r="AB120" s="6" t="s">
        <v>55</v>
      </c>
      <c r="AC120" s="6"/>
      <c r="AD120" s="6" t="s">
        <v>109</v>
      </c>
      <c r="AE120" s="6"/>
      <c r="AF120" s="6" t="s">
        <v>161</v>
      </c>
      <c r="AG120" s="6"/>
      <c r="AH120" s="6" t="s">
        <v>76</v>
      </c>
      <c r="AI120" s="6"/>
      <c r="AJ120" s="6" t="s">
        <v>187</v>
      </c>
    </row>
    <row r="121" spans="1:36" ht="15.75" customHeight="1" x14ac:dyDescent="0.25">
      <c r="A121" s="7">
        <v>43418.548030254635</v>
      </c>
      <c r="B121" s="6" t="s">
        <v>60</v>
      </c>
      <c r="C121" s="6" t="s">
        <v>128</v>
      </c>
      <c r="D121" s="6" t="s">
        <v>155</v>
      </c>
      <c r="E121" s="6" t="s">
        <v>81</v>
      </c>
      <c r="G121" s="6" t="s">
        <v>87</v>
      </c>
      <c r="J121" s="6" t="s">
        <v>184</v>
      </c>
      <c r="K121" s="6"/>
      <c r="L121" s="6" t="s">
        <v>594</v>
      </c>
      <c r="M121" s="6"/>
      <c r="N121" s="6" t="s">
        <v>121</v>
      </c>
      <c r="O121" s="6"/>
      <c r="P121" s="6" t="s">
        <v>168</v>
      </c>
      <c r="Q121" s="6"/>
      <c r="AA121" s="6"/>
      <c r="AB121" s="6" t="s">
        <v>101</v>
      </c>
      <c r="AC121" s="6"/>
      <c r="AD121" s="6" t="s">
        <v>56</v>
      </c>
      <c r="AE121" s="6"/>
      <c r="AF121" s="6" t="s">
        <v>161</v>
      </c>
      <c r="AG121" s="6"/>
      <c r="AH121" s="6" t="s">
        <v>76</v>
      </c>
      <c r="AI121" s="6"/>
      <c r="AJ121" s="11" t="s">
        <v>174</v>
      </c>
    </row>
    <row r="122" spans="1:36" ht="15.75" customHeight="1" x14ac:dyDescent="0.25">
      <c r="A122" s="7">
        <v>43418.549099884258</v>
      </c>
      <c r="B122" s="6" t="s">
        <v>30</v>
      </c>
      <c r="C122" s="6" t="s">
        <v>95</v>
      </c>
      <c r="D122" s="6" t="s">
        <v>165</v>
      </c>
      <c r="E122" s="6" t="s">
        <v>81</v>
      </c>
      <c r="G122" s="6" t="s">
        <v>87</v>
      </c>
      <c r="J122" s="6" t="s">
        <v>73</v>
      </c>
      <c r="K122" s="6"/>
      <c r="L122" s="6" t="s">
        <v>595</v>
      </c>
      <c r="M122" s="6"/>
      <c r="N122" s="6" t="s">
        <v>98</v>
      </c>
      <c r="O122" s="6"/>
      <c r="P122" s="6" t="s">
        <v>94</v>
      </c>
      <c r="Q122" s="6"/>
      <c r="R122" s="47" t="s">
        <v>596</v>
      </c>
      <c r="AA122" s="6"/>
      <c r="AB122" s="6" t="s">
        <v>101</v>
      </c>
      <c r="AC122" s="6"/>
      <c r="AD122" s="6" t="s">
        <v>56</v>
      </c>
      <c r="AE122" s="6"/>
      <c r="AF122" s="6" t="s">
        <v>161</v>
      </c>
      <c r="AG122" s="6"/>
      <c r="AH122" s="6" t="s">
        <v>76</v>
      </c>
      <c r="AI122" s="6"/>
      <c r="AJ122" s="6" t="s">
        <v>69</v>
      </c>
    </row>
    <row r="123" spans="1:36" ht="15.75" customHeight="1" x14ac:dyDescent="0.25">
      <c r="A123" s="7">
        <v>43418.549160902781</v>
      </c>
      <c r="B123" s="6" t="s">
        <v>60</v>
      </c>
      <c r="C123" s="6" t="s">
        <v>434</v>
      </c>
      <c r="D123" s="6" t="s">
        <v>165</v>
      </c>
      <c r="E123" s="6" t="s">
        <v>48</v>
      </c>
      <c r="F123" s="6" t="s">
        <v>597</v>
      </c>
      <c r="G123" s="6" t="s">
        <v>48</v>
      </c>
      <c r="H123" s="6" t="s">
        <v>598</v>
      </c>
      <c r="I123" s="6"/>
      <c r="J123" s="6" t="s">
        <v>73</v>
      </c>
      <c r="K123" s="6"/>
      <c r="L123" s="6" t="s">
        <v>599</v>
      </c>
      <c r="M123" s="6"/>
      <c r="N123" s="6" t="s">
        <v>181</v>
      </c>
      <c r="O123" s="6"/>
      <c r="P123" s="6" t="s">
        <v>131</v>
      </c>
      <c r="Q123" s="6"/>
      <c r="R123" s="47" t="s">
        <v>4559</v>
      </c>
      <c r="S123" s="14" t="s">
        <v>4560</v>
      </c>
      <c r="AA123" s="6"/>
      <c r="AB123" s="6" t="s">
        <v>67</v>
      </c>
      <c r="AC123" s="6"/>
      <c r="AD123" s="6" t="s">
        <v>56</v>
      </c>
      <c r="AE123" s="6"/>
      <c r="AF123" s="6" t="s">
        <v>75</v>
      </c>
      <c r="AG123" s="6"/>
      <c r="AH123" s="6" t="s">
        <v>58</v>
      </c>
      <c r="AI123" s="6"/>
      <c r="AJ123" s="11" t="s">
        <v>77</v>
      </c>
    </row>
    <row r="124" spans="1:36" ht="15.75" customHeight="1" x14ac:dyDescent="0.25">
      <c r="A124" s="7">
        <v>43418.549850960648</v>
      </c>
      <c r="B124" s="6" t="s">
        <v>154</v>
      </c>
      <c r="C124" s="6" t="s">
        <v>215</v>
      </c>
      <c r="E124" s="6" t="s">
        <v>81</v>
      </c>
      <c r="G124" s="6" t="s">
        <v>87</v>
      </c>
      <c r="J124" s="6" t="s">
        <v>92</v>
      </c>
      <c r="K124" s="6"/>
      <c r="L124" s="6" t="s">
        <v>601</v>
      </c>
      <c r="M124" s="6"/>
      <c r="N124" s="6" t="s">
        <v>181</v>
      </c>
      <c r="O124" s="6"/>
      <c r="P124" s="6" t="s">
        <v>94</v>
      </c>
      <c r="Q124" s="6"/>
      <c r="R124" s="47" t="s">
        <v>4561</v>
      </c>
      <c r="S124" s="14" t="s">
        <v>4562</v>
      </c>
      <c r="T124" s="14" t="s">
        <v>4563</v>
      </c>
      <c r="AA124" s="6"/>
      <c r="AB124" s="6" t="s">
        <v>67</v>
      </c>
      <c r="AC124" s="6"/>
      <c r="AD124" s="6" t="s">
        <v>56</v>
      </c>
      <c r="AE124" s="6"/>
      <c r="AF124" s="6" t="s">
        <v>161</v>
      </c>
      <c r="AG124" s="6"/>
      <c r="AH124" s="6" t="s">
        <v>76</v>
      </c>
      <c r="AI124" s="6"/>
      <c r="AJ124" s="6" t="s">
        <v>115</v>
      </c>
    </row>
    <row r="125" spans="1:36" ht="15.75" customHeight="1" x14ac:dyDescent="0.25">
      <c r="A125" s="7">
        <v>43418.550514016199</v>
      </c>
      <c r="B125" s="6" t="s">
        <v>294</v>
      </c>
      <c r="C125" s="6" t="s">
        <v>434</v>
      </c>
      <c r="D125" s="6" t="s">
        <v>163</v>
      </c>
      <c r="E125" s="6" t="s">
        <v>81</v>
      </c>
      <c r="G125" s="6" t="s">
        <v>87</v>
      </c>
      <c r="H125" s="6" t="s">
        <v>603</v>
      </c>
      <c r="I125" s="6"/>
      <c r="J125" s="6" t="s">
        <v>50</v>
      </c>
      <c r="K125" s="6"/>
      <c r="L125" s="6" t="s">
        <v>604</v>
      </c>
      <c r="M125" s="6"/>
      <c r="N125" s="6" t="s">
        <v>112</v>
      </c>
      <c r="O125" s="6"/>
      <c r="P125" s="6" t="s">
        <v>99</v>
      </c>
      <c r="Q125" s="6"/>
      <c r="R125" s="47" t="s">
        <v>4564</v>
      </c>
      <c r="S125" s="14" t="s">
        <v>4565</v>
      </c>
      <c r="T125" s="14" t="s">
        <v>4566</v>
      </c>
      <c r="AA125" s="6"/>
      <c r="AB125" s="6" t="s">
        <v>101</v>
      </c>
      <c r="AC125" s="6"/>
      <c r="AD125" s="6" t="s">
        <v>56</v>
      </c>
      <c r="AE125" s="6"/>
      <c r="AF125" s="6" t="s">
        <v>75</v>
      </c>
      <c r="AG125" s="6"/>
      <c r="AH125" s="6" t="s">
        <v>76</v>
      </c>
      <c r="AI125" s="6"/>
      <c r="AJ125" s="11" t="s">
        <v>174</v>
      </c>
    </row>
    <row r="126" spans="1:36" ht="15.75" customHeight="1" x14ac:dyDescent="0.25">
      <c r="A126" s="7">
        <v>43418.55061046296</v>
      </c>
      <c r="B126" s="6" t="s">
        <v>30</v>
      </c>
      <c r="C126" s="6" t="s">
        <v>90</v>
      </c>
      <c r="D126" s="6" t="s">
        <v>46</v>
      </c>
      <c r="E126" s="6" t="s">
        <v>81</v>
      </c>
      <c r="G126" s="6" t="s">
        <v>87</v>
      </c>
      <c r="H126" s="6" t="s">
        <v>606</v>
      </c>
      <c r="I126" s="6"/>
      <c r="J126" s="6" t="s">
        <v>92</v>
      </c>
      <c r="K126" s="6"/>
      <c r="L126" s="6" t="s">
        <v>607</v>
      </c>
      <c r="M126" s="6"/>
      <c r="N126" s="6" t="s">
        <v>98</v>
      </c>
      <c r="O126" s="6"/>
      <c r="P126" s="6" t="s">
        <v>94</v>
      </c>
      <c r="Q126" s="6"/>
      <c r="R126" s="47" t="s">
        <v>3260</v>
      </c>
      <c r="S126" s="14" t="s">
        <v>4567</v>
      </c>
      <c r="T126" s="14" t="s">
        <v>4568</v>
      </c>
      <c r="AA126" s="6"/>
      <c r="AB126" s="6" t="s">
        <v>101</v>
      </c>
      <c r="AC126" s="6"/>
      <c r="AD126" s="6" t="s">
        <v>56</v>
      </c>
      <c r="AE126" s="6"/>
      <c r="AF126" s="6" t="s">
        <v>57</v>
      </c>
      <c r="AG126" s="6"/>
      <c r="AH126" s="6" t="s">
        <v>57</v>
      </c>
      <c r="AI126" s="6"/>
      <c r="AJ126" s="11" t="s">
        <v>77</v>
      </c>
    </row>
    <row r="127" spans="1:36" ht="15.75" customHeight="1" x14ac:dyDescent="0.25">
      <c r="A127" s="7">
        <v>43418.552603275464</v>
      </c>
      <c r="B127" s="6" t="s">
        <v>60</v>
      </c>
      <c r="C127" s="6" t="s">
        <v>45</v>
      </c>
      <c r="D127" s="6" t="s">
        <v>163</v>
      </c>
      <c r="E127" s="6" t="s">
        <v>48</v>
      </c>
      <c r="F127" s="6" t="s">
        <v>609</v>
      </c>
      <c r="G127" s="6" t="s">
        <v>48</v>
      </c>
      <c r="H127" s="6" t="s">
        <v>610</v>
      </c>
      <c r="I127" s="6"/>
      <c r="J127" s="6" t="s">
        <v>64</v>
      </c>
      <c r="K127" s="6"/>
      <c r="L127" s="6" t="s">
        <v>611</v>
      </c>
      <c r="M127" s="6"/>
      <c r="N127" s="6" t="s">
        <v>121</v>
      </c>
      <c r="O127" s="6"/>
      <c r="P127" s="6" t="s">
        <v>168</v>
      </c>
      <c r="Q127" s="6"/>
      <c r="R127" s="47" t="s">
        <v>612</v>
      </c>
      <c r="AA127" s="6"/>
      <c r="AB127" s="6" t="s">
        <v>55</v>
      </c>
      <c r="AC127" s="6"/>
      <c r="AD127" s="6" t="s">
        <v>56</v>
      </c>
      <c r="AE127" s="6"/>
      <c r="AF127" s="6" t="s">
        <v>68</v>
      </c>
      <c r="AG127" s="6"/>
      <c r="AH127" s="6" t="s">
        <v>58</v>
      </c>
      <c r="AI127" s="6"/>
      <c r="AJ127" s="6" t="s">
        <v>132</v>
      </c>
    </row>
    <row r="128" spans="1:36" ht="15.75" customHeight="1" x14ac:dyDescent="0.25">
      <c r="A128" s="7">
        <v>43418.553208680554</v>
      </c>
      <c r="B128" s="6" t="s">
        <v>613</v>
      </c>
      <c r="C128" s="6" t="s">
        <v>349</v>
      </c>
      <c r="D128" s="6" t="s">
        <v>261</v>
      </c>
      <c r="E128" s="6" t="s">
        <v>48</v>
      </c>
      <c r="F128" s="6" t="s">
        <v>614</v>
      </c>
      <c r="G128" s="6" t="s">
        <v>81</v>
      </c>
      <c r="H128" s="6" t="s">
        <v>615</v>
      </c>
      <c r="I128" s="6"/>
      <c r="J128" s="6" t="s">
        <v>50</v>
      </c>
      <c r="K128" s="6"/>
      <c r="L128" s="6" t="s">
        <v>616</v>
      </c>
      <c r="M128" s="6"/>
      <c r="N128" s="6" t="s">
        <v>51</v>
      </c>
      <c r="O128" s="6"/>
      <c r="P128" s="6" t="s">
        <v>52</v>
      </c>
      <c r="Q128" s="6"/>
      <c r="R128" s="47" t="s">
        <v>4569</v>
      </c>
      <c r="S128" s="14" t="s">
        <v>4570</v>
      </c>
      <c r="T128" s="14" t="s">
        <v>4571</v>
      </c>
      <c r="AA128" s="6"/>
      <c r="AB128" s="6" t="s">
        <v>101</v>
      </c>
      <c r="AC128" s="6"/>
      <c r="AD128" s="6" t="s">
        <v>56</v>
      </c>
      <c r="AE128" s="6"/>
      <c r="AF128" s="6" t="s">
        <v>68</v>
      </c>
      <c r="AG128" s="6"/>
      <c r="AH128" s="11" t="s">
        <v>144</v>
      </c>
      <c r="AI128" s="6"/>
      <c r="AJ128" s="11" t="s">
        <v>77</v>
      </c>
    </row>
    <row r="129" spans="1:36" ht="15.75" customHeight="1" x14ac:dyDescent="0.25">
      <c r="A129" s="7">
        <v>43418.554058182868</v>
      </c>
      <c r="B129" s="6" t="s">
        <v>127</v>
      </c>
      <c r="C129" s="6" t="s">
        <v>378</v>
      </c>
      <c r="D129" s="6" t="s">
        <v>163</v>
      </c>
      <c r="E129" s="6" t="s">
        <v>48</v>
      </c>
      <c r="F129" s="6" t="s">
        <v>36</v>
      </c>
      <c r="G129" s="6" t="s">
        <v>48</v>
      </c>
      <c r="H129" s="6" t="s">
        <v>618</v>
      </c>
      <c r="I129" s="6"/>
      <c r="J129" s="6" t="s">
        <v>89</v>
      </c>
      <c r="K129" s="6"/>
      <c r="L129" s="6" t="s">
        <v>619</v>
      </c>
      <c r="M129" s="6"/>
      <c r="N129" s="6" t="s">
        <v>181</v>
      </c>
      <c r="O129" s="6"/>
      <c r="P129" s="6" t="s">
        <v>131</v>
      </c>
      <c r="Q129" s="6"/>
      <c r="R129" s="47" t="s">
        <v>3345</v>
      </c>
      <c r="S129" s="14" t="s">
        <v>4472</v>
      </c>
      <c r="T129" s="14" t="s">
        <v>4572</v>
      </c>
      <c r="AA129" s="6"/>
      <c r="AB129" s="6" t="s">
        <v>67</v>
      </c>
      <c r="AC129" s="6"/>
      <c r="AD129" s="6" t="s">
        <v>56</v>
      </c>
      <c r="AE129" s="6"/>
      <c r="AF129" s="6" t="s">
        <v>161</v>
      </c>
      <c r="AG129" s="6"/>
      <c r="AH129" s="6" t="s">
        <v>76</v>
      </c>
      <c r="AI129" s="6"/>
      <c r="AJ129" s="11" t="s">
        <v>77</v>
      </c>
    </row>
    <row r="130" spans="1:36" ht="15.75" customHeight="1" x14ac:dyDescent="0.25">
      <c r="A130" s="7">
        <v>43418.554308148145</v>
      </c>
      <c r="B130" s="6" t="s">
        <v>621</v>
      </c>
      <c r="C130" s="6" t="s">
        <v>45</v>
      </c>
      <c r="D130" s="6" t="s">
        <v>133</v>
      </c>
      <c r="E130" s="6" t="s">
        <v>81</v>
      </c>
      <c r="G130" s="6" t="s">
        <v>87</v>
      </c>
      <c r="H130" s="6" t="s">
        <v>622</v>
      </c>
      <c r="I130" s="6"/>
      <c r="J130" s="6" t="s">
        <v>92</v>
      </c>
      <c r="K130" s="6"/>
      <c r="L130" s="6" t="s">
        <v>623</v>
      </c>
      <c r="M130" s="6"/>
      <c r="N130" s="6" t="s">
        <v>248</v>
      </c>
      <c r="O130" s="6"/>
      <c r="P130" s="6" t="s">
        <v>168</v>
      </c>
      <c r="Q130" s="6"/>
      <c r="R130" s="47" t="s">
        <v>192</v>
      </c>
      <c r="S130" s="14" t="s">
        <v>4573</v>
      </c>
      <c r="T130" s="14" t="s">
        <v>4574</v>
      </c>
      <c r="AA130" s="6"/>
      <c r="AB130" s="6" t="s">
        <v>101</v>
      </c>
      <c r="AC130" s="6"/>
      <c r="AD130" s="6" t="s">
        <v>56</v>
      </c>
      <c r="AE130" s="6"/>
      <c r="AF130" s="6" t="s">
        <v>161</v>
      </c>
      <c r="AG130" s="6"/>
      <c r="AH130" s="6" t="s">
        <v>76</v>
      </c>
      <c r="AI130" s="6"/>
      <c r="AJ130" s="6" t="s">
        <v>334</v>
      </c>
    </row>
    <row r="131" spans="1:36" ht="15.75" customHeight="1" x14ac:dyDescent="0.25">
      <c r="A131" s="7">
        <v>43418.555671736111</v>
      </c>
      <c r="B131" s="6" t="s">
        <v>60</v>
      </c>
      <c r="C131" s="6" t="s">
        <v>45</v>
      </c>
      <c r="D131" s="6" t="s">
        <v>138</v>
      </c>
      <c r="E131" s="6" t="s">
        <v>48</v>
      </c>
      <c r="F131" s="6" t="s">
        <v>183</v>
      </c>
      <c r="G131" s="6" t="s">
        <v>48</v>
      </c>
      <c r="H131" s="6" t="s">
        <v>625</v>
      </c>
      <c r="I131" s="6"/>
      <c r="J131" s="6" t="s">
        <v>89</v>
      </c>
      <c r="K131" s="6"/>
      <c r="L131" s="6" t="s">
        <v>626</v>
      </c>
      <c r="M131" s="6"/>
      <c r="N131" s="6" t="s">
        <v>212</v>
      </c>
      <c r="O131" s="6"/>
      <c r="P131" s="6" t="s">
        <v>94</v>
      </c>
      <c r="Q131" s="6"/>
      <c r="R131" s="47" t="s">
        <v>3225</v>
      </c>
      <c r="S131" s="14" t="s">
        <v>4575</v>
      </c>
      <c r="T131" s="14" t="s">
        <v>4459</v>
      </c>
      <c r="U131" s="14" t="s">
        <v>4576</v>
      </c>
      <c r="AA131" s="6"/>
      <c r="AB131" s="6" t="s">
        <v>67</v>
      </c>
      <c r="AC131" s="6"/>
      <c r="AD131" s="6" t="s">
        <v>56</v>
      </c>
      <c r="AE131" s="6"/>
      <c r="AF131" s="6" t="s">
        <v>161</v>
      </c>
      <c r="AG131" s="6"/>
      <c r="AH131" s="6" t="s">
        <v>76</v>
      </c>
      <c r="AI131" s="6"/>
      <c r="AJ131" s="11" t="s">
        <v>77</v>
      </c>
    </row>
    <row r="132" spans="1:36" ht="15.75" customHeight="1" x14ac:dyDescent="0.25">
      <c r="A132" s="7">
        <v>43418.556507905094</v>
      </c>
      <c r="B132" s="6" t="s">
        <v>30</v>
      </c>
      <c r="C132" s="6" t="s">
        <v>90</v>
      </c>
      <c r="D132" s="6" t="s">
        <v>165</v>
      </c>
      <c r="E132" s="6" t="s">
        <v>81</v>
      </c>
      <c r="G132" s="6" t="s">
        <v>87</v>
      </c>
      <c r="H132" s="6" t="s">
        <v>628</v>
      </c>
      <c r="I132" s="6"/>
      <c r="J132" s="6" t="s">
        <v>92</v>
      </c>
      <c r="K132" s="6"/>
      <c r="L132" s="6" t="s">
        <v>629</v>
      </c>
      <c r="M132" s="6"/>
      <c r="N132" s="6" t="s">
        <v>112</v>
      </c>
      <c r="O132" s="6"/>
      <c r="P132" s="6" t="s">
        <v>131</v>
      </c>
      <c r="Q132" s="6"/>
      <c r="R132" s="47" t="s">
        <v>630</v>
      </c>
      <c r="AA132" s="6"/>
      <c r="AB132" s="6" t="s">
        <v>101</v>
      </c>
      <c r="AC132" s="6"/>
      <c r="AD132" s="6" t="s">
        <v>56</v>
      </c>
      <c r="AE132" s="6"/>
      <c r="AF132" s="6" t="s">
        <v>75</v>
      </c>
      <c r="AG132" s="6"/>
      <c r="AH132" s="6" t="s">
        <v>76</v>
      </c>
      <c r="AI132" s="6"/>
      <c r="AJ132" s="6" t="s">
        <v>132</v>
      </c>
    </row>
    <row r="133" spans="1:36" ht="15.75" customHeight="1" x14ac:dyDescent="0.25">
      <c r="A133" s="7">
        <v>43418.557902592591</v>
      </c>
      <c r="B133" s="6" t="s">
        <v>60</v>
      </c>
      <c r="C133" s="6" t="s">
        <v>90</v>
      </c>
      <c r="D133" s="6" t="s">
        <v>163</v>
      </c>
      <c r="E133" s="6" t="s">
        <v>48</v>
      </c>
      <c r="F133" s="6" t="s">
        <v>183</v>
      </c>
      <c r="G133" s="6" t="s">
        <v>48</v>
      </c>
      <c r="H133" s="6" t="s">
        <v>631</v>
      </c>
      <c r="I133" s="6"/>
      <c r="J133" s="6" t="s">
        <v>92</v>
      </c>
      <c r="K133" s="6"/>
      <c r="L133" s="6" t="s">
        <v>632</v>
      </c>
      <c r="M133" s="6"/>
      <c r="N133" s="6" t="s">
        <v>98</v>
      </c>
      <c r="O133" s="6"/>
      <c r="P133" s="6" t="s">
        <v>94</v>
      </c>
      <c r="Q133" s="6"/>
      <c r="R133" s="47" t="s">
        <v>242</v>
      </c>
      <c r="S133" s="14" t="s">
        <v>4577</v>
      </c>
      <c r="AA133" s="6"/>
      <c r="AB133" s="6" t="s">
        <v>101</v>
      </c>
      <c r="AC133" s="6"/>
      <c r="AD133" s="6" t="s">
        <v>56</v>
      </c>
      <c r="AE133" s="6"/>
      <c r="AF133" s="6" t="s">
        <v>75</v>
      </c>
      <c r="AG133" s="6"/>
      <c r="AH133" s="6" t="s">
        <v>76</v>
      </c>
      <c r="AI133" s="6"/>
      <c r="AJ133" s="11" t="s">
        <v>77</v>
      </c>
    </row>
    <row r="134" spans="1:36" ht="15.75" customHeight="1" x14ac:dyDescent="0.25">
      <c r="A134" s="7">
        <v>43418.55837914352</v>
      </c>
      <c r="B134" s="6" t="s">
        <v>634</v>
      </c>
      <c r="C134" s="6" t="s">
        <v>45</v>
      </c>
      <c r="E134" s="6" t="s">
        <v>81</v>
      </c>
      <c r="G134" s="6" t="s">
        <v>87</v>
      </c>
      <c r="J134" s="6" t="s">
        <v>110</v>
      </c>
      <c r="K134" s="6"/>
      <c r="L134" s="6" t="s">
        <v>635</v>
      </c>
      <c r="M134" s="6"/>
      <c r="N134" s="6" t="s">
        <v>98</v>
      </c>
      <c r="O134" s="6"/>
      <c r="P134" s="6" t="s">
        <v>94</v>
      </c>
      <c r="Q134" s="6"/>
      <c r="R134" s="47" t="s">
        <v>4578</v>
      </c>
      <c r="S134" s="14" t="s">
        <v>4579</v>
      </c>
      <c r="AA134" s="6"/>
      <c r="AB134" s="6" t="s">
        <v>101</v>
      </c>
      <c r="AC134" s="6"/>
      <c r="AD134" s="6" t="s">
        <v>56</v>
      </c>
      <c r="AE134" s="6"/>
      <c r="AF134" s="6" t="s">
        <v>205</v>
      </c>
      <c r="AG134" s="6"/>
      <c r="AH134" s="6" t="s">
        <v>58</v>
      </c>
      <c r="AI134" s="6"/>
      <c r="AJ134" s="11" t="s">
        <v>291</v>
      </c>
    </row>
    <row r="135" spans="1:36" ht="15.75" customHeight="1" x14ac:dyDescent="0.25">
      <c r="A135" s="7">
        <v>43418.559025636576</v>
      </c>
      <c r="B135" s="6" t="s">
        <v>30</v>
      </c>
      <c r="C135" s="6" t="s">
        <v>116</v>
      </c>
      <c r="D135" s="6" t="s">
        <v>133</v>
      </c>
      <c r="E135" s="6" t="s">
        <v>48</v>
      </c>
      <c r="F135" s="6" t="s">
        <v>637</v>
      </c>
      <c r="G135" s="6" t="s">
        <v>48</v>
      </c>
      <c r="H135" s="6" t="s">
        <v>638</v>
      </c>
      <c r="I135" s="6"/>
      <c r="J135" s="6" t="s">
        <v>64</v>
      </c>
      <c r="K135" s="6"/>
      <c r="L135" s="6" t="s">
        <v>639</v>
      </c>
      <c r="M135" s="6"/>
      <c r="N135" s="6" t="s">
        <v>112</v>
      </c>
      <c r="O135" s="6"/>
      <c r="P135" s="6" t="s">
        <v>131</v>
      </c>
      <c r="Q135" s="6"/>
      <c r="R135" s="47" t="s">
        <v>143</v>
      </c>
      <c r="AA135" s="6"/>
      <c r="AB135" s="6" t="s">
        <v>101</v>
      </c>
      <c r="AC135" s="6"/>
      <c r="AD135" s="6" t="s">
        <v>56</v>
      </c>
      <c r="AE135" s="6"/>
      <c r="AF135" s="6" t="s">
        <v>68</v>
      </c>
      <c r="AG135" s="6"/>
      <c r="AH135" s="6" t="s">
        <v>58</v>
      </c>
      <c r="AI135" s="6"/>
      <c r="AJ135" s="6" t="s">
        <v>132</v>
      </c>
    </row>
    <row r="136" spans="1:36" ht="15.75" customHeight="1" x14ac:dyDescent="0.25">
      <c r="A136" s="7">
        <v>43418.560047962965</v>
      </c>
      <c r="B136" s="6" t="s">
        <v>127</v>
      </c>
      <c r="C136" s="6" t="s">
        <v>95</v>
      </c>
      <c r="D136" s="6" t="s">
        <v>165</v>
      </c>
      <c r="E136" s="6" t="s">
        <v>48</v>
      </c>
      <c r="F136" s="6" t="s">
        <v>640</v>
      </c>
      <c r="G136" s="6" t="s">
        <v>48</v>
      </c>
      <c r="H136" s="6" t="s">
        <v>641</v>
      </c>
      <c r="I136" s="6"/>
      <c r="J136" s="6" t="s">
        <v>89</v>
      </c>
      <c r="K136" s="6"/>
      <c r="L136" s="6" t="s">
        <v>642</v>
      </c>
      <c r="M136" s="6"/>
      <c r="N136" s="6" t="s">
        <v>212</v>
      </c>
      <c r="O136" s="6"/>
      <c r="P136" s="6" t="s">
        <v>131</v>
      </c>
      <c r="Q136" s="6"/>
      <c r="R136" s="47" t="s">
        <v>643</v>
      </c>
      <c r="AA136" s="6"/>
      <c r="AB136" s="6" t="s">
        <v>67</v>
      </c>
      <c r="AC136" s="6"/>
      <c r="AD136" s="6" t="s">
        <v>56</v>
      </c>
      <c r="AE136" s="6"/>
      <c r="AF136" s="6" t="s">
        <v>75</v>
      </c>
      <c r="AG136" s="6"/>
      <c r="AH136" s="6" t="s">
        <v>76</v>
      </c>
      <c r="AI136" s="6"/>
      <c r="AJ136" s="6" t="s">
        <v>256</v>
      </c>
    </row>
    <row r="137" spans="1:36" ht="15.75" customHeight="1" x14ac:dyDescent="0.25">
      <c r="A137" s="7">
        <v>43418.560681261573</v>
      </c>
      <c r="B137" s="6" t="s">
        <v>28</v>
      </c>
      <c r="C137" s="6" t="s">
        <v>195</v>
      </c>
      <c r="D137" s="6" t="s">
        <v>46</v>
      </c>
      <c r="E137" s="6" t="s">
        <v>48</v>
      </c>
      <c r="F137" s="6" t="s">
        <v>220</v>
      </c>
      <c r="G137" s="6" t="s">
        <v>81</v>
      </c>
      <c r="J137" s="6" t="s">
        <v>73</v>
      </c>
      <c r="K137" s="6"/>
      <c r="N137" s="6" t="s">
        <v>98</v>
      </c>
      <c r="O137" s="6"/>
      <c r="P137" s="6" t="s">
        <v>131</v>
      </c>
      <c r="Q137" s="6"/>
      <c r="R137" s="47" t="s">
        <v>644</v>
      </c>
      <c r="AA137" s="6"/>
      <c r="AB137" s="6" t="s">
        <v>67</v>
      </c>
      <c r="AC137" s="6"/>
      <c r="AD137" s="6" t="s">
        <v>57</v>
      </c>
      <c r="AE137" s="6"/>
      <c r="AF137" s="6" t="s">
        <v>57</v>
      </c>
      <c r="AG137" s="6"/>
      <c r="AH137" s="6" t="s">
        <v>57</v>
      </c>
      <c r="AI137" s="6"/>
      <c r="AJ137" s="6" t="s">
        <v>57</v>
      </c>
    </row>
    <row r="138" spans="1:36" ht="15.75" customHeight="1" x14ac:dyDescent="0.25">
      <c r="A138" s="7">
        <v>43418.563477094911</v>
      </c>
      <c r="B138" s="6" t="s">
        <v>294</v>
      </c>
      <c r="C138" s="6" t="s">
        <v>218</v>
      </c>
      <c r="D138" s="6" t="s">
        <v>247</v>
      </c>
      <c r="E138" s="6" t="s">
        <v>48</v>
      </c>
      <c r="F138" s="6" t="s">
        <v>645</v>
      </c>
      <c r="G138" s="6" t="s">
        <v>48</v>
      </c>
      <c r="H138" s="6" t="s">
        <v>646</v>
      </c>
      <c r="I138" s="6"/>
      <c r="J138" s="6" t="s">
        <v>110</v>
      </c>
      <c r="K138" s="6"/>
      <c r="L138" s="6" t="s">
        <v>647</v>
      </c>
      <c r="M138" s="6"/>
      <c r="N138" s="6" t="s">
        <v>51</v>
      </c>
      <c r="O138" s="6"/>
      <c r="P138" s="6" t="s">
        <v>52</v>
      </c>
      <c r="Q138" s="6"/>
      <c r="R138" s="47" t="s">
        <v>648</v>
      </c>
      <c r="AA138" s="6"/>
      <c r="AB138" s="6" t="s">
        <v>67</v>
      </c>
      <c r="AC138" s="6"/>
      <c r="AD138" s="6" t="s">
        <v>56</v>
      </c>
      <c r="AE138" s="6"/>
      <c r="AF138" s="6" t="s">
        <v>68</v>
      </c>
      <c r="AG138" s="6"/>
      <c r="AH138" s="6" t="s">
        <v>58</v>
      </c>
      <c r="AI138" s="6"/>
      <c r="AJ138" s="6" t="s">
        <v>115</v>
      </c>
    </row>
    <row r="139" spans="1:36" ht="15.75" customHeight="1" x14ac:dyDescent="0.25">
      <c r="A139" s="7">
        <v>43418.563737546297</v>
      </c>
      <c r="B139" s="6" t="s">
        <v>60</v>
      </c>
      <c r="C139" s="6" t="s">
        <v>215</v>
      </c>
      <c r="D139" s="6" t="s">
        <v>163</v>
      </c>
      <c r="E139" s="6" t="s">
        <v>81</v>
      </c>
      <c r="G139" s="6" t="s">
        <v>87</v>
      </c>
      <c r="J139" s="6" t="s">
        <v>73</v>
      </c>
      <c r="K139" s="6"/>
      <c r="N139" s="6" t="s">
        <v>51</v>
      </c>
      <c r="O139" s="6"/>
      <c r="P139" s="6" t="s">
        <v>65</v>
      </c>
      <c r="Q139" s="6"/>
      <c r="AA139" s="6"/>
      <c r="AB139" s="6" t="s">
        <v>55</v>
      </c>
      <c r="AC139" s="6"/>
      <c r="AD139" s="6" t="s">
        <v>56</v>
      </c>
      <c r="AE139" s="6"/>
      <c r="AF139" s="6" t="s">
        <v>205</v>
      </c>
      <c r="AG139" s="6"/>
      <c r="AH139" s="6" t="s">
        <v>57</v>
      </c>
      <c r="AI139" s="6"/>
      <c r="AJ139" s="6" t="s">
        <v>256</v>
      </c>
    </row>
    <row r="140" spans="1:36" ht="15.75" customHeight="1" x14ac:dyDescent="0.25">
      <c r="A140" s="7">
        <v>43418.56525373843</v>
      </c>
      <c r="B140" s="6" t="s">
        <v>60</v>
      </c>
      <c r="C140" s="6" t="s">
        <v>90</v>
      </c>
      <c r="D140" s="6" t="s">
        <v>163</v>
      </c>
      <c r="E140" s="6" t="s">
        <v>81</v>
      </c>
      <c r="G140" s="6" t="s">
        <v>87</v>
      </c>
      <c r="J140" s="6" t="s">
        <v>92</v>
      </c>
      <c r="K140" s="6"/>
      <c r="N140" s="6" t="s">
        <v>121</v>
      </c>
      <c r="O140" s="6"/>
      <c r="P140" s="6" t="s">
        <v>168</v>
      </c>
      <c r="Q140" s="6"/>
      <c r="AA140" s="6"/>
      <c r="AB140" s="6" t="s">
        <v>101</v>
      </c>
      <c r="AC140" s="6"/>
      <c r="AD140" s="6" t="s">
        <v>56</v>
      </c>
      <c r="AE140" s="6"/>
      <c r="AF140" s="6" t="s">
        <v>75</v>
      </c>
      <c r="AG140" s="6"/>
      <c r="AH140" s="6" t="s">
        <v>58</v>
      </c>
      <c r="AJ140" s="6" t="s">
        <v>57</v>
      </c>
    </row>
    <row r="141" spans="1:36" ht="15.75" customHeight="1" x14ac:dyDescent="0.25">
      <c r="A141" s="7">
        <v>43418.565340324072</v>
      </c>
      <c r="B141" s="6" t="s">
        <v>103</v>
      </c>
      <c r="C141" s="6" t="s">
        <v>79</v>
      </c>
      <c r="D141" s="6" t="s">
        <v>46</v>
      </c>
      <c r="E141" s="6" t="s">
        <v>81</v>
      </c>
      <c r="G141" s="6" t="s">
        <v>87</v>
      </c>
      <c r="H141" s="6" t="s">
        <v>649</v>
      </c>
      <c r="I141" s="6"/>
      <c r="J141" s="6" t="s">
        <v>110</v>
      </c>
      <c r="K141" s="6"/>
      <c r="L141" s="6" t="s">
        <v>650</v>
      </c>
      <c r="M141" s="6"/>
      <c r="N141" s="6" t="s">
        <v>212</v>
      </c>
      <c r="O141" s="6"/>
      <c r="P141" s="6" t="s">
        <v>131</v>
      </c>
      <c r="Q141" s="6"/>
      <c r="R141" s="47" t="s">
        <v>651</v>
      </c>
      <c r="AA141" s="6"/>
      <c r="AB141" s="6" t="s">
        <v>101</v>
      </c>
      <c r="AC141" s="6"/>
      <c r="AD141" s="6" t="s">
        <v>56</v>
      </c>
      <c r="AE141" s="6"/>
      <c r="AF141" s="6" t="s">
        <v>68</v>
      </c>
      <c r="AG141" s="6"/>
      <c r="AH141" s="6" t="s">
        <v>58</v>
      </c>
      <c r="AI141" s="6"/>
      <c r="AJ141" s="6" t="s">
        <v>286</v>
      </c>
    </row>
    <row r="142" spans="1:36" ht="15.75" customHeight="1" x14ac:dyDescent="0.25">
      <c r="A142" s="7">
        <v>43418.566113263892</v>
      </c>
      <c r="B142" s="6" t="s">
        <v>30</v>
      </c>
      <c r="C142" s="6" t="s">
        <v>128</v>
      </c>
      <c r="D142" s="6" t="s">
        <v>91</v>
      </c>
      <c r="E142" s="6" t="s">
        <v>48</v>
      </c>
      <c r="F142" s="6" t="s">
        <v>652</v>
      </c>
      <c r="G142" s="6" t="s">
        <v>48</v>
      </c>
      <c r="H142" s="6" t="s">
        <v>653</v>
      </c>
      <c r="I142" s="6"/>
      <c r="J142" s="6" t="s">
        <v>92</v>
      </c>
      <c r="K142" s="6"/>
      <c r="L142" s="6" t="s">
        <v>654</v>
      </c>
      <c r="M142" s="6"/>
      <c r="N142" s="6" t="s">
        <v>181</v>
      </c>
      <c r="O142" s="6"/>
      <c r="P142" s="6" t="s">
        <v>94</v>
      </c>
      <c r="Q142" s="6"/>
      <c r="R142" s="47" t="s">
        <v>143</v>
      </c>
      <c r="S142" s="14" t="s">
        <v>4473</v>
      </c>
      <c r="T142" s="14" t="s">
        <v>4580</v>
      </c>
      <c r="U142" s="14" t="s">
        <v>4431</v>
      </c>
      <c r="V142" s="14" t="s">
        <v>4581</v>
      </c>
      <c r="W142" s="14" t="s">
        <v>4582</v>
      </c>
      <c r="AA142" s="6"/>
      <c r="AB142" s="6" t="s">
        <v>67</v>
      </c>
      <c r="AC142" s="6"/>
      <c r="AD142" s="6" t="s">
        <v>56</v>
      </c>
      <c r="AE142" s="6"/>
      <c r="AF142" s="6" t="s">
        <v>68</v>
      </c>
      <c r="AG142" s="6"/>
      <c r="AH142" s="6" t="s">
        <v>58</v>
      </c>
      <c r="AI142" s="6"/>
      <c r="AJ142" s="11" t="s">
        <v>77</v>
      </c>
    </row>
    <row r="143" spans="1:36" ht="15.75" customHeight="1" x14ac:dyDescent="0.25">
      <c r="A143" s="7">
        <v>43418.566444988421</v>
      </c>
      <c r="B143" s="6" t="s">
        <v>30</v>
      </c>
      <c r="C143" s="6" t="s">
        <v>45</v>
      </c>
      <c r="D143" s="6" t="s">
        <v>46</v>
      </c>
      <c r="E143" s="6" t="s">
        <v>81</v>
      </c>
      <c r="G143" s="6" t="s">
        <v>87</v>
      </c>
      <c r="J143" s="6" t="s">
        <v>64</v>
      </c>
      <c r="K143" s="6"/>
      <c r="N143" s="6" t="s">
        <v>93</v>
      </c>
      <c r="O143" s="6"/>
      <c r="P143" s="6" t="s">
        <v>94</v>
      </c>
      <c r="Q143" s="6"/>
      <c r="R143" s="47" t="s">
        <v>242</v>
      </c>
      <c r="AA143" s="6"/>
      <c r="AB143" s="6" t="s">
        <v>101</v>
      </c>
      <c r="AC143" s="6"/>
      <c r="AD143" s="6" t="s">
        <v>56</v>
      </c>
      <c r="AE143" s="6"/>
      <c r="AF143" s="6" t="s">
        <v>161</v>
      </c>
      <c r="AG143" s="6"/>
      <c r="AH143" s="6" t="s">
        <v>76</v>
      </c>
      <c r="AI143" s="6"/>
      <c r="AJ143" s="11" t="s">
        <v>77</v>
      </c>
    </row>
    <row r="144" spans="1:36" ht="15.75" customHeight="1" x14ac:dyDescent="0.25">
      <c r="A144" s="7">
        <v>43418.566648217587</v>
      </c>
      <c r="B144" s="6" t="s">
        <v>127</v>
      </c>
      <c r="C144" s="6" t="s">
        <v>656</v>
      </c>
      <c r="D144" s="6" t="s">
        <v>163</v>
      </c>
      <c r="E144" s="6" t="s">
        <v>48</v>
      </c>
      <c r="F144" s="6" t="s">
        <v>657</v>
      </c>
      <c r="G144" s="6" t="s">
        <v>48</v>
      </c>
      <c r="H144" s="6" t="s">
        <v>658</v>
      </c>
      <c r="I144" s="6"/>
      <c r="J144" s="6" t="s">
        <v>106</v>
      </c>
      <c r="K144" s="6"/>
      <c r="L144" s="6" t="s">
        <v>659</v>
      </c>
      <c r="M144" s="6"/>
      <c r="N144" s="6" t="s">
        <v>181</v>
      </c>
      <c r="O144" s="6"/>
      <c r="P144" s="6" t="s">
        <v>94</v>
      </c>
      <c r="Q144" s="6"/>
      <c r="R144" s="47" t="s">
        <v>182</v>
      </c>
      <c r="S144" s="14" t="s">
        <v>4583</v>
      </c>
      <c r="T144" s="14" t="s">
        <v>4584</v>
      </c>
      <c r="U144" s="14" t="s">
        <v>4415</v>
      </c>
      <c r="AA144" s="6"/>
      <c r="AB144" s="6" t="s">
        <v>55</v>
      </c>
      <c r="AC144" s="6"/>
      <c r="AD144" s="6" t="s">
        <v>56</v>
      </c>
      <c r="AE144" s="6"/>
      <c r="AF144" s="6" t="s">
        <v>75</v>
      </c>
      <c r="AG144" s="6"/>
      <c r="AH144" s="6" t="s">
        <v>76</v>
      </c>
      <c r="AI144" s="6"/>
      <c r="AJ144" s="11" t="s">
        <v>77</v>
      </c>
    </row>
    <row r="145" spans="1:36" ht="15.75" customHeight="1" x14ac:dyDescent="0.25">
      <c r="A145" s="7">
        <v>43418.567842083328</v>
      </c>
      <c r="B145" s="6" t="s">
        <v>30</v>
      </c>
      <c r="C145" s="6" t="s">
        <v>419</v>
      </c>
      <c r="D145" s="6" t="s">
        <v>163</v>
      </c>
      <c r="E145" s="6" t="s">
        <v>81</v>
      </c>
      <c r="G145" s="6" t="s">
        <v>87</v>
      </c>
      <c r="H145" s="6" t="s">
        <v>661</v>
      </c>
      <c r="I145" s="6"/>
      <c r="J145" s="6" t="s">
        <v>89</v>
      </c>
      <c r="K145" s="6"/>
      <c r="L145" s="6" t="s">
        <v>662</v>
      </c>
      <c r="M145" s="6"/>
      <c r="N145" s="6" t="s">
        <v>98</v>
      </c>
      <c r="O145" s="6"/>
      <c r="P145" s="6" t="s">
        <v>131</v>
      </c>
      <c r="Q145" s="6"/>
      <c r="AA145" s="6"/>
      <c r="AB145" s="6" t="s">
        <v>67</v>
      </c>
      <c r="AC145" s="6"/>
      <c r="AD145" s="6" t="s">
        <v>56</v>
      </c>
      <c r="AE145" s="6"/>
      <c r="AF145" s="6" t="s">
        <v>68</v>
      </c>
      <c r="AG145" s="6"/>
      <c r="AH145" s="6" t="s">
        <v>126</v>
      </c>
      <c r="AI145" s="6"/>
      <c r="AJ145" s="11" t="s">
        <v>77</v>
      </c>
    </row>
    <row r="146" spans="1:36" ht="15.75" customHeight="1" x14ac:dyDescent="0.25">
      <c r="A146" s="7">
        <v>43418.568279467596</v>
      </c>
      <c r="B146" s="6" t="s">
        <v>127</v>
      </c>
      <c r="C146" s="6" t="s">
        <v>663</v>
      </c>
      <c r="D146" s="6" t="s">
        <v>163</v>
      </c>
      <c r="E146" s="6" t="s">
        <v>48</v>
      </c>
      <c r="F146" s="6" t="s">
        <v>664</v>
      </c>
      <c r="G146" s="6" t="s">
        <v>81</v>
      </c>
      <c r="J146" s="6" t="s">
        <v>106</v>
      </c>
      <c r="K146" s="6"/>
      <c r="N146" s="6" t="s">
        <v>181</v>
      </c>
      <c r="O146" s="6"/>
      <c r="P146" s="6" t="s">
        <v>131</v>
      </c>
      <c r="Q146" s="6"/>
      <c r="AA146" s="6"/>
      <c r="AB146" s="6" t="s">
        <v>101</v>
      </c>
      <c r="AC146" s="6"/>
      <c r="AD146" s="6" t="s">
        <v>56</v>
      </c>
      <c r="AE146" s="6"/>
      <c r="AF146" s="6" t="s">
        <v>75</v>
      </c>
      <c r="AG146" s="6"/>
      <c r="AH146" s="6" t="s">
        <v>126</v>
      </c>
      <c r="AJ146" s="6" t="s">
        <v>57</v>
      </c>
    </row>
    <row r="147" spans="1:36" ht="15.75" customHeight="1" x14ac:dyDescent="0.25">
      <c r="A147" s="7">
        <v>43418.569455069446</v>
      </c>
      <c r="B147" s="6" t="s">
        <v>154</v>
      </c>
      <c r="C147" s="6" t="s">
        <v>128</v>
      </c>
      <c r="D147" s="6" t="s">
        <v>163</v>
      </c>
      <c r="E147" s="6" t="s">
        <v>81</v>
      </c>
      <c r="G147" s="6" t="s">
        <v>87</v>
      </c>
      <c r="J147" s="6" t="s">
        <v>73</v>
      </c>
      <c r="K147" s="6"/>
      <c r="N147" s="6" t="s">
        <v>112</v>
      </c>
      <c r="O147" s="6"/>
      <c r="P147" s="6" t="s">
        <v>131</v>
      </c>
      <c r="Q147" s="6"/>
      <c r="AA147" s="6"/>
      <c r="AB147" s="6" t="s">
        <v>67</v>
      </c>
      <c r="AC147" s="6"/>
      <c r="AD147" s="6" t="s">
        <v>57</v>
      </c>
      <c r="AE147" s="6"/>
      <c r="AF147" s="6" t="s">
        <v>57</v>
      </c>
      <c r="AG147" s="6"/>
      <c r="AH147" s="6" t="s">
        <v>57</v>
      </c>
      <c r="AI147" s="6"/>
      <c r="AJ147" s="6" t="s">
        <v>132</v>
      </c>
    </row>
    <row r="148" spans="1:36" ht="15.75" customHeight="1" x14ac:dyDescent="0.25">
      <c r="A148" s="7">
        <v>43418.570339837963</v>
      </c>
      <c r="B148" s="6" t="s">
        <v>60</v>
      </c>
      <c r="C148" s="6" t="s">
        <v>215</v>
      </c>
      <c r="D148" s="6" t="s">
        <v>163</v>
      </c>
      <c r="E148" s="6" t="s">
        <v>48</v>
      </c>
      <c r="F148" s="6" t="s">
        <v>665</v>
      </c>
      <c r="G148" s="6" t="s">
        <v>48</v>
      </c>
      <c r="H148" s="6" t="s">
        <v>666</v>
      </c>
      <c r="I148" s="6"/>
      <c r="J148" s="6" t="s">
        <v>92</v>
      </c>
      <c r="K148" s="6"/>
      <c r="L148" s="6" t="s">
        <v>667</v>
      </c>
      <c r="M148" s="6"/>
      <c r="N148" s="6" t="s">
        <v>112</v>
      </c>
      <c r="O148" s="6"/>
      <c r="P148" s="6" t="s">
        <v>131</v>
      </c>
      <c r="Q148" s="6"/>
      <c r="R148" s="47" t="s">
        <v>242</v>
      </c>
      <c r="S148" s="14" t="s">
        <v>4585</v>
      </c>
      <c r="T148" s="14" t="s">
        <v>4586</v>
      </c>
      <c r="U148" s="14" t="s">
        <v>4587</v>
      </c>
      <c r="V148" s="14" t="s">
        <v>4421</v>
      </c>
      <c r="AA148" s="6"/>
      <c r="AB148" s="6" t="s">
        <v>55</v>
      </c>
      <c r="AC148" s="6"/>
      <c r="AD148" s="6" t="s">
        <v>56</v>
      </c>
      <c r="AE148" s="6"/>
      <c r="AF148" s="6" t="s">
        <v>68</v>
      </c>
      <c r="AG148" s="6"/>
      <c r="AH148" s="6" t="s">
        <v>126</v>
      </c>
      <c r="AI148" s="6"/>
      <c r="AJ148" s="6" t="s">
        <v>286</v>
      </c>
    </row>
    <row r="149" spans="1:36" ht="15.75" customHeight="1" x14ac:dyDescent="0.25">
      <c r="A149" s="7">
        <v>43418.571932685183</v>
      </c>
      <c r="B149" s="6" t="s">
        <v>103</v>
      </c>
      <c r="C149" s="6" t="s">
        <v>215</v>
      </c>
      <c r="D149" s="6" t="s">
        <v>163</v>
      </c>
      <c r="E149" s="6" t="s">
        <v>81</v>
      </c>
      <c r="G149" s="6" t="s">
        <v>87</v>
      </c>
      <c r="H149" s="6" t="s">
        <v>669</v>
      </c>
      <c r="I149" s="6"/>
      <c r="J149" s="6" t="s">
        <v>50</v>
      </c>
      <c r="K149" s="6"/>
      <c r="L149" s="6" t="s">
        <v>670</v>
      </c>
      <c r="M149" s="6"/>
      <c r="N149" s="6" t="s">
        <v>51</v>
      </c>
      <c r="O149" s="6"/>
      <c r="P149" s="6" t="s">
        <v>131</v>
      </c>
      <c r="Q149" s="6"/>
      <c r="R149" s="47" t="s">
        <v>3301</v>
      </c>
      <c r="S149" s="14" t="s">
        <v>4588</v>
      </c>
      <c r="T149" s="14" t="s">
        <v>4589</v>
      </c>
      <c r="U149" s="14" t="s">
        <v>4590</v>
      </c>
      <c r="AA149" s="6"/>
      <c r="AB149" s="6" t="s">
        <v>101</v>
      </c>
      <c r="AC149" s="6"/>
      <c r="AD149" s="6" t="s">
        <v>56</v>
      </c>
      <c r="AE149" s="6"/>
      <c r="AF149" s="6" t="s">
        <v>75</v>
      </c>
      <c r="AG149" s="6"/>
      <c r="AH149" s="6" t="s">
        <v>76</v>
      </c>
      <c r="AI149" s="6"/>
      <c r="AJ149" s="6" t="s">
        <v>233</v>
      </c>
    </row>
    <row r="150" spans="1:36" ht="15.75" customHeight="1" x14ac:dyDescent="0.25">
      <c r="A150" s="7">
        <v>43418.57219471065</v>
      </c>
      <c r="B150" s="6" t="s">
        <v>30</v>
      </c>
      <c r="C150" s="6" t="s">
        <v>116</v>
      </c>
      <c r="D150" s="6" t="s">
        <v>46</v>
      </c>
      <c r="E150" s="6" t="s">
        <v>81</v>
      </c>
      <c r="G150" s="6" t="s">
        <v>87</v>
      </c>
      <c r="J150" s="6" t="s">
        <v>92</v>
      </c>
      <c r="K150" s="6"/>
      <c r="N150" s="6" t="s">
        <v>93</v>
      </c>
      <c r="O150" s="6"/>
      <c r="P150" s="6" t="s">
        <v>168</v>
      </c>
      <c r="Q150" s="6"/>
      <c r="R150" s="47" t="s">
        <v>4591</v>
      </c>
      <c r="S150" s="14" t="s">
        <v>4592</v>
      </c>
      <c r="T150" s="14" t="s">
        <v>4593</v>
      </c>
      <c r="AA150" s="6"/>
      <c r="AB150" s="6" t="s">
        <v>67</v>
      </c>
      <c r="AC150" s="6"/>
      <c r="AD150" s="6" t="s">
        <v>56</v>
      </c>
      <c r="AE150" s="6"/>
      <c r="AF150" s="6" t="s">
        <v>161</v>
      </c>
      <c r="AG150" s="6"/>
      <c r="AH150" s="6" t="s">
        <v>76</v>
      </c>
      <c r="AI150" s="6"/>
      <c r="AJ150" s="6" t="s">
        <v>260</v>
      </c>
    </row>
    <row r="151" spans="1:36" ht="15.75" customHeight="1" x14ac:dyDescent="0.25">
      <c r="A151" s="7">
        <v>43418.572837083339</v>
      </c>
      <c r="B151" s="6" t="s">
        <v>60</v>
      </c>
      <c r="C151" s="6" t="s">
        <v>673</v>
      </c>
      <c r="D151" s="6" t="s">
        <v>163</v>
      </c>
      <c r="E151" s="6" t="s">
        <v>81</v>
      </c>
      <c r="G151" s="6" t="s">
        <v>87</v>
      </c>
      <c r="J151" s="6" t="s">
        <v>50</v>
      </c>
      <c r="K151" s="6"/>
      <c r="L151" s="6" t="s">
        <v>674</v>
      </c>
      <c r="M151" s="6"/>
      <c r="N151" s="6" t="s">
        <v>212</v>
      </c>
      <c r="O151" s="6"/>
      <c r="P151" s="6" t="s">
        <v>131</v>
      </c>
      <c r="Q151" s="6"/>
      <c r="R151" s="47" t="s">
        <v>192</v>
      </c>
      <c r="S151" s="14" t="s">
        <v>4594</v>
      </c>
      <c r="T151" s="14" t="s">
        <v>4514</v>
      </c>
      <c r="U151" s="14" t="s">
        <v>4595</v>
      </c>
      <c r="AA151" s="6"/>
      <c r="AB151" s="6" t="s">
        <v>67</v>
      </c>
      <c r="AC151" s="6"/>
      <c r="AD151" s="6" t="s">
        <v>56</v>
      </c>
      <c r="AE151" s="6"/>
      <c r="AF151" s="6" t="s">
        <v>75</v>
      </c>
      <c r="AG151" s="6"/>
      <c r="AH151" s="6" t="s">
        <v>76</v>
      </c>
      <c r="AI151" s="6"/>
      <c r="AJ151" s="6" t="s">
        <v>132</v>
      </c>
    </row>
    <row r="152" spans="1:36" ht="15.75" customHeight="1" x14ac:dyDescent="0.25">
      <c r="A152" s="7">
        <v>43418.573066736106</v>
      </c>
      <c r="B152" s="6" t="s">
        <v>30</v>
      </c>
      <c r="C152" s="6" t="s">
        <v>95</v>
      </c>
      <c r="D152" s="6" t="s">
        <v>91</v>
      </c>
      <c r="E152" s="6" t="s">
        <v>81</v>
      </c>
      <c r="G152" s="6" t="s">
        <v>87</v>
      </c>
      <c r="H152" s="6" t="s">
        <v>676</v>
      </c>
      <c r="I152" s="6"/>
      <c r="J152" s="6" t="s">
        <v>73</v>
      </c>
      <c r="K152" s="6"/>
      <c r="L152" s="6" t="s">
        <v>677</v>
      </c>
      <c r="M152" s="6"/>
      <c r="N152" s="6" t="s">
        <v>181</v>
      </c>
      <c r="O152" s="6"/>
      <c r="P152" s="6" t="s">
        <v>131</v>
      </c>
      <c r="Q152" s="6"/>
      <c r="R152" s="47" t="s">
        <v>678</v>
      </c>
      <c r="AA152" s="6"/>
      <c r="AC152" s="6"/>
      <c r="AD152" s="6" t="s">
        <v>56</v>
      </c>
      <c r="AE152" s="6"/>
      <c r="AF152" s="6" t="s">
        <v>161</v>
      </c>
      <c r="AG152" s="6"/>
      <c r="AH152" s="6" t="s">
        <v>76</v>
      </c>
      <c r="AI152" s="6"/>
      <c r="AJ152" s="6" t="s">
        <v>132</v>
      </c>
    </row>
    <row r="153" spans="1:36" ht="15.75" customHeight="1" x14ac:dyDescent="0.25">
      <c r="A153" s="7">
        <v>43418.573159548614</v>
      </c>
      <c r="B153" s="6" t="s">
        <v>30</v>
      </c>
      <c r="C153" s="6" t="s">
        <v>95</v>
      </c>
      <c r="D153" s="6" t="s">
        <v>46</v>
      </c>
      <c r="E153" s="6" t="s">
        <v>81</v>
      </c>
      <c r="G153" s="6" t="s">
        <v>87</v>
      </c>
      <c r="H153" s="6" t="s">
        <v>679</v>
      </c>
      <c r="I153" s="6"/>
      <c r="J153" s="6" t="s">
        <v>89</v>
      </c>
      <c r="K153" s="6"/>
      <c r="L153" s="6" t="s">
        <v>680</v>
      </c>
      <c r="M153" s="6"/>
      <c r="N153" s="6" t="s">
        <v>98</v>
      </c>
      <c r="O153" s="6"/>
      <c r="P153" s="6" t="s">
        <v>94</v>
      </c>
      <c r="Q153" s="6"/>
      <c r="R153" s="47" t="s">
        <v>2905</v>
      </c>
      <c r="S153" s="14" t="s">
        <v>4596</v>
      </c>
      <c r="T153" s="14" t="s">
        <v>4597</v>
      </c>
      <c r="U153" s="14" t="s">
        <v>4579</v>
      </c>
      <c r="V153" s="14" t="s">
        <v>4598</v>
      </c>
      <c r="AA153" s="6"/>
      <c r="AB153" s="6" t="s">
        <v>67</v>
      </c>
      <c r="AC153" s="6"/>
      <c r="AD153" s="6" t="s">
        <v>56</v>
      </c>
      <c r="AE153" s="6"/>
      <c r="AF153" s="6" t="s">
        <v>75</v>
      </c>
      <c r="AG153" s="6"/>
      <c r="AH153" s="6" t="s">
        <v>58</v>
      </c>
      <c r="AI153" s="6"/>
      <c r="AJ153" s="11" t="s">
        <v>174</v>
      </c>
    </row>
    <row r="154" spans="1:36" ht="15.75" customHeight="1" x14ac:dyDescent="0.25">
      <c r="A154" s="7">
        <v>43418.573960451387</v>
      </c>
      <c r="B154" s="6" t="s">
        <v>682</v>
      </c>
      <c r="C154" s="6" t="s">
        <v>45</v>
      </c>
      <c r="D154" s="6" t="s">
        <v>129</v>
      </c>
      <c r="E154" s="6" t="s">
        <v>81</v>
      </c>
      <c r="G154" s="6" t="s">
        <v>87</v>
      </c>
      <c r="H154" s="6" t="s">
        <v>683</v>
      </c>
      <c r="I154" s="6"/>
      <c r="J154" s="6" t="s">
        <v>158</v>
      </c>
      <c r="K154" s="6"/>
      <c r="L154" s="6" t="s">
        <v>684</v>
      </c>
      <c r="M154" s="6"/>
      <c r="N154" s="6" t="s">
        <v>51</v>
      </c>
      <c r="O154" s="6"/>
      <c r="P154" s="6" t="s">
        <v>65</v>
      </c>
      <c r="Q154" s="6"/>
      <c r="R154" s="47" t="s">
        <v>1173</v>
      </c>
      <c r="S154" s="14" t="s">
        <v>4389</v>
      </c>
      <c r="T154" s="14" t="s">
        <v>4599</v>
      </c>
      <c r="AA154" s="6"/>
      <c r="AB154" s="6" t="s">
        <v>55</v>
      </c>
      <c r="AC154" s="6"/>
      <c r="AD154" s="6" t="s">
        <v>56</v>
      </c>
      <c r="AE154" s="6"/>
      <c r="AF154" s="6" t="s">
        <v>68</v>
      </c>
      <c r="AG154" s="6"/>
      <c r="AH154" s="6" t="s">
        <v>126</v>
      </c>
      <c r="AI154" s="6"/>
      <c r="AJ154" s="11" t="s">
        <v>77</v>
      </c>
    </row>
    <row r="155" spans="1:36" ht="15.75" customHeight="1" x14ac:dyDescent="0.25">
      <c r="A155" s="7">
        <v>43418.573978946763</v>
      </c>
      <c r="B155" s="6" t="s">
        <v>30</v>
      </c>
      <c r="C155" s="6" t="s">
        <v>686</v>
      </c>
      <c r="E155" s="6" t="s">
        <v>81</v>
      </c>
      <c r="G155" s="6" t="s">
        <v>87</v>
      </c>
      <c r="H155" s="6" t="s">
        <v>687</v>
      </c>
      <c r="I155" s="6"/>
      <c r="J155" s="6" t="s">
        <v>89</v>
      </c>
      <c r="K155" s="6"/>
      <c r="L155" s="6" t="s">
        <v>688</v>
      </c>
      <c r="M155" s="6"/>
      <c r="N155" s="6" t="s">
        <v>98</v>
      </c>
      <c r="O155" s="6"/>
      <c r="P155" s="6" t="s">
        <v>131</v>
      </c>
      <c r="Q155" s="6"/>
      <c r="R155" s="47" t="s">
        <v>242</v>
      </c>
      <c r="S155" s="14" t="s">
        <v>4600</v>
      </c>
      <c r="T155" s="14" t="s">
        <v>4601</v>
      </c>
      <c r="U155" s="14" t="s">
        <v>4438</v>
      </c>
      <c r="V155" s="14" t="s">
        <v>4602</v>
      </c>
      <c r="W155" s="14" t="s">
        <v>4603</v>
      </c>
      <c r="X155" s="14" t="s">
        <v>4604</v>
      </c>
      <c r="Y155" s="14" t="s">
        <v>4605</v>
      </c>
      <c r="Z155" s="14" t="s">
        <v>4606</v>
      </c>
      <c r="AA155" s="6"/>
      <c r="AB155" s="6" t="s">
        <v>67</v>
      </c>
      <c r="AC155" s="6"/>
      <c r="AD155" s="6" t="s">
        <v>56</v>
      </c>
      <c r="AE155" s="6"/>
      <c r="AF155" s="6" t="s">
        <v>75</v>
      </c>
      <c r="AG155" s="6"/>
      <c r="AH155" s="6" t="s">
        <v>76</v>
      </c>
      <c r="AI155" s="6"/>
      <c r="AJ155" s="6" t="s">
        <v>59</v>
      </c>
    </row>
    <row r="156" spans="1:36" ht="15.75" customHeight="1" x14ac:dyDescent="0.25">
      <c r="A156" s="7">
        <v>43418.574153923611</v>
      </c>
      <c r="B156" s="6" t="s">
        <v>39</v>
      </c>
      <c r="C156" s="6" t="s">
        <v>477</v>
      </c>
      <c r="D156" s="6" t="s">
        <v>190</v>
      </c>
      <c r="E156" s="6" t="s">
        <v>81</v>
      </c>
      <c r="G156" s="6" t="s">
        <v>87</v>
      </c>
      <c r="H156" s="6" t="s">
        <v>690</v>
      </c>
      <c r="I156" s="6"/>
      <c r="J156" s="6" t="s">
        <v>158</v>
      </c>
      <c r="K156" s="6"/>
      <c r="L156" s="6" t="s">
        <v>691</v>
      </c>
      <c r="M156" s="6"/>
      <c r="N156" s="6" t="s">
        <v>212</v>
      </c>
      <c r="O156" s="6"/>
      <c r="P156" s="6" t="s">
        <v>99</v>
      </c>
      <c r="Q156" s="6"/>
      <c r="R156" s="47" t="s">
        <v>201</v>
      </c>
      <c r="S156" s="14" t="s">
        <v>4608</v>
      </c>
      <c r="T156" s="14" t="s">
        <v>4573</v>
      </c>
      <c r="AA156" s="6"/>
      <c r="AB156" s="6" t="s">
        <v>101</v>
      </c>
      <c r="AC156" s="6"/>
      <c r="AD156" s="6" t="s">
        <v>56</v>
      </c>
      <c r="AE156" s="6"/>
      <c r="AF156" s="6" t="s">
        <v>75</v>
      </c>
      <c r="AG156" s="6"/>
      <c r="AH156" s="6" t="s">
        <v>76</v>
      </c>
      <c r="AI156" s="6"/>
      <c r="AJ156" s="6" t="s">
        <v>259</v>
      </c>
    </row>
    <row r="157" spans="1:36" ht="15.75" customHeight="1" x14ac:dyDescent="0.25">
      <c r="A157" s="7">
        <v>43418.575844942126</v>
      </c>
      <c r="B157" s="6" t="s">
        <v>30</v>
      </c>
      <c r="C157" s="6" t="s">
        <v>90</v>
      </c>
      <c r="D157" s="6" t="s">
        <v>46</v>
      </c>
      <c r="E157" s="6" t="s">
        <v>48</v>
      </c>
      <c r="F157" s="6" t="s">
        <v>693</v>
      </c>
      <c r="G157" s="6" t="s">
        <v>81</v>
      </c>
      <c r="H157" s="6" t="s">
        <v>694</v>
      </c>
      <c r="I157" s="6"/>
      <c r="J157" s="6" t="s">
        <v>106</v>
      </c>
      <c r="K157" s="6"/>
      <c r="L157" s="6" t="s">
        <v>695</v>
      </c>
      <c r="M157" s="6"/>
      <c r="N157" s="6" t="s">
        <v>98</v>
      </c>
      <c r="O157" s="6"/>
      <c r="P157" s="6" t="s">
        <v>94</v>
      </c>
      <c r="Q157" s="6"/>
      <c r="AA157" s="6"/>
      <c r="AB157" s="6" t="s">
        <v>55</v>
      </c>
      <c r="AC157" s="6"/>
      <c r="AD157" s="6" t="s">
        <v>109</v>
      </c>
      <c r="AE157" s="6"/>
      <c r="AF157" s="6" t="s">
        <v>205</v>
      </c>
      <c r="AG157" s="6"/>
      <c r="AH157" s="6" t="s">
        <v>76</v>
      </c>
      <c r="AI157" s="6"/>
      <c r="AJ157" s="11" t="s">
        <v>77</v>
      </c>
    </row>
    <row r="158" spans="1:36" ht="15.75" customHeight="1" x14ac:dyDescent="0.25">
      <c r="A158" s="7">
        <v>43418.576615937505</v>
      </c>
      <c r="B158" s="6" t="s">
        <v>60</v>
      </c>
      <c r="C158" s="6" t="s">
        <v>696</v>
      </c>
      <c r="D158" s="6" t="s">
        <v>133</v>
      </c>
      <c r="E158" s="6" t="s">
        <v>81</v>
      </c>
      <c r="G158" s="6" t="s">
        <v>87</v>
      </c>
      <c r="H158" s="6" t="s">
        <v>697</v>
      </c>
      <c r="I158" s="6"/>
      <c r="J158" s="6" t="s">
        <v>106</v>
      </c>
      <c r="K158" s="6"/>
      <c r="L158" s="6" t="s">
        <v>698</v>
      </c>
      <c r="M158" s="6"/>
      <c r="N158" s="6" t="s">
        <v>98</v>
      </c>
      <c r="O158" s="6"/>
      <c r="P158" s="6" t="s">
        <v>99</v>
      </c>
      <c r="Q158" s="6"/>
      <c r="R158" s="47" t="s">
        <v>699</v>
      </c>
      <c r="AA158" s="6"/>
      <c r="AB158" s="6" t="s">
        <v>101</v>
      </c>
      <c r="AC158" s="6"/>
      <c r="AD158" s="6" t="s">
        <v>56</v>
      </c>
      <c r="AE158" s="6"/>
      <c r="AF158" s="6" t="s">
        <v>161</v>
      </c>
      <c r="AG158" s="6"/>
      <c r="AH158" s="6" t="s">
        <v>76</v>
      </c>
      <c r="AI158" s="6"/>
      <c r="AJ158" s="11" t="s">
        <v>353</v>
      </c>
    </row>
    <row r="159" spans="1:36" ht="15.75" customHeight="1" x14ac:dyDescent="0.25">
      <c r="A159" s="7">
        <v>43418.576806064812</v>
      </c>
      <c r="B159" s="6" t="s">
        <v>127</v>
      </c>
      <c r="C159" s="6" t="s">
        <v>306</v>
      </c>
      <c r="D159" s="6" t="s">
        <v>138</v>
      </c>
      <c r="E159" s="6" t="s">
        <v>48</v>
      </c>
      <c r="F159" s="6" t="s">
        <v>700</v>
      </c>
      <c r="G159" s="6" t="s">
        <v>48</v>
      </c>
      <c r="H159" s="6" t="s">
        <v>701</v>
      </c>
      <c r="I159" s="6"/>
      <c r="J159" s="6" t="s">
        <v>64</v>
      </c>
      <c r="K159" s="6"/>
      <c r="L159" s="6" t="s">
        <v>702</v>
      </c>
      <c r="M159" s="6"/>
      <c r="N159" s="6" t="s">
        <v>112</v>
      </c>
      <c r="O159" s="6"/>
      <c r="P159" s="6" t="s">
        <v>52</v>
      </c>
      <c r="Q159" s="6"/>
      <c r="R159" s="47" t="s">
        <v>4609</v>
      </c>
      <c r="S159" s="14" t="s">
        <v>4476</v>
      </c>
      <c r="T159" s="14" t="s">
        <v>4610</v>
      </c>
      <c r="U159" s="14" t="s">
        <v>4611</v>
      </c>
      <c r="V159" s="14" t="s">
        <v>4612</v>
      </c>
      <c r="W159" s="14" t="s">
        <v>4613</v>
      </c>
      <c r="X159" s="14" t="s">
        <v>4614</v>
      </c>
      <c r="Y159" s="14" t="s">
        <v>4615</v>
      </c>
      <c r="AA159" s="6"/>
      <c r="AB159" s="6" t="s">
        <v>67</v>
      </c>
      <c r="AC159" s="6"/>
      <c r="AD159" s="6" t="s">
        <v>56</v>
      </c>
      <c r="AE159" s="6"/>
      <c r="AF159" s="6" t="s">
        <v>68</v>
      </c>
      <c r="AG159" s="6"/>
      <c r="AH159" s="6" t="s">
        <v>126</v>
      </c>
      <c r="AI159" s="6"/>
      <c r="AJ159" s="6" t="s">
        <v>244</v>
      </c>
    </row>
    <row r="160" spans="1:36" ht="15.75" customHeight="1" x14ac:dyDescent="0.25">
      <c r="A160" s="7">
        <v>43418.577797152779</v>
      </c>
      <c r="B160" s="6" t="s">
        <v>30</v>
      </c>
      <c r="C160" s="6" t="s">
        <v>45</v>
      </c>
      <c r="D160" s="6" t="s">
        <v>165</v>
      </c>
      <c r="E160" s="6" t="s">
        <v>81</v>
      </c>
      <c r="G160" s="6" t="s">
        <v>87</v>
      </c>
      <c r="J160" s="6" t="s">
        <v>92</v>
      </c>
      <c r="K160" s="6"/>
      <c r="L160" s="6" t="s">
        <v>704</v>
      </c>
      <c r="M160" s="6"/>
      <c r="N160" s="6" t="s">
        <v>98</v>
      </c>
      <c r="O160" s="6"/>
      <c r="P160" s="6" t="s">
        <v>131</v>
      </c>
      <c r="Q160" s="6"/>
      <c r="AA160" s="6"/>
      <c r="AB160" s="6" t="s">
        <v>67</v>
      </c>
      <c r="AC160" s="6"/>
      <c r="AD160" s="6" t="s">
        <v>57</v>
      </c>
      <c r="AE160" s="6"/>
      <c r="AF160" s="6" t="s">
        <v>75</v>
      </c>
      <c r="AG160" s="6"/>
      <c r="AH160" s="6" t="s">
        <v>58</v>
      </c>
      <c r="AI160" s="6"/>
      <c r="AJ160" s="6" t="s">
        <v>187</v>
      </c>
    </row>
    <row r="161" spans="1:36" ht="15.75" customHeight="1" x14ac:dyDescent="0.25">
      <c r="A161" s="7">
        <v>43418.578207407409</v>
      </c>
      <c r="B161" s="6" t="s">
        <v>27</v>
      </c>
      <c r="C161" s="6" t="s">
        <v>705</v>
      </c>
      <c r="D161" s="6" t="s">
        <v>165</v>
      </c>
      <c r="E161" s="6" t="s">
        <v>81</v>
      </c>
      <c r="G161" s="6" t="s">
        <v>87</v>
      </c>
      <c r="H161" s="6" t="s">
        <v>706</v>
      </c>
      <c r="I161" s="6"/>
      <c r="J161" s="6" t="s">
        <v>50</v>
      </c>
      <c r="K161" s="6"/>
      <c r="L161" s="6" t="s">
        <v>707</v>
      </c>
      <c r="M161" s="6"/>
      <c r="N161" s="6" t="s">
        <v>51</v>
      </c>
      <c r="O161" s="6"/>
      <c r="P161" s="6" t="s">
        <v>65</v>
      </c>
      <c r="Q161" s="6"/>
      <c r="R161" s="47" t="s">
        <v>708</v>
      </c>
      <c r="AA161" s="6"/>
      <c r="AB161" s="6" t="s">
        <v>67</v>
      </c>
      <c r="AC161" s="6"/>
      <c r="AD161" s="6" t="s">
        <v>56</v>
      </c>
      <c r="AE161" s="6"/>
      <c r="AF161" s="6" t="s">
        <v>68</v>
      </c>
      <c r="AG161" s="6"/>
      <c r="AH161" s="6" t="s">
        <v>58</v>
      </c>
      <c r="AI161" s="6"/>
      <c r="AJ161" s="6" t="s">
        <v>162</v>
      </c>
    </row>
    <row r="162" spans="1:36" ht="15.75" customHeight="1" x14ac:dyDescent="0.25">
      <c r="A162" s="7">
        <v>43418.578571307866</v>
      </c>
      <c r="B162" s="6" t="s">
        <v>60</v>
      </c>
      <c r="C162" s="6" t="s">
        <v>709</v>
      </c>
      <c r="D162" s="6" t="s">
        <v>46</v>
      </c>
      <c r="E162" s="6" t="s">
        <v>48</v>
      </c>
      <c r="F162" s="6" t="s">
        <v>710</v>
      </c>
      <c r="G162" s="6" t="s">
        <v>48</v>
      </c>
      <c r="H162" s="6" t="s">
        <v>711</v>
      </c>
      <c r="I162" s="6"/>
      <c r="J162" s="6" t="s">
        <v>158</v>
      </c>
      <c r="K162" s="6"/>
      <c r="L162" s="6" t="s">
        <v>712</v>
      </c>
      <c r="M162" s="6"/>
      <c r="N162" s="6" t="s">
        <v>212</v>
      </c>
      <c r="O162" s="6"/>
      <c r="P162" s="6" t="s">
        <v>131</v>
      </c>
      <c r="Q162" s="6"/>
      <c r="R162" s="47" t="s">
        <v>713</v>
      </c>
      <c r="AA162" s="6"/>
      <c r="AB162" s="6" t="s">
        <v>67</v>
      </c>
      <c r="AC162" s="6"/>
      <c r="AD162" s="6" t="s">
        <v>56</v>
      </c>
      <c r="AE162" s="6"/>
      <c r="AF162" s="6" t="s">
        <v>75</v>
      </c>
      <c r="AG162" s="6"/>
      <c r="AH162" s="6" t="s">
        <v>126</v>
      </c>
      <c r="AI162" s="6"/>
      <c r="AJ162" s="6" t="s">
        <v>132</v>
      </c>
    </row>
    <row r="163" spans="1:36" ht="15.75" customHeight="1" x14ac:dyDescent="0.25">
      <c r="A163" s="7">
        <v>43418.578887025462</v>
      </c>
      <c r="B163" s="6" t="s">
        <v>60</v>
      </c>
      <c r="C163" s="6" t="s">
        <v>90</v>
      </c>
      <c r="D163" s="6" t="s">
        <v>46</v>
      </c>
      <c r="E163" s="6" t="s">
        <v>81</v>
      </c>
      <c r="G163" s="6" t="s">
        <v>87</v>
      </c>
      <c r="H163" s="6" t="s">
        <v>714</v>
      </c>
      <c r="I163" s="6"/>
      <c r="J163" s="6" t="s">
        <v>73</v>
      </c>
      <c r="K163" s="6"/>
      <c r="L163" s="6" t="s">
        <v>715</v>
      </c>
      <c r="M163" s="6"/>
      <c r="N163" s="6" t="s">
        <v>98</v>
      </c>
      <c r="O163" s="6"/>
      <c r="P163" s="6" t="s">
        <v>131</v>
      </c>
      <c r="Q163" s="6"/>
      <c r="R163" s="47" t="s">
        <v>242</v>
      </c>
      <c r="S163" s="14" t="s">
        <v>4425</v>
      </c>
      <c r="T163" s="14" t="s">
        <v>4438</v>
      </c>
      <c r="AA163" s="6"/>
      <c r="AB163" s="6" t="s">
        <v>67</v>
      </c>
      <c r="AC163" s="6"/>
      <c r="AD163" s="6" t="s">
        <v>56</v>
      </c>
      <c r="AE163" s="6"/>
      <c r="AF163" s="6" t="s">
        <v>75</v>
      </c>
      <c r="AG163" s="6"/>
      <c r="AH163" s="6" t="s">
        <v>76</v>
      </c>
      <c r="AI163" s="6"/>
      <c r="AJ163" s="6" t="s">
        <v>296</v>
      </c>
    </row>
    <row r="164" spans="1:36" ht="15.75" customHeight="1" x14ac:dyDescent="0.25">
      <c r="A164" s="7">
        <v>43418.579183159723</v>
      </c>
      <c r="B164" s="6" t="s">
        <v>127</v>
      </c>
      <c r="C164" s="6" t="s">
        <v>717</v>
      </c>
      <c r="D164" s="6" t="s">
        <v>190</v>
      </c>
      <c r="E164" s="6" t="s">
        <v>81</v>
      </c>
      <c r="G164" s="6" t="s">
        <v>87</v>
      </c>
      <c r="H164" s="6" t="s">
        <v>718</v>
      </c>
      <c r="I164" s="6"/>
      <c r="J164" s="6" t="s">
        <v>73</v>
      </c>
      <c r="K164" s="6"/>
      <c r="L164" s="6" t="s">
        <v>719</v>
      </c>
      <c r="M164" s="6"/>
      <c r="N164" s="6" t="s">
        <v>51</v>
      </c>
      <c r="O164" s="6"/>
      <c r="P164" s="6" t="s">
        <v>65</v>
      </c>
      <c r="Q164" s="6"/>
      <c r="R164" s="47" t="s">
        <v>720</v>
      </c>
      <c r="AA164" s="6"/>
      <c r="AB164" s="6" t="s">
        <v>55</v>
      </c>
      <c r="AC164" s="6"/>
      <c r="AD164" s="6" t="s">
        <v>56</v>
      </c>
      <c r="AE164" s="6"/>
      <c r="AF164" s="6" t="s">
        <v>68</v>
      </c>
      <c r="AG164" s="6"/>
      <c r="AH164" s="6" t="s">
        <v>126</v>
      </c>
      <c r="AI164" s="6"/>
      <c r="AJ164" s="6" t="s">
        <v>132</v>
      </c>
    </row>
    <row r="165" spans="1:36" ht="15.75" customHeight="1" x14ac:dyDescent="0.25">
      <c r="A165" s="7">
        <v>43418.579648298612</v>
      </c>
      <c r="B165" s="6" t="s">
        <v>60</v>
      </c>
      <c r="C165" s="6" t="s">
        <v>721</v>
      </c>
      <c r="D165" s="6" t="s">
        <v>165</v>
      </c>
      <c r="E165" s="6" t="s">
        <v>48</v>
      </c>
      <c r="F165" s="6" t="s">
        <v>722</v>
      </c>
      <c r="G165" s="6" t="s">
        <v>48</v>
      </c>
      <c r="H165" s="6" t="s">
        <v>723</v>
      </c>
      <c r="I165" s="6"/>
      <c r="J165" s="6" t="s">
        <v>50</v>
      </c>
      <c r="K165" s="6"/>
      <c r="L165" s="6" t="s">
        <v>724</v>
      </c>
      <c r="M165" s="6"/>
      <c r="N165" s="6" t="s">
        <v>181</v>
      </c>
      <c r="O165" s="6"/>
      <c r="P165" s="6" t="s">
        <v>131</v>
      </c>
      <c r="Q165" s="6"/>
      <c r="R165" s="47" t="s">
        <v>2513</v>
      </c>
      <c r="S165" s="14" t="s">
        <v>4616</v>
      </c>
      <c r="T165" s="14" t="s">
        <v>4617</v>
      </c>
      <c r="U165" s="14" t="s">
        <v>4618</v>
      </c>
      <c r="V165" s="14" t="s">
        <v>4619</v>
      </c>
      <c r="AA165" s="6"/>
      <c r="AB165" s="6" t="s">
        <v>67</v>
      </c>
      <c r="AC165" s="6"/>
      <c r="AD165" s="6" t="s">
        <v>56</v>
      </c>
      <c r="AE165" s="6"/>
      <c r="AF165" s="6" t="s">
        <v>75</v>
      </c>
      <c r="AG165" s="6"/>
      <c r="AH165" s="6" t="s">
        <v>76</v>
      </c>
      <c r="AI165" s="6"/>
      <c r="AJ165" s="6" t="s">
        <v>132</v>
      </c>
    </row>
    <row r="166" spans="1:36" ht="15.75" customHeight="1" x14ac:dyDescent="0.25">
      <c r="A166" s="7">
        <v>43418.580236099537</v>
      </c>
      <c r="B166" s="6" t="s">
        <v>726</v>
      </c>
      <c r="C166" s="6" t="s">
        <v>349</v>
      </c>
      <c r="D166" s="6" t="s">
        <v>46</v>
      </c>
      <c r="E166" s="6" t="s">
        <v>48</v>
      </c>
      <c r="F166" s="6" t="s">
        <v>727</v>
      </c>
      <c r="G166" s="6" t="s">
        <v>48</v>
      </c>
      <c r="H166" s="6" t="s">
        <v>728</v>
      </c>
      <c r="I166" s="6"/>
      <c r="J166" s="6" t="s">
        <v>50</v>
      </c>
      <c r="K166" s="6"/>
      <c r="L166" s="6" t="s">
        <v>729</v>
      </c>
      <c r="M166" s="6"/>
      <c r="N166" s="6" t="s">
        <v>98</v>
      </c>
      <c r="O166" s="6"/>
      <c r="P166" s="6" t="s">
        <v>131</v>
      </c>
      <c r="Q166" s="6"/>
      <c r="R166" s="47" t="s">
        <v>4620</v>
      </c>
      <c r="S166" s="14" t="s">
        <v>4621</v>
      </c>
      <c r="T166" s="14" t="s">
        <v>4622</v>
      </c>
      <c r="U166" s="14" t="s">
        <v>4623</v>
      </c>
      <c r="V166" s="14" t="s">
        <v>4425</v>
      </c>
      <c r="W166" s="14" t="s">
        <v>4624</v>
      </c>
      <c r="AA166" s="6"/>
      <c r="AB166" s="6" t="s">
        <v>101</v>
      </c>
      <c r="AC166" s="6"/>
      <c r="AD166" s="6" t="s">
        <v>56</v>
      </c>
      <c r="AE166" s="6"/>
      <c r="AF166" s="6" t="s">
        <v>68</v>
      </c>
      <c r="AG166" s="6"/>
      <c r="AH166" s="11" t="s">
        <v>58</v>
      </c>
      <c r="AI166" s="6"/>
      <c r="AJ166" s="11" t="s">
        <v>77</v>
      </c>
    </row>
    <row r="167" spans="1:36" ht="15.75" customHeight="1" x14ac:dyDescent="0.25">
      <c r="A167" s="7">
        <v>43418.58216528935</v>
      </c>
      <c r="B167" s="6" t="s">
        <v>127</v>
      </c>
      <c r="C167" s="6" t="s">
        <v>282</v>
      </c>
      <c r="D167" s="6" t="s">
        <v>510</v>
      </c>
      <c r="E167" s="6" t="s">
        <v>81</v>
      </c>
      <c r="G167" s="6" t="s">
        <v>87</v>
      </c>
      <c r="H167" s="6" t="s">
        <v>731</v>
      </c>
      <c r="I167" s="6"/>
      <c r="J167" s="6" t="s">
        <v>50</v>
      </c>
      <c r="K167" s="6"/>
      <c r="L167" s="6" t="s">
        <v>732</v>
      </c>
      <c r="M167" s="6"/>
      <c r="N167" s="6" t="s">
        <v>112</v>
      </c>
      <c r="O167" s="6"/>
      <c r="P167" s="6" t="s">
        <v>52</v>
      </c>
      <c r="Q167" s="6"/>
      <c r="R167" s="47" t="s">
        <v>4625</v>
      </c>
      <c r="S167" s="14" t="s">
        <v>4626</v>
      </c>
      <c r="AA167" s="6"/>
      <c r="AB167" s="6" t="s">
        <v>101</v>
      </c>
      <c r="AC167" s="6"/>
      <c r="AD167" s="6" t="s">
        <v>56</v>
      </c>
      <c r="AE167" s="6"/>
      <c r="AF167" s="6" t="s">
        <v>68</v>
      </c>
      <c r="AG167" s="6"/>
      <c r="AH167" s="6" t="s">
        <v>126</v>
      </c>
      <c r="AI167" s="6"/>
      <c r="AJ167" s="6" t="s">
        <v>324</v>
      </c>
    </row>
    <row r="168" spans="1:36" ht="15.75" customHeight="1" x14ac:dyDescent="0.25">
      <c r="A168" s="7">
        <v>43418.582264074073</v>
      </c>
      <c r="B168" s="6" t="s">
        <v>60</v>
      </c>
      <c r="C168" s="6" t="s">
        <v>128</v>
      </c>
      <c r="D168" s="6" t="s">
        <v>46</v>
      </c>
      <c r="E168" s="6" t="s">
        <v>48</v>
      </c>
      <c r="F168" s="6" t="s">
        <v>734</v>
      </c>
      <c r="G168" s="6" t="s">
        <v>48</v>
      </c>
      <c r="H168" s="6" t="s">
        <v>735</v>
      </c>
      <c r="I168" s="6"/>
      <c r="J168" s="6" t="s">
        <v>92</v>
      </c>
      <c r="K168" s="6"/>
      <c r="N168" s="6" t="s">
        <v>98</v>
      </c>
      <c r="O168" s="6"/>
      <c r="P168" s="6" t="s">
        <v>94</v>
      </c>
      <c r="Q168" s="6"/>
      <c r="AA168" s="6"/>
      <c r="AB168" s="6" t="s">
        <v>67</v>
      </c>
      <c r="AC168" s="6"/>
      <c r="AD168" s="6" t="s">
        <v>56</v>
      </c>
      <c r="AE168" s="6"/>
      <c r="AF168" s="6" t="s">
        <v>68</v>
      </c>
      <c r="AG168" s="6"/>
      <c r="AH168" s="6" t="s">
        <v>58</v>
      </c>
      <c r="AJ168" s="6" t="s">
        <v>57</v>
      </c>
    </row>
    <row r="169" spans="1:36" ht="15.75" customHeight="1" x14ac:dyDescent="0.25">
      <c r="A169" s="7">
        <v>43418.582434178243</v>
      </c>
      <c r="B169" s="6" t="s">
        <v>127</v>
      </c>
      <c r="C169" s="6" t="s">
        <v>287</v>
      </c>
      <c r="D169" s="6" t="s">
        <v>46</v>
      </c>
      <c r="E169" s="6" t="s">
        <v>81</v>
      </c>
      <c r="G169" s="6" t="s">
        <v>87</v>
      </c>
      <c r="H169" s="6" t="s">
        <v>736</v>
      </c>
      <c r="I169" s="6"/>
      <c r="J169" s="6" t="s">
        <v>92</v>
      </c>
      <c r="K169" s="6"/>
      <c r="L169" s="6" t="s">
        <v>737</v>
      </c>
      <c r="M169" s="6"/>
      <c r="N169" s="6" t="s">
        <v>112</v>
      </c>
      <c r="O169" s="6"/>
      <c r="P169" s="6" t="s">
        <v>131</v>
      </c>
      <c r="Q169" s="6"/>
      <c r="AA169" s="6"/>
      <c r="AB169" s="6" t="s">
        <v>101</v>
      </c>
      <c r="AC169" s="6"/>
      <c r="AD169" s="6" t="s">
        <v>56</v>
      </c>
      <c r="AE169" s="6"/>
      <c r="AF169" s="6" t="s">
        <v>75</v>
      </c>
      <c r="AG169" s="6"/>
      <c r="AH169" s="6" t="s">
        <v>58</v>
      </c>
      <c r="AI169" s="6"/>
      <c r="AJ169" s="6" t="s">
        <v>404</v>
      </c>
    </row>
    <row r="170" spans="1:36" ht="15.75" customHeight="1" x14ac:dyDescent="0.25">
      <c r="A170" s="7">
        <v>43418.58282408565</v>
      </c>
      <c r="B170" s="6" t="s">
        <v>30</v>
      </c>
      <c r="C170" s="6" t="s">
        <v>482</v>
      </c>
      <c r="D170" s="6" t="s">
        <v>165</v>
      </c>
      <c r="E170" s="6" t="s">
        <v>81</v>
      </c>
      <c r="G170" s="6" t="s">
        <v>87</v>
      </c>
      <c r="H170" s="6" t="s">
        <v>738</v>
      </c>
      <c r="I170" s="6"/>
      <c r="J170" s="6" t="s">
        <v>89</v>
      </c>
      <c r="K170" s="6"/>
      <c r="L170" s="6" t="s">
        <v>739</v>
      </c>
      <c r="M170" s="6"/>
      <c r="N170" s="6" t="s">
        <v>98</v>
      </c>
      <c r="O170" s="6"/>
      <c r="P170" s="6" t="s">
        <v>131</v>
      </c>
      <c r="Q170" s="6"/>
      <c r="R170" s="47" t="s">
        <v>4627</v>
      </c>
      <c r="S170" s="14" t="s">
        <v>4628</v>
      </c>
      <c r="T170" s="14" t="s">
        <v>4629</v>
      </c>
      <c r="AA170" s="6"/>
      <c r="AB170" s="6" t="s">
        <v>67</v>
      </c>
      <c r="AC170" s="6"/>
      <c r="AD170" s="6" t="s">
        <v>56</v>
      </c>
      <c r="AE170" s="6"/>
      <c r="AF170" s="6" t="s">
        <v>161</v>
      </c>
      <c r="AG170" s="6"/>
      <c r="AH170" s="6" t="s">
        <v>126</v>
      </c>
      <c r="AI170" s="6"/>
      <c r="AJ170" s="11" t="s">
        <v>174</v>
      </c>
    </row>
    <row r="171" spans="1:36" ht="15.75" customHeight="1" x14ac:dyDescent="0.25">
      <c r="A171" s="7">
        <v>43418.583570717594</v>
      </c>
      <c r="B171" s="6" t="s">
        <v>30</v>
      </c>
      <c r="C171" s="6" t="s">
        <v>215</v>
      </c>
      <c r="D171" s="6" t="s">
        <v>46</v>
      </c>
      <c r="E171" s="6" t="s">
        <v>48</v>
      </c>
      <c r="F171" s="6" t="s">
        <v>741</v>
      </c>
      <c r="G171" s="6" t="s">
        <v>48</v>
      </c>
      <c r="H171" s="6" t="s">
        <v>742</v>
      </c>
      <c r="I171" s="6"/>
      <c r="J171" s="6" t="s">
        <v>106</v>
      </c>
      <c r="K171" s="6"/>
      <c r="L171" s="6" t="s">
        <v>743</v>
      </c>
      <c r="M171" s="6"/>
      <c r="N171" s="6" t="s">
        <v>121</v>
      </c>
      <c r="O171" s="6"/>
      <c r="P171" s="6" t="s">
        <v>131</v>
      </c>
      <c r="Q171" s="6"/>
      <c r="R171" s="47" t="s">
        <v>143</v>
      </c>
      <c r="S171" s="14" t="s">
        <v>4431</v>
      </c>
      <c r="T171" s="14" t="s">
        <v>4630</v>
      </c>
      <c r="U171" s="14" t="s">
        <v>4631</v>
      </c>
      <c r="AA171" s="6"/>
      <c r="AB171" s="6" t="s">
        <v>67</v>
      </c>
      <c r="AC171" s="6"/>
      <c r="AD171" s="6" t="s">
        <v>109</v>
      </c>
      <c r="AE171" s="6"/>
      <c r="AF171" s="6" t="s">
        <v>68</v>
      </c>
      <c r="AG171" s="6"/>
      <c r="AH171" s="6" t="s">
        <v>58</v>
      </c>
      <c r="AI171" s="6"/>
      <c r="AJ171" s="11" t="s">
        <v>77</v>
      </c>
    </row>
    <row r="172" spans="1:36" ht="15.75" customHeight="1" x14ac:dyDescent="0.25">
      <c r="A172" s="7">
        <v>43418.584513912036</v>
      </c>
      <c r="B172" s="6" t="s">
        <v>30</v>
      </c>
      <c r="C172" s="6" t="s">
        <v>116</v>
      </c>
      <c r="D172" s="6" t="s">
        <v>46</v>
      </c>
      <c r="E172" s="6" t="s">
        <v>48</v>
      </c>
      <c r="F172" s="6" t="s">
        <v>745</v>
      </c>
      <c r="G172" s="6" t="s">
        <v>48</v>
      </c>
      <c r="J172" s="6" t="s">
        <v>50</v>
      </c>
      <c r="K172" s="6"/>
      <c r="L172" s="6" t="s">
        <v>746</v>
      </c>
      <c r="M172" s="6"/>
      <c r="N172" s="6" t="s">
        <v>212</v>
      </c>
      <c r="O172" s="6"/>
      <c r="P172" s="6" t="s">
        <v>131</v>
      </c>
      <c r="Q172" s="6"/>
      <c r="R172" s="47" t="s">
        <v>747</v>
      </c>
      <c r="AA172" s="6"/>
      <c r="AB172" s="6" t="s">
        <v>67</v>
      </c>
      <c r="AC172" s="6"/>
      <c r="AD172" s="6" t="s">
        <v>56</v>
      </c>
      <c r="AE172" s="6"/>
      <c r="AF172" s="6" t="s">
        <v>75</v>
      </c>
      <c r="AG172" s="6"/>
      <c r="AH172" s="6" t="s">
        <v>57</v>
      </c>
      <c r="AI172" s="6"/>
      <c r="AJ172" s="11" t="s">
        <v>174</v>
      </c>
    </row>
    <row r="173" spans="1:36" ht="15.75" customHeight="1" x14ac:dyDescent="0.25">
      <c r="A173" s="7">
        <v>43418.585150312501</v>
      </c>
      <c r="B173" s="6" t="s">
        <v>748</v>
      </c>
      <c r="C173" s="6" t="s">
        <v>749</v>
      </c>
      <c r="D173" s="6" t="s">
        <v>163</v>
      </c>
      <c r="E173" s="6" t="s">
        <v>81</v>
      </c>
      <c r="G173" s="6" t="s">
        <v>87</v>
      </c>
      <c r="H173" s="6" t="s">
        <v>750</v>
      </c>
      <c r="I173" s="6"/>
      <c r="J173" s="6" t="s">
        <v>110</v>
      </c>
      <c r="K173" s="6"/>
      <c r="L173" s="6" t="s">
        <v>751</v>
      </c>
      <c r="M173" s="6"/>
      <c r="N173" s="6" t="s">
        <v>181</v>
      </c>
      <c r="O173" s="6"/>
      <c r="P173" s="6" t="s">
        <v>131</v>
      </c>
      <c r="Q173" s="6"/>
      <c r="R173" s="47" t="s">
        <v>149</v>
      </c>
      <c r="S173" s="14" t="s">
        <v>4404</v>
      </c>
      <c r="T173" s="14" t="s">
        <v>4632</v>
      </c>
      <c r="AA173" s="6"/>
      <c r="AB173" s="6" t="s">
        <v>101</v>
      </c>
      <c r="AC173" s="6"/>
      <c r="AD173" s="6" t="s">
        <v>56</v>
      </c>
      <c r="AE173" s="6"/>
      <c r="AF173" s="6" t="s">
        <v>161</v>
      </c>
      <c r="AG173" s="6"/>
      <c r="AH173" s="6" t="s">
        <v>76</v>
      </c>
      <c r="AI173" s="6"/>
      <c r="AJ173" s="6" t="s">
        <v>313</v>
      </c>
    </row>
    <row r="174" spans="1:36" ht="15.75" customHeight="1" x14ac:dyDescent="0.25">
      <c r="A174" s="7">
        <v>43418.586613333333</v>
      </c>
      <c r="B174" s="6" t="s">
        <v>30</v>
      </c>
      <c r="C174" s="6" t="s">
        <v>215</v>
      </c>
      <c r="D174" s="6" t="s">
        <v>46</v>
      </c>
      <c r="E174" s="6" t="s">
        <v>48</v>
      </c>
      <c r="F174" s="6" t="s">
        <v>753</v>
      </c>
      <c r="G174" s="6" t="s">
        <v>81</v>
      </c>
      <c r="J174" s="6" t="s">
        <v>110</v>
      </c>
      <c r="K174" s="6"/>
      <c r="L174" s="6" t="s">
        <v>754</v>
      </c>
      <c r="M174" s="6"/>
      <c r="N174" s="6" t="s">
        <v>181</v>
      </c>
      <c r="O174" s="6"/>
      <c r="P174" s="6" t="s">
        <v>131</v>
      </c>
      <c r="Q174" s="6"/>
      <c r="R174" s="47" t="s">
        <v>4633</v>
      </c>
      <c r="S174" s="14" t="s">
        <v>4634</v>
      </c>
      <c r="T174" s="14" t="s">
        <v>4635</v>
      </c>
      <c r="U174" s="14" t="s">
        <v>4421</v>
      </c>
      <c r="AA174" s="6"/>
      <c r="AB174" s="6" t="s">
        <v>67</v>
      </c>
      <c r="AC174" s="6"/>
      <c r="AD174" s="6" t="s">
        <v>56</v>
      </c>
      <c r="AE174" s="6"/>
      <c r="AF174" s="6" t="s">
        <v>68</v>
      </c>
      <c r="AG174" s="6"/>
      <c r="AH174" s="6" t="s">
        <v>58</v>
      </c>
      <c r="AI174" s="6"/>
      <c r="AJ174" s="6" t="s">
        <v>77</v>
      </c>
    </row>
    <row r="175" spans="1:36" ht="15.75" customHeight="1" x14ac:dyDescent="0.25">
      <c r="A175" s="7">
        <v>43418.586873356486</v>
      </c>
      <c r="B175" s="6" t="s">
        <v>60</v>
      </c>
      <c r="C175" s="6" t="s">
        <v>756</v>
      </c>
      <c r="D175" s="6" t="s">
        <v>163</v>
      </c>
      <c r="E175" s="6" t="s">
        <v>81</v>
      </c>
      <c r="G175" s="6" t="s">
        <v>87</v>
      </c>
      <c r="J175" s="6" t="s">
        <v>92</v>
      </c>
      <c r="K175" s="6"/>
      <c r="L175" s="6" t="s">
        <v>757</v>
      </c>
      <c r="M175" s="6"/>
      <c r="N175" s="6" t="s">
        <v>121</v>
      </c>
      <c r="O175" s="6"/>
      <c r="P175" s="6" t="s">
        <v>168</v>
      </c>
      <c r="Q175" s="6"/>
      <c r="R175" s="47" t="s">
        <v>758</v>
      </c>
      <c r="AA175" s="6"/>
      <c r="AB175" s="6" t="s">
        <v>101</v>
      </c>
      <c r="AC175" s="6"/>
      <c r="AD175" s="6" t="s">
        <v>56</v>
      </c>
      <c r="AE175" s="6"/>
      <c r="AF175" s="6" t="s">
        <v>75</v>
      </c>
      <c r="AG175" s="6"/>
      <c r="AH175" s="6" t="s">
        <v>57</v>
      </c>
      <c r="AI175" s="6"/>
      <c r="AJ175" s="6" t="s">
        <v>312</v>
      </c>
    </row>
    <row r="176" spans="1:36" ht="15.75" customHeight="1" x14ac:dyDescent="0.25">
      <c r="A176" s="7">
        <v>43418.587831400466</v>
      </c>
      <c r="B176" s="6" t="s">
        <v>30</v>
      </c>
      <c r="C176" s="6" t="s">
        <v>95</v>
      </c>
      <c r="D176" s="6" t="s">
        <v>91</v>
      </c>
      <c r="E176" s="6" t="s">
        <v>81</v>
      </c>
      <c r="G176" s="6" t="s">
        <v>87</v>
      </c>
      <c r="H176" s="6" t="s">
        <v>759</v>
      </c>
      <c r="I176" s="6"/>
      <c r="J176" s="6" t="s">
        <v>92</v>
      </c>
      <c r="K176" s="6"/>
      <c r="L176" s="6" t="s">
        <v>760</v>
      </c>
      <c r="M176" s="6"/>
      <c r="N176" s="6" t="s">
        <v>121</v>
      </c>
      <c r="O176" s="6"/>
      <c r="P176" s="6" t="s">
        <v>94</v>
      </c>
      <c r="Q176" s="6"/>
      <c r="R176" s="47" t="s">
        <v>3221</v>
      </c>
      <c r="S176" s="14" t="s">
        <v>4517</v>
      </c>
      <c r="AA176" s="6"/>
      <c r="AB176" s="6" t="s">
        <v>101</v>
      </c>
      <c r="AC176" s="6"/>
      <c r="AD176" s="6" t="s">
        <v>56</v>
      </c>
      <c r="AE176" s="6"/>
      <c r="AF176" s="6" t="s">
        <v>161</v>
      </c>
      <c r="AG176" s="6"/>
      <c r="AH176" s="6" t="s">
        <v>76</v>
      </c>
      <c r="AI176" s="6"/>
      <c r="AJ176" s="6" t="s">
        <v>421</v>
      </c>
    </row>
    <row r="177" spans="1:36" ht="15.75" customHeight="1" x14ac:dyDescent="0.25">
      <c r="A177" s="7">
        <v>43418.588753125005</v>
      </c>
      <c r="B177" s="6" t="s">
        <v>60</v>
      </c>
      <c r="C177" s="6" t="s">
        <v>128</v>
      </c>
      <c r="D177" s="6" t="s">
        <v>138</v>
      </c>
      <c r="E177" s="6" t="s">
        <v>81</v>
      </c>
      <c r="G177" s="6" t="s">
        <v>87</v>
      </c>
      <c r="J177" s="6" t="s">
        <v>106</v>
      </c>
      <c r="K177" s="6"/>
      <c r="L177" s="6" t="s">
        <v>762</v>
      </c>
      <c r="M177" s="6"/>
      <c r="N177" s="6" t="s">
        <v>93</v>
      </c>
      <c r="O177" s="6"/>
      <c r="P177" s="6" t="s">
        <v>168</v>
      </c>
      <c r="Q177" s="6"/>
      <c r="R177" s="47" t="s">
        <v>149</v>
      </c>
      <c r="S177" s="14" t="s">
        <v>4636</v>
      </c>
      <c r="AA177" s="6"/>
      <c r="AB177" s="6" t="s">
        <v>55</v>
      </c>
      <c r="AC177" s="6"/>
      <c r="AD177" s="6" t="s">
        <v>109</v>
      </c>
      <c r="AE177" s="6"/>
      <c r="AF177" s="6" t="s">
        <v>161</v>
      </c>
      <c r="AG177" s="6"/>
      <c r="AH177" s="6" t="s">
        <v>76</v>
      </c>
      <c r="AI177" s="6"/>
      <c r="AJ177" s="6" t="s">
        <v>170</v>
      </c>
    </row>
    <row r="178" spans="1:36" ht="15.75" customHeight="1" x14ac:dyDescent="0.25">
      <c r="A178" s="7">
        <v>43418.589621238425</v>
      </c>
      <c r="B178" s="6" t="s">
        <v>60</v>
      </c>
      <c r="C178" s="6" t="s">
        <v>90</v>
      </c>
      <c r="D178" s="6" t="s">
        <v>46</v>
      </c>
      <c r="E178" s="6" t="s">
        <v>81</v>
      </c>
      <c r="G178" s="6" t="s">
        <v>87</v>
      </c>
      <c r="H178" s="6" t="s">
        <v>764</v>
      </c>
      <c r="I178" s="6"/>
      <c r="J178" s="6" t="s">
        <v>89</v>
      </c>
      <c r="K178" s="6"/>
      <c r="L178" s="6" t="s">
        <v>765</v>
      </c>
      <c r="M178" s="6"/>
      <c r="N178" s="6" t="s">
        <v>212</v>
      </c>
      <c r="O178" s="6"/>
      <c r="P178" s="6" t="s">
        <v>94</v>
      </c>
      <c r="Q178" s="6"/>
      <c r="R178" s="47" t="s">
        <v>766</v>
      </c>
      <c r="AA178" s="6"/>
      <c r="AB178" s="6" t="s">
        <v>67</v>
      </c>
      <c r="AC178" s="6"/>
      <c r="AD178" s="6" t="s">
        <v>56</v>
      </c>
      <c r="AE178" s="6"/>
      <c r="AF178" s="6" t="s">
        <v>75</v>
      </c>
      <c r="AG178" s="6"/>
      <c r="AH178" s="6" t="s">
        <v>126</v>
      </c>
      <c r="AI178" s="6"/>
      <c r="AJ178" s="11" t="s">
        <v>300</v>
      </c>
    </row>
    <row r="179" spans="1:36" ht="15.75" customHeight="1" x14ac:dyDescent="0.25">
      <c r="A179" s="7">
        <v>43418.589657430552</v>
      </c>
      <c r="B179" s="6" t="s">
        <v>30</v>
      </c>
      <c r="C179" s="6" t="s">
        <v>378</v>
      </c>
      <c r="D179" s="6" t="s">
        <v>165</v>
      </c>
      <c r="E179" s="6" t="s">
        <v>81</v>
      </c>
      <c r="G179" s="6" t="s">
        <v>87</v>
      </c>
      <c r="H179" s="6" t="s">
        <v>767</v>
      </c>
      <c r="I179" s="6"/>
      <c r="J179" s="6" t="s">
        <v>73</v>
      </c>
      <c r="K179" s="6"/>
      <c r="L179" s="6" t="s">
        <v>768</v>
      </c>
      <c r="M179" s="6"/>
      <c r="N179" s="6" t="s">
        <v>181</v>
      </c>
      <c r="O179" s="6"/>
      <c r="P179" s="6" t="s">
        <v>131</v>
      </c>
      <c r="Q179" s="6"/>
      <c r="R179" s="47" t="s">
        <v>4637</v>
      </c>
      <c r="S179" s="14" t="s">
        <v>4638</v>
      </c>
      <c r="T179" s="14" t="s">
        <v>4639</v>
      </c>
      <c r="AA179" s="6"/>
      <c r="AB179" s="6" t="s">
        <v>67</v>
      </c>
      <c r="AC179" s="6"/>
      <c r="AD179" s="6" t="s">
        <v>56</v>
      </c>
      <c r="AE179" s="6"/>
      <c r="AF179" s="6" t="s">
        <v>205</v>
      </c>
      <c r="AG179" s="6"/>
      <c r="AH179" s="6" t="s">
        <v>58</v>
      </c>
      <c r="AI179" s="6"/>
      <c r="AJ179" s="6" t="s">
        <v>244</v>
      </c>
    </row>
    <row r="180" spans="1:36" ht="15.75" customHeight="1" x14ac:dyDescent="0.25">
      <c r="A180" s="7">
        <v>43418.589729328705</v>
      </c>
      <c r="B180" s="6" t="s">
        <v>770</v>
      </c>
      <c r="C180" s="6" t="s">
        <v>771</v>
      </c>
      <c r="D180" s="6" t="s">
        <v>772</v>
      </c>
      <c r="E180" s="6" t="s">
        <v>81</v>
      </c>
      <c r="G180" s="6" t="s">
        <v>87</v>
      </c>
      <c r="H180" s="6" t="s">
        <v>773</v>
      </c>
      <c r="I180" s="6"/>
      <c r="J180" s="6" t="s">
        <v>92</v>
      </c>
      <c r="K180" s="6"/>
      <c r="L180" s="6" t="s">
        <v>774</v>
      </c>
      <c r="M180" s="6"/>
      <c r="N180" s="6" t="s">
        <v>98</v>
      </c>
      <c r="O180" s="6"/>
      <c r="P180" s="6" t="s">
        <v>94</v>
      </c>
      <c r="Q180" s="6"/>
      <c r="R180" s="47" t="s">
        <v>2722</v>
      </c>
      <c r="S180" s="14" t="s">
        <v>4640</v>
      </c>
      <c r="T180" s="14" t="s">
        <v>4607</v>
      </c>
      <c r="U180" s="14" t="s">
        <v>4641</v>
      </c>
      <c r="V180" s="14" t="s">
        <v>4642</v>
      </c>
      <c r="AA180" s="6"/>
      <c r="AB180" s="6" t="s">
        <v>67</v>
      </c>
      <c r="AC180" s="6"/>
      <c r="AD180" s="6" t="s">
        <v>56</v>
      </c>
      <c r="AE180" s="6"/>
      <c r="AF180" s="6" t="s">
        <v>68</v>
      </c>
      <c r="AG180" s="6"/>
      <c r="AH180" s="6" t="s">
        <v>58</v>
      </c>
      <c r="AI180" s="6"/>
      <c r="AJ180" s="11" t="s">
        <v>77</v>
      </c>
    </row>
    <row r="181" spans="1:36" ht="15.75" customHeight="1" x14ac:dyDescent="0.25">
      <c r="A181" s="7">
        <v>43418.592001516205</v>
      </c>
      <c r="B181" s="6" t="s">
        <v>30</v>
      </c>
      <c r="C181" s="6" t="s">
        <v>776</v>
      </c>
      <c r="D181" s="6" t="s">
        <v>46</v>
      </c>
      <c r="E181" s="6" t="s">
        <v>81</v>
      </c>
      <c r="G181" s="6" t="s">
        <v>87</v>
      </c>
      <c r="H181" s="6" t="s">
        <v>777</v>
      </c>
      <c r="I181" s="6"/>
      <c r="J181" s="6" t="s">
        <v>92</v>
      </c>
      <c r="K181" s="6"/>
      <c r="L181" s="6" t="s">
        <v>778</v>
      </c>
      <c r="M181" s="6"/>
      <c r="N181" s="6" t="s">
        <v>112</v>
      </c>
      <c r="O181" s="6"/>
      <c r="P181" s="6" t="s">
        <v>131</v>
      </c>
      <c r="Q181" s="6"/>
      <c r="R181" s="47" t="s">
        <v>4643</v>
      </c>
      <c r="S181" s="14" t="s">
        <v>4644</v>
      </c>
      <c r="T181" s="14" t="s">
        <v>4645</v>
      </c>
      <c r="U181" s="14" t="s">
        <v>3994</v>
      </c>
      <c r="AA181" s="6"/>
      <c r="AB181" s="6" t="s">
        <v>55</v>
      </c>
      <c r="AC181" s="6"/>
      <c r="AD181" s="6" t="s">
        <v>56</v>
      </c>
      <c r="AE181" s="6"/>
      <c r="AF181" s="6" t="s">
        <v>75</v>
      </c>
      <c r="AG181" s="6"/>
      <c r="AH181" s="6" t="s">
        <v>76</v>
      </c>
      <c r="AI181" s="6"/>
      <c r="AJ181" s="6" t="s">
        <v>115</v>
      </c>
    </row>
    <row r="182" spans="1:36" ht="15.75" customHeight="1" x14ac:dyDescent="0.25">
      <c r="A182" s="7">
        <v>43418.592418217595</v>
      </c>
      <c r="B182" s="6" t="s">
        <v>127</v>
      </c>
      <c r="C182" s="6" t="s">
        <v>237</v>
      </c>
      <c r="D182" s="6" t="s">
        <v>46</v>
      </c>
      <c r="E182" s="6" t="s">
        <v>81</v>
      </c>
      <c r="G182" s="6" t="s">
        <v>87</v>
      </c>
      <c r="H182" s="6" t="s">
        <v>780</v>
      </c>
      <c r="I182" s="6"/>
      <c r="J182" s="6" t="s">
        <v>92</v>
      </c>
      <c r="K182" s="6"/>
      <c r="L182" s="6" t="s">
        <v>781</v>
      </c>
      <c r="M182" s="6"/>
      <c r="N182" s="6" t="s">
        <v>112</v>
      </c>
      <c r="O182" s="6"/>
      <c r="P182" s="6" t="s">
        <v>94</v>
      </c>
      <c r="Q182" s="6"/>
      <c r="R182" s="47" t="s">
        <v>4646</v>
      </c>
      <c r="S182" s="14" t="s">
        <v>4632</v>
      </c>
      <c r="T182" s="14" t="s">
        <v>4647</v>
      </c>
      <c r="U182" s="14" t="s">
        <v>4648</v>
      </c>
      <c r="V182" s="14" t="s">
        <v>4649</v>
      </c>
      <c r="W182" s="14" t="s">
        <v>4650</v>
      </c>
      <c r="AA182" s="6"/>
      <c r="AB182" s="6" t="s">
        <v>101</v>
      </c>
      <c r="AC182" s="6"/>
      <c r="AD182" s="6" t="s">
        <v>56</v>
      </c>
      <c r="AE182" s="6"/>
      <c r="AF182" s="6" t="s">
        <v>57</v>
      </c>
      <c r="AG182" s="6"/>
      <c r="AH182" s="6" t="s">
        <v>57</v>
      </c>
      <c r="AI182" s="6"/>
      <c r="AJ182" s="11" t="s">
        <v>77</v>
      </c>
    </row>
    <row r="183" spans="1:36" ht="15.75" customHeight="1" x14ac:dyDescent="0.25">
      <c r="A183" s="7">
        <v>43418.592441898145</v>
      </c>
      <c r="B183" s="6" t="s">
        <v>30</v>
      </c>
      <c r="C183" s="6" t="s">
        <v>45</v>
      </c>
      <c r="D183" s="6" t="s">
        <v>46</v>
      </c>
      <c r="E183" s="6" t="s">
        <v>48</v>
      </c>
      <c r="F183" s="6" t="s">
        <v>783</v>
      </c>
      <c r="G183" s="6" t="s">
        <v>48</v>
      </c>
      <c r="H183" s="6" t="s">
        <v>784</v>
      </c>
      <c r="I183" s="6"/>
      <c r="J183" s="6" t="s">
        <v>50</v>
      </c>
      <c r="K183" s="6"/>
      <c r="L183" s="6" t="s">
        <v>785</v>
      </c>
      <c r="M183" s="6"/>
      <c r="N183" s="6" t="s">
        <v>98</v>
      </c>
      <c r="O183" s="6"/>
      <c r="P183" s="6" t="s">
        <v>131</v>
      </c>
      <c r="Q183" s="6"/>
      <c r="R183" s="47" t="s">
        <v>224</v>
      </c>
      <c r="S183" s="14" t="s">
        <v>4651</v>
      </c>
      <c r="T183" s="14" t="s">
        <v>4514</v>
      </c>
      <c r="U183" s="14" t="s">
        <v>4527</v>
      </c>
      <c r="V183" s="14" t="s">
        <v>4518</v>
      </c>
      <c r="W183" s="14" t="s">
        <v>4652</v>
      </c>
      <c r="AA183" s="6"/>
      <c r="AB183" s="6" t="s">
        <v>67</v>
      </c>
      <c r="AC183" s="6"/>
      <c r="AD183" s="6" t="s">
        <v>56</v>
      </c>
      <c r="AE183" s="6"/>
      <c r="AF183" s="6" t="s">
        <v>57</v>
      </c>
      <c r="AG183" s="6"/>
      <c r="AH183" s="6" t="s">
        <v>76</v>
      </c>
      <c r="AI183" s="6"/>
      <c r="AJ183" s="6" t="s">
        <v>132</v>
      </c>
    </row>
    <row r="184" spans="1:36" ht="15.75" customHeight="1" x14ac:dyDescent="0.25">
      <c r="A184" s="7">
        <v>43418.592514444448</v>
      </c>
      <c r="B184" s="6" t="s">
        <v>127</v>
      </c>
      <c r="C184" s="6" t="s">
        <v>237</v>
      </c>
      <c r="D184" s="6" t="s">
        <v>46</v>
      </c>
      <c r="E184" s="6" t="s">
        <v>81</v>
      </c>
      <c r="G184" s="6" t="s">
        <v>87</v>
      </c>
      <c r="H184" s="6" t="s">
        <v>780</v>
      </c>
      <c r="I184" s="6"/>
      <c r="J184" s="6" t="s">
        <v>92</v>
      </c>
      <c r="K184" s="6"/>
      <c r="L184" s="6" t="s">
        <v>781</v>
      </c>
      <c r="M184" s="6"/>
      <c r="N184" s="6" t="s">
        <v>112</v>
      </c>
      <c r="O184" s="6"/>
      <c r="P184" s="6" t="s">
        <v>94</v>
      </c>
      <c r="Q184" s="6"/>
      <c r="R184" s="47" t="s">
        <v>4646</v>
      </c>
      <c r="S184" s="14" t="s">
        <v>4632</v>
      </c>
      <c r="T184" s="14" t="s">
        <v>4647</v>
      </c>
      <c r="U184" s="14" t="s">
        <v>4648</v>
      </c>
      <c r="V184" s="14" t="s">
        <v>4649</v>
      </c>
      <c r="W184" s="14" t="s">
        <v>4650</v>
      </c>
      <c r="AA184" s="6"/>
      <c r="AB184" s="6" t="s">
        <v>101</v>
      </c>
      <c r="AC184" s="6"/>
      <c r="AD184" s="6" t="s">
        <v>56</v>
      </c>
      <c r="AE184" s="6"/>
      <c r="AF184" s="6" t="s">
        <v>57</v>
      </c>
      <c r="AG184" s="6"/>
      <c r="AH184" s="6" t="s">
        <v>57</v>
      </c>
      <c r="AI184" s="6"/>
      <c r="AJ184" s="11" t="s">
        <v>77</v>
      </c>
    </row>
    <row r="185" spans="1:36" ht="15.75" customHeight="1" x14ac:dyDescent="0.25">
      <c r="A185" s="7">
        <v>43418.592575127317</v>
      </c>
      <c r="B185" s="6" t="s">
        <v>28</v>
      </c>
      <c r="C185" s="6" t="s">
        <v>116</v>
      </c>
      <c r="D185" s="6" t="s">
        <v>165</v>
      </c>
      <c r="E185" s="6" t="s">
        <v>81</v>
      </c>
      <c r="G185" s="6" t="s">
        <v>87</v>
      </c>
      <c r="H185" s="6" t="s">
        <v>787</v>
      </c>
      <c r="I185" s="6"/>
      <c r="J185" s="6" t="s">
        <v>92</v>
      </c>
      <c r="K185" s="6"/>
      <c r="L185" s="6" t="s">
        <v>788</v>
      </c>
      <c r="M185" s="6"/>
      <c r="N185" s="6" t="s">
        <v>98</v>
      </c>
      <c r="O185" s="6"/>
      <c r="P185" s="6" t="s">
        <v>99</v>
      </c>
      <c r="Q185" s="6"/>
      <c r="R185" s="47" t="s">
        <v>789</v>
      </c>
      <c r="AA185" s="6"/>
      <c r="AB185" s="6" t="s">
        <v>203</v>
      </c>
      <c r="AC185" s="6"/>
      <c r="AD185" s="6" t="s">
        <v>56</v>
      </c>
      <c r="AE185" s="6"/>
      <c r="AF185" s="6" t="s">
        <v>161</v>
      </c>
      <c r="AG185" s="6"/>
      <c r="AH185" s="6" t="s">
        <v>76</v>
      </c>
      <c r="AI185" s="6"/>
      <c r="AJ185" s="6" t="s">
        <v>411</v>
      </c>
    </row>
    <row r="186" spans="1:36" ht="15.75" customHeight="1" x14ac:dyDescent="0.25">
      <c r="A186" s="7">
        <v>43418.593033553239</v>
      </c>
      <c r="B186" s="6" t="s">
        <v>30</v>
      </c>
      <c r="C186" s="6" t="s">
        <v>790</v>
      </c>
      <c r="D186" s="6" t="s">
        <v>261</v>
      </c>
      <c r="E186" s="6" t="s">
        <v>81</v>
      </c>
      <c r="G186" s="6" t="s">
        <v>87</v>
      </c>
      <c r="J186" s="6" t="s">
        <v>50</v>
      </c>
      <c r="K186" s="6"/>
      <c r="L186" s="6" t="s">
        <v>791</v>
      </c>
      <c r="M186" s="6"/>
      <c r="N186" s="6" t="s">
        <v>112</v>
      </c>
      <c r="O186" s="6"/>
      <c r="P186" s="6" t="s">
        <v>131</v>
      </c>
      <c r="Q186" s="6"/>
      <c r="AA186" s="6"/>
      <c r="AB186" s="6" t="s">
        <v>101</v>
      </c>
      <c r="AC186" s="6"/>
      <c r="AD186" s="6" t="s">
        <v>56</v>
      </c>
      <c r="AE186" s="6"/>
      <c r="AF186" s="6" t="s">
        <v>68</v>
      </c>
      <c r="AG186" s="6"/>
      <c r="AH186" s="6" t="s">
        <v>58</v>
      </c>
      <c r="AJ186" s="6" t="s">
        <v>57</v>
      </c>
    </row>
    <row r="187" spans="1:36" ht="15.75" customHeight="1" x14ac:dyDescent="0.25">
      <c r="A187" s="7">
        <v>43418.593306435185</v>
      </c>
      <c r="B187" s="6" t="s">
        <v>30</v>
      </c>
      <c r="C187" s="6" t="s">
        <v>95</v>
      </c>
      <c r="D187" s="6" t="s">
        <v>133</v>
      </c>
      <c r="E187" s="6" t="s">
        <v>48</v>
      </c>
      <c r="F187" s="6" t="s">
        <v>792</v>
      </c>
      <c r="G187" s="6" t="s">
        <v>48</v>
      </c>
      <c r="J187" s="6" t="s">
        <v>92</v>
      </c>
      <c r="K187" s="6"/>
      <c r="N187" s="6" t="s">
        <v>181</v>
      </c>
      <c r="O187" s="6"/>
      <c r="P187" s="6" t="s">
        <v>94</v>
      </c>
      <c r="Q187" s="6"/>
      <c r="AA187" s="6"/>
      <c r="AB187" s="6" t="s">
        <v>67</v>
      </c>
      <c r="AC187" s="6"/>
      <c r="AD187" s="6" t="s">
        <v>56</v>
      </c>
      <c r="AE187" s="6"/>
      <c r="AF187" s="6" t="s">
        <v>75</v>
      </c>
      <c r="AG187" s="6"/>
      <c r="AH187" s="6" t="s">
        <v>58</v>
      </c>
      <c r="AI187" s="6"/>
      <c r="AJ187" s="6" t="s">
        <v>132</v>
      </c>
    </row>
    <row r="188" spans="1:36" ht="15.75" customHeight="1" x14ac:dyDescent="0.25">
      <c r="A188" s="7">
        <v>43418.593498298607</v>
      </c>
      <c r="B188" s="6" t="s">
        <v>60</v>
      </c>
      <c r="C188" s="6" t="s">
        <v>45</v>
      </c>
      <c r="D188" s="6" t="s">
        <v>46</v>
      </c>
      <c r="E188" s="6" t="s">
        <v>81</v>
      </c>
      <c r="G188" s="6" t="s">
        <v>87</v>
      </c>
      <c r="J188" s="6" t="s">
        <v>92</v>
      </c>
      <c r="K188" s="6"/>
      <c r="N188" s="6" t="s">
        <v>93</v>
      </c>
      <c r="O188" s="6"/>
      <c r="P188" s="6" t="s">
        <v>168</v>
      </c>
      <c r="Q188" s="6"/>
      <c r="R188" s="47" t="s">
        <v>4653</v>
      </c>
      <c r="S188" s="14" t="s">
        <v>4514</v>
      </c>
      <c r="AA188" s="6"/>
      <c r="AB188" s="6" t="s">
        <v>67</v>
      </c>
      <c r="AC188" s="6"/>
      <c r="AD188" s="6" t="s">
        <v>56</v>
      </c>
      <c r="AE188" s="6"/>
      <c r="AF188" s="6" t="s">
        <v>161</v>
      </c>
      <c r="AG188" s="6"/>
      <c r="AH188" s="6" t="s">
        <v>76</v>
      </c>
      <c r="AI188" s="6"/>
      <c r="AJ188" s="11" t="s">
        <v>77</v>
      </c>
    </row>
    <row r="189" spans="1:36" ht="15.75" customHeight="1" x14ac:dyDescent="0.25">
      <c r="A189" s="7">
        <v>43418.59360886574</v>
      </c>
      <c r="B189" s="6" t="s">
        <v>60</v>
      </c>
      <c r="C189" s="6" t="s">
        <v>45</v>
      </c>
      <c r="D189" s="6" t="s">
        <v>46</v>
      </c>
      <c r="E189" s="6" t="s">
        <v>81</v>
      </c>
      <c r="G189" s="6" t="s">
        <v>87</v>
      </c>
      <c r="J189" s="6" t="s">
        <v>184</v>
      </c>
      <c r="K189" s="6"/>
      <c r="N189" s="6" t="s">
        <v>181</v>
      </c>
      <c r="O189" s="6"/>
      <c r="P189" s="6" t="s">
        <v>94</v>
      </c>
      <c r="Q189" s="6"/>
      <c r="R189" s="47" t="s">
        <v>149</v>
      </c>
      <c r="AA189" s="6"/>
      <c r="AB189" s="6" t="s">
        <v>67</v>
      </c>
      <c r="AC189" s="6"/>
      <c r="AD189" s="6" t="s">
        <v>56</v>
      </c>
      <c r="AE189" s="6"/>
      <c r="AF189" s="6" t="s">
        <v>75</v>
      </c>
      <c r="AG189" s="6"/>
      <c r="AH189" s="6" t="s">
        <v>76</v>
      </c>
      <c r="AI189" s="6"/>
      <c r="AJ189" s="6" t="s">
        <v>204</v>
      </c>
    </row>
    <row r="190" spans="1:36" ht="15.75" customHeight="1" x14ac:dyDescent="0.25">
      <c r="A190" s="7">
        <v>43418.594108807869</v>
      </c>
      <c r="B190" s="6" t="s">
        <v>294</v>
      </c>
      <c r="C190" s="6" t="s">
        <v>794</v>
      </c>
      <c r="D190" s="6" t="s">
        <v>163</v>
      </c>
      <c r="E190" s="6" t="s">
        <v>48</v>
      </c>
      <c r="F190" s="6" t="s">
        <v>175</v>
      </c>
      <c r="G190" s="6" t="s">
        <v>48</v>
      </c>
      <c r="H190" s="6" t="s">
        <v>795</v>
      </c>
      <c r="I190" s="6"/>
      <c r="J190" s="6" t="s">
        <v>73</v>
      </c>
      <c r="K190" s="6"/>
      <c r="L190" s="6" t="s">
        <v>796</v>
      </c>
      <c r="M190" s="6"/>
      <c r="N190" s="6" t="s">
        <v>112</v>
      </c>
      <c r="O190" s="6"/>
      <c r="P190" s="6" t="s">
        <v>65</v>
      </c>
      <c r="Q190" s="6"/>
      <c r="R190" s="47" t="s">
        <v>3426</v>
      </c>
      <c r="S190" s="14" t="s">
        <v>4654</v>
      </c>
      <c r="T190" s="14" t="s">
        <v>4655</v>
      </c>
      <c r="AA190" s="6"/>
      <c r="AB190" s="6" t="s">
        <v>55</v>
      </c>
      <c r="AC190" s="6"/>
      <c r="AD190" s="6" t="s">
        <v>56</v>
      </c>
      <c r="AE190" s="6"/>
      <c r="AF190" s="6" t="s">
        <v>161</v>
      </c>
      <c r="AG190" s="6"/>
      <c r="AH190" s="6" t="s">
        <v>76</v>
      </c>
      <c r="AI190" s="6"/>
      <c r="AJ190" s="6" t="s">
        <v>59</v>
      </c>
    </row>
    <row r="191" spans="1:36" ht="15.75" customHeight="1" x14ac:dyDescent="0.25">
      <c r="A191" s="7">
        <v>43418.594880347227</v>
      </c>
      <c r="B191" s="6" t="s">
        <v>28</v>
      </c>
      <c r="C191" s="6" t="s">
        <v>116</v>
      </c>
      <c r="E191" s="6" t="s">
        <v>48</v>
      </c>
      <c r="F191" s="6" t="s">
        <v>220</v>
      </c>
      <c r="G191" s="6" t="s">
        <v>48</v>
      </c>
      <c r="H191" s="6" t="s">
        <v>798</v>
      </c>
      <c r="I191" s="6"/>
      <c r="J191" s="6" t="s">
        <v>92</v>
      </c>
      <c r="K191" s="6"/>
      <c r="L191" s="6" t="s">
        <v>799</v>
      </c>
      <c r="M191" s="6"/>
      <c r="N191" s="6" t="s">
        <v>51</v>
      </c>
      <c r="O191" s="6"/>
      <c r="P191" s="6" t="s">
        <v>99</v>
      </c>
      <c r="Q191" s="6"/>
      <c r="R191" s="47" t="s">
        <v>800</v>
      </c>
      <c r="AA191" s="6"/>
      <c r="AB191" s="6" t="s">
        <v>55</v>
      </c>
      <c r="AC191" s="6"/>
      <c r="AD191" s="6" t="s">
        <v>56</v>
      </c>
      <c r="AE191" s="6"/>
      <c r="AF191" s="6" t="s">
        <v>68</v>
      </c>
      <c r="AG191" s="6"/>
      <c r="AH191" s="6" t="s">
        <v>126</v>
      </c>
      <c r="AI191" s="6"/>
      <c r="AJ191" s="6" t="s">
        <v>59</v>
      </c>
    </row>
    <row r="192" spans="1:36" ht="15.75" customHeight="1" x14ac:dyDescent="0.25">
      <c r="A192" s="7">
        <v>43418.595519895833</v>
      </c>
      <c r="B192" s="6" t="s">
        <v>30</v>
      </c>
      <c r="C192" s="6" t="s">
        <v>95</v>
      </c>
      <c r="D192" s="6" t="s">
        <v>165</v>
      </c>
      <c r="E192" s="6" t="s">
        <v>81</v>
      </c>
      <c r="G192" s="6" t="s">
        <v>87</v>
      </c>
      <c r="H192" s="6" t="s">
        <v>801</v>
      </c>
      <c r="I192" s="6"/>
      <c r="J192" s="6" t="s">
        <v>92</v>
      </c>
      <c r="K192" s="6"/>
      <c r="L192" s="6" t="s">
        <v>802</v>
      </c>
      <c r="M192" s="6"/>
      <c r="N192" s="6" t="s">
        <v>212</v>
      </c>
      <c r="O192" s="6"/>
      <c r="P192" s="6" t="s">
        <v>94</v>
      </c>
      <c r="Q192" s="6"/>
      <c r="R192" s="47" t="s">
        <v>4656</v>
      </c>
      <c r="S192" s="14" t="s">
        <v>4657</v>
      </c>
      <c r="T192" s="14" t="s">
        <v>4658</v>
      </c>
      <c r="AA192" s="6"/>
      <c r="AB192" s="6" t="s">
        <v>101</v>
      </c>
      <c r="AC192" s="6"/>
      <c r="AD192" s="6" t="s">
        <v>56</v>
      </c>
      <c r="AE192" s="6"/>
      <c r="AF192" s="6" t="s">
        <v>75</v>
      </c>
      <c r="AG192" s="6"/>
      <c r="AH192" s="6" t="s">
        <v>76</v>
      </c>
      <c r="AI192" s="6"/>
      <c r="AJ192" s="11" t="s">
        <v>256</v>
      </c>
    </row>
    <row r="193" spans="1:36" ht="15.75" customHeight="1" x14ac:dyDescent="0.25">
      <c r="A193" s="7">
        <v>43418.595944375003</v>
      </c>
      <c r="B193" s="6" t="s">
        <v>30</v>
      </c>
      <c r="C193" s="6" t="s">
        <v>215</v>
      </c>
      <c r="D193" s="6" t="s">
        <v>163</v>
      </c>
      <c r="E193" s="6" t="s">
        <v>48</v>
      </c>
      <c r="F193" s="6" t="s">
        <v>262</v>
      </c>
      <c r="G193" s="6" t="s">
        <v>48</v>
      </c>
      <c r="H193" s="6" t="s">
        <v>804</v>
      </c>
      <c r="I193" s="6"/>
      <c r="J193" s="6" t="s">
        <v>110</v>
      </c>
      <c r="K193" s="6"/>
      <c r="L193" s="6" t="s">
        <v>805</v>
      </c>
      <c r="M193" s="6"/>
      <c r="N193" s="6" t="s">
        <v>212</v>
      </c>
      <c r="O193" s="6"/>
      <c r="P193" s="6" t="s">
        <v>131</v>
      </c>
      <c r="Q193" s="6"/>
      <c r="R193" s="47" t="s">
        <v>4659</v>
      </c>
      <c r="S193" s="14" t="s">
        <v>4660</v>
      </c>
      <c r="AA193" s="6"/>
      <c r="AB193" s="6" t="s">
        <v>101</v>
      </c>
      <c r="AC193" s="6"/>
      <c r="AD193" s="6" t="s">
        <v>56</v>
      </c>
      <c r="AE193" s="6"/>
      <c r="AF193" s="6" t="s">
        <v>68</v>
      </c>
      <c r="AG193" s="6"/>
      <c r="AH193" s="6" t="s">
        <v>58</v>
      </c>
      <c r="AI193" s="6"/>
      <c r="AJ193" s="11" t="s">
        <v>77</v>
      </c>
    </row>
    <row r="194" spans="1:36" ht="15.75" customHeight="1" x14ac:dyDescent="0.25">
      <c r="A194" s="7">
        <v>43418.596000798614</v>
      </c>
      <c r="B194" s="6" t="s">
        <v>30</v>
      </c>
      <c r="C194" s="6" t="s">
        <v>807</v>
      </c>
      <c r="D194" s="6" t="s">
        <v>165</v>
      </c>
      <c r="E194" s="6" t="s">
        <v>48</v>
      </c>
      <c r="F194" s="6" t="s">
        <v>792</v>
      </c>
      <c r="G194" s="6" t="s">
        <v>48</v>
      </c>
      <c r="H194" s="6" t="s">
        <v>808</v>
      </c>
      <c r="I194" s="6"/>
      <c r="J194" s="6" t="s">
        <v>92</v>
      </c>
      <c r="K194" s="6"/>
      <c r="L194" s="6" t="s">
        <v>809</v>
      </c>
      <c r="M194" s="6"/>
      <c r="N194" s="6" t="s">
        <v>98</v>
      </c>
      <c r="O194" s="6"/>
      <c r="P194" s="6" t="s">
        <v>131</v>
      </c>
      <c r="Q194" s="6"/>
      <c r="R194" s="47" t="s">
        <v>4661</v>
      </c>
      <c r="S194" s="14" t="s">
        <v>4662</v>
      </c>
      <c r="T194" s="14" t="s">
        <v>4597</v>
      </c>
      <c r="AA194" s="6"/>
      <c r="AB194" s="6" t="s">
        <v>55</v>
      </c>
      <c r="AC194" s="6"/>
      <c r="AD194" s="6" t="s">
        <v>56</v>
      </c>
      <c r="AE194" s="6"/>
      <c r="AF194" s="6" t="s">
        <v>68</v>
      </c>
      <c r="AG194" s="6"/>
      <c r="AH194" s="6" t="s">
        <v>58</v>
      </c>
      <c r="AI194" s="6"/>
      <c r="AJ194" s="6" t="s">
        <v>187</v>
      </c>
    </row>
    <row r="195" spans="1:36" ht="15.75" customHeight="1" x14ac:dyDescent="0.25">
      <c r="A195" s="7">
        <v>43418.596067824074</v>
      </c>
      <c r="B195" s="6" t="s">
        <v>30</v>
      </c>
      <c r="C195" s="6" t="s">
        <v>79</v>
      </c>
      <c r="D195" s="6" t="s">
        <v>163</v>
      </c>
      <c r="E195" s="6" t="s">
        <v>48</v>
      </c>
      <c r="F195" s="6" t="s">
        <v>811</v>
      </c>
      <c r="G195" s="6" t="s">
        <v>48</v>
      </c>
      <c r="H195" s="6" t="s">
        <v>812</v>
      </c>
      <c r="I195" s="6"/>
      <c r="J195" s="6" t="s">
        <v>110</v>
      </c>
      <c r="K195" s="6"/>
      <c r="L195" s="6" t="s">
        <v>813</v>
      </c>
      <c r="M195" s="6"/>
      <c r="N195" s="6" t="s">
        <v>112</v>
      </c>
      <c r="O195" s="6"/>
      <c r="P195" s="6" t="s">
        <v>131</v>
      </c>
      <c r="Q195" s="6"/>
      <c r="R195" s="47" t="s">
        <v>1143</v>
      </c>
      <c r="S195" s="14" t="s">
        <v>4663</v>
      </c>
      <c r="T195" s="14" t="s">
        <v>4439</v>
      </c>
      <c r="U195" s="14" t="s">
        <v>4664</v>
      </c>
      <c r="AA195" s="6"/>
      <c r="AB195" s="6" t="s">
        <v>55</v>
      </c>
      <c r="AC195" s="6"/>
      <c r="AD195" s="6" t="s">
        <v>56</v>
      </c>
      <c r="AE195" s="6"/>
      <c r="AF195" s="6" t="s">
        <v>161</v>
      </c>
      <c r="AG195" s="6"/>
      <c r="AH195" s="6" t="s">
        <v>126</v>
      </c>
      <c r="AI195" s="6"/>
      <c r="AJ195" s="11" t="s">
        <v>77</v>
      </c>
    </row>
    <row r="196" spans="1:36" ht="15.75" customHeight="1" x14ac:dyDescent="0.25">
      <c r="A196" s="7">
        <v>43418.596917777773</v>
      </c>
      <c r="B196" s="6" t="s">
        <v>26</v>
      </c>
      <c r="C196" s="6" t="s">
        <v>771</v>
      </c>
      <c r="D196" s="6" t="s">
        <v>46</v>
      </c>
      <c r="E196" s="6" t="s">
        <v>81</v>
      </c>
      <c r="G196" s="6" t="s">
        <v>81</v>
      </c>
      <c r="H196" s="6" t="s">
        <v>815</v>
      </c>
      <c r="I196" s="6"/>
      <c r="J196" s="6" t="s">
        <v>73</v>
      </c>
      <c r="K196" s="6"/>
      <c r="L196" s="6" t="s">
        <v>816</v>
      </c>
      <c r="M196" s="6"/>
      <c r="N196" s="6" t="s">
        <v>121</v>
      </c>
      <c r="O196" s="6"/>
      <c r="P196" s="6" t="s">
        <v>131</v>
      </c>
      <c r="Q196" s="6"/>
      <c r="AA196" s="6"/>
      <c r="AB196" s="6" t="s">
        <v>67</v>
      </c>
      <c r="AC196" s="6"/>
      <c r="AD196" s="6" t="s">
        <v>56</v>
      </c>
      <c r="AE196" s="6"/>
      <c r="AF196" s="6" t="s">
        <v>205</v>
      </c>
      <c r="AG196" s="6"/>
      <c r="AH196" s="6" t="s">
        <v>58</v>
      </c>
      <c r="AI196" s="6"/>
      <c r="AJ196" s="11" t="s">
        <v>77</v>
      </c>
    </row>
    <row r="197" spans="1:36" ht="15.75" customHeight="1" x14ac:dyDescent="0.25">
      <c r="A197" s="7">
        <v>43418.597078715276</v>
      </c>
      <c r="B197" s="6" t="s">
        <v>60</v>
      </c>
      <c r="C197" s="6" t="s">
        <v>817</v>
      </c>
      <c r="D197" s="6" t="s">
        <v>163</v>
      </c>
      <c r="E197" s="6" t="s">
        <v>48</v>
      </c>
      <c r="F197" s="6" t="s">
        <v>818</v>
      </c>
      <c r="G197" s="6" t="s">
        <v>48</v>
      </c>
      <c r="H197" s="6" t="s">
        <v>819</v>
      </c>
      <c r="I197" s="6"/>
      <c r="J197" s="6" t="s">
        <v>64</v>
      </c>
      <c r="K197" s="6"/>
      <c r="L197" s="6" t="s">
        <v>820</v>
      </c>
      <c r="M197" s="6"/>
      <c r="N197" s="6" t="s">
        <v>181</v>
      </c>
      <c r="O197" s="6"/>
      <c r="P197" s="6" t="s">
        <v>131</v>
      </c>
      <c r="Q197" s="6"/>
      <c r="R197" s="47" t="s">
        <v>4665</v>
      </c>
      <c r="S197" s="14" t="s">
        <v>2513</v>
      </c>
      <c r="T197" s="14" t="s">
        <v>3221</v>
      </c>
      <c r="U197" s="14" t="s">
        <v>4666</v>
      </c>
      <c r="AA197" s="6"/>
      <c r="AB197" s="6" t="s">
        <v>67</v>
      </c>
      <c r="AC197" s="6"/>
      <c r="AD197" s="6" t="s">
        <v>56</v>
      </c>
      <c r="AE197" s="6"/>
      <c r="AF197" s="6" t="s">
        <v>68</v>
      </c>
      <c r="AG197" s="6"/>
      <c r="AH197" s="6" t="s">
        <v>58</v>
      </c>
      <c r="AI197" s="6"/>
      <c r="AJ197" s="6" t="s">
        <v>77</v>
      </c>
    </row>
    <row r="198" spans="1:36" ht="15.75" customHeight="1" x14ac:dyDescent="0.25">
      <c r="A198" s="7">
        <v>43418.597343715279</v>
      </c>
      <c r="B198" s="6" t="s">
        <v>30</v>
      </c>
      <c r="C198" s="6" t="s">
        <v>95</v>
      </c>
      <c r="D198" s="6" t="s">
        <v>165</v>
      </c>
      <c r="E198" s="6" t="s">
        <v>81</v>
      </c>
      <c r="G198" s="6" t="s">
        <v>87</v>
      </c>
      <c r="H198" s="6" t="s">
        <v>822</v>
      </c>
      <c r="I198" s="6"/>
      <c r="J198" s="6" t="s">
        <v>92</v>
      </c>
      <c r="K198" s="6"/>
      <c r="L198" s="6" t="s">
        <v>823</v>
      </c>
      <c r="M198" s="6"/>
      <c r="N198" s="6" t="s">
        <v>93</v>
      </c>
      <c r="O198" s="6"/>
      <c r="P198" s="6" t="s">
        <v>94</v>
      </c>
      <c r="Q198" s="6"/>
      <c r="R198" s="47" t="s">
        <v>182</v>
      </c>
      <c r="AA198" s="6"/>
      <c r="AB198" s="6" t="s">
        <v>67</v>
      </c>
      <c r="AC198" s="6"/>
      <c r="AD198" s="6" t="s">
        <v>56</v>
      </c>
      <c r="AE198" s="6"/>
      <c r="AF198" s="6" t="s">
        <v>75</v>
      </c>
      <c r="AG198" s="6"/>
      <c r="AH198" s="6" t="s">
        <v>76</v>
      </c>
      <c r="AI198" s="6"/>
      <c r="AJ198" s="6" t="s">
        <v>115</v>
      </c>
    </row>
    <row r="199" spans="1:36" ht="15.75" customHeight="1" x14ac:dyDescent="0.25">
      <c r="A199" s="7">
        <v>43418.597621863424</v>
      </c>
      <c r="B199" s="6" t="s">
        <v>60</v>
      </c>
      <c r="C199" s="6" t="s">
        <v>95</v>
      </c>
      <c r="D199" s="6" t="s">
        <v>165</v>
      </c>
      <c r="E199" s="6" t="s">
        <v>48</v>
      </c>
      <c r="F199" s="6" t="s">
        <v>824</v>
      </c>
      <c r="G199" s="6" t="s">
        <v>48</v>
      </c>
      <c r="J199" s="6" t="s">
        <v>89</v>
      </c>
      <c r="K199" s="6"/>
      <c r="L199" s="6" t="s">
        <v>825</v>
      </c>
      <c r="M199" s="6"/>
      <c r="N199" s="6" t="s">
        <v>181</v>
      </c>
      <c r="O199" s="6"/>
      <c r="P199" s="6" t="s">
        <v>94</v>
      </c>
      <c r="Q199" s="6"/>
      <c r="R199" s="47" t="s">
        <v>4667</v>
      </c>
      <c r="S199" s="14" t="s">
        <v>4668</v>
      </c>
      <c r="T199" s="14" t="s">
        <v>4669</v>
      </c>
      <c r="AA199" s="6"/>
      <c r="AB199" s="6" t="s">
        <v>67</v>
      </c>
      <c r="AC199" s="6"/>
      <c r="AD199" s="6" t="s">
        <v>56</v>
      </c>
      <c r="AE199" s="6"/>
      <c r="AF199" s="6" t="s">
        <v>68</v>
      </c>
      <c r="AG199" s="6"/>
      <c r="AH199" s="6" t="s">
        <v>58</v>
      </c>
      <c r="AI199" s="6"/>
      <c r="AJ199" s="6" t="s">
        <v>77</v>
      </c>
    </row>
    <row r="200" spans="1:36" ht="15.75" customHeight="1" x14ac:dyDescent="0.25">
      <c r="A200" s="7">
        <v>43418.597657118051</v>
      </c>
      <c r="B200" s="6" t="s">
        <v>543</v>
      </c>
      <c r="C200" s="6" t="s">
        <v>434</v>
      </c>
      <c r="D200" s="6" t="s">
        <v>46</v>
      </c>
      <c r="E200" s="6" t="s">
        <v>81</v>
      </c>
      <c r="G200" s="6" t="s">
        <v>87</v>
      </c>
      <c r="H200" s="6" t="s">
        <v>827</v>
      </c>
      <c r="I200" s="6"/>
      <c r="J200" s="6" t="s">
        <v>110</v>
      </c>
      <c r="K200" s="6"/>
      <c r="L200" s="6" t="s">
        <v>828</v>
      </c>
      <c r="M200" s="6"/>
      <c r="N200" s="6" t="s">
        <v>98</v>
      </c>
      <c r="O200" s="6"/>
      <c r="P200" s="6" t="s">
        <v>94</v>
      </c>
      <c r="Q200" s="6"/>
      <c r="AA200" s="6"/>
      <c r="AB200" s="6" t="s">
        <v>67</v>
      </c>
      <c r="AC200" s="6"/>
      <c r="AD200" s="6" t="s">
        <v>56</v>
      </c>
      <c r="AE200" s="6"/>
      <c r="AF200" s="6" t="s">
        <v>161</v>
      </c>
      <c r="AG200" s="6"/>
      <c r="AH200" s="6" t="s">
        <v>76</v>
      </c>
      <c r="AI200" s="6"/>
      <c r="AJ200" s="6" t="s">
        <v>132</v>
      </c>
    </row>
    <row r="201" spans="1:36" ht="15.75" customHeight="1" x14ac:dyDescent="0.25">
      <c r="A201" s="7">
        <v>43418.59837043981</v>
      </c>
      <c r="B201" s="6" t="s">
        <v>127</v>
      </c>
      <c r="C201" s="6" t="s">
        <v>829</v>
      </c>
      <c r="D201" s="6" t="s">
        <v>46</v>
      </c>
      <c r="E201" s="6" t="s">
        <v>48</v>
      </c>
      <c r="G201" s="6" t="s">
        <v>48</v>
      </c>
      <c r="J201" s="6" t="s">
        <v>106</v>
      </c>
      <c r="K201" s="6"/>
      <c r="N201" s="6" t="s">
        <v>181</v>
      </c>
      <c r="O201" s="6"/>
      <c r="P201" s="6" t="s">
        <v>131</v>
      </c>
      <c r="Q201" s="6"/>
      <c r="AA201" s="6"/>
      <c r="AB201" s="6" t="s">
        <v>67</v>
      </c>
      <c r="AC201" s="6"/>
      <c r="AD201" s="6" t="s">
        <v>56</v>
      </c>
      <c r="AE201" s="6"/>
      <c r="AF201" s="6" t="s">
        <v>205</v>
      </c>
      <c r="AG201" s="6"/>
      <c r="AH201" s="11" t="s">
        <v>126</v>
      </c>
      <c r="AI201" s="6"/>
      <c r="AJ201" s="6" t="s">
        <v>115</v>
      </c>
    </row>
    <row r="202" spans="1:36" ht="15.75" customHeight="1" x14ac:dyDescent="0.25">
      <c r="A202" s="7">
        <v>43418.598890787034</v>
      </c>
      <c r="B202" s="6" t="s">
        <v>30</v>
      </c>
      <c r="C202" s="6" t="s">
        <v>95</v>
      </c>
      <c r="D202" s="6" t="s">
        <v>46</v>
      </c>
      <c r="E202" s="6" t="s">
        <v>48</v>
      </c>
      <c r="F202" s="6" t="s">
        <v>830</v>
      </c>
      <c r="G202" s="6" t="s">
        <v>48</v>
      </c>
      <c r="J202" s="6" t="s">
        <v>50</v>
      </c>
      <c r="K202" s="6"/>
      <c r="L202" s="6" t="s">
        <v>831</v>
      </c>
      <c r="M202" s="6"/>
      <c r="N202" s="6" t="s">
        <v>98</v>
      </c>
      <c r="O202" s="6"/>
      <c r="P202" s="6" t="s">
        <v>131</v>
      </c>
      <c r="Q202" s="6"/>
      <c r="R202" s="47" t="s">
        <v>149</v>
      </c>
      <c r="AA202" s="6"/>
      <c r="AB202" s="6" t="s">
        <v>101</v>
      </c>
      <c r="AC202" s="6"/>
      <c r="AD202" s="6" t="s">
        <v>56</v>
      </c>
      <c r="AE202" s="6"/>
      <c r="AF202" s="6" t="s">
        <v>161</v>
      </c>
      <c r="AG202" s="6"/>
      <c r="AH202" s="6" t="s">
        <v>76</v>
      </c>
      <c r="AI202" s="6"/>
      <c r="AJ202" s="6" t="s">
        <v>115</v>
      </c>
    </row>
    <row r="203" spans="1:36" ht="15.75" customHeight="1" x14ac:dyDescent="0.25">
      <c r="A203" s="7">
        <v>43418.599176261574</v>
      </c>
      <c r="B203" s="6" t="s">
        <v>30</v>
      </c>
      <c r="C203" s="6" t="s">
        <v>79</v>
      </c>
      <c r="E203" s="6" t="s">
        <v>81</v>
      </c>
      <c r="G203" s="6" t="s">
        <v>87</v>
      </c>
      <c r="J203" s="6" t="s">
        <v>110</v>
      </c>
      <c r="K203" s="6"/>
      <c r="N203" s="6" t="s">
        <v>212</v>
      </c>
      <c r="O203" s="6"/>
      <c r="P203" s="6" t="s">
        <v>131</v>
      </c>
      <c r="Q203" s="6"/>
      <c r="R203" s="47" t="s">
        <v>832</v>
      </c>
      <c r="AA203" s="6"/>
      <c r="AB203" s="6" t="s">
        <v>67</v>
      </c>
      <c r="AC203" s="6"/>
      <c r="AD203" s="6" t="s">
        <v>56</v>
      </c>
      <c r="AE203" s="6"/>
      <c r="AF203" s="6" t="s">
        <v>68</v>
      </c>
      <c r="AG203" s="6"/>
      <c r="AH203" s="6" t="s">
        <v>76</v>
      </c>
      <c r="AI203" s="6"/>
      <c r="AJ203" s="6" t="s">
        <v>328</v>
      </c>
    </row>
    <row r="204" spans="1:36" ht="15.75" customHeight="1" x14ac:dyDescent="0.25">
      <c r="A204" s="7">
        <v>43418.599571250001</v>
      </c>
      <c r="B204" s="6" t="s">
        <v>833</v>
      </c>
      <c r="C204" s="6" t="s">
        <v>95</v>
      </c>
      <c r="D204" s="6" t="s">
        <v>133</v>
      </c>
      <c r="E204" s="6" t="s">
        <v>81</v>
      </c>
      <c r="G204" s="6" t="s">
        <v>87</v>
      </c>
      <c r="H204" s="6" t="s">
        <v>834</v>
      </c>
      <c r="I204" s="6"/>
      <c r="J204" s="6" t="s">
        <v>73</v>
      </c>
      <c r="K204" s="6"/>
      <c r="L204" s="6" t="s">
        <v>835</v>
      </c>
      <c r="M204" s="6"/>
      <c r="N204" s="6" t="s">
        <v>112</v>
      </c>
      <c r="O204" s="6"/>
      <c r="P204" s="6" t="s">
        <v>94</v>
      </c>
      <c r="Q204" s="6"/>
      <c r="R204" s="47" t="s">
        <v>3243</v>
      </c>
      <c r="S204" s="14" t="s">
        <v>4567</v>
      </c>
      <c r="T204" s="14" t="s">
        <v>4404</v>
      </c>
      <c r="AA204" s="6"/>
      <c r="AB204" s="6" t="s">
        <v>67</v>
      </c>
      <c r="AC204" s="6"/>
      <c r="AD204" s="6" t="s">
        <v>56</v>
      </c>
      <c r="AE204" s="6"/>
      <c r="AF204" s="6" t="s">
        <v>68</v>
      </c>
      <c r="AG204" s="6"/>
      <c r="AH204" s="6" t="s">
        <v>76</v>
      </c>
      <c r="AI204" s="6"/>
      <c r="AJ204" s="6" t="s">
        <v>115</v>
      </c>
    </row>
    <row r="205" spans="1:36" ht="15.75" customHeight="1" x14ac:dyDescent="0.25">
      <c r="A205" s="7">
        <v>43418.600017604171</v>
      </c>
      <c r="B205" s="6" t="s">
        <v>127</v>
      </c>
      <c r="C205" s="6" t="s">
        <v>116</v>
      </c>
      <c r="D205" s="6" t="s">
        <v>165</v>
      </c>
      <c r="E205" s="6" t="s">
        <v>81</v>
      </c>
      <c r="G205" s="6" t="s">
        <v>87</v>
      </c>
      <c r="H205" s="6" t="s">
        <v>837</v>
      </c>
      <c r="I205" s="6"/>
      <c r="J205" s="6" t="s">
        <v>106</v>
      </c>
      <c r="K205" s="6"/>
      <c r="L205" s="6" t="s">
        <v>838</v>
      </c>
      <c r="M205" s="6"/>
      <c r="N205" s="6" t="s">
        <v>121</v>
      </c>
      <c r="O205" s="6"/>
      <c r="P205" s="6" t="s">
        <v>131</v>
      </c>
      <c r="Q205" s="6"/>
      <c r="AA205" s="6"/>
      <c r="AB205" s="6" t="s">
        <v>67</v>
      </c>
      <c r="AC205" s="6"/>
      <c r="AD205" s="6" t="s">
        <v>56</v>
      </c>
      <c r="AE205" s="6"/>
      <c r="AF205" s="6" t="s">
        <v>161</v>
      </c>
      <c r="AG205" s="6"/>
      <c r="AH205" s="6" t="s">
        <v>76</v>
      </c>
      <c r="AI205" s="6"/>
      <c r="AJ205" s="6" t="s">
        <v>324</v>
      </c>
    </row>
    <row r="206" spans="1:36" ht="15.75" customHeight="1" x14ac:dyDescent="0.25">
      <c r="A206" s="7">
        <v>43418.600542962959</v>
      </c>
      <c r="B206" s="6" t="s">
        <v>30</v>
      </c>
      <c r="C206" s="6" t="s">
        <v>116</v>
      </c>
      <c r="D206" s="6" t="s">
        <v>133</v>
      </c>
      <c r="E206" s="6" t="s">
        <v>81</v>
      </c>
      <c r="G206" s="6" t="s">
        <v>87</v>
      </c>
      <c r="H206" s="6" t="s">
        <v>839</v>
      </c>
      <c r="I206" s="6"/>
      <c r="J206" s="6" t="s">
        <v>73</v>
      </c>
      <c r="K206" s="6"/>
      <c r="L206" s="6" t="s">
        <v>840</v>
      </c>
      <c r="M206" s="6"/>
      <c r="N206" s="6" t="s">
        <v>121</v>
      </c>
      <c r="O206" s="6"/>
      <c r="P206" s="6" t="s">
        <v>94</v>
      </c>
      <c r="Q206" s="6"/>
      <c r="R206" s="47" t="s">
        <v>4670</v>
      </c>
      <c r="S206" s="14" t="s">
        <v>4671</v>
      </c>
      <c r="T206" s="14" t="s">
        <v>4672</v>
      </c>
      <c r="U206" s="14" t="s">
        <v>4527</v>
      </c>
      <c r="V206" s="14" t="s">
        <v>4673</v>
      </c>
      <c r="W206" s="14" t="s">
        <v>4674</v>
      </c>
      <c r="X206" s="14" t="s">
        <v>4675</v>
      </c>
      <c r="Y206" s="14" t="s">
        <v>4676</v>
      </c>
      <c r="AA206" s="6"/>
      <c r="AB206" s="6" t="s">
        <v>101</v>
      </c>
      <c r="AC206" s="6"/>
      <c r="AD206" s="6" t="s">
        <v>56</v>
      </c>
      <c r="AE206" s="6"/>
      <c r="AF206" s="6" t="s">
        <v>161</v>
      </c>
      <c r="AG206" s="6"/>
      <c r="AH206" s="6" t="s">
        <v>76</v>
      </c>
      <c r="AI206" s="6"/>
      <c r="AJ206" s="6" t="s">
        <v>77</v>
      </c>
    </row>
    <row r="207" spans="1:36" ht="15.75" customHeight="1" x14ac:dyDescent="0.25">
      <c r="A207" s="7">
        <v>43418.601085821763</v>
      </c>
      <c r="B207" s="6" t="s">
        <v>60</v>
      </c>
      <c r="C207" s="6" t="s">
        <v>116</v>
      </c>
      <c r="D207" s="6" t="s">
        <v>46</v>
      </c>
      <c r="E207" s="6" t="s">
        <v>81</v>
      </c>
      <c r="G207" s="6" t="s">
        <v>87</v>
      </c>
      <c r="H207" s="6" t="s">
        <v>842</v>
      </c>
      <c r="I207" s="6"/>
      <c r="J207" s="6" t="s">
        <v>106</v>
      </c>
      <c r="K207" s="6"/>
      <c r="L207" s="6" t="s">
        <v>843</v>
      </c>
      <c r="M207" s="6"/>
      <c r="N207" s="6" t="s">
        <v>93</v>
      </c>
      <c r="O207" s="6"/>
      <c r="P207" s="6" t="s">
        <v>94</v>
      </c>
      <c r="Q207" s="6"/>
      <c r="R207" s="47" t="s">
        <v>3225</v>
      </c>
      <c r="S207" s="14" t="s">
        <v>4518</v>
      </c>
      <c r="T207" s="14" t="s">
        <v>4677</v>
      </c>
      <c r="AA207" s="6"/>
      <c r="AB207" s="6" t="s">
        <v>101</v>
      </c>
      <c r="AC207" s="6"/>
      <c r="AD207" s="6" t="s">
        <v>109</v>
      </c>
      <c r="AE207" s="6"/>
      <c r="AF207" s="6" t="s">
        <v>57</v>
      </c>
      <c r="AG207" s="6"/>
      <c r="AH207" s="6" t="s">
        <v>76</v>
      </c>
      <c r="AI207" s="6"/>
      <c r="AJ207" s="6" t="s">
        <v>77</v>
      </c>
    </row>
    <row r="208" spans="1:36" ht="15.75" customHeight="1" x14ac:dyDescent="0.25">
      <c r="A208" s="7">
        <v>43418.601123402783</v>
      </c>
      <c r="B208" s="6" t="s">
        <v>845</v>
      </c>
      <c r="C208" s="6" t="s">
        <v>434</v>
      </c>
      <c r="D208" s="6" t="s">
        <v>846</v>
      </c>
      <c r="E208" s="6" t="s">
        <v>81</v>
      </c>
      <c r="G208" s="6" t="s">
        <v>87</v>
      </c>
      <c r="H208" s="6" t="s">
        <v>847</v>
      </c>
      <c r="I208" s="6"/>
      <c r="J208" s="6" t="s">
        <v>89</v>
      </c>
      <c r="K208" s="6"/>
      <c r="L208" s="6" t="s">
        <v>848</v>
      </c>
      <c r="M208" s="6"/>
      <c r="N208" s="6" t="s">
        <v>181</v>
      </c>
      <c r="O208" s="6"/>
      <c r="P208" s="6" t="s">
        <v>94</v>
      </c>
      <c r="Q208" s="6"/>
      <c r="R208" s="47" t="s">
        <v>4678</v>
      </c>
      <c r="S208" s="14" t="s">
        <v>4649</v>
      </c>
      <c r="T208" s="14" t="s">
        <v>4614</v>
      </c>
      <c r="U208" s="14" t="s">
        <v>4647</v>
      </c>
      <c r="V208" s="14" t="s">
        <v>4650</v>
      </c>
      <c r="AA208" s="6"/>
      <c r="AB208" s="6" t="s">
        <v>101</v>
      </c>
      <c r="AC208" s="6"/>
      <c r="AD208" s="6" t="s">
        <v>56</v>
      </c>
      <c r="AE208" s="6"/>
      <c r="AF208" s="6" t="s">
        <v>75</v>
      </c>
      <c r="AG208" s="6"/>
      <c r="AH208" s="6" t="s">
        <v>58</v>
      </c>
      <c r="AI208" s="6"/>
      <c r="AJ208" s="6" t="s">
        <v>324</v>
      </c>
    </row>
    <row r="209" spans="1:36" ht="15.75" customHeight="1" x14ac:dyDescent="0.25">
      <c r="A209" s="7">
        <v>43418.601570104162</v>
      </c>
      <c r="B209" s="6" t="s">
        <v>127</v>
      </c>
      <c r="C209" s="6" t="s">
        <v>850</v>
      </c>
      <c r="D209" s="6" t="s">
        <v>163</v>
      </c>
      <c r="E209" s="6" t="s">
        <v>48</v>
      </c>
      <c r="F209" s="6" t="s">
        <v>851</v>
      </c>
      <c r="G209" s="6" t="s">
        <v>48</v>
      </c>
      <c r="H209" s="6" t="s">
        <v>852</v>
      </c>
      <c r="I209" s="6"/>
      <c r="J209" s="6" t="s">
        <v>106</v>
      </c>
      <c r="K209" s="6"/>
      <c r="L209" s="6" t="s">
        <v>853</v>
      </c>
      <c r="M209" s="6"/>
      <c r="N209" s="6" t="s">
        <v>98</v>
      </c>
      <c r="O209" s="6"/>
      <c r="P209" s="6" t="s">
        <v>131</v>
      </c>
      <c r="Q209" s="6"/>
      <c r="R209" s="47" t="s">
        <v>3299</v>
      </c>
      <c r="S209" s="14" t="s">
        <v>4580</v>
      </c>
      <c r="AA209" s="6"/>
      <c r="AB209" s="6" t="s">
        <v>101</v>
      </c>
      <c r="AC209" s="6"/>
      <c r="AD209" s="6" t="s">
        <v>56</v>
      </c>
      <c r="AE209" s="6"/>
      <c r="AF209" s="6" t="s">
        <v>68</v>
      </c>
      <c r="AG209" s="6"/>
      <c r="AH209" s="11" t="s">
        <v>144</v>
      </c>
      <c r="AI209" s="6"/>
      <c r="AJ209" s="6" t="s">
        <v>77</v>
      </c>
    </row>
    <row r="210" spans="1:36" ht="15.75" customHeight="1" x14ac:dyDescent="0.25">
      <c r="A210" s="7">
        <v>43418.601789548615</v>
      </c>
      <c r="B210" s="6" t="s">
        <v>30</v>
      </c>
      <c r="C210" s="6" t="s">
        <v>215</v>
      </c>
      <c r="D210" s="6" t="s">
        <v>165</v>
      </c>
      <c r="E210" s="6" t="s">
        <v>48</v>
      </c>
      <c r="F210" s="6" t="s">
        <v>855</v>
      </c>
      <c r="G210" s="6" t="s">
        <v>48</v>
      </c>
      <c r="H210" s="6" t="s">
        <v>856</v>
      </c>
      <c r="I210" s="6"/>
      <c r="J210" s="6" t="s">
        <v>106</v>
      </c>
      <c r="K210" s="6"/>
      <c r="L210" s="6" t="s">
        <v>857</v>
      </c>
      <c r="M210" s="6"/>
      <c r="N210" s="6" t="s">
        <v>112</v>
      </c>
      <c r="O210" s="6"/>
      <c r="P210" s="6" t="s">
        <v>99</v>
      </c>
      <c r="Q210" s="6"/>
      <c r="R210" s="47" t="s">
        <v>4455</v>
      </c>
      <c r="S210" s="14" t="s">
        <v>4679</v>
      </c>
      <c r="T210" s="14" t="s">
        <v>4680</v>
      </c>
      <c r="U210" s="14" t="s">
        <v>4681</v>
      </c>
      <c r="AA210" s="6"/>
      <c r="AB210" s="6" t="s">
        <v>55</v>
      </c>
      <c r="AC210" s="6"/>
      <c r="AD210" s="6" t="s">
        <v>56</v>
      </c>
      <c r="AE210" s="6"/>
      <c r="AF210" s="6" t="s">
        <v>68</v>
      </c>
      <c r="AG210" s="6"/>
      <c r="AH210" s="6" t="s">
        <v>58</v>
      </c>
      <c r="AI210" s="6"/>
      <c r="AJ210" s="6" t="s">
        <v>77</v>
      </c>
    </row>
    <row r="211" spans="1:36" ht="15.75" customHeight="1" x14ac:dyDescent="0.25">
      <c r="A211" s="7">
        <v>43418.602080821758</v>
      </c>
      <c r="B211" s="6" t="s">
        <v>30</v>
      </c>
      <c r="C211" s="6" t="s">
        <v>419</v>
      </c>
      <c r="D211" s="6" t="s">
        <v>46</v>
      </c>
      <c r="E211" s="6" t="s">
        <v>81</v>
      </c>
      <c r="G211" s="6" t="s">
        <v>87</v>
      </c>
      <c r="J211" s="6" t="s">
        <v>92</v>
      </c>
      <c r="K211" s="6"/>
      <c r="N211" s="6" t="s">
        <v>98</v>
      </c>
      <c r="O211" s="6"/>
      <c r="P211" s="6" t="s">
        <v>131</v>
      </c>
      <c r="Q211" s="6"/>
      <c r="AA211" s="6"/>
      <c r="AB211" s="6" t="s">
        <v>101</v>
      </c>
      <c r="AC211" s="6"/>
      <c r="AD211" s="6" t="s">
        <v>109</v>
      </c>
      <c r="AE211" s="6"/>
      <c r="AF211" s="6" t="s">
        <v>75</v>
      </c>
      <c r="AG211" s="6"/>
      <c r="AH211" s="6" t="s">
        <v>58</v>
      </c>
      <c r="AJ211" s="6" t="s">
        <v>57</v>
      </c>
    </row>
    <row r="212" spans="1:36" ht="15.75" customHeight="1" x14ac:dyDescent="0.25">
      <c r="A212" s="7">
        <v>43418.603222048609</v>
      </c>
      <c r="B212" s="6" t="s">
        <v>127</v>
      </c>
      <c r="C212" s="6" t="s">
        <v>287</v>
      </c>
      <c r="D212" s="6" t="s">
        <v>46</v>
      </c>
      <c r="E212" s="6" t="s">
        <v>81</v>
      </c>
      <c r="G212" s="6" t="s">
        <v>87</v>
      </c>
      <c r="H212" s="6" t="s">
        <v>859</v>
      </c>
      <c r="I212" s="6"/>
      <c r="J212" s="6" t="s">
        <v>106</v>
      </c>
      <c r="K212" s="6"/>
      <c r="L212" s="6" t="s">
        <v>860</v>
      </c>
      <c r="M212" s="6"/>
      <c r="N212" s="6" t="s">
        <v>98</v>
      </c>
      <c r="O212" s="6"/>
      <c r="P212" s="6" t="s">
        <v>131</v>
      </c>
      <c r="Q212" s="6"/>
      <c r="R212" s="47" t="s">
        <v>861</v>
      </c>
      <c r="AA212" s="6"/>
      <c r="AB212" s="6" t="s">
        <v>67</v>
      </c>
      <c r="AC212" s="6"/>
      <c r="AD212" s="6" t="s">
        <v>56</v>
      </c>
      <c r="AE212" s="6"/>
      <c r="AF212" s="6" t="s">
        <v>161</v>
      </c>
      <c r="AG212" s="6"/>
      <c r="AH212" s="6" t="s">
        <v>76</v>
      </c>
      <c r="AI212" s="6"/>
      <c r="AJ212" s="6" t="s">
        <v>334</v>
      </c>
    </row>
    <row r="213" spans="1:36" ht="15.75" customHeight="1" x14ac:dyDescent="0.25">
      <c r="A213" s="7">
        <v>43418.603883101852</v>
      </c>
      <c r="B213" s="6" t="s">
        <v>31</v>
      </c>
      <c r="C213" s="6" t="s">
        <v>116</v>
      </c>
      <c r="D213" s="6" t="s">
        <v>133</v>
      </c>
      <c r="E213" s="6" t="s">
        <v>81</v>
      </c>
      <c r="F213" s="6" t="s">
        <v>862</v>
      </c>
      <c r="G213" s="6" t="s">
        <v>87</v>
      </c>
      <c r="H213" s="6" t="s">
        <v>863</v>
      </c>
      <c r="I213" s="6"/>
      <c r="J213" s="6" t="s">
        <v>106</v>
      </c>
      <c r="K213" s="6"/>
      <c r="L213" s="20" t="s">
        <v>864</v>
      </c>
      <c r="M213" s="6"/>
      <c r="N213" s="6" t="s">
        <v>98</v>
      </c>
      <c r="O213" s="6"/>
      <c r="P213" s="6" t="s">
        <v>99</v>
      </c>
      <c r="Q213" s="6"/>
      <c r="R213" s="47" t="s">
        <v>865</v>
      </c>
      <c r="AA213" s="6"/>
      <c r="AB213" s="6" t="s">
        <v>67</v>
      </c>
      <c r="AC213" s="6"/>
      <c r="AD213" s="6" t="s">
        <v>56</v>
      </c>
      <c r="AE213" s="6"/>
      <c r="AF213" s="6" t="s">
        <v>57</v>
      </c>
      <c r="AG213" s="6"/>
      <c r="AH213" s="6" t="s">
        <v>76</v>
      </c>
      <c r="AI213" s="6"/>
      <c r="AJ213" s="11" t="s">
        <v>356</v>
      </c>
    </row>
    <row r="214" spans="1:36" ht="15.75" customHeight="1" x14ac:dyDescent="0.25">
      <c r="A214" s="7">
        <v>43418.603905509255</v>
      </c>
      <c r="B214" s="6" t="s">
        <v>60</v>
      </c>
      <c r="C214" s="6" t="s">
        <v>419</v>
      </c>
      <c r="D214" s="6" t="s">
        <v>165</v>
      </c>
      <c r="E214" s="6" t="s">
        <v>81</v>
      </c>
      <c r="G214" s="6" t="s">
        <v>87</v>
      </c>
      <c r="H214" s="6" t="s">
        <v>866</v>
      </c>
      <c r="I214" s="6"/>
      <c r="J214" s="6" t="s">
        <v>106</v>
      </c>
      <c r="K214" s="6"/>
      <c r="L214" s="6" t="s">
        <v>867</v>
      </c>
      <c r="M214" s="6"/>
      <c r="N214" s="6" t="s">
        <v>112</v>
      </c>
      <c r="O214" s="6"/>
      <c r="P214" s="6" t="s">
        <v>52</v>
      </c>
      <c r="Q214" s="6"/>
      <c r="R214" s="47" t="s">
        <v>254</v>
      </c>
      <c r="S214" s="14" t="s">
        <v>4682</v>
      </c>
      <c r="T214" s="14" t="s">
        <v>4632</v>
      </c>
      <c r="U214" s="14" t="s">
        <v>4683</v>
      </c>
      <c r="V214" s="14" t="s">
        <v>4684</v>
      </c>
      <c r="AA214" s="6"/>
      <c r="AB214" s="6" t="s">
        <v>101</v>
      </c>
      <c r="AC214" s="6"/>
      <c r="AD214" s="6" t="s">
        <v>56</v>
      </c>
      <c r="AE214" s="6"/>
      <c r="AF214" s="6" t="s">
        <v>75</v>
      </c>
      <c r="AG214" s="6"/>
      <c r="AH214" s="6" t="s">
        <v>126</v>
      </c>
      <c r="AI214" s="6"/>
      <c r="AJ214" s="6" t="s">
        <v>288</v>
      </c>
    </row>
    <row r="215" spans="1:36" ht="15.75" customHeight="1" x14ac:dyDescent="0.25">
      <c r="A215" s="7">
        <v>43418.604047002314</v>
      </c>
      <c r="B215" s="6" t="s">
        <v>154</v>
      </c>
      <c r="C215" s="6" t="s">
        <v>90</v>
      </c>
      <c r="D215" s="6" t="s">
        <v>165</v>
      </c>
      <c r="E215" s="6" t="s">
        <v>48</v>
      </c>
      <c r="F215" s="6" t="s">
        <v>183</v>
      </c>
      <c r="G215" s="6" t="s">
        <v>48</v>
      </c>
      <c r="H215" s="6" t="s">
        <v>869</v>
      </c>
      <c r="I215" s="6"/>
      <c r="J215" s="6" t="s">
        <v>73</v>
      </c>
      <c r="K215" s="6"/>
      <c r="L215" s="6" t="s">
        <v>870</v>
      </c>
      <c r="M215" s="6"/>
      <c r="N215" s="6" t="s">
        <v>181</v>
      </c>
      <c r="O215" s="6"/>
      <c r="P215" s="6" t="s">
        <v>131</v>
      </c>
      <c r="Q215" s="6"/>
      <c r="AA215" s="6"/>
      <c r="AB215" s="6" t="s">
        <v>203</v>
      </c>
      <c r="AC215" s="6"/>
      <c r="AD215" s="6" t="s">
        <v>56</v>
      </c>
      <c r="AE215" s="6"/>
      <c r="AF215" s="6" t="s">
        <v>68</v>
      </c>
      <c r="AG215" s="6"/>
      <c r="AH215" s="6" t="s">
        <v>126</v>
      </c>
      <c r="AI215" s="6"/>
      <c r="AJ215" s="6" t="s">
        <v>174</v>
      </c>
    </row>
    <row r="216" spans="1:36" ht="15.75" customHeight="1" x14ac:dyDescent="0.25">
      <c r="A216" s="7">
        <v>43418.604962777783</v>
      </c>
      <c r="B216" s="6" t="s">
        <v>294</v>
      </c>
      <c r="C216" s="6" t="s">
        <v>871</v>
      </c>
      <c r="D216" s="6" t="s">
        <v>155</v>
      </c>
      <c r="E216" s="6" t="s">
        <v>48</v>
      </c>
      <c r="F216" s="6" t="s">
        <v>872</v>
      </c>
      <c r="G216" s="6" t="s">
        <v>48</v>
      </c>
      <c r="H216" s="6" t="s">
        <v>873</v>
      </c>
      <c r="I216" s="6"/>
      <c r="J216" s="6" t="s">
        <v>158</v>
      </c>
      <c r="K216" s="6"/>
      <c r="L216" s="6" t="s">
        <v>874</v>
      </c>
      <c r="M216" s="6"/>
      <c r="N216" s="6" t="s">
        <v>181</v>
      </c>
      <c r="O216" s="6"/>
      <c r="P216" s="6" t="s">
        <v>131</v>
      </c>
      <c r="Q216" s="6"/>
      <c r="R216" s="47" t="s">
        <v>143</v>
      </c>
      <c r="S216" s="14" t="s">
        <v>4404</v>
      </c>
      <c r="T216" s="14" t="s">
        <v>4685</v>
      </c>
      <c r="AA216" s="6"/>
      <c r="AB216" s="6" t="s">
        <v>101</v>
      </c>
      <c r="AC216" s="6"/>
      <c r="AD216" s="6" t="s">
        <v>56</v>
      </c>
      <c r="AE216" s="6"/>
      <c r="AF216" s="6" t="s">
        <v>68</v>
      </c>
      <c r="AG216" s="6"/>
      <c r="AH216" s="6" t="s">
        <v>58</v>
      </c>
      <c r="AI216" s="6"/>
      <c r="AJ216" s="6" t="s">
        <v>77</v>
      </c>
    </row>
    <row r="217" spans="1:36" ht="15.75" customHeight="1" x14ac:dyDescent="0.25">
      <c r="A217" s="7">
        <v>43418.606118761571</v>
      </c>
      <c r="B217" s="6" t="s">
        <v>60</v>
      </c>
      <c r="C217" s="6" t="s">
        <v>876</v>
      </c>
      <c r="D217" s="6" t="s">
        <v>163</v>
      </c>
      <c r="E217" s="6" t="s">
        <v>48</v>
      </c>
      <c r="F217" s="6" t="s">
        <v>877</v>
      </c>
      <c r="G217" s="6" t="s">
        <v>48</v>
      </c>
      <c r="H217" s="6" t="s">
        <v>878</v>
      </c>
      <c r="I217" s="6"/>
      <c r="J217" s="6" t="s">
        <v>50</v>
      </c>
      <c r="K217" s="6"/>
      <c r="L217" s="6" t="s">
        <v>879</v>
      </c>
      <c r="M217" s="6"/>
      <c r="N217" s="6" t="s">
        <v>112</v>
      </c>
      <c r="O217" s="6"/>
      <c r="P217" s="6" t="s">
        <v>52</v>
      </c>
      <c r="Q217" s="6"/>
      <c r="R217" s="47" t="s">
        <v>12</v>
      </c>
      <c r="S217" s="14" t="s">
        <v>4453</v>
      </c>
      <c r="T217" s="14" t="s">
        <v>4686</v>
      </c>
      <c r="U217" s="14" t="s">
        <v>4687</v>
      </c>
      <c r="AA217" s="6"/>
      <c r="AB217" s="6" t="s">
        <v>101</v>
      </c>
      <c r="AC217" s="6"/>
      <c r="AD217" s="6" t="s">
        <v>56</v>
      </c>
      <c r="AE217" s="6"/>
      <c r="AF217" s="6" t="s">
        <v>68</v>
      </c>
      <c r="AG217" s="6"/>
      <c r="AH217" s="6" t="s">
        <v>126</v>
      </c>
      <c r="AI217" s="6"/>
      <c r="AJ217" s="6" t="s">
        <v>300</v>
      </c>
    </row>
    <row r="218" spans="1:36" ht="15.75" customHeight="1" x14ac:dyDescent="0.25">
      <c r="A218" s="7">
        <v>43418.606940601851</v>
      </c>
      <c r="B218" s="6" t="s">
        <v>127</v>
      </c>
      <c r="C218" s="6" t="s">
        <v>79</v>
      </c>
      <c r="D218" s="6" t="s">
        <v>165</v>
      </c>
      <c r="E218" s="6" t="s">
        <v>81</v>
      </c>
      <c r="G218" s="6" t="s">
        <v>87</v>
      </c>
      <c r="J218" s="6" t="s">
        <v>89</v>
      </c>
      <c r="K218" s="6"/>
      <c r="N218" s="6" t="s">
        <v>121</v>
      </c>
      <c r="O218" s="6"/>
      <c r="P218" s="6" t="s">
        <v>94</v>
      </c>
      <c r="Q218" s="6"/>
      <c r="AA218" s="6"/>
      <c r="AB218" s="6" t="s">
        <v>55</v>
      </c>
      <c r="AC218" s="6"/>
      <c r="AD218" s="6" t="s">
        <v>56</v>
      </c>
      <c r="AE218" s="6"/>
      <c r="AF218" s="6" t="s">
        <v>75</v>
      </c>
      <c r="AG218" s="6"/>
      <c r="AH218" s="6" t="s">
        <v>58</v>
      </c>
      <c r="AI218" s="6"/>
      <c r="AJ218" s="6" t="s">
        <v>77</v>
      </c>
    </row>
    <row r="219" spans="1:36" ht="15.75" customHeight="1" x14ac:dyDescent="0.25">
      <c r="A219" s="7">
        <v>43418.607091041667</v>
      </c>
      <c r="B219" s="6" t="s">
        <v>30</v>
      </c>
      <c r="C219" s="6" t="s">
        <v>95</v>
      </c>
      <c r="D219" s="6" t="s">
        <v>46</v>
      </c>
      <c r="E219" s="6" t="s">
        <v>81</v>
      </c>
      <c r="G219" s="6" t="s">
        <v>87</v>
      </c>
      <c r="H219" s="6" t="s">
        <v>881</v>
      </c>
      <c r="I219" s="6"/>
      <c r="J219" s="6" t="s">
        <v>106</v>
      </c>
      <c r="K219" s="6"/>
      <c r="L219" s="6" t="s">
        <v>107</v>
      </c>
      <c r="M219" s="6"/>
      <c r="N219" s="6" t="s">
        <v>51</v>
      </c>
      <c r="O219" s="6"/>
      <c r="P219" s="6" t="s">
        <v>131</v>
      </c>
      <c r="Q219" s="6"/>
      <c r="R219" s="47" t="s">
        <v>182</v>
      </c>
      <c r="S219" s="14" t="s">
        <v>4631</v>
      </c>
      <c r="AA219" s="6"/>
      <c r="AB219" s="6" t="s">
        <v>101</v>
      </c>
      <c r="AC219" s="6"/>
      <c r="AD219" s="6" t="s">
        <v>56</v>
      </c>
      <c r="AE219" s="6"/>
      <c r="AF219" s="6" t="s">
        <v>75</v>
      </c>
      <c r="AG219" s="6"/>
      <c r="AH219" s="6" t="s">
        <v>57</v>
      </c>
      <c r="AI219" s="6"/>
      <c r="AJ219" s="6" t="s">
        <v>69</v>
      </c>
    </row>
    <row r="220" spans="1:36" ht="15.75" customHeight="1" x14ac:dyDescent="0.25">
      <c r="A220" s="7">
        <v>43418.607689791665</v>
      </c>
      <c r="B220" s="6" t="s">
        <v>305</v>
      </c>
      <c r="C220" s="6" t="s">
        <v>883</v>
      </c>
      <c r="D220" s="6" t="s">
        <v>510</v>
      </c>
      <c r="E220" s="6" t="s">
        <v>81</v>
      </c>
      <c r="G220" s="6" t="s">
        <v>87</v>
      </c>
      <c r="J220" s="6" t="s">
        <v>106</v>
      </c>
      <c r="K220" s="6"/>
      <c r="L220" s="6" t="s">
        <v>884</v>
      </c>
      <c r="M220" s="6"/>
      <c r="N220" s="6" t="s">
        <v>98</v>
      </c>
      <c r="O220" s="6"/>
      <c r="P220" s="6" t="s">
        <v>65</v>
      </c>
      <c r="Q220" s="6"/>
      <c r="R220" s="47" t="s">
        <v>4688</v>
      </c>
      <c r="S220" s="14" t="s">
        <v>4689</v>
      </c>
      <c r="T220" s="14" t="s">
        <v>4527</v>
      </c>
      <c r="U220" s="14" t="s">
        <v>4690</v>
      </c>
      <c r="V220" s="14" t="s">
        <v>4691</v>
      </c>
      <c r="AA220" s="6"/>
      <c r="AB220" s="6" t="s">
        <v>67</v>
      </c>
      <c r="AC220" s="6"/>
      <c r="AD220" s="6" t="s">
        <v>57</v>
      </c>
      <c r="AE220" s="6"/>
      <c r="AF220" s="6" t="s">
        <v>75</v>
      </c>
      <c r="AG220" s="6"/>
      <c r="AH220" s="6" t="s">
        <v>57</v>
      </c>
      <c r="AI220" s="6"/>
      <c r="AJ220" s="6" t="s">
        <v>77</v>
      </c>
    </row>
    <row r="221" spans="1:36" ht="15.75" customHeight="1" x14ac:dyDescent="0.25">
      <c r="A221" s="7">
        <v>43418.608143229168</v>
      </c>
      <c r="B221" s="6" t="s">
        <v>60</v>
      </c>
      <c r="C221" s="6" t="s">
        <v>128</v>
      </c>
      <c r="D221" s="6" t="s">
        <v>165</v>
      </c>
      <c r="E221" s="6" t="s">
        <v>81</v>
      </c>
      <c r="G221" s="6" t="s">
        <v>87</v>
      </c>
      <c r="J221" s="6" t="s">
        <v>89</v>
      </c>
      <c r="K221" s="6"/>
      <c r="L221" s="6" t="s">
        <v>886</v>
      </c>
      <c r="M221" s="6"/>
      <c r="N221" s="6" t="s">
        <v>181</v>
      </c>
      <c r="O221" s="6"/>
      <c r="P221" s="6" t="s">
        <v>131</v>
      </c>
      <c r="Q221" s="6"/>
      <c r="AA221" s="6"/>
      <c r="AB221" s="6" t="s">
        <v>101</v>
      </c>
      <c r="AC221" s="6"/>
      <c r="AD221" s="6" t="s">
        <v>56</v>
      </c>
      <c r="AE221" s="6"/>
      <c r="AF221" s="6" t="s">
        <v>68</v>
      </c>
      <c r="AG221" s="6"/>
      <c r="AH221" s="6" t="s">
        <v>126</v>
      </c>
      <c r="AI221" s="6"/>
      <c r="AJ221" s="6" t="s">
        <v>174</v>
      </c>
    </row>
    <row r="222" spans="1:36" ht="15.75" customHeight="1" x14ac:dyDescent="0.25">
      <c r="A222" s="7">
        <v>43418.61008706018</v>
      </c>
      <c r="B222" s="6" t="s">
        <v>26</v>
      </c>
      <c r="C222" s="6" t="s">
        <v>116</v>
      </c>
      <c r="D222" s="6" t="s">
        <v>46</v>
      </c>
      <c r="E222" s="6" t="s">
        <v>81</v>
      </c>
      <c r="G222" s="6" t="s">
        <v>87</v>
      </c>
      <c r="H222" s="6" t="s">
        <v>887</v>
      </c>
      <c r="I222" s="6"/>
      <c r="J222" s="6" t="s">
        <v>89</v>
      </c>
      <c r="K222" s="6"/>
      <c r="L222" s="6" t="s">
        <v>888</v>
      </c>
      <c r="M222" s="6"/>
      <c r="N222" s="6" t="s">
        <v>121</v>
      </c>
      <c r="O222" s="6"/>
      <c r="P222" s="6" t="s">
        <v>94</v>
      </c>
      <c r="Q222" s="6"/>
      <c r="R222" s="47" t="s">
        <v>3473</v>
      </c>
      <c r="S222" s="14" t="s">
        <v>4537</v>
      </c>
      <c r="T222" s="14" t="s">
        <v>4400</v>
      </c>
      <c r="AA222" s="6"/>
      <c r="AB222" s="6" t="s">
        <v>101</v>
      </c>
      <c r="AC222" s="6"/>
      <c r="AD222" s="6" t="s">
        <v>56</v>
      </c>
      <c r="AE222" s="6"/>
      <c r="AF222" s="6" t="s">
        <v>68</v>
      </c>
      <c r="AG222" s="6"/>
      <c r="AH222" s="6" t="s">
        <v>58</v>
      </c>
      <c r="AI222" s="6"/>
      <c r="AJ222" s="6" t="s">
        <v>187</v>
      </c>
    </row>
    <row r="223" spans="1:36" ht="15.75" customHeight="1" x14ac:dyDescent="0.25">
      <c r="A223" s="7">
        <v>43418.610177592593</v>
      </c>
      <c r="B223" s="6" t="s">
        <v>30</v>
      </c>
      <c r="C223" s="6" t="s">
        <v>79</v>
      </c>
      <c r="D223" s="6" t="s">
        <v>163</v>
      </c>
      <c r="E223" s="6" t="s">
        <v>81</v>
      </c>
      <c r="G223" s="6" t="s">
        <v>87</v>
      </c>
      <c r="H223" s="6" t="s">
        <v>890</v>
      </c>
      <c r="I223" s="6"/>
      <c r="J223" s="6" t="s">
        <v>64</v>
      </c>
      <c r="K223" s="6"/>
      <c r="L223" s="6" t="s">
        <v>891</v>
      </c>
      <c r="M223" s="6"/>
      <c r="N223" s="6" t="s">
        <v>98</v>
      </c>
      <c r="O223" s="6"/>
      <c r="P223" s="6" t="s">
        <v>94</v>
      </c>
      <c r="Q223" s="6"/>
      <c r="R223" s="47" t="s">
        <v>892</v>
      </c>
      <c r="AA223" s="6"/>
      <c r="AB223" s="6" t="s">
        <v>67</v>
      </c>
      <c r="AC223" s="6"/>
      <c r="AD223" s="6" t="s">
        <v>56</v>
      </c>
      <c r="AE223" s="6"/>
      <c r="AF223" s="6" t="s">
        <v>68</v>
      </c>
      <c r="AG223" s="6"/>
      <c r="AH223" s="6" t="s">
        <v>58</v>
      </c>
      <c r="AI223" s="6"/>
      <c r="AJ223" s="6" t="s">
        <v>77</v>
      </c>
    </row>
    <row r="224" spans="1:36" ht="15.75" customHeight="1" x14ac:dyDescent="0.25">
      <c r="A224" s="7">
        <v>43418.610501921299</v>
      </c>
      <c r="B224" s="6" t="s">
        <v>127</v>
      </c>
      <c r="C224" s="6" t="s">
        <v>90</v>
      </c>
      <c r="D224" s="6" t="s">
        <v>307</v>
      </c>
      <c r="E224" s="6" t="s">
        <v>81</v>
      </c>
      <c r="G224" s="6" t="s">
        <v>87</v>
      </c>
      <c r="H224" s="6" t="s">
        <v>893</v>
      </c>
      <c r="I224" s="6"/>
      <c r="J224" s="6" t="s">
        <v>92</v>
      </c>
      <c r="K224" s="6"/>
      <c r="N224" s="6" t="s">
        <v>167</v>
      </c>
      <c r="O224" s="6"/>
      <c r="P224" s="6" t="s">
        <v>94</v>
      </c>
      <c r="Q224" s="6"/>
      <c r="R224" s="47" t="s">
        <v>894</v>
      </c>
      <c r="AA224" s="6"/>
      <c r="AB224" s="6" t="s">
        <v>55</v>
      </c>
      <c r="AC224" s="6"/>
      <c r="AD224" s="6" t="s">
        <v>56</v>
      </c>
      <c r="AE224" s="6"/>
      <c r="AF224" s="6" t="s">
        <v>161</v>
      </c>
      <c r="AG224" s="6"/>
      <c r="AH224" s="6" t="s">
        <v>76</v>
      </c>
      <c r="AI224" s="6"/>
      <c r="AJ224" s="6" t="s">
        <v>77</v>
      </c>
    </row>
    <row r="225" spans="1:36" ht="15.75" customHeight="1" x14ac:dyDescent="0.25">
      <c r="A225" s="7">
        <v>43418.611694814812</v>
      </c>
      <c r="B225" s="6" t="s">
        <v>30</v>
      </c>
      <c r="C225" s="6" t="s">
        <v>116</v>
      </c>
      <c r="D225" s="6" t="s">
        <v>133</v>
      </c>
      <c r="E225" s="6" t="s">
        <v>81</v>
      </c>
      <c r="G225" s="6" t="s">
        <v>87</v>
      </c>
      <c r="H225" s="6" t="s">
        <v>895</v>
      </c>
      <c r="I225" s="6"/>
      <c r="J225" s="6" t="s">
        <v>92</v>
      </c>
      <c r="K225" s="6"/>
      <c r="L225" s="6" t="s">
        <v>896</v>
      </c>
      <c r="M225" s="6"/>
      <c r="N225" s="6" t="s">
        <v>181</v>
      </c>
      <c r="O225" s="6"/>
      <c r="P225" s="6" t="s">
        <v>94</v>
      </c>
      <c r="Q225" s="6"/>
      <c r="R225" s="47" t="s">
        <v>1261</v>
      </c>
      <c r="S225" s="14" t="s">
        <v>4692</v>
      </c>
      <c r="T225" s="14" t="s">
        <v>4693</v>
      </c>
      <c r="AA225" s="6"/>
      <c r="AB225" s="6" t="s">
        <v>101</v>
      </c>
      <c r="AC225" s="6"/>
      <c r="AD225" s="6" t="s">
        <v>56</v>
      </c>
      <c r="AE225" s="6"/>
      <c r="AF225" s="6" t="s">
        <v>75</v>
      </c>
      <c r="AG225" s="6"/>
      <c r="AH225" s="6" t="s">
        <v>76</v>
      </c>
      <c r="AI225" s="6"/>
      <c r="AJ225" s="6" t="s">
        <v>69</v>
      </c>
    </row>
    <row r="226" spans="1:36" ht="15.75" customHeight="1" x14ac:dyDescent="0.25">
      <c r="A226" s="7">
        <v>43418.611749502314</v>
      </c>
      <c r="B226" s="6" t="s">
        <v>60</v>
      </c>
      <c r="C226" s="6" t="s">
        <v>749</v>
      </c>
      <c r="D226" s="6" t="s">
        <v>190</v>
      </c>
      <c r="E226" s="6" t="s">
        <v>81</v>
      </c>
      <c r="G226" s="6" t="s">
        <v>87</v>
      </c>
      <c r="H226" s="6" t="s">
        <v>898</v>
      </c>
      <c r="I226" s="6"/>
      <c r="J226" s="6" t="s">
        <v>89</v>
      </c>
      <c r="K226" s="6"/>
      <c r="L226" s="6" t="s">
        <v>899</v>
      </c>
      <c r="M226" s="6"/>
      <c r="N226" s="6" t="s">
        <v>212</v>
      </c>
      <c r="O226" s="6"/>
      <c r="P226" s="6" t="s">
        <v>131</v>
      </c>
      <c r="Q226" s="6"/>
      <c r="R226" s="47" t="s">
        <v>2751</v>
      </c>
      <c r="S226" s="14" t="s">
        <v>4694</v>
      </c>
      <c r="AA226" s="6"/>
      <c r="AB226" s="6" t="s">
        <v>67</v>
      </c>
      <c r="AC226" s="6"/>
      <c r="AD226" s="6" t="s">
        <v>56</v>
      </c>
      <c r="AE226" s="6"/>
      <c r="AF226" s="6" t="s">
        <v>161</v>
      </c>
      <c r="AG226" s="6"/>
      <c r="AH226" s="6" t="s">
        <v>76</v>
      </c>
      <c r="AI226" s="6"/>
      <c r="AJ226" s="6" t="s">
        <v>300</v>
      </c>
    </row>
    <row r="227" spans="1:36" ht="15.75" customHeight="1" x14ac:dyDescent="0.25">
      <c r="A227" s="7">
        <v>43418.611799143517</v>
      </c>
      <c r="B227" s="6" t="s">
        <v>154</v>
      </c>
      <c r="C227" s="6" t="s">
        <v>116</v>
      </c>
      <c r="D227" s="6" t="s">
        <v>165</v>
      </c>
      <c r="E227" s="6" t="s">
        <v>48</v>
      </c>
      <c r="F227" s="6" t="s">
        <v>183</v>
      </c>
      <c r="G227" s="6" t="s">
        <v>48</v>
      </c>
      <c r="H227" s="6" t="s">
        <v>901</v>
      </c>
      <c r="I227" s="6"/>
      <c r="J227" s="6" t="s">
        <v>110</v>
      </c>
      <c r="K227" s="6"/>
      <c r="L227" s="6" t="s">
        <v>902</v>
      </c>
      <c r="M227" s="6"/>
      <c r="N227" s="6" t="s">
        <v>212</v>
      </c>
      <c r="O227" s="6"/>
      <c r="P227" s="6" t="s">
        <v>94</v>
      </c>
      <c r="Q227" s="6"/>
      <c r="AA227" s="6"/>
      <c r="AB227" s="6" t="s">
        <v>67</v>
      </c>
      <c r="AC227" s="6"/>
      <c r="AD227" s="6" t="s">
        <v>56</v>
      </c>
      <c r="AE227" s="6"/>
      <c r="AF227" s="6" t="s">
        <v>75</v>
      </c>
      <c r="AG227" s="6"/>
      <c r="AH227" s="6" t="s">
        <v>76</v>
      </c>
      <c r="AJ227" s="6" t="s">
        <v>57</v>
      </c>
    </row>
    <row r="228" spans="1:36" ht="15.75" customHeight="1" x14ac:dyDescent="0.25">
      <c r="A228" s="7">
        <v>43418.612532592597</v>
      </c>
      <c r="B228" s="6" t="s">
        <v>30</v>
      </c>
      <c r="C228" s="6" t="s">
        <v>45</v>
      </c>
      <c r="D228" s="6" t="s">
        <v>91</v>
      </c>
      <c r="E228" s="6" t="s">
        <v>81</v>
      </c>
      <c r="G228" s="6" t="s">
        <v>87</v>
      </c>
      <c r="H228" s="6" t="s">
        <v>81</v>
      </c>
      <c r="I228" s="6"/>
      <c r="J228" s="6" t="s">
        <v>92</v>
      </c>
      <c r="K228" s="6"/>
      <c r="L228" s="6" t="s">
        <v>903</v>
      </c>
      <c r="M228" s="6"/>
      <c r="N228" s="6" t="s">
        <v>181</v>
      </c>
      <c r="O228" s="6"/>
      <c r="P228" s="6" t="s">
        <v>94</v>
      </c>
      <c r="Q228" s="6"/>
      <c r="R228" s="47" t="s">
        <v>182</v>
      </c>
      <c r="AA228" s="6"/>
      <c r="AB228" s="6" t="s">
        <v>203</v>
      </c>
      <c r="AC228" s="6"/>
      <c r="AD228" s="6" t="s">
        <v>56</v>
      </c>
      <c r="AE228" s="6"/>
      <c r="AF228" s="6" t="s">
        <v>161</v>
      </c>
      <c r="AG228" s="6"/>
      <c r="AH228" s="6" t="s">
        <v>76</v>
      </c>
      <c r="AI228" s="6"/>
      <c r="AJ228" s="6" t="s">
        <v>170</v>
      </c>
    </row>
    <row r="229" spans="1:36" ht="15.75" customHeight="1" x14ac:dyDescent="0.25">
      <c r="A229" s="7">
        <v>43418.612554409723</v>
      </c>
      <c r="B229" s="6" t="s">
        <v>30</v>
      </c>
      <c r="C229" s="6" t="s">
        <v>61</v>
      </c>
      <c r="D229" s="6" t="s">
        <v>165</v>
      </c>
      <c r="E229" s="6" t="s">
        <v>81</v>
      </c>
      <c r="G229" s="6" t="s">
        <v>87</v>
      </c>
      <c r="H229" s="6" t="s">
        <v>904</v>
      </c>
      <c r="I229" s="6"/>
      <c r="J229" s="6" t="s">
        <v>50</v>
      </c>
      <c r="K229" s="6"/>
      <c r="L229" s="6" t="s">
        <v>905</v>
      </c>
      <c r="M229" s="6"/>
      <c r="N229" s="6" t="s">
        <v>112</v>
      </c>
      <c r="O229" s="6"/>
      <c r="P229" s="6" t="s">
        <v>99</v>
      </c>
      <c r="Q229" s="6"/>
      <c r="R229" s="47" t="s">
        <v>4695</v>
      </c>
      <c r="S229" s="14" t="s">
        <v>4696</v>
      </c>
      <c r="T229" s="14" t="s">
        <v>4697</v>
      </c>
      <c r="U229" s="14" t="s">
        <v>4698</v>
      </c>
      <c r="AA229" s="6"/>
      <c r="AB229" s="6" t="s">
        <v>101</v>
      </c>
      <c r="AC229" s="6"/>
      <c r="AD229" s="6" t="s">
        <v>56</v>
      </c>
      <c r="AE229" s="6"/>
      <c r="AF229" s="6" t="s">
        <v>75</v>
      </c>
      <c r="AG229" s="6"/>
      <c r="AH229" s="6" t="s">
        <v>76</v>
      </c>
      <c r="AI229" s="6"/>
      <c r="AJ229" s="11" t="s">
        <v>297</v>
      </c>
    </row>
    <row r="230" spans="1:36" ht="15.75" customHeight="1" x14ac:dyDescent="0.25">
      <c r="A230" s="7">
        <v>43418.613023240745</v>
      </c>
      <c r="B230" s="6" t="s">
        <v>154</v>
      </c>
      <c r="C230" s="6" t="s">
        <v>79</v>
      </c>
      <c r="D230" s="6" t="s">
        <v>46</v>
      </c>
      <c r="E230" s="6" t="s">
        <v>81</v>
      </c>
      <c r="G230" s="6" t="s">
        <v>87</v>
      </c>
      <c r="H230" s="6" t="s">
        <v>907</v>
      </c>
      <c r="I230" s="6"/>
      <c r="J230" s="6" t="s">
        <v>92</v>
      </c>
      <c r="K230" s="6"/>
      <c r="L230" s="6" t="s">
        <v>908</v>
      </c>
      <c r="M230" s="6"/>
      <c r="N230" s="6" t="s">
        <v>51</v>
      </c>
      <c r="O230" s="6"/>
      <c r="P230" s="6" t="s">
        <v>52</v>
      </c>
      <c r="Q230" s="6"/>
      <c r="R230" s="47" t="s">
        <v>192</v>
      </c>
      <c r="S230" s="14" t="s">
        <v>4400</v>
      </c>
      <c r="T230" s="14" t="s">
        <v>4518</v>
      </c>
      <c r="U230" s="14" t="s">
        <v>4699</v>
      </c>
      <c r="AA230" s="6"/>
      <c r="AB230" s="6" t="s">
        <v>67</v>
      </c>
      <c r="AC230" s="6"/>
      <c r="AD230" s="6" t="s">
        <v>56</v>
      </c>
      <c r="AE230" s="6"/>
      <c r="AF230" s="6" t="s">
        <v>161</v>
      </c>
      <c r="AG230" s="6"/>
      <c r="AH230" s="6" t="s">
        <v>76</v>
      </c>
      <c r="AI230" s="6"/>
      <c r="AJ230" s="6" t="s">
        <v>415</v>
      </c>
    </row>
    <row r="231" spans="1:36" ht="15.75" customHeight="1" x14ac:dyDescent="0.25">
      <c r="A231" s="7">
        <v>43418.613042569443</v>
      </c>
      <c r="B231" s="6" t="s">
        <v>30</v>
      </c>
      <c r="C231" s="6" t="s">
        <v>95</v>
      </c>
      <c r="D231" s="6" t="s">
        <v>165</v>
      </c>
      <c r="E231" s="6" t="s">
        <v>81</v>
      </c>
      <c r="G231" s="6" t="s">
        <v>48</v>
      </c>
      <c r="J231" s="6" t="s">
        <v>92</v>
      </c>
      <c r="K231" s="6"/>
      <c r="L231" s="6" t="s">
        <v>910</v>
      </c>
      <c r="M231" s="6"/>
      <c r="P231" s="6" t="s">
        <v>94</v>
      </c>
      <c r="Q231" s="6"/>
      <c r="R231" s="47" t="s">
        <v>1811</v>
      </c>
      <c r="S231" s="14" t="s">
        <v>4700</v>
      </c>
      <c r="T231" s="14" t="s">
        <v>3994</v>
      </c>
      <c r="AA231" s="6"/>
      <c r="AB231" s="6" t="s">
        <v>101</v>
      </c>
      <c r="AC231" s="6"/>
      <c r="AD231" s="6" t="s">
        <v>56</v>
      </c>
      <c r="AE231" s="6"/>
      <c r="AF231" s="6" t="s">
        <v>68</v>
      </c>
      <c r="AG231" s="6"/>
      <c r="AH231" s="6" t="s">
        <v>58</v>
      </c>
      <c r="AI231" s="6"/>
      <c r="AJ231" s="6" t="s">
        <v>286</v>
      </c>
    </row>
    <row r="232" spans="1:36" ht="15.75" customHeight="1" x14ac:dyDescent="0.25">
      <c r="A232" s="7">
        <v>43418.613292002316</v>
      </c>
      <c r="B232" s="6" t="s">
        <v>154</v>
      </c>
      <c r="C232" s="6" t="s">
        <v>215</v>
      </c>
      <c r="D232" s="6" t="s">
        <v>91</v>
      </c>
      <c r="E232" s="6" t="s">
        <v>48</v>
      </c>
      <c r="F232" s="6" t="s">
        <v>912</v>
      </c>
      <c r="G232" s="6" t="s">
        <v>48</v>
      </c>
      <c r="J232" s="6" t="s">
        <v>50</v>
      </c>
      <c r="K232" s="6"/>
      <c r="L232" s="6" t="s">
        <v>913</v>
      </c>
      <c r="M232" s="6"/>
      <c r="N232" s="6" t="s">
        <v>51</v>
      </c>
      <c r="O232" s="6"/>
      <c r="P232" s="6" t="s">
        <v>52</v>
      </c>
      <c r="Q232" s="6"/>
      <c r="AA232" s="6"/>
      <c r="AB232" s="6" t="s">
        <v>55</v>
      </c>
      <c r="AC232" s="6"/>
      <c r="AD232" s="6" t="s">
        <v>56</v>
      </c>
      <c r="AE232" s="6"/>
      <c r="AF232" s="6" t="s">
        <v>68</v>
      </c>
      <c r="AG232" s="6"/>
      <c r="AH232" s="6" t="s">
        <v>58</v>
      </c>
      <c r="AI232" s="6"/>
      <c r="AJ232" s="11" t="s">
        <v>115</v>
      </c>
    </row>
    <row r="233" spans="1:36" ht="15.75" customHeight="1" x14ac:dyDescent="0.25">
      <c r="A233" s="7">
        <v>43418.615656689813</v>
      </c>
      <c r="B233" s="6" t="s">
        <v>60</v>
      </c>
      <c r="C233" s="6" t="s">
        <v>128</v>
      </c>
      <c r="D233" s="6" t="s">
        <v>46</v>
      </c>
      <c r="E233" s="6" t="s">
        <v>81</v>
      </c>
      <c r="G233" s="6" t="s">
        <v>87</v>
      </c>
      <c r="H233" s="6" t="s">
        <v>914</v>
      </c>
      <c r="I233" s="6"/>
      <c r="J233" s="6" t="s">
        <v>92</v>
      </c>
      <c r="K233" s="6"/>
      <c r="L233" s="6" t="s">
        <v>915</v>
      </c>
      <c r="M233" s="6"/>
      <c r="N233" s="6" t="s">
        <v>121</v>
      </c>
      <c r="O233" s="6"/>
      <c r="P233" s="6" t="s">
        <v>94</v>
      </c>
      <c r="Q233" s="6"/>
      <c r="R233" s="47" t="s">
        <v>916</v>
      </c>
      <c r="AA233" s="6"/>
      <c r="AB233" s="6" t="s">
        <v>67</v>
      </c>
      <c r="AC233" s="6"/>
      <c r="AD233" s="6" t="s">
        <v>56</v>
      </c>
      <c r="AE233" s="6"/>
      <c r="AF233" s="6" t="s">
        <v>75</v>
      </c>
      <c r="AG233" s="6"/>
      <c r="AH233" s="6" t="s">
        <v>76</v>
      </c>
      <c r="AI233" s="6"/>
      <c r="AJ233" s="6" t="s">
        <v>77</v>
      </c>
    </row>
    <row r="234" spans="1:36" ht="15.75" customHeight="1" x14ac:dyDescent="0.25">
      <c r="A234" s="7">
        <v>43418.615907500003</v>
      </c>
      <c r="B234" s="6" t="s">
        <v>30</v>
      </c>
      <c r="C234" s="6" t="s">
        <v>917</v>
      </c>
      <c r="D234" s="6" t="s">
        <v>165</v>
      </c>
      <c r="E234" s="6" t="s">
        <v>48</v>
      </c>
      <c r="F234" s="6" t="s">
        <v>918</v>
      </c>
      <c r="G234" s="6" t="s">
        <v>48</v>
      </c>
      <c r="H234" s="6" t="s">
        <v>919</v>
      </c>
      <c r="I234" s="6"/>
      <c r="J234" s="6" t="s">
        <v>184</v>
      </c>
      <c r="K234" s="6"/>
      <c r="N234" s="6" t="s">
        <v>51</v>
      </c>
      <c r="O234" s="6"/>
      <c r="P234" s="6" t="s">
        <v>52</v>
      </c>
      <c r="Q234" s="6"/>
      <c r="R234" s="47" t="s">
        <v>4701</v>
      </c>
      <c r="S234" s="14" t="s">
        <v>4702</v>
      </c>
      <c r="T234" s="14" t="s">
        <v>4703</v>
      </c>
      <c r="U234" s="14" t="s">
        <v>4704</v>
      </c>
      <c r="AA234" s="6"/>
      <c r="AB234" s="6" t="s">
        <v>101</v>
      </c>
      <c r="AC234" s="6"/>
      <c r="AD234" s="6" t="s">
        <v>56</v>
      </c>
      <c r="AE234" s="6"/>
      <c r="AF234" s="6" t="s">
        <v>161</v>
      </c>
      <c r="AG234" s="6"/>
      <c r="AH234" s="6" t="s">
        <v>76</v>
      </c>
      <c r="AI234" s="6"/>
      <c r="AJ234" s="6" t="s">
        <v>77</v>
      </c>
    </row>
    <row r="235" spans="1:36" ht="15.75" customHeight="1" x14ac:dyDescent="0.25">
      <c r="A235" s="7">
        <v>43418.617399953699</v>
      </c>
      <c r="B235" s="6" t="s">
        <v>30</v>
      </c>
      <c r="C235" s="6" t="s">
        <v>829</v>
      </c>
      <c r="D235" s="6" t="s">
        <v>46</v>
      </c>
      <c r="E235" s="6" t="s">
        <v>48</v>
      </c>
      <c r="F235" s="6" t="s">
        <v>36</v>
      </c>
      <c r="G235" s="6" t="s">
        <v>48</v>
      </c>
      <c r="J235" s="6" t="s">
        <v>92</v>
      </c>
      <c r="K235" s="6"/>
      <c r="N235" s="6" t="s">
        <v>181</v>
      </c>
      <c r="O235" s="6"/>
      <c r="P235" s="6" t="s">
        <v>131</v>
      </c>
      <c r="Q235" s="6"/>
      <c r="R235" s="47" t="s">
        <v>192</v>
      </c>
      <c r="S235" s="14" t="s">
        <v>4425</v>
      </c>
      <c r="AA235" s="6"/>
      <c r="AB235" s="6" t="s">
        <v>67</v>
      </c>
      <c r="AC235" s="6"/>
      <c r="AD235" s="6" t="s">
        <v>56</v>
      </c>
      <c r="AE235" s="6"/>
      <c r="AF235" s="6" t="s">
        <v>161</v>
      </c>
      <c r="AG235" s="6"/>
      <c r="AH235" s="6" t="s">
        <v>76</v>
      </c>
      <c r="AI235" s="6"/>
      <c r="AJ235" s="6" t="s">
        <v>59</v>
      </c>
    </row>
    <row r="236" spans="1:36" ht="15.75" customHeight="1" x14ac:dyDescent="0.25">
      <c r="A236" s="7">
        <v>43418.617860011575</v>
      </c>
      <c r="B236" s="6" t="s">
        <v>922</v>
      </c>
      <c r="C236" s="6" t="s">
        <v>923</v>
      </c>
      <c r="D236" s="6" t="s">
        <v>163</v>
      </c>
      <c r="E236" s="6" t="s">
        <v>81</v>
      </c>
      <c r="G236" s="6" t="s">
        <v>87</v>
      </c>
      <c r="J236" s="6" t="s">
        <v>64</v>
      </c>
      <c r="K236" s="6"/>
      <c r="L236" s="6" t="s">
        <v>924</v>
      </c>
      <c r="M236" s="6"/>
      <c r="N236" s="6" t="s">
        <v>121</v>
      </c>
      <c r="O236" s="6"/>
      <c r="P236" s="6" t="s">
        <v>94</v>
      </c>
      <c r="Q236" s="6"/>
      <c r="R236" s="47" t="s">
        <v>925</v>
      </c>
      <c r="AA236" s="6"/>
      <c r="AB236" s="6" t="s">
        <v>101</v>
      </c>
      <c r="AC236" s="6"/>
      <c r="AD236" s="6" t="s">
        <v>56</v>
      </c>
      <c r="AE236" s="6"/>
      <c r="AF236" s="6" t="s">
        <v>161</v>
      </c>
      <c r="AG236" s="6"/>
      <c r="AH236" s="6" t="s">
        <v>76</v>
      </c>
      <c r="AI236" s="6"/>
      <c r="AJ236" s="6" t="s">
        <v>244</v>
      </c>
    </row>
    <row r="237" spans="1:36" ht="15.75" customHeight="1" x14ac:dyDescent="0.25">
      <c r="A237" s="7">
        <v>43418.618179479163</v>
      </c>
      <c r="B237" s="6" t="s">
        <v>60</v>
      </c>
      <c r="C237" s="6" t="s">
        <v>287</v>
      </c>
      <c r="E237" s="6" t="s">
        <v>81</v>
      </c>
      <c r="G237" s="6" t="s">
        <v>87</v>
      </c>
      <c r="J237" s="6" t="s">
        <v>110</v>
      </c>
      <c r="K237" s="6"/>
      <c r="L237" s="6" t="s">
        <v>926</v>
      </c>
      <c r="M237" s="6"/>
      <c r="N237" s="6" t="s">
        <v>93</v>
      </c>
      <c r="O237" s="6"/>
      <c r="P237" s="6" t="s">
        <v>94</v>
      </c>
      <c r="Q237" s="6"/>
      <c r="R237" s="47" t="s">
        <v>149</v>
      </c>
      <c r="S237" s="14" t="s">
        <v>4435</v>
      </c>
      <c r="T237" s="14" t="s">
        <v>4705</v>
      </c>
      <c r="AA237" s="6"/>
      <c r="AB237" s="6" t="s">
        <v>67</v>
      </c>
      <c r="AC237" s="6"/>
      <c r="AD237" s="6" t="s">
        <v>109</v>
      </c>
      <c r="AE237" s="6"/>
      <c r="AF237" s="6" t="s">
        <v>68</v>
      </c>
      <c r="AG237" s="6"/>
      <c r="AH237" s="6" t="s">
        <v>58</v>
      </c>
      <c r="AI237" s="6"/>
      <c r="AJ237" s="6" t="s">
        <v>77</v>
      </c>
    </row>
    <row r="238" spans="1:36" ht="15.75" customHeight="1" x14ac:dyDescent="0.25">
      <c r="A238" s="7">
        <v>43418.619005115739</v>
      </c>
      <c r="B238" s="6" t="s">
        <v>30</v>
      </c>
      <c r="C238" s="6" t="s">
        <v>771</v>
      </c>
      <c r="D238" s="6" t="s">
        <v>772</v>
      </c>
      <c r="E238" s="6" t="s">
        <v>81</v>
      </c>
      <c r="G238" s="6" t="s">
        <v>87</v>
      </c>
      <c r="J238" s="6" t="s">
        <v>92</v>
      </c>
      <c r="K238" s="6"/>
      <c r="L238" s="6" t="s">
        <v>928</v>
      </c>
      <c r="M238" s="6"/>
      <c r="N238" s="6" t="s">
        <v>121</v>
      </c>
      <c r="O238" s="6"/>
      <c r="P238" s="6" t="s">
        <v>131</v>
      </c>
      <c r="Q238" s="6"/>
      <c r="R238" s="47" t="s">
        <v>929</v>
      </c>
      <c r="AA238" s="6"/>
      <c r="AB238" s="6" t="s">
        <v>67</v>
      </c>
      <c r="AC238" s="6"/>
      <c r="AD238" s="6" t="s">
        <v>56</v>
      </c>
      <c r="AE238" s="6"/>
      <c r="AF238" s="6" t="s">
        <v>161</v>
      </c>
      <c r="AG238" s="6"/>
      <c r="AH238" s="6" t="s">
        <v>76</v>
      </c>
      <c r="AI238" s="6"/>
      <c r="AJ238" s="6" t="s">
        <v>320</v>
      </c>
    </row>
    <row r="239" spans="1:36" ht="15.75" customHeight="1" x14ac:dyDescent="0.25">
      <c r="A239" s="7">
        <v>43418.619349212968</v>
      </c>
      <c r="B239" s="6" t="s">
        <v>60</v>
      </c>
      <c r="C239" s="6" t="s">
        <v>749</v>
      </c>
      <c r="D239" s="6" t="s">
        <v>307</v>
      </c>
      <c r="E239" s="6" t="s">
        <v>48</v>
      </c>
      <c r="F239" s="6" t="s">
        <v>930</v>
      </c>
      <c r="G239" s="6" t="s">
        <v>48</v>
      </c>
      <c r="J239" s="6" t="s">
        <v>110</v>
      </c>
      <c r="K239" s="6"/>
      <c r="N239" s="6" t="s">
        <v>112</v>
      </c>
      <c r="O239" s="6"/>
      <c r="P239" s="6" t="s">
        <v>94</v>
      </c>
      <c r="Q239" s="6"/>
      <c r="AB239" s="6" t="s">
        <v>67</v>
      </c>
      <c r="AC239" s="6"/>
      <c r="AD239" s="6" t="s">
        <v>56</v>
      </c>
      <c r="AE239" s="6"/>
      <c r="AF239" s="6" t="s">
        <v>75</v>
      </c>
      <c r="AG239" s="6"/>
      <c r="AH239" s="6" t="s">
        <v>58</v>
      </c>
      <c r="AI239" s="6"/>
      <c r="AJ239" s="6" t="s">
        <v>77</v>
      </c>
    </row>
    <row r="240" spans="1:36" ht="15.75" customHeight="1" x14ac:dyDescent="0.25">
      <c r="A240" s="7">
        <v>43418.619411527776</v>
      </c>
      <c r="B240" s="6" t="s">
        <v>931</v>
      </c>
      <c r="C240" s="6" t="s">
        <v>477</v>
      </c>
      <c r="D240" s="6" t="s">
        <v>165</v>
      </c>
      <c r="E240" s="6" t="s">
        <v>81</v>
      </c>
      <c r="G240" s="6" t="s">
        <v>87</v>
      </c>
      <c r="H240" s="6" t="s">
        <v>932</v>
      </c>
      <c r="I240" s="6"/>
      <c r="J240" s="6" t="s">
        <v>73</v>
      </c>
      <c r="K240" s="6"/>
      <c r="L240" s="6" t="s">
        <v>933</v>
      </c>
      <c r="M240" s="6"/>
      <c r="N240" s="6" t="s">
        <v>121</v>
      </c>
      <c r="O240" s="6"/>
      <c r="P240" s="6" t="s">
        <v>94</v>
      </c>
      <c r="Q240" s="6"/>
      <c r="R240" s="47" t="s">
        <v>934</v>
      </c>
      <c r="AA240" s="6"/>
      <c r="AB240" s="6" t="s">
        <v>101</v>
      </c>
      <c r="AC240" s="6"/>
      <c r="AD240" s="6" t="s">
        <v>56</v>
      </c>
      <c r="AE240" s="6"/>
      <c r="AF240" s="6" t="s">
        <v>161</v>
      </c>
      <c r="AG240" s="6"/>
      <c r="AH240" s="6" t="s">
        <v>76</v>
      </c>
      <c r="AI240" s="6"/>
      <c r="AJ240" s="6" t="s">
        <v>312</v>
      </c>
    </row>
    <row r="241" spans="1:36" ht="15.75" customHeight="1" x14ac:dyDescent="0.25">
      <c r="A241" s="7">
        <v>43418.620209953704</v>
      </c>
      <c r="B241" s="6" t="s">
        <v>30</v>
      </c>
      <c r="C241" s="6" t="s">
        <v>923</v>
      </c>
      <c r="D241" s="6" t="s">
        <v>163</v>
      </c>
      <c r="E241" s="6" t="s">
        <v>48</v>
      </c>
      <c r="F241" s="6" t="s">
        <v>935</v>
      </c>
      <c r="G241" s="6" t="s">
        <v>81</v>
      </c>
      <c r="J241" s="6" t="s">
        <v>92</v>
      </c>
      <c r="K241" s="6"/>
      <c r="N241" s="6" t="s">
        <v>212</v>
      </c>
      <c r="O241" s="6"/>
      <c r="P241" s="6" t="s">
        <v>99</v>
      </c>
      <c r="Q241" s="6"/>
      <c r="R241" s="47" t="s">
        <v>4706</v>
      </c>
      <c r="S241" s="14" t="s">
        <v>4456</v>
      </c>
      <c r="T241" s="14" t="s">
        <v>4707</v>
      </c>
      <c r="AA241" s="6"/>
      <c r="AB241" s="6" t="s">
        <v>67</v>
      </c>
      <c r="AC241" s="6"/>
      <c r="AD241" s="6" t="s">
        <v>56</v>
      </c>
      <c r="AE241" s="6"/>
      <c r="AF241" s="6" t="s">
        <v>68</v>
      </c>
      <c r="AG241" s="6"/>
      <c r="AH241" s="6" t="s">
        <v>76</v>
      </c>
      <c r="AI241" s="6"/>
      <c r="AJ241" s="6" t="s">
        <v>233</v>
      </c>
    </row>
    <row r="242" spans="1:36" ht="15.75" customHeight="1" x14ac:dyDescent="0.25">
      <c r="A242" s="7">
        <v>43418.622592673608</v>
      </c>
      <c r="B242" s="6" t="s">
        <v>31</v>
      </c>
      <c r="C242" s="6" t="s">
        <v>45</v>
      </c>
      <c r="D242" s="6" t="s">
        <v>46</v>
      </c>
      <c r="E242" s="6" t="s">
        <v>81</v>
      </c>
      <c r="G242" s="6" t="s">
        <v>87</v>
      </c>
      <c r="J242" s="6" t="s">
        <v>106</v>
      </c>
      <c r="K242" s="6"/>
      <c r="N242" s="6" t="s">
        <v>93</v>
      </c>
      <c r="O242" s="6"/>
      <c r="P242" s="6" t="s">
        <v>94</v>
      </c>
      <c r="Q242" s="6"/>
      <c r="R242" s="47" t="s">
        <v>937</v>
      </c>
      <c r="AA242" s="6"/>
      <c r="AB242" s="6" t="s">
        <v>67</v>
      </c>
      <c r="AC242" s="6"/>
      <c r="AD242" s="6" t="s">
        <v>56</v>
      </c>
      <c r="AE242" s="6"/>
      <c r="AF242" s="6" t="s">
        <v>161</v>
      </c>
      <c r="AG242" s="6"/>
      <c r="AH242" s="6" t="s">
        <v>76</v>
      </c>
      <c r="AJ242" s="6" t="s">
        <v>57</v>
      </c>
    </row>
    <row r="243" spans="1:36" ht="15.75" customHeight="1" x14ac:dyDescent="0.25">
      <c r="A243" s="7">
        <v>43418.62555232639</v>
      </c>
      <c r="B243" s="6" t="s">
        <v>103</v>
      </c>
      <c r="C243" s="6" t="s">
        <v>45</v>
      </c>
      <c r="D243" s="6" t="s">
        <v>165</v>
      </c>
      <c r="E243" s="6" t="s">
        <v>48</v>
      </c>
      <c r="F243" s="6" t="s">
        <v>938</v>
      </c>
      <c r="G243" s="6" t="s">
        <v>48</v>
      </c>
      <c r="J243" s="6" t="s">
        <v>106</v>
      </c>
      <c r="K243" s="6"/>
      <c r="L243" s="6" t="s">
        <v>939</v>
      </c>
      <c r="M243" s="6"/>
      <c r="N243" s="6" t="s">
        <v>98</v>
      </c>
      <c r="O243" s="6"/>
      <c r="P243" s="6" t="s">
        <v>99</v>
      </c>
      <c r="Q243" s="6"/>
      <c r="R243" s="47" t="s">
        <v>4708</v>
      </c>
      <c r="S243" s="14" t="s">
        <v>4407</v>
      </c>
      <c r="T243" s="14" t="s">
        <v>4601</v>
      </c>
      <c r="U243" s="14" t="s">
        <v>4709</v>
      </c>
      <c r="V243" s="14" t="s">
        <v>4710</v>
      </c>
      <c r="W243" s="14" t="s">
        <v>4472</v>
      </c>
      <c r="X243" s="14" t="s">
        <v>4711</v>
      </c>
      <c r="AA243" s="6"/>
      <c r="AB243" s="6" t="s">
        <v>55</v>
      </c>
      <c r="AC243" s="6"/>
      <c r="AD243" s="6" t="s">
        <v>56</v>
      </c>
      <c r="AE243" s="6"/>
      <c r="AF243" s="6" t="s">
        <v>68</v>
      </c>
      <c r="AG243" s="6"/>
      <c r="AH243" s="6" t="s">
        <v>76</v>
      </c>
      <c r="AI243" s="6"/>
      <c r="AJ243" s="6" t="s">
        <v>115</v>
      </c>
    </row>
    <row r="244" spans="1:36" ht="15.75" customHeight="1" x14ac:dyDescent="0.25">
      <c r="A244" s="7">
        <v>43418.627394537034</v>
      </c>
      <c r="B244" s="6" t="s">
        <v>26</v>
      </c>
      <c r="C244" s="6" t="s">
        <v>128</v>
      </c>
      <c r="D244" s="6" t="s">
        <v>163</v>
      </c>
      <c r="E244" s="6" t="s">
        <v>48</v>
      </c>
      <c r="F244" s="6" t="s">
        <v>36</v>
      </c>
      <c r="G244" s="6" t="s">
        <v>48</v>
      </c>
      <c r="H244" s="6" t="s">
        <v>941</v>
      </c>
      <c r="I244" s="6"/>
      <c r="J244" s="6" t="s">
        <v>184</v>
      </c>
      <c r="K244" s="6"/>
      <c r="L244" s="6" t="s">
        <v>942</v>
      </c>
      <c r="M244" s="6"/>
      <c r="N244" s="6" t="s">
        <v>121</v>
      </c>
      <c r="O244" s="6"/>
      <c r="P244" s="6" t="s">
        <v>94</v>
      </c>
      <c r="Q244" s="6"/>
      <c r="R244" s="47" t="s">
        <v>4712</v>
      </c>
      <c r="S244" s="14" t="s">
        <v>4713</v>
      </c>
      <c r="T244" s="14" t="s">
        <v>4714</v>
      </c>
      <c r="AA244" s="6"/>
      <c r="AB244" s="6" t="s">
        <v>101</v>
      </c>
      <c r="AC244" s="6"/>
      <c r="AD244" s="6" t="s">
        <v>56</v>
      </c>
      <c r="AE244" s="6"/>
      <c r="AF244" s="6" t="s">
        <v>161</v>
      </c>
      <c r="AG244" s="6"/>
      <c r="AH244" s="6" t="s">
        <v>76</v>
      </c>
      <c r="AI244" s="6"/>
      <c r="AJ244" s="6" t="s">
        <v>77</v>
      </c>
    </row>
    <row r="245" spans="1:36" ht="15.75" customHeight="1" x14ac:dyDescent="0.25">
      <c r="A245" s="7">
        <v>43418.627464120371</v>
      </c>
      <c r="B245" s="6" t="s">
        <v>127</v>
      </c>
      <c r="C245" s="6" t="s">
        <v>944</v>
      </c>
      <c r="D245" s="6" t="s">
        <v>165</v>
      </c>
      <c r="E245" s="6" t="s">
        <v>48</v>
      </c>
      <c r="F245" s="6" t="s">
        <v>220</v>
      </c>
      <c r="G245" s="6" t="s">
        <v>48</v>
      </c>
      <c r="J245" s="6" t="s">
        <v>92</v>
      </c>
      <c r="K245" s="6"/>
      <c r="L245" s="6" t="s">
        <v>426</v>
      </c>
      <c r="M245" s="6"/>
      <c r="N245" s="6" t="s">
        <v>121</v>
      </c>
      <c r="O245" s="6"/>
      <c r="P245" s="6" t="s">
        <v>131</v>
      </c>
      <c r="Q245" s="6"/>
      <c r="R245" s="47" t="s">
        <v>192</v>
      </c>
      <c r="AA245" s="6"/>
      <c r="AB245" s="6" t="s">
        <v>101</v>
      </c>
      <c r="AC245" s="6"/>
      <c r="AD245" s="6" t="s">
        <v>56</v>
      </c>
      <c r="AE245" s="6"/>
      <c r="AF245" s="6" t="s">
        <v>75</v>
      </c>
      <c r="AG245" s="6"/>
      <c r="AH245" s="6" t="s">
        <v>58</v>
      </c>
      <c r="AI245" s="6"/>
      <c r="AJ245" s="6" t="s">
        <v>77</v>
      </c>
    </row>
    <row r="246" spans="1:36" ht="15.75" customHeight="1" x14ac:dyDescent="0.25">
      <c r="A246" s="7">
        <v>43418.628023333338</v>
      </c>
      <c r="B246" s="6" t="s">
        <v>154</v>
      </c>
      <c r="C246" s="6" t="s">
        <v>104</v>
      </c>
      <c r="D246" s="6" t="s">
        <v>261</v>
      </c>
      <c r="E246" s="6" t="s">
        <v>81</v>
      </c>
      <c r="G246" s="6" t="s">
        <v>87</v>
      </c>
      <c r="H246" s="6" t="s">
        <v>945</v>
      </c>
      <c r="I246" s="6"/>
      <c r="J246" s="6" t="s">
        <v>158</v>
      </c>
      <c r="K246" s="6"/>
      <c r="L246" s="6" t="s">
        <v>946</v>
      </c>
      <c r="M246" s="6"/>
      <c r="N246" s="6" t="s">
        <v>51</v>
      </c>
      <c r="O246" s="6"/>
      <c r="P246" s="6" t="s">
        <v>52</v>
      </c>
      <c r="Q246" s="6"/>
      <c r="R246" s="47" t="s">
        <v>149</v>
      </c>
      <c r="S246" s="14" t="s">
        <v>4389</v>
      </c>
      <c r="T246" s="14" t="s">
        <v>4527</v>
      </c>
      <c r="AA246" s="6"/>
      <c r="AB246" s="6" t="s">
        <v>67</v>
      </c>
      <c r="AC246" s="6"/>
      <c r="AD246" s="6" t="s">
        <v>56</v>
      </c>
      <c r="AE246" s="6"/>
      <c r="AF246" s="6" t="s">
        <v>161</v>
      </c>
      <c r="AG246" s="6"/>
      <c r="AH246" s="6" t="s">
        <v>76</v>
      </c>
      <c r="AI246" s="6"/>
      <c r="AJ246" s="11" t="s">
        <v>115</v>
      </c>
    </row>
    <row r="247" spans="1:36" ht="15.75" customHeight="1" x14ac:dyDescent="0.25">
      <c r="A247" s="7">
        <v>43418.631483645833</v>
      </c>
      <c r="B247" s="6" t="s">
        <v>634</v>
      </c>
      <c r="C247" s="6" t="s">
        <v>749</v>
      </c>
      <c r="D247" s="6" t="s">
        <v>190</v>
      </c>
      <c r="E247" s="6" t="s">
        <v>81</v>
      </c>
      <c r="G247" s="6" t="s">
        <v>87</v>
      </c>
      <c r="H247" s="6" t="s">
        <v>948</v>
      </c>
      <c r="I247" s="6"/>
      <c r="J247" s="6" t="s">
        <v>92</v>
      </c>
      <c r="K247" s="6"/>
      <c r="L247" s="6" t="s">
        <v>949</v>
      </c>
      <c r="M247" s="6"/>
      <c r="N247" s="6" t="s">
        <v>212</v>
      </c>
      <c r="O247" s="6"/>
      <c r="P247" s="6" t="s">
        <v>99</v>
      </c>
      <c r="Q247" s="6"/>
      <c r="R247" s="47" t="s">
        <v>4715</v>
      </c>
      <c r="S247" s="14" t="s">
        <v>4716</v>
      </c>
      <c r="T247" s="14" t="s">
        <v>4717</v>
      </c>
      <c r="AA247" s="6"/>
      <c r="AB247" s="6" t="s">
        <v>55</v>
      </c>
      <c r="AC247" s="6"/>
      <c r="AD247" s="6" t="s">
        <v>56</v>
      </c>
      <c r="AE247" s="6"/>
      <c r="AF247" s="6" t="s">
        <v>68</v>
      </c>
      <c r="AG247" s="6"/>
      <c r="AH247" s="6" t="s">
        <v>126</v>
      </c>
      <c r="AI247" s="6"/>
      <c r="AJ247" s="6" t="s">
        <v>77</v>
      </c>
    </row>
    <row r="248" spans="1:36" ht="15.75" customHeight="1" x14ac:dyDescent="0.25">
      <c r="A248" s="7">
        <v>43418.631890960649</v>
      </c>
      <c r="B248" s="6" t="s">
        <v>30</v>
      </c>
      <c r="C248" s="6" t="s">
        <v>749</v>
      </c>
      <c r="D248" s="6" t="s">
        <v>46</v>
      </c>
      <c r="E248" s="6" t="s">
        <v>48</v>
      </c>
      <c r="F248" s="6" t="s">
        <v>951</v>
      </c>
      <c r="G248" s="6" t="s">
        <v>48</v>
      </c>
      <c r="H248" s="6" t="s">
        <v>952</v>
      </c>
      <c r="I248" s="6"/>
      <c r="J248" s="6" t="s">
        <v>73</v>
      </c>
      <c r="K248" s="6"/>
      <c r="L248" s="6" t="s">
        <v>953</v>
      </c>
      <c r="M248" s="6"/>
      <c r="N248" s="6" t="s">
        <v>112</v>
      </c>
      <c r="O248" s="6"/>
      <c r="P248" s="6" t="s">
        <v>131</v>
      </c>
      <c r="Q248" s="6"/>
      <c r="R248" s="47" t="s">
        <v>2905</v>
      </c>
      <c r="S248" s="14" t="s">
        <v>4718</v>
      </c>
      <c r="T248" s="14" t="s">
        <v>4532</v>
      </c>
      <c r="U248" s="14" t="s">
        <v>4719</v>
      </c>
      <c r="AA248" s="6"/>
      <c r="AB248" s="6" t="s">
        <v>101</v>
      </c>
      <c r="AC248" s="6"/>
      <c r="AD248" s="6" t="s">
        <v>56</v>
      </c>
      <c r="AE248" s="6"/>
      <c r="AF248" s="6" t="s">
        <v>68</v>
      </c>
      <c r="AG248" s="6"/>
      <c r="AH248" s="6" t="s">
        <v>58</v>
      </c>
      <c r="AI248" s="6"/>
      <c r="AJ248" s="11" t="s">
        <v>174</v>
      </c>
    </row>
    <row r="249" spans="1:36" ht="15.75" customHeight="1" x14ac:dyDescent="0.25">
      <c r="A249" s="7">
        <v>43418.632183182868</v>
      </c>
      <c r="B249" s="6" t="s">
        <v>543</v>
      </c>
      <c r="C249" s="6" t="s">
        <v>923</v>
      </c>
      <c r="D249" s="6" t="s">
        <v>129</v>
      </c>
      <c r="E249" s="6" t="s">
        <v>48</v>
      </c>
      <c r="F249" s="6" t="s">
        <v>955</v>
      </c>
      <c r="G249" s="6" t="s">
        <v>48</v>
      </c>
      <c r="H249" s="6" t="s">
        <v>956</v>
      </c>
      <c r="I249" s="6"/>
      <c r="J249" s="6" t="s">
        <v>158</v>
      </c>
      <c r="K249" s="6"/>
      <c r="L249" s="6" t="s">
        <v>957</v>
      </c>
      <c r="M249" s="6"/>
      <c r="N249" s="6" t="s">
        <v>51</v>
      </c>
      <c r="O249" s="6"/>
      <c r="P249" s="6" t="s">
        <v>52</v>
      </c>
      <c r="Q249" s="6"/>
      <c r="R249" s="47" t="s">
        <v>958</v>
      </c>
      <c r="AA249" s="6"/>
      <c r="AB249" s="6" t="s">
        <v>67</v>
      </c>
      <c r="AC249" s="6"/>
      <c r="AD249" s="6" t="s">
        <v>56</v>
      </c>
      <c r="AE249" s="6"/>
      <c r="AF249" s="6" t="s">
        <v>68</v>
      </c>
      <c r="AG249" s="6"/>
      <c r="AH249" s="6" t="s">
        <v>58</v>
      </c>
      <c r="AI249" s="6"/>
      <c r="AJ249" s="11" t="s">
        <v>297</v>
      </c>
    </row>
    <row r="250" spans="1:36" ht="15.75" customHeight="1" x14ac:dyDescent="0.25">
      <c r="A250" s="7">
        <v>43418.634779942135</v>
      </c>
      <c r="B250" s="6" t="s">
        <v>833</v>
      </c>
      <c r="C250" s="6" t="s">
        <v>544</v>
      </c>
      <c r="D250" s="6" t="s">
        <v>46</v>
      </c>
      <c r="E250" s="6" t="s">
        <v>81</v>
      </c>
      <c r="G250" s="6" t="s">
        <v>87</v>
      </c>
      <c r="H250" s="6" t="s">
        <v>959</v>
      </c>
      <c r="I250" s="6"/>
      <c r="J250" s="6" t="s">
        <v>110</v>
      </c>
      <c r="K250" s="6"/>
      <c r="L250" s="6" t="s">
        <v>960</v>
      </c>
      <c r="M250" s="6"/>
      <c r="N250" s="6" t="s">
        <v>112</v>
      </c>
      <c r="O250" s="6"/>
      <c r="P250" s="6" t="s">
        <v>52</v>
      </c>
      <c r="Q250" s="6"/>
      <c r="R250" s="47" t="s">
        <v>3722</v>
      </c>
      <c r="S250" s="14" t="s">
        <v>4720</v>
      </c>
      <c r="T250" s="14" t="s">
        <v>4389</v>
      </c>
      <c r="AA250" s="6"/>
      <c r="AB250" s="6" t="s">
        <v>67</v>
      </c>
      <c r="AC250" s="6"/>
      <c r="AD250" s="6" t="s">
        <v>56</v>
      </c>
      <c r="AE250" s="6"/>
      <c r="AF250" s="6" t="s">
        <v>205</v>
      </c>
      <c r="AG250" s="6"/>
      <c r="AH250" s="6" t="s">
        <v>58</v>
      </c>
      <c r="AI250" s="6"/>
      <c r="AJ250" s="6" t="s">
        <v>187</v>
      </c>
    </row>
    <row r="251" spans="1:36" ht="15.75" customHeight="1" x14ac:dyDescent="0.25">
      <c r="A251" s="7">
        <v>43418.634845567125</v>
      </c>
      <c r="B251" s="6" t="s">
        <v>26</v>
      </c>
      <c r="C251" s="6" t="s">
        <v>95</v>
      </c>
      <c r="D251" s="6" t="s">
        <v>165</v>
      </c>
      <c r="E251" s="6" t="s">
        <v>48</v>
      </c>
      <c r="G251" s="6" t="s">
        <v>81</v>
      </c>
      <c r="J251" s="6" t="s">
        <v>110</v>
      </c>
      <c r="K251" s="6"/>
      <c r="N251" s="6" t="s">
        <v>51</v>
      </c>
      <c r="O251" s="6"/>
      <c r="P251" s="6" t="s">
        <v>131</v>
      </c>
      <c r="Q251" s="6"/>
      <c r="AA251" s="6"/>
      <c r="AB251" s="6" t="s">
        <v>67</v>
      </c>
      <c r="AC251" s="6"/>
      <c r="AD251" s="6" t="s">
        <v>56</v>
      </c>
      <c r="AE251" s="6"/>
      <c r="AF251" s="6" t="s">
        <v>68</v>
      </c>
      <c r="AG251" s="6"/>
      <c r="AH251" s="6" t="s">
        <v>126</v>
      </c>
      <c r="AI251" s="6"/>
      <c r="AJ251" s="11" t="s">
        <v>314</v>
      </c>
    </row>
    <row r="252" spans="1:36" ht="15.75" customHeight="1" x14ac:dyDescent="0.25">
      <c r="A252" s="7">
        <v>43418.636384444442</v>
      </c>
      <c r="B252" s="6" t="s">
        <v>30</v>
      </c>
      <c r="C252" s="6" t="s">
        <v>95</v>
      </c>
      <c r="D252" s="6" t="s">
        <v>46</v>
      </c>
      <c r="E252" s="6" t="s">
        <v>48</v>
      </c>
      <c r="F252" s="21">
        <v>30</v>
      </c>
      <c r="G252" s="6" t="s">
        <v>48</v>
      </c>
      <c r="J252" s="6" t="s">
        <v>106</v>
      </c>
      <c r="K252" s="6"/>
      <c r="L252" s="6" t="s">
        <v>962</v>
      </c>
      <c r="M252" s="6"/>
      <c r="N252" s="6" t="s">
        <v>112</v>
      </c>
      <c r="O252" s="6"/>
      <c r="P252" s="6" t="s">
        <v>99</v>
      </c>
      <c r="Q252" s="6"/>
      <c r="AA252" s="6"/>
      <c r="AB252" s="6" t="s">
        <v>55</v>
      </c>
      <c r="AC252" s="6"/>
      <c r="AD252" s="6" t="s">
        <v>56</v>
      </c>
      <c r="AE252" s="6"/>
      <c r="AF252" s="6" t="s">
        <v>68</v>
      </c>
      <c r="AG252" s="6"/>
      <c r="AH252" s="6" t="s">
        <v>57</v>
      </c>
      <c r="AI252" s="6"/>
      <c r="AJ252" s="11" t="s">
        <v>132</v>
      </c>
    </row>
    <row r="253" spans="1:36" ht="15.75" customHeight="1" x14ac:dyDescent="0.25">
      <c r="A253" s="7">
        <v>43418.636701516203</v>
      </c>
      <c r="B253" s="6" t="s">
        <v>127</v>
      </c>
      <c r="C253" s="6" t="s">
        <v>79</v>
      </c>
      <c r="D253" s="6" t="s">
        <v>165</v>
      </c>
      <c r="E253" s="6" t="s">
        <v>81</v>
      </c>
      <c r="G253" s="6" t="s">
        <v>87</v>
      </c>
      <c r="H253" s="6" t="s">
        <v>963</v>
      </c>
      <c r="I253" s="6"/>
      <c r="J253" s="6" t="s">
        <v>110</v>
      </c>
      <c r="K253" s="6"/>
      <c r="L253" s="6" t="s">
        <v>964</v>
      </c>
      <c r="M253" s="6"/>
      <c r="N253" s="6" t="s">
        <v>121</v>
      </c>
      <c r="O253" s="6"/>
      <c r="P253" s="6" t="s">
        <v>94</v>
      </c>
      <c r="Q253" s="6"/>
      <c r="R253" s="47" t="s">
        <v>149</v>
      </c>
      <c r="S253" s="14" t="s">
        <v>4721</v>
      </c>
      <c r="T253" s="14" t="s">
        <v>3270</v>
      </c>
      <c r="U253" s="14" t="s">
        <v>4722</v>
      </c>
      <c r="AA253" s="6"/>
      <c r="AB253" s="6" t="s">
        <v>67</v>
      </c>
      <c r="AC253" s="6"/>
      <c r="AD253" s="6" t="s">
        <v>56</v>
      </c>
      <c r="AE253" s="6"/>
      <c r="AF253" s="6" t="s">
        <v>161</v>
      </c>
      <c r="AG253" s="6"/>
      <c r="AH253" s="6" t="s">
        <v>76</v>
      </c>
      <c r="AI253" s="6"/>
      <c r="AJ253" s="6" t="s">
        <v>115</v>
      </c>
    </row>
    <row r="254" spans="1:36" ht="15.75" customHeight="1" x14ac:dyDescent="0.25">
      <c r="A254" s="7">
        <v>43418.637292418978</v>
      </c>
      <c r="B254" s="6" t="s">
        <v>30</v>
      </c>
      <c r="C254" s="6" t="s">
        <v>482</v>
      </c>
      <c r="D254" s="6" t="s">
        <v>163</v>
      </c>
      <c r="E254" s="6" t="s">
        <v>81</v>
      </c>
      <c r="G254" s="6" t="s">
        <v>87</v>
      </c>
      <c r="J254" s="6" t="s">
        <v>110</v>
      </c>
      <c r="K254" s="6"/>
      <c r="L254" s="6" t="s">
        <v>966</v>
      </c>
      <c r="M254" s="6"/>
      <c r="N254" s="6" t="s">
        <v>112</v>
      </c>
      <c r="O254" s="6"/>
      <c r="P254" s="6" t="s">
        <v>131</v>
      </c>
      <c r="Q254" s="6"/>
      <c r="R254" s="47" t="s">
        <v>967</v>
      </c>
      <c r="AA254" s="6"/>
      <c r="AB254" s="6" t="s">
        <v>67</v>
      </c>
      <c r="AC254" s="6"/>
      <c r="AD254" s="6" t="s">
        <v>56</v>
      </c>
      <c r="AE254" s="6"/>
      <c r="AF254" s="6" t="s">
        <v>161</v>
      </c>
      <c r="AG254" s="6"/>
      <c r="AH254" s="6" t="s">
        <v>76</v>
      </c>
      <c r="AI254" s="6"/>
      <c r="AJ254" s="6" t="s">
        <v>115</v>
      </c>
    </row>
    <row r="255" spans="1:36" ht="15.75" customHeight="1" x14ac:dyDescent="0.25">
      <c r="A255" s="7">
        <v>43418.637482175924</v>
      </c>
      <c r="B255" s="6" t="s">
        <v>30</v>
      </c>
      <c r="C255" s="6" t="s">
        <v>95</v>
      </c>
      <c r="D255" s="6" t="s">
        <v>46</v>
      </c>
      <c r="E255" s="6" t="s">
        <v>81</v>
      </c>
      <c r="G255" s="6" t="s">
        <v>87</v>
      </c>
      <c r="J255" s="6" t="s">
        <v>73</v>
      </c>
      <c r="K255" s="6"/>
      <c r="L255" s="6" t="s">
        <v>968</v>
      </c>
      <c r="M255" s="6"/>
      <c r="N255" s="6" t="s">
        <v>51</v>
      </c>
      <c r="O255" s="6"/>
      <c r="P255" s="6" t="s">
        <v>94</v>
      </c>
      <c r="Q255" s="6"/>
      <c r="R255" s="47" t="s">
        <v>969</v>
      </c>
      <c r="AA255" s="6"/>
      <c r="AC255" s="6"/>
      <c r="AD255" s="6" t="s">
        <v>56</v>
      </c>
      <c r="AE255" s="6"/>
      <c r="AF255" s="6" t="s">
        <v>75</v>
      </c>
      <c r="AG255" s="6"/>
      <c r="AH255" s="6" t="s">
        <v>76</v>
      </c>
      <c r="AI255" s="6"/>
      <c r="AJ255" s="6" t="s">
        <v>77</v>
      </c>
    </row>
    <row r="256" spans="1:36" ht="15.75" customHeight="1" x14ac:dyDescent="0.25">
      <c r="A256" s="7">
        <v>43418.638743784722</v>
      </c>
      <c r="B256" s="6" t="s">
        <v>60</v>
      </c>
      <c r="C256" s="6" t="s">
        <v>128</v>
      </c>
      <c r="D256" s="6" t="s">
        <v>46</v>
      </c>
      <c r="E256" s="6" t="s">
        <v>81</v>
      </c>
      <c r="G256" s="6" t="s">
        <v>81</v>
      </c>
      <c r="J256" s="6" t="s">
        <v>73</v>
      </c>
      <c r="K256" s="6"/>
      <c r="N256" s="6" t="s">
        <v>212</v>
      </c>
      <c r="O256" s="6"/>
      <c r="P256" s="6" t="s">
        <v>52</v>
      </c>
      <c r="Q256" s="6"/>
      <c r="AA256" s="6"/>
      <c r="AB256" s="6" t="s">
        <v>67</v>
      </c>
      <c r="AC256" s="6"/>
      <c r="AD256" s="6" t="s">
        <v>56</v>
      </c>
      <c r="AE256" s="6"/>
      <c r="AF256" s="6" t="s">
        <v>68</v>
      </c>
      <c r="AG256" s="6"/>
      <c r="AH256" s="6" t="s">
        <v>58</v>
      </c>
      <c r="AI256" s="6"/>
      <c r="AJ256" s="6" t="s">
        <v>115</v>
      </c>
    </row>
    <row r="257" spans="1:36" ht="15.75" customHeight="1" x14ac:dyDescent="0.25">
      <c r="A257" s="7">
        <v>43418.639314594911</v>
      </c>
      <c r="B257" s="6" t="s">
        <v>30</v>
      </c>
      <c r="C257" s="6" t="s">
        <v>45</v>
      </c>
      <c r="D257" s="6" t="s">
        <v>46</v>
      </c>
      <c r="E257" s="6" t="s">
        <v>81</v>
      </c>
      <c r="G257" s="6" t="s">
        <v>87</v>
      </c>
      <c r="J257" s="6" t="s">
        <v>64</v>
      </c>
      <c r="K257" s="6"/>
      <c r="N257" s="6" t="s">
        <v>167</v>
      </c>
      <c r="O257" s="6"/>
      <c r="P257" s="6" t="s">
        <v>168</v>
      </c>
      <c r="Q257" s="6"/>
      <c r="R257" s="47" t="s">
        <v>3254</v>
      </c>
      <c r="S257" s="14" t="s">
        <v>4526</v>
      </c>
      <c r="T257" s="14" t="s">
        <v>4723</v>
      </c>
      <c r="U257" s="14" t="s">
        <v>4724</v>
      </c>
      <c r="V257" s="14" t="s">
        <v>4725</v>
      </c>
      <c r="AA257" s="6"/>
      <c r="AB257" s="6" t="s">
        <v>67</v>
      </c>
      <c r="AC257" s="6"/>
      <c r="AD257" s="6" t="s">
        <v>56</v>
      </c>
      <c r="AE257" s="6"/>
      <c r="AF257" s="6" t="s">
        <v>75</v>
      </c>
      <c r="AG257" s="6"/>
      <c r="AH257" s="6" t="s">
        <v>76</v>
      </c>
      <c r="AI257" s="6"/>
      <c r="AJ257" s="6" t="s">
        <v>77</v>
      </c>
    </row>
    <row r="258" spans="1:36" ht="15.75" customHeight="1" x14ac:dyDescent="0.25">
      <c r="A258" s="7">
        <v>43418.639379409724</v>
      </c>
      <c r="B258" s="6" t="s">
        <v>103</v>
      </c>
      <c r="C258" s="6" t="s">
        <v>971</v>
      </c>
      <c r="D258" s="6" t="s">
        <v>133</v>
      </c>
      <c r="E258" s="6" t="s">
        <v>81</v>
      </c>
      <c r="G258" s="6" t="s">
        <v>87</v>
      </c>
      <c r="J258" s="6" t="s">
        <v>92</v>
      </c>
      <c r="K258" s="6"/>
      <c r="L258" s="6" t="s">
        <v>550</v>
      </c>
      <c r="M258" s="6"/>
      <c r="N258" s="6" t="s">
        <v>93</v>
      </c>
      <c r="O258" s="6"/>
      <c r="P258" s="6" t="s">
        <v>94</v>
      </c>
      <c r="Q258" s="6"/>
      <c r="R258" s="47" t="s">
        <v>972</v>
      </c>
      <c r="AA258" s="6"/>
      <c r="AB258" s="6" t="s">
        <v>203</v>
      </c>
      <c r="AC258" s="6"/>
      <c r="AD258" s="6" t="s">
        <v>57</v>
      </c>
      <c r="AE258" s="6"/>
      <c r="AF258" s="6" t="s">
        <v>68</v>
      </c>
      <c r="AG258" s="6"/>
      <c r="AH258" s="6" t="s">
        <v>58</v>
      </c>
      <c r="AI258" s="6"/>
      <c r="AJ258" s="11" t="s">
        <v>259</v>
      </c>
    </row>
    <row r="259" spans="1:36" ht="15.75" customHeight="1" x14ac:dyDescent="0.25">
      <c r="A259" s="7">
        <v>43418.639438460646</v>
      </c>
      <c r="B259" s="6" t="s">
        <v>30</v>
      </c>
      <c r="C259" s="6" t="s">
        <v>829</v>
      </c>
      <c r="D259" s="6" t="s">
        <v>46</v>
      </c>
      <c r="E259" s="6" t="s">
        <v>81</v>
      </c>
      <c r="G259" s="6" t="s">
        <v>87</v>
      </c>
      <c r="H259" s="6" t="s">
        <v>973</v>
      </c>
      <c r="I259" s="6"/>
      <c r="J259" s="6" t="s">
        <v>89</v>
      </c>
      <c r="K259" s="6"/>
      <c r="L259" s="6" t="s">
        <v>974</v>
      </c>
      <c r="M259" s="6"/>
      <c r="N259" s="6" t="s">
        <v>181</v>
      </c>
      <c r="O259" s="6"/>
      <c r="P259" s="6" t="s">
        <v>94</v>
      </c>
      <c r="Q259" s="6"/>
      <c r="R259" s="47" t="s">
        <v>4726</v>
      </c>
      <c r="S259" s="14" t="s">
        <v>4727</v>
      </c>
      <c r="AA259" s="6"/>
      <c r="AB259" s="11" t="s">
        <v>67</v>
      </c>
      <c r="AC259" s="6"/>
      <c r="AD259" s="6" t="s">
        <v>57</v>
      </c>
      <c r="AE259" s="6"/>
      <c r="AF259" s="6" t="s">
        <v>68</v>
      </c>
      <c r="AG259" s="6"/>
      <c r="AH259" s="6" t="s">
        <v>57</v>
      </c>
      <c r="AI259" s="6"/>
      <c r="AJ259" s="6" t="s">
        <v>77</v>
      </c>
    </row>
    <row r="260" spans="1:36" ht="15.75" customHeight="1" x14ac:dyDescent="0.25">
      <c r="A260" s="7">
        <v>43418.640094756949</v>
      </c>
      <c r="B260" s="6" t="s">
        <v>976</v>
      </c>
      <c r="C260" s="6" t="s">
        <v>116</v>
      </c>
      <c r="D260" s="6" t="s">
        <v>46</v>
      </c>
      <c r="E260" s="6" t="s">
        <v>48</v>
      </c>
      <c r="F260" s="6" t="s">
        <v>977</v>
      </c>
      <c r="G260" s="6" t="s">
        <v>48</v>
      </c>
      <c r="H260" s="6" t="s">
        <v>978</v>
      </c>
      <c r="I260" s="6"/>
      <c r="J260" s="6" t="s">
        <v>50</v>
      </c>
      <c r="K260" s="6"/>
      <c r="L260" s="6" t="s">
        <v>979</v>
      </c>
      <c r="M260" s="6"/>
      <c r="N260" s="6" t="s">
        <v>181</v>
      </c>
      <c r="O260" s="6"/>
      <c r="P260" s="6" t="s">
        <v>131</v>
      </c>
      <c r="Q260" s="6"/>
      <c r="R260" s="47" t="s">
        <v>4288</v>
      </c>
      <c r="S260" s="14" t="s">
        <v>4713</v>
      </c>
      <c r="T260" s="14" t="s">
        <v>4390</v>
      </c>
      <c r="U260" s="14" t="s">
        <v>4728</v>
      </c>
      <c r="AA260" s="6"/>
      <c r="AB260" s="6" t="s">
        <v>101</v>
      </c>
      <c r="AC260" s="6"/>
      <c r="AD260" s="6" t="s">
        <v>56</v>
      </c>
      <c r="AE260" s="6"/>
      <c r="AF260" s="6" t="s">
        <v>161</v>
      </c>
      <c r="AG260" s="6"/>
      <c r="AH260" s="6" t="s">
        <v>76</v>
      </c>
      <c r="AI260" s="6"/>
      <c r="AJ260" s="11" t="s">
        <v>356</v>
      </c>
    </row>
    <row r="261" spans="1:36" ht="15.75" customHeight="1" x14ac:dyDescent="0.25">
      <c r="A261" s="7">
        <v>43418.641132870369</v>
      </c>
      <c r="B261" s="6" t="s">
        <v>30</v>
      </c>
      <c r="C261" s="6" t="s">
        <v>90</v>
      </c>
      <c r="E261" s="6" t="s">
        <v>81</v>
      </c>
      <c r="G261" s="6" t="s">
        <v>87</v>
      </c>
      <c r="J261" s="6" t="s">
        <v>92</v>
      </c>
      <c r="K261" s="6"/>
      <c r="L261" s="6" t="s">
        <v>981</v>
      </c>
      <c r="M261" s="6"/>
      <c r="N261" s="6" t="s">
        <v>121</v>
      </c>
      <c r="O261" s="6"/>
      <c r="P261" s="6" t="s">
        <v>94</v>
      </c>
      <c r="Q261" s="6"/>
      <c r="AA261" s="6"/>
      <c r="AB261" s="6" t="s">
        <v>101</v>
      </c>
      <c r="AC261" s="6"/>
      <c r="AD261" s="6" t="s">
        <v>56</v>
      </c>
      <c r="AE261" s="6"/>
      <c r="AF261" s="6" t="s">
        <v>205</v>
      </c>
      <c r="AG261" s="6"/>
      <c r="AH261" s="6" t="s">
        <v>58</v>
      </c>
      <c r="AI261" s="6"/>
      <c r="AJ261" s="6" t="s">
        <v>286</v>
      </c>
    </row>
    <row r="262" spans="1:36" ht="15.75" customHeight="1" x14ac:dyDescent="0.25">
      <c r="A262" s="7">
        <v>43418.642462916665</v>
      </c>
      <c r="B262" s="6" t="s">
        <v>30</v>
      </c>
      <c r="C262" s="6" t="s">
        <v>79</v>
      </c>
      <c r="D262" s="6" t="s">
        <v>165</v>
      </c>
      <c r="E262" s="6" t="s">
        <v>48</v>
      </c>
      <c r="F262" s="6" t="s">
        <v>982</v>
      </c>
      <c r="G262" s="6" t="s">
        <v>48</v>
      </c>
      <c r="H262" s="6" t="s">
        <v>983</v>
      </c>
      <c r="I262" s="6"/>
      <c r="J262" s="6" t="s">
        <v>110</v>
      </c>
      <c r="K262" s="6"/>
      <c r="L262" s="6" t="s">
        <v>984</v>
      </c>
      <c r="M262" s="6"/>
      <c r="N262" s="6" t="s">
        <v>181</v>
      </c>
      <c r="O262" s="6"/>
      <c r="P262" s="6" t="s">
        <v>131</v>
      </c>
      <c r="Q262" s="6"/>
      <c r="R262" s="47" t="s">
        <v>4729</v>
      </c>
      <c r="AA262" s="6"/>
      <c r="AB262" s="6" t="s">
        <v>55</v>
      </c>
      <c r="AC262" s="6"/>
      <c r="AD262" s="6" t="s">
        <v>56</v>
      </c>
      <c r="AE262" s="6"/>
      <c r="AF262" s="6" t="s">
        <v>68</v>
      </c>
      <c r="AG262" s="6"/>
      <c r="AH262" s="6" t="s">
        <v>57</v>
      </c>
      <c r="AI262" s="6"/>
      <c r="AJ262" s="11" t="s">
        <v>320</v>
      </c>
    </row>
    <row r="263" spans="1:36" ht="15.75" customHeight="1" x14ac:dyDescent="0.25">
      <c r="A263" s="7">
        <v>43418.642639432874</v>
      </c>
      <c r="B263" s="6" t="s">
        <v>26</v>
      </c>
      <c r="C263" s="6" t="s">
        <v>986</v>
      </c>
      <c r="D263" s="6" t="s">
        <v>772</v>
      </c>
      <c r="E263" s="6" t="s">
        <v>81</v>
      </c>
      <c r="G263" s="6" t="s">
        <v>87</v>
      </c>
      <c r="H263" s="6" t="s">
        <v>987</v>
      </c>
      <c r="I263" s="6"/>
      <c r="J263" s="6" t="s">
        <v>184</v>
      </c>
      <c r="K263" s="6"/>
      <c r="L263" s="6" t="s">
        <v>988</v>
      </c>
      <c r="M263" s="6"/>
      <c r="N263" s="6" t="s">
        <v>212</v>
      </c>
      <c r="O263" s="6"/>
      <c r="P263" s="6" t="s">
        <v>131</v>
      </c>
      <c r="Q263" s="6"/>
      <c r="R263" s="47" t="s">
        <v>4730</v>
      </c>
      <c r="S263" s="14" t="s">
        <v>4731</v>
      </c>
      <c r="T263" s="14" t="s">
        <v>4732</v>
      </c>
      <c r="U263" s="14" t="s">
        <v>4733</v>
      </c>
      <c r="AA263" s="6"/>
      <c r="AB263" s="6" t="s">
        <v>203</v>
      </c>
      <c r="AC263" s="6"/>
      <c r="AD263" s="6" t="s">
        <v>56</v>
      </c>
      <c r="AE263" s="6"/>
      <c r="AF263" s="6" t="s">
        <v>161</v>
      </c>
      <c r="AG263" s="6"/>
      <c r="AH263" s="6" t="s">
        <v>57</v>
      </c>
      <c r="AI263" s="6"/>
      <c r="AJ263" s="6" t="s">
        <v>57</v>
      </c>
    </row>
    <row r="264" spans="1:36" ht="15.75" customHeight="1" x14ac:dyDescent="0.25">
      <c r="A264" s="7">
        <v>43418.643062604169</v>
      </c>
      <c r="B264" s="6" t="s">
        <v>30</v>
      </c>
      <c r="C264" s="6" t="s">
        <v>705</v>
      </c>
      <c r="D264" s="6" t="s">
        <v>846</v>
      </c>
      <c r="E264" s="6" t="s">
        <v>81</v>
      </c>
      <c r="G264" s="6" t="s">
        <v>87</v>
      </c>
      <c r="H264" s="6" t="s">
        <v>990</v>
      </c>
      <c r="I264" s="6"/>
      <c r="J264" s="6" t="s">
        <v>92</v>
      </c>
      <c r="K264" s="6"/>
      <c r="L264" s="6" t="s">
        <v>991</v>
      </c>
      <c r="M264" s="6"/>
      <c r="N264" s="6" t="s">
        <v>121</v>
      </c>
      <c r="O264" s="6"/>
      <c r="P264" s="6" t="s">
        <v>94</v>
      </c>
      <c r="Q264" s="6"/>
      <c r="R264" s="47" t="s">
        <v>3532</v>
      </c>
      <c r="S264" s="14" t="s">
        <v>4734</v>
      </c>
      <c r="T264" s="14" t="s">
        <v>4735</v>
      </c>
      <c r="U264" s="14" t="s">
        <v>4736</v>
      </c>
      <c r="AA264" s="6"/>
      <c r="AB264" s="6" t="s">
        <v>67</v>
      </c>
      <c r="AC264" s="6"/>
      <c r="AD264" s="6" t="s">
        <v>56</v>
      </c>
      <c r="AE264" s="6"/>
      <c r="AF264" s="6" t="s">
        <v>75</v>
      </c>
      <c r="AG264" s="6"/>
      <c r="AH264" s="6" t="s">
        <v>76</v>
      </c>
      <c r="AI264" s="6"/>
      <c r="AJ264" s="6" t="s">
        <v>77</v>
      </c>
    </row>
    <row r="265" spans="1:36" ht="15.75" customHeight="1" x14ac:dyDescent="0.25">
      <c r="A265" s="7">
        <v>43418.644825810188</v>
      </c>
      <c r="B265" s="6" t="s">
        <v>30</v>
      </c>
      <c r="C265" s="6" t="s">
        <v>128</v>
      </c>
      <c r="D265" s="6" t="s">
        <v>46</v>
      </c>
      <c r="E265" s="6" t="s">
        <v>48</v>
      </c>
      <c r="F265" s="6" t="s">
        <v>993</v>
      </c>
      <c r="G265" s="6" t="s">
        <v>48</v>
      </c>
      <c r="H265" s="6" t="s">
        <v>994</v>
      </c>
      <c r="I265" s="6"/>
      <c r="J265" s="6" t="s">
        <v>158</v>
      </c>
      <c r="K265" s="6"/>
      <c r="L265" s="6" t="s">
        <v>995</v>
      </c>
      <c r="M265" s="6"/>
      <c r="N265" s="6" t="s">
        <v>98</v>
      </c>
      <c r="O265" s="6"/>
      <c r="P265" s="6" t="s">
        <v>131</v>
      </c>
      <c r="Q265" s="6"/>
      <c r="R265" s="47" t="s">
        <v>192</v>
      </c>
      <c r="S265" s="14" t="s">
        <v>4425</v>
      </c>
      <c r="T265" s="14" t="s">
        <v>4737</v>
      </c>
      <c r="U265" s="14" t="s">
        <v>4556</v>
      </c>
      <c r="AA265" s="6"/>
      <c r="AB265" s="6" t="s">
        <v>67</v>
      </c>
      <c r="AC265" s="6"/>
      <c r="AD265" s="6" t="s">
        <v>56</v>
      </c>
      <c r="AE265" s="6"/>
      <c r="AF265" s="6" t="s">
        <v>75</v>
      </c>
      <c r="AG265" s="6"/>
      <c r="AH265" s="6" t="s">
        <v>76</v>
      </c>
      <c r="AI265" s="6"/>
      <c r="AJ265" s="6" t="s">
        <v>77</v>
      </c>
    </row>
    <row r="266" spans="1:36" ht="15.75" customHeight="1" x14ac:dyDescent="0.25">
      <c r="A266" s="7">
        <v>43418.645425474533</v>
      </c>
      <c r="B266" s="6" t="s">
        <v>30</v>
      </c>
      <c r="C266" s="6" t="s">
        <v>95</v>
      </c>
      <c r="D266" s="6" t="s">
        <v>46</v>
      </c>
      <c r="E266" s="6" t="s">
        <v>48</v>
      </c>
      <c r="F266" s="6" t="s">
        <v>997</v>
      </c>
      <c r="G266" s="6" t="s">
        <v>48</v>
      </c>
      <c r="H266" s="6" t="s">
        <v>998</v>
      </c>
      <c r="I266" s="6"/>
      <c r="J266" s="6" t="s">
        <v>106</v>
      </c>
      <c r="K266" s="6"/>
      <c r="N266" s="6" t="s">
        <v>112</v>
      </c>
      <c r="O266" s="6"/>
      <c r="P266" s="6" t="s">
        <v>99</v>
      </c>
      <c r="Q266" s="6"/>
      <c r="R266" s="47" t="s">
        <v>3299</v>
      </c>
      <c r="S266" s="14" t="s">
        <v>4738</v>
      </c>
      <c r="T266" s="14" t="s">
        <v>4739</v>
      </c>
      <c r="U266" s="14" t="s">
        <v>4740</v>
      </c>
      <c r="V266" s="14" t="s">
        <v>4741</v>
      </c>
      <c r="W266" s="14" t="s">
        <v>4742</v>
      </c>
      <c r="AA266" s="6"/>
      <c r="AB266" s="6" t="s">
        <v>67</v>
      </c>
      <c r="AC266" s="6"/>
      <c r="AD266" s="6" t="s">
        <v>56</v>
      </c>
      <c r="AE266" s="6"/>
      <c r="AF266" s="6" t="s">
        <v>75</v>
      </c>
      <c r="AG266" s="6"/>
      <c r="AH266" s="6" t="s">
        <v>76</v>
      </c>
      <c r="AI266" s="6"/>
      <c r="AJ266" s="6" t="s">
        <v>233</v>
      </c>
    </row>
    <row r="267" spans="1:36" ht="15.75" customHeight="1" x14ac:dyDescent="0.25">
      <c r="A267" s="7">
        <v>43418.645622430558</v>
      </c>
      <c r="B267" s="6" t="s">
        <v>294</v>
      </c>
      <c r="C267" s="6" t="s">
        <v>90</v>
      </c>
      <c r="D267" s="6" t="s">
        <v>261</v>
      </c>
      <c r="E267" s="6" t="s">
        <v>48</v>
      </c>
      <c r="G267" s="6" t="s">
        <v>48</v>
      </c>
      <c r="J267" s="6" t="s">
        <v>73</v>
      </c>
      <c r="K267" s="6"/>
      <c r="N267" s="6" t="s">
        <v>212</v>
      </c>
      <c r="O267" s="6"/>
      <c r="P267" s="6" t="s">
        <v>52</v>
      </c>
      <c r="Q267" s="6"/>
      <c r="AA267" s="6"/>
      <c r="AB267" s="6" t="s">
        <v>67</v>
      </c>
      <c r="AC267" s="6"/>
      <c r="AD267" s="6" t="s">
        <v>56</v>
      </c>
      <c r="AE267" s="6"/>
      <c r="AF267" s="6" t="s">
        <v>205</v>
      </c>
      <c r="AG267" s="6"/>
      <c r="AH267" s="6" t="s">
        <v>57</v>
      </c>
      <c r="AI267" s="6"/>
      <c r="AJ267" s="6" t="s">
        <v>59</v>
      </c>
    </row>
    <row r="268" spans="1:36" ht="15.75" customHeight="1" x14ac:dyDescent="0.25">
      <c r="A268" s="7">
        <v>43418.64562674769</v>
      </c>
      <c r="B268" s="6" t="s">
        <v>26</v>
      </c>
      <c r="C268" s="6" t="s">
        <v>45</v>
      </c>
      <c r="D268" s="6" t="s">
        <v>46</v>
      </c>
      <c r="E268" s="6" t="s">
        <v>81</v>
      </c>
      <c r="G268" s="6" t="s">
        <v>87</v>
      </c>
      <c r="J268" s="6" t="s">
        <v>92</v>
      </c>
      <c r="K268" s="6"/>
      <c r="L268" s="6" t="s">
        <v>1000</v>
      </c>
      <c r="M268" s="6"/>
      <c r="N268" s="6" t="s">
        <v>248</v>
      </c>
      <c r="O268" s="6"/>
      <c r="P268" s="6" t="s">
        <v>168</v>
      </c>
      <c r="Q268" s="6"/>
      <c r="R268" s="47" t="s">
        <v>4743</v>
      </c>
      <c r="S268" s="14" t="s">
        <v>4472</v>
      </c>
      <c r="T268" s="14" t="s">
        <v>4632</v>
      </c>
      <c r="U268" s="14" t="s">
        <v>4744</v>
      </c>
      <c r="V268" s="14" t="s">
        <v>4527</v>
      </c>
      <c r="W268" s="14" t="s">
        <v>4745</v>
      </c>
      <c r="X268" s="14" t="s">
        <v>4746</v>
      </c>
      <c r="AA268" s="6"/>
      <c r="AB268" s="6" t="s">
        <v>67</v>
      </c>
      <c r="AC268" s="6"/>
      <c r="AD268" s="6" t="s">
        <v>56</v>
      </c>
      <c r="AE268" s="6"/>
      <c r="AF268" s="6" t="s">
        <v>161</v>
      </c>
      <c r="AG268" s="6"/>
      <c r="AH268" s="6" t="s">
        <v>76</v>
      </c>
      <c r="AI268" s="6"/>
      <c r="AJ268" s="11" t="s">
        <v>418</v>
      </c>
    </row>
    <row r="269" spans="1:36" ht="15.75" customHeight="1" x14ac:dyDescent="0.25">
      <c r="A269" s="7">
        <v>43418.646343368055</v>
      </c>
      <c r="B269" s="6" t="s">
        <v>26</v>
      </c>
      <c r="C269" s="6" t="s">
        <v>206</v>
      </c>
      <c r="D269" s="6" t="s">
        <v>46</v>
      </c>
      <c r="E269" s="6" t="s">
        <v>48</v>
      </c>
      <c r="F269" s="6" t="s">
        <v>1002</v>
      </c>
      <c r="G269" s="6" t="s">
        <v>48</v>
      </c>
      <c r="H269" s="6" t="s">
        <v>1003</v>
      </c>
      <c r="I269" s="6"/>
      <c r="J269" s="6" t="s">
        <v>89</v>
      </c>
      <c r="K269" s="6"/>
      <c r="L269" s="6" t="s">
        <v>1004</v>
      </c>
      <c r="M269" s="6"/>
      <c r="N269" s="6" t="s">
        <v>98</v>
      </c>
      <c r="O269" s="6"/>
      <c r="P269" s="6" t="s">
        <v>131</v>
      </c>
      <c r="Q269" s="6"/>
      <c r="R269" s="47" t="s">
        <v>4747</v>
      </c>
      <c r="S269" s="14" t="s">
        <v>4748</v>
      </c>
      <c r="T269" s="14" t="s">
        <v>4393</v>
      </c>
      <c r="U269" s="14" t="s">
        <v>4431</v>
      </c>
      <c r="V269" s="14" t="s">
        <v>4749</v>
      </c>
      <c r="W269" s="14" t="s">
        <v>4750</v>
      </c>
      <c r="X269" s="14" t="s">
        <v>4751</v>
      </c>
      <c r="Y269" s="14" t="s">
        <v>4389</v>
      </c>
      <c r="Z269" s="14" t="s">
        <v>4752</v>
      </c>
      <c r="AA269" s="6"/>
      <c r="AB269" s="6" t="s">
        <v>101</v>
      </c>
      <c r="AC269" s="6"/>
      <c r="AD269" s="6" t="s">
        <v>56</v>
      </c>
      <c r="AE269" s="6"/>
      <c r="AF269" s="6" t="s">
        <v>75</v>
      </c>
      <c r="AG269" s="6"/>
      <c r="AH269" s="6" t="s">
        <v>58</v>
      </c>
      <c r="AI269" s="6"/>
      <c r="AJ269" s="6" t="s">
        <v>77</v>
      </c>
    </row>
    <row r="270" spans="1:36" ht="15.75" customHeight="1" x14ac:dyDescent="0.25">
      <c r="A270" s="7">
        <v>43418.646583831018</v>
      </c>
      <c r="B270" s="6" t="s">
        <v>30</v>
      </c>
      <c r="C270" s="6" t="s">
        <v>95</v>
      </c>
      <c r="D270" s="6" t="s">
        <v>165</v>
      </c>
      <c r="E270" s="6" t="s">
        <v>81</v>
      </c>
      <c r="G270" s="6" t="s">
        <v>87</v>
      </c>
      <c r="H270" s="6" t="s">
        <v>1006</v>
      </c>
      <c r="I270" s="6"/>
      <c r="J270" s="6" t="s">
        <v>64</v>
      </c>
      <c r="K270" s="6"/>
      <c r="L270" s="6" t="s">
        <v>1007</v>
      </c>
      <c r="M270" s="6"/>
      <c r="N270" s="6" t="s">
        <v>212</v>
      </c>
      <c r="O270" s="6"/>
      <c r="P270" s="6" t="s">
        <v>131</v>
      </c>
      <c r="Q270" s="6"/>
      <c r="R270" s="47" t="s">
        <v>149</v>
      </c>
      <c r="S270" s="14" t="s">
        <v>4753</v>
      </c>
      <c r="T270" s="14" t="s">
        <v>4432</v>
      </c>
      <c r="U270" s="14" t="s">
        <v>4754</v>
      </c>
      <c r="AA270" s="6"/>
      <c r="AB270" s="6" t="s">
        <v>67</v>
      </c>
      <c r="AC270" s="6"/>
      <c r="AD270" s="6" t="s">
        <v>56</v>
      </c>
      <c r="AE270" s="6"/>
      <c r="AF270" s="6" t="s">
        <v>161</v>
      </c>
      <c r="AG270" s="6"/>
      <c r="AH270" s="6" t="s">
        <v>76</v>
      </c>
      <c r="AI270" s="6"/>
      <c r="AJ270" s="6" t="s">
        <v>233</v>
      </c>
    </row>
    <row r="271" spans="1:36" ht="15.75" customHeight="1" x14ac:dyDescent="0.25">
      <c r="A271" s="7">
        <v>43418.647255694443</v>
      </c>
      <c r="B271" s="6" t="s">
        <v>30</v>
      </c>
      <c r="C271" s="6" t="s">
        <v>116</v>
      </c>
      <c r="D271" s="6" t="s">
        <v>46</v>
      </c>
      <c r="E271" s="6" t="s">
        <v>48</v>
      </c>
      <c r="F271" s="6" t="s">
        <v>1009</v>
      </c>
      <c r="G271" s="6" t="s">
        <v>48</v>
      </c>
      <c r="H271" s="6" t="s">
        <v>1010</v>
      </c>
      <c r="I271" s="6"/>
      <c r="J271" s="6" t="s">
        <v>73</v>
      </c>
      <c r="K271" s="6"/>
      <c r="L271" s="6" t="s">
        <v>1011</v>
      </c>
      <c r="M271" s="6"/>
      <c r="N271" s="6" t="s">
        <v>112</v>
      </c>
      <c r="O271" s="6"/>
      <c r="P271" s="6" t="s">
        <v>52</v>
      </c>
      <c r="Q271" s="6"/>
      <c r="R271" s="47" t="s">
        <v>182</v>
      </c>
      <c r="S271" s="14" t="s">
        <v>4755</v>
      </c>
      <c r="T271" s="14" t="s">
        <v>4756</v>
      </c>
      <c r="AA271" s="6"/>
      <c r="AB271" s="6" t="s">
        <v>67</v>
      </c>
      <c r="AC271" s="6"/>
      <c r="AD271" s="6" t="s">
        <v>56</v>
      </c>
      <c r="AE271" s="6"/>
      <c r="AF271" s="6" t="s">
        <v>205</v>
      </c>
      <c r="AG271" s="6"/>
      <c r="AH271" s="11" t="s">
        <v>144</v>
      </c>
      <c r="AI271" s="6"/>
      <c r="AJ271" s="6" t="s">
        <v>77</v>
      </c>
    </row>
    <row r="272" spans="1:36" ht="15.75" customHeight="1" x14ac:dyDescent="0.25">
      <c r="A272" s="7">
        <v>43418.64817296296</v>
      </c>
      <c r="B272" s="6" t="s">
        <v>154</v>
      </c>
      <c r="C272" s="6" t="s">
        <v>79</v>
      </c>
      <c r="D272" s="6" t="s">
        <v>138</v>
      </c>
      <c r="E272" s="6" t="s">
        <v>81</v>
      </c>
      <c r="G272" s="6" t="s">
        <v>87</v>
      </c>
      <c r="J272" s="6" t="s">
        <v>92</v>
      </c>
      <c r="K272" s="6"/>
      <c r="L272" s="6" t="s">
        <v>1013</v>
      </c>
      <c r="M272" s="6"/>
      <c r="N272" s="6" t="s">
        <v>121</v>
      </c>
      <c r="O272" s="6"/>
      <c r="P272" s="6" t="s">
        <v>168</v>
      </c>
      <c r="Q272" s="6"/>
      <c r="R272" s="47" t="s">
        <v>149</v>
      </c>
      <c r="S272" s="14" t="s">
        <v>4393</v>
      </c>
      <c r="AA272" s="6"/>
      <c r="AB272" s="6" t="s">
        <v>101</v>
      </c>
      <c r="AC272" s="6"/>
      <c r="AD272" s="6" t="s">
        <v>56</v>
      </c>
      <c r="AE272" s="6"/>
      <c r="AF272" s="6" t="s">
        <v>75</v>
      </c>
      <c r="AG272" s="6"/>
      <c r="AH272" s="6" t="s">
        <v>76</v>
      </c>
      <c r="AI272" s="6"/>
      <c r="AJ272" s="6" t="s">
        <v>363</v>
      </c>
    </row>
    <row r="273" spans="1:36" ht="15.75" customHeight="1" x14ac:dyDescent="0.25">
      <c r="A273" s="7">
        <v>43418.64818945602</v>
      </c>
      <c r="B273" s="6" t="s">
        <v>60</v>
      </c>
      <c r="C273" s="6" t="s">
        <v>215</v>
      </c>
      <c r="E273" s="6" t="s">
        <v>48</v>
      </c>
      <c r="F273" s="6" t="s">
        <v>569</v>
      </c>
      <c r="G273" s="6" t="s">
        <v>48</v>
      </c>
      <c r="H273" s="6" t="s">
        <v>1015</v>
      </c>
      <c r="I273" s="6"/>
      <c r="J273" s="6" t="s">
        <v>110</v>
      </c>
      <c r="K273" s="6"/>
      <c r="L273" s="6" t="s">
        <v>1016</v>
      </c>
      <c r="M273" s="6"/>
      <c r="N273" s="6" t="s">
        <v>112</v>
      </c>
      <c r="O273" s="6"/>
      <c r="P273" s="6" t="s">
        <v>94</v>
      </c>
      <c r="Q273" s="6"/>
      <c r="R273" s="47" t="s">
        <v>180</v>
      </c>
      <c r="AA273" s="6"/>
      <c r="AB273" s="6" t="s">
        <v>55</v>
      </c>
      <c r="AC273" s="6"/>
      <c r="AD273" s="6" t="s">
        <v>56</v>
      </c>
      <c r="AE273" s="6"/>
      <c r="AF273" s="6" t="s">
        <v>68</v>
      </c>
      <c r="AG273" s="6"/>
      <c r="AH273" s="6" t="s">
        <v>76</v>
      </c>
      <c r="AI273" s="6"/>
      <c r="AJ273" s="6" t="s">
        <v>115</v>
      </c>
    </row>
    <row r="274" spans="1:36" ht="15.75" customHeight="1" x14ac:dyDescent="0.25">
      <c r="A274" s="7">
        <v>43418.649372106476</v>
      </c>
      <c r="B274" s="6" t="s">
        <v>30</v>
      </c>
      <c r="C274" s="6" t="s">
        <v>95</v>
      </c>
      <c r="D274" s="6" t="s">
        <v>46</v>
      </c>
      <c r="E274" s="6" t="s">
        <v>48</v>
      </c>
      <c r="F274" s="6" t="s">
        <v>1017</v>
      </c>
      <c r="G274" s="6" t="s">
        <v>81</v>
      </c>
      <c r="H274" s="6" t="s">
        <v>1018</v>
      </c>
      <c r="I274" s="6"/>
      <c r="J274" s="6" t="s">
        <v>110</v>
      </c>
      <c r="K274" s="6"/>
      <c r="L274" s="6" t="s">
        <v>1019</v>
      </c>
      <c r="M274" s="6"/>
      <c r="N274" s="6" t="s">
        <v>112</v>
      </c>
      <c r="O274" s="6"/>
      <c r="P274" s="6" t="s">
        <v>94</v>
      </c>
      <c r="Q274" s="6"/>
      <c r="R274" s="47" t="s">
        <v>4292</v>
      </c>
      <c r="S274" s="14" t="s">
        <v>4757</v>
      </c>
      <c r="T274" s="14" t="s">
        <v>4497</v>
      </c>
      <c r="U274" s="14" t="s">
        <v>4758</v>
      </c>
      <c r="V274" s="14" t="s">
        <v>4759</v>
      </c>
      <c r="W274" s="14" t="s">
        <v>4760</v>
      </c>
      <c r="AA274" s="6"/>
      <c r="AB274" s="6" t="s">
        <v>101</v>
      </c>
      <c r="AC274" s="6"/>
      <c r="AD274" s="6" t="s">
        <v>56</v>
      </c>
      <c r="AE274" s="6"/>
      <c r="AF274" s="6" t="s">
        <v>75</v>
      </c>
      <c r="AG274" s="6"/>
      <c r="AH274" s="6" t="s">
        <v>58</v>
      </c>
      <c r="AI274" s="6"/>
      <c r="AJ274" s="6" t="s">
        <v>115</v>
      </c>
    </row>
    <row r="275" spans="1:36" ht="15.75" customHeight="1" x14ac:dyDescent="0.25">
      <c r="A275" s="7">
        <v>43418.649494108795</v>
      </c>
      <c r="B275" s="6" t="s">
        <v>30</v>
      </c>
      <c r="C275" s="6" t="s">
        <v>45</v>
      </c>
      <c r="D275" s="6" t="s">
        <v>46</v>
      </c>
      <c r="E275" s="6" t="s">
        <v>48</v>
      </c>
      <c r="F275" s="6" t="s">
        <v>745</v>
      </c>
      <c r="G275" s="6" t="s">
        <v>48</v>
      </c>
      <c r="H275" s="6" t="s">
        <v>1021</v>
      </c>
      <c r="I275" s="6"/>
      <c r="J275" s="6" t="s">
        <v>64</v>
      </c>
      <c r="K275" s="6"/>
      <c r="L275" s="6" t="s">
        <v>1022</v>
      </c>
      <c r="M275" s="6"/>
      <c r="N275" s="6" t="s">
        <v>51</v>
      </c>
      <c r="O275" s="6"/>
      <c r="P275" s="6" t="s">
        <v>52</v>
      </c>
      <c r="Q275" s="6"/>
      <c r="R275" s="47" t="s">
        <v>4761</v>
      </c>
      <c r="S275" s="14" t="s">
        <v>4762</v>
      </c>
      <c r="AA275" s="6"/>
      <c r="AB275" s="6" t="s">
        <v>67</v>
      </c>
      <c r="AC275" s="6"/>
      <c r="AD275" s="6" t="s">
        <v>56</v>
      </c>
      <c r="AE275" s="6"/>
      <c r="AF275" s="6" t="s">
        <v>205</v>
      </c>
      <c r="AG275" s="6"/>
      <c r="AH275" s="6" t="s">
        <v>58</v>
      </c>
      <c r="AI275" s="6"/>
      <c r="AJ275" s="6" t="s">
        <v>286</v>
      </c>
    </row>
    <row r="276" spans="1:36" ht="15.75" customHeight="1" x14ac:dyDescent="0.25">
      <c r="A276" s="7">
        <v>43418.649508692135</v>
      </c>
      <c r="B276" s="6" t="s">
        <v>60</v>
      </c>
      <c r="C276" s="6" t="s">
        <v>85</v>
      </c>
      <c r="D276" s="6" t="s">
        <v>165</v>
      </c>
      <c r="E276" s="6" t="s">
        <v>81</v>
      </c>
      <c r="G276" s="6" t="s">
        <v>87</v>
      </c>
      <c r="H276" s="6" t="s">
        <v>1024</v>
      </c>
      <c r="I276" s="6"/>
      <c r="J276" s="6" t="s">
        <v>92</v>
      </c>
      <c r="K276" s="6"/>
      <c r="L276" s="6" t="s">
        <v>1025</v>
      </c>
      <c r="M276" s="6"/>
      <c r="N276" s="6" t="s">
        <v>181</v>
      </c>
      <c r="O276" s="6"/>
      <c r="P276" s="6" t="s">
        <v>131</v>
      </c>
      <c r="Q276" s="6"/>
      <c r="R276" s="47" t="s">
        <v>4763</v>
      </c>
      <c r="S276" s="14" t="s">
        <v>4764</v>
      </c>
      <c r="T276" s="14" t="s">
        <v>4765</v>
      </c>
      <c r="AA276" s="6"/>
      <c r="AB276" s="6" t="s">
        <v>101</v>
      </c>
      <c r="AC276" s="6"/>
      <c r="AD276" s="6" t="s">
        <v>56</v>
      </c>
      <c r="AE276" s="6"/>
      <c r="AF276" s="6" t="s">
        <v>75</v>
      </c>
      <c r="AG276" s="6"/>
      <c r="AH276" s="11" t="s">
        <v>76</v>
      </c>
      <c r="AI276" s="6"/>
      <c r="AJ276" s="6" t="s">
        <v>115</v>
      </c>
    </row>
    <row r="277" spans="1:36" ht="15.75" customHeight="1" x14ac:dyDescent="0.25">
      <c r="A277" s="7">
        <v>43418.650245798606</v>
      </c>
      <c r="B277" s="6" t="s">
        <v>30</v>
      </c>
      <c r="C277" s="6" t="s">
        <v>1027</v>
      </c>
      <c r="D277" s="6" t="s">
        <v>163</v>
      </c>
      <c r="E277" s="6" t="s">
        <v>81</v>
      </c>
      <c r="G277" s="6" t="s">
        <v>87</v>
      </c>
      <c r="J277" s="6" t="s">
        <v>89</v>
      </c>
      <c r="K277" s="6"/>
      <c r="L277" s="6" t="s">
        <v>1028</v>
      </c>
      <c r="M277" s="6"/>
      <c r="N277" s="6" t="s">
        <v>98</v>
      </c>
      <c r="O277" s="6"/>
      <c r="P277" s="6" t="s">
        <v>131</v>
      </c>
      <c r="Q277" s="6"/>
      <c r="R277" s="47" t="s">
        <v>149</v>
      </c>
      <c r="S277" s="14" t="s">
        <v>4766</v>
      </c>
      <c r="T277" s="14" t="s">
        <v>4767</v>
      </c>
      <c r="AA277" s="6"/>
      <c r="AB277" s="6" t="s">
        <v>67</v>
      </c>
      <c r="AC277" s="6"/>
      <c r="AD277" s="6" t="s">
        <v>56</v>
      </c>
      <c r="AE277" s="6"/>
      <c r="AF277" s="6" t="s">
        <v>75</v>
      </c>
      <c r="AG277" s="6"/>
      <c r="AH277" s="6" t="s">
        <v>76</v>
      </c>
      <c r="AI277" s="6"/>
      <c r="AJ277" s="6" t="s">
        <v>77</v>
      </c>
    </row>
    <row r="278" spans="1:36" ht="15.75" customHeight="1" x14ac:dyDescent="0.25">
      <c r="A278" s="7">
        <v>43418.650786423612</v>
      </c>
      <c r="B278" s="6" t="s">
        <v>60</v>
      </c>
      <c r="C278" s="6" t="s">
        <v>90</v>
      </c>
      <c r="D278" s="6" t="s">
        <v>46</v>
      </c>
      <c r="E278" s="6" t="s">
        <v>48</v>
      </c>
      <c r="F278" s="6" t="s">
        <v>558</v>
      </c>
      <c r="G278" s="6" t="s">
        <v>48</v>
      </c>
      <c r="H278" s="6" t="s">
        <v>1030</v>
      </c>
      <c r="I278" s="6"/>
      <c r="J278" s="6" t="s">
        <v>110</v>
      </c>
      <c r="K278" s="6"/>
      <c r="L278" s="6" t="s">
        <v>1031</v>
      </c>
      <c r="M278" s="6"/>
      <c r="N278" s="6" t="s">
        <v>181</v>
      </c>
      <c r="O278" s="6"/>
      <c r="AA278" s="6"/>
      <c r="AB278" s="6" t="s">
        <v>101</v>
      </c>
      <c r="AC278" s="6"/>
      <c r="AD278" s="6" t="s">
        <v>56</v>
      </c>
      <c r="AE278" s="6"/>
      <c r="AF278" s="6" t="s">
        <v>205</v>
      </c>
      <c r="AG278" s="6"/>
      <c r="AH278" s="6" t="s">
        <v>58</v>
      </c>
      <c r="AI278" s="6"/>
      <c r="AJ278" s="6" t="s">
        <v>259</v>
      </c>
    </row>
    <row r="279" spans="1:36" ht="15.75" customHeight="1" x14ac:dyDescent="0.25">
      <c r="A279" s="7">
        <v>43418.65154979167</v>
      </c>
      <c r="B279" s="6" t="s">
        <v>30</v>
      </c>
      <c r="C279" s="6" t="s">
        <v>116</v>
      </c>
      <c r="D279" s="6" t="s">
        <v>163</v>
      </c>
      <c r="E279" s="6" t="s">
        <v>81</v>
      </c>
      <c r="F279" s="6" t="s">
        <v>1032</v>
      </c>
      <c r="G279" s="6" t="s">
        <v>87</v>
      </c>
      <c r="H279" s="6" t="s">
        <v>1033</v>
      </c>
      <c r="I279" s="6"/>
      <c r="J279" s="6" t="s">
        <v>106</v>
      </c>
      <c r="K279" s="6"/>
      <c r="L279" s="6" t="s">
        <v>1034</v>
      </c>
      <c r="M279" s="6"/>
      <c r="N279" s="6" t="s">
        <v>93</v>
      </c>
      <c r="O279" s="6"/>
      <c r="P279" s="6" t="s">
        <v>94</v>
      </c>
      <c r="Q279" s="6"/>
      <c r="R279" s="47" t="s">
        <v>3207</v>
      </c>
      <c r="S279" s="14" t="s">
        <v>4389</v>
      </c>
      <c r="T279" s="14" t="s">
        <v>4768</v>
      </c>
      <c r="U279" s="14" t="s">
        <v>4769</v>
      </c>
      <c r="V279" s="14" t="s">
        <v>4714</v>
      </c>
      <c r="W279" s="14" t="s">
        <v>4770</v>
      </c>
      <c r="AA279" s="6"/>
      <c r="AB279" s="6" t="s">
        <v>67</v>
      </c>
      <c r="AC279" s="6"/>
      <c r="AD279" s="6" t="s">
        <v>57</v>
      </c>
      <c r="AE279" s="6"/>
      <c r="AF279" s="6" t="s">
        <v>68</v>
      </c>
      <c r="AG279" s="6"/>
      <c r="AH279" s="11" t="s">
        <v>58</v>
      </c>
      <c r="AI279" s="6"/>
      <c r="AJ279" s="6" t="s">
        <v>77</v>
      </c>
    </row>
    <row r="280" spans="1:36" ht="15.75" customHeight="1" x14ac:dyDescent="0.25">
      <c r="A280" s="7">
        <v>43418.652002511575</v>
      </c>
      <c r="B280" s="6" t="s">
        <v>30</v>
      </c>
      <c r="C280" s="6" t="s">
        <v>45</v>
      </c>
      <c r="D280" s="6" t="s">
        <v>165</v>
      </c>
      <c r="E280" s="6" t="s">
        <v>48</v>
      </c>
      <c r="F280" s="6" t="s">
        <v>1036</v>
      </c>
      <c r="G280" s="6" t="s">
        <v>48</v>
      </c>
      <c r="H280" s="6" t="s">
        <v>1037</v>
      </c>
      <c r="I280" s="6"/>
      <c r="J280" s="6" t="s">
        <v>64</v>
      </c>
      <c r="K280" s="6"/>
      <c r="L280" s="6" t="s">
        <v>1038</v>
      </c>
      <c r="M280" s="6"/>
      <c r="N280" s="6" t="s">
        <v>98</v>
      </c>
      <c r="O280" s="6"/>
      <c r="P280" s="6" t="s">
        <v>94</v>
      </c>
      <c r="Q280" s="6"/>
      <c r="R280" s="47" t="s">
        <v>1039</v>
      </c>
      <c r="AA280" s="6"/>
      <c r="AB280" s="6" t="s">
        <v>67</v>
      </c>
      <c r="AC280" s="6"/>
      <c r="AD280" s="6" t="s">
        <v>56</v>
      </c>
      <c r="AE280" s="6"/>
      <c r="AF280" s="6" t="s">
        <v>68</v>
      </c>
      <c r="AG280" s="6"/>
      <c r="AH280" s="6" t="s">
        <v>58</v>
      </c>
      <c r="AI280" s="6"/>
      <c r="AJ280" s="6" t="s">
        <v>59</v>
      </c>
    </row>
    <row r="281" spans="1:36" ht="15.75" customHeight="1" x14ac:dyDescent="0.25">
      <c r="A281" s="7">
        <v>43418.653144328702</v>
      </c>
      <c r="B281" s="6" t="s">
        <v>127</v>
      </c>
      <c r="C281" s="6" t="s">
        <v>790</v>
      </c>
      <c r="D281" s="6" t="s">
        <v>91</v>
      </c>
      <c r="E281" s="6" t="s">
        <v>48</v>
      </c>
      <c r="F281" s="6" t="s">
        <v>1040</v>
      </c>
      <c r="G281" s="6" t="s">
        <v>48</v>
      </c>
      <c r="H281" s="6" t="s">
        <v>1041</v>
      </c>
      <c r="I281" s="6"/>
      <c r="J281" s="6" t="s">
        <v>106</v>
      </c>
      <c r="K281" s="6"/>
      <c r="L281" s="6" t="s">
        <v>1042</v>
      </c>
      <c r="M281" s="6"/>
      <c r="N281" s="6" t="s">
        <v>112</v>
      </c>
      <c r="O281" s="6"/>
      <c r="P281" s="6" t="s">
        <v>99</v>
      </c>
      <c r="Q281" s="6"/>
      <c r="R281" s="47" t="s">
        <v>4771</v>
      </c>
      <c r="S281" s="14" t="s">
        <v>4640</v>
      </c>
      <c r="T281" s="14" t="s">
        <v>4772</v>
      </c>
      <c r="AA281" s="6"/>
      <c r="AB281" s="6" t="s">
        <v>67</v>
      </c>
      <c r="AC281" s="6"/>
      <c r="AD281" s="6" t="s">
        <v>56</v>
      </c>
      <c r="AE281" s="6"/>
      <c r="AF281" s="6" t="s">
        <v>75</v>
      </c>
      <c r="AG281" s="6"/>
      <c r="AH281" s="6" t="s">
        <v>76</v>
      </c>
      <c r="AI281" s="6"/>
      <c r="AJ281" s="6" t="s">
        <v>115</v>
      </c>
    </row>
    <row r="282" spans="1:36" ht="15.75" customHeight="1" x14ac:dyDescent="0.25">
      <c r="A282" s="7">
        <v>43418.653616863427</v>
      </c>
      <c r="B282" s="6" t="s">
        <v>60</v>
      </c>
      <c r="C282" s="6" t="s">
        <v>1044</v>
      </c>
      <c r="D282" s="6" t="s">
        <v>46</v>
      </c>
      <c r="E282" s="6" t="s">
        <v>81</v>
      </c>
      <c r="G282" s="6" t="s">
        <v>87</v>
      </c>
      <c r="H282" s="6" t="s">
        <v>1045</v>
      </c>
      <c r="I282" s="6"/>
      <c r="J282" s="6" t="s">
        <v>64</v>
      </c>
      <c r="K282" s="6"/>
      <c r="L282" s="6" t="s">
        <v>1046</v>
      </c>
      <c r="M282" s="6"/>
      <c r="N282" s="6" t="s">
        <v>121</v>
      </c>
      <c r="O282" s="6"/>
      <c r="P282" s="6" t="s">
        <v>94</v>
      </c>
      <c r="Q282" s="6"/>
      <c r="R282" s="47" t="s">
        <v>4773</v>
      </c>
      <c r="S282" s="14" t="s">
        <v>4774</v>
      </c>
      <c r="T282" s="14" t="s">
        <v>4775</v>
      </c>
      <c r="AA282" s="6"/>
      <c r="AB282" s="6" t="s">
        <v>67</v>
      </c>
      <c r="AC282" s="6"/>
      <c r="AD282" s="6" t="s">
        <v>57</v>
      </c>
      <c r="AE282" s="6"/>
      <c r="AF282" s="6" t="s">
        <v>57</v>
      </c>
      <c r="AG282" s="6"/>
      <c r="AH282" s="6" t="s">
        <v>76</v>
      </c>
      <c r="AI282" s="6"/>
      <c r="AJ282" s="6" t="s">
        <v>59</v>
      </c>
    </row>
    <row r="283" spans="1:36" ht="15.75" customHeight="1" x14ac:dyDescent="0.25">
      <c r="A283" s="7">
        <v>43418.654668067131</v>
      </c>
      <c r="B283" s="6" t="s">
        <v>30</v>
      </c>
      <c r="C283" s="6" t="s">
        <v>749</v>
      </c>
      <c r="D283" s="6" t="s">
        <v>165</v>
      </c>
      <c r="E283" s="6" t="s">
        <v>81</v>
      </c>
      <c r="G283" s="6" t="s">
        <v>87</v>
      </c>
      <c r="H283" s="6" t="s">
        <v>1048</v>
      </c>
      <c r="I283" s="6"/>
      <c r="J283" s="6" t="s">
        <v>50</v>
      </c>
      <c r="K283" s="6"/>
      <c r="L283" s="6" t="s">
        <v>1049</v>
      </c>
      <c r="M283" s="6"/>
      <c r="N283" s="6" t="s">
        <v>98</v>
      </c>
      <c r="O283" s="6"/>
      <c r="P283" s="6" t="s">
        <v>94</v>
      </c>
      <c r="Q283" s="6"/>
      <c r="R283" s="47" t="s">
        <v>1050</v>
      </c>
      <c r="AA283" s="6"/>
      <c r="AB283" s="6" t="s">
        <v>67</v>
      </c>
      <c r="AC283" s="6"/>
      <c r="AD283" s="6" t="s">
        <v>56</v>
      </c>
      <c r="AE283" s="6"/>
      <c r="AF283" s="6" t="s">
        <v>68</v>
      </c>
      <c r="AG283" s="6"/>
      <c r="AH283" s="6" t="s">
        <v>58</v>
      </c>
      <c r="AI283" s="6"/>
      <c r="AJ283" s="6" t="s">
        <v>132</v>
      </c>
    </row>
    <row r="284" spans="1:36" ht="15.75" customHeight="1" x14ac:dyDescent="0.25">
      <c r="A284" s="7">
        <v>43418.654980358799</v>
      </c>
      <c r="B284" s="6" t="s">
        <v>833</v>
      </c>
      <c r="C284" s="6" t="s">
        <v>341</v>
      </c>
      <c r="D284" s="6" t="s">
        <v>163</v>
      </c>
      <c r="E284" s="6" t="s">
        <v>48</v>
      </c>
      <c r="F284" s="6" t="s">
        <v>665</v>
      </c>
      <c r="G284" s="6" t="s">
        <v>48</v>
      </c>
      <c r="H284" s="6" t="s">
        <v>1051</v>
      </c>
      <c r="I284" s="6"/>
      <c r="J284" s="6" t="s">
        <v>106</v>
      </c>
      <c r="K284" s="6"/>
      <c r="L284" s="6" t="s">
        <v>1052</v>
      </c>
      <c r="M284" s="6"/>
      <c r="N284" s="6" t="s">
        <v>112</v>
      </c>
      <c r="O284" s="6"/>
      <c r="P284" s="6" t="s">
        <v>99</v>
      </c>
      <c r="Q284" s="6"/>
      <c r="R284" s="47" t="s">
        <v>612</v>
      </c>
      <c r="AA284" s="6"/>
      <c r="AB284" s="6" t="s">
        <v>67</v>
      </c>
      <c r="AC284" s="6"/>
      <c r="AD284" s="6" t="s">
        <v>57</v>
      </c>
      <c r="AE284" s="6"/>
      <c r="AF284" s="6" t="s">
        <v>75</v>
      </c>
      <c r="AG284" s="6"/>
      <c r="AH284" s="6" t="s">
        <v>58</v>
      </c>
      <c r="AI284" s="6"/>
      <c r="AJ284" s="6" t="s">
        <v>286</v>
      </c>
    </row>
    <row r="285" spans="1:36" ht="15.75" customHeight="1" x14ac:dyDescent="0.25">
      <c r="A285" s="7">
        <v>43418.655039594909</v>
      </c>
      <c r="B285" s="6" t="s">
        <v>154</v>
      </c>
      <c r="C285" s="6" t="s">
        <v>116</v>
      </c>
      <c r="D285" s="6" t="s">
        <v>138</v>
      </c>
      <c r="E285" s="6" t="s">
        <v>48</v>
      </c>
      <c r="F285" s="6" t="s">
        <v>1053</v>
      </c>
      <c r="G285" s="6" t="s">
        <v>48</v>
      </c>
      <c r="H285" s="6" t="s">
        <v>1054</v>
      </c>
      <c r="I285" s="6"/>
      <c r="J285" s="6" t="s">
        <v>110</v>
      </c>
      <c r="K285" s="6"/>
      <c r="L285" s="6" t="s">
        <v>1055</v>
      </c>
      <c r="M285" s="6"/>
      <c r="N285" s="6" t="s">
        <v>181</v>
      </c>
      <c r="O285" s="6"/>
      <c r="P285" s="6" t="s">
        <v>131</v>
      </c>
      <c r="Q285" s="6"/>
      <c r="R285" s="47" t="s">
        <v>1056</v>
      </c>
      <c r="AA285" s="6"/>
      <c r="AB285" s="6" t="s">
        <v>67</v>
      </c>
      <c r="AC285" s="6"/>
      <c r="AD285" s="6" t="s">
        <v>56</v>
      </c>
      <c r="AE285" s="6"/>
      <c r="AF285" s="6" t="s">
        <v>161</v>
      </c>
      <c r="AG285" s="6"/>
      <c r="AH285" s="6" t="s">
        <v>76</v>
      </c>
      <c r="AI285" s="6"/>
      <c r="AJ285" s="6" t="s">
        <v>132</v>
      </c>
    </row>
    <row r="286" spans="1:36" ht="15.75" customHeight="1" x14ac:dyDescent="0.25">
      <c r="A286" s="7">
        <v>43418.655472071754</v>
      </c>
      <c r="B286" s="6" t="s">
        <v>30</v>
      </c>
      <c r="C286" s="6" t="s">
        <v>116</v>
      </c>
      <c r="D286" s="6" t="s">
        <v>91</v>
      </c>
      <c r="E286" s="6" t="s">
        <v>81</v>
      </c>
      <c r="G286" s="6" t="s">
        <v>87</v>
      </c>
      <c r="H286" s="6" t="s">
        <v>1057</v>
      </c>
      <c r="I286" s="6"/>
      <c r="J286" s="6" t="s">
        <v>92</v>
      </c>
      <c r="K286" s="6"/>
      <c r="L286" s="6" t="s">
        <v>1058</v>
      </c>
      <c r="M286" s="6"/>
      <c r="N286" s="6" t="s">
        <v>121</v>
      </c>
      <c r="O286" s="6"/>
      <c r="P286" s="6" t="s">
        <v>94</v>
      </c>
      <c r="Q286" s="6"/>
      <c r="AA286" s="6"/>
      <c r="AB286" s="6" t="s">
        <v>101</v>
      </c>
      <c r="AC286" s="6"/>
      <c r="AD286" s="6" t="s">
        <v>56</v>
      </c>
      <c r="AE286" s="6"/>
      <c r="AF286" s="6" t="s">
        <v>161</v>
      </c>
      <c r="AG286" s="6"/>
      <c r="AH286" s="6" t="s">
        <v>76</v>
      </c>
      <c r="AJ286" s="6" t="s">
        <v>57</v>
      </c>
    </row>
    <row r="287" spans="1:36" ht="15.75" customHeight="1" x14ac:dyDescent="0.25">
      <c r="A287" s="7">
        <v>43418.655849201386</v>
      </c>
      <c r="B287" s="6" t="s">
        <v>30</v>
      </c>
      <c r="C287" s="6" t="s">
        <v>756</v>
      </c>
      <c r="D287" s="6" t="s">
        <v>165</v>
      </c>
      <c r="E287" s="6" t="s">
        <v>48</v>
      </c>
      <c r="F287" s="6" t="s">
        <v>36</v>
      </c>
      <c r="G287" s="6" t="s">
        <v>48</v>
      </c>
      <c r="J287" s="6" t="s">
        <v>106</v>
      </c>
      <c r="K287" s="6"/>
      <c r="L287" s="6" t="s">
        <v>1059</v>
      </c>
      <c r="M287" s="6"/>
      <c r="N287" s="6" t="s">
        <v>212</v>
      </c>
      <c r="O287" s="6"/>
      <c r="P287" s="6" t="s">
        <v>131</v>
      </c>
      <c r="Q287" s="6"/>
      <c r="R287" s="47" t="s">
        <v>1060</v>
      </c>
      <c r="AA287" s="6"/>
      <c r="AB287" s="6" t="s">
        <v>101</v>
      </c>
      <c r="AC287" s="6"/>
      <c r="AD287" s="6" t="s">
        <v>56</v>
      </c>
      <c r="AE287" s="6"/>
      <c r="AF287" s="6" t="s">
        <v>75</v>
      </c>
      <c r="AG287" s="6"/>
      <c r="AH287" s="6" t="s">
        <v>58</v>
      </c>
      <c r="AI287" s="6"/>
      <c r="AJ287" s="6" t="s">
        <v>77</v>
      </c>
    </row>
    <row r="288" spans="1:36" ht="15.75" customHeight="1" x14ac:dyDescent="0.25">
      <c r="A288" s="7">
        <v>43418.655915081021</v>
      </c>
      <c r="B288" s="6" t="s">
        <v>30</v>
      </c>
      <c r="C288" s="6" t="s">
        <v>116</v>
      </c>
      <c r="D288" s="6" t="s">
        <v>138</v>
      </c>
      <c r="E288" s="6" t="s">
        <v>81</v>
      </c>
      <c r="G288" s="6" t="s">
        <v>87</v>
      </c>
      <c r="J288" s="6" t="s">
        <v>106</v>
      </c>
      <c r="K288" s="6"/>
      <c r="N288" s="6" t="s">
        <v>167</v>
      </c>
      <c r="O288" s="6"/>
      <c r="P288" s="6" t="s">
        <v>94</v>
      </c>
      <c r="Q288" s="6"/>
      <c r="AA288" s="6"/>
      <c r="AB288" s="6" t="s">
        <v>101</v>
      </c>
      <c r="AC288" s="6"/>
      <c r="AD288" s="6" t="s">
        <v>109</v>
      </c>
      <c r="AE288" s="6"/>
      <c r="AF288" s="6" t="s">
        <v>161</v>
      </c>
      <c r="AG288" s="6"/>
      <c r="AH288" s="6" t="s">
        <v>76</v>
      </c>
      <c r="AI288" s="6"/>
      <c r="AJ288" s="6" t="s">
        <v>77</v>
      </c>
    </row>
    <row r="289" spans="1:36" ht="15.75" customHeight="1" x14ac:dyDescent="0.25">
      <c r="A289" s="7">
        <v>43418.656024189811</v>
      </c>
      <c r="B289" s="6" t="s">
        <v>30</v>
      </c>
      <c r="C289" s="6" t="s">
        <v>95</v>
      </c>
      <c r="D289" s="6" t="s">
        <v>91</v>
      </c>
      <c r="E289" s="6" t="s">
        <v>81</v>
      </c>
      <c r="G289" s="6" t="s">
        <v>87</v>
      </c>
      <c r="J289" s="6" t="s">
        <v>110</v>
      </c>
      <c r="K289" s="6"/>
      <c r="N289" s="6" t="s">
        <v>121</v>
      </c>
      <c r="O289" s="6"/>
      <c r="P289" s="6" t="s">
        <v>94</v>
      </c>
      <c r="Q289" s="6"/>
      <c r="AA289" s="6"/>
      <c r="AB289" s="6" t="s">
        <v>67</v>
      </c>
      <c r="AC289" s="6"/>
      <c r="AD289" s="6" t="s">
        <v>56</v>
      </c>
      <c r="AE289" s="6"/>
      <c r="AF289" s="6" t="s">
        <v>75</v>
      </c>
      <c r="AG289" s="6"/>
      <c r="AH289" s="6" t="s">
        <v>58</v>
      </c>
      <c r="AI289" s="6"/>
      <c r="AJ289" s="6" t="s">
        <v>170</v>
      </c>
    </row>
    <row r="290" spans="1:36" ht="15.75" customHeight="1" x14ac:dyDescent="0.25">
      <c r="A290" s="7">
        <v>43418.656965335649</v>
      </c>
      <c r="B290" s="6" t="s">
        <v>127</v>
      </c>
      <c r="C290" s="6" t="s">
        <v>1061</v>
      </c>
      <c r="D290" s="6" t="s">
        <v>165</v>
      </c>
      <c r="E290" s="6" t="s">
        <v>81</v>
      </c>
      <c r="G290" s="6" t="s">
        <v>87</v>
      </c>
      <c r="H290" s="6" t="s">
        <v>1062</v>
      </c>
      <c r="I290" s="6"/>
      <c r="J290" s="6" t="s">
        <v>92</v>
      </c>
      <c r="K290" s="6"/>
      <c r="L290" s="6" t="s">
        <v>601</v>
      </c>
      <c r="M290" s="6"/>
      <c r="N290" s="6" t="s">
        <v>112</v>
      </c>
      <c r="O290" s="6"/>
      <c r="P290" s="6" t="s">
        <v>99</v>
      </c>
      <c r="Q290" s="6"/>
      <c r="R290" s="47" t="s">
        <v>1063</v>
      </c>
      <c r="AA290" s="6"/>
      <c r="AB290" s="6" t="s">
        <v>55</v>
      </c>
      <c r="AC290" s="6"/>
      <c r="AD290" s="6" t="s">
        <v>56</v>
      </c>
      <c r="AE290" s="6"/>
      <c r="AF290" s="6" t="s">
        <v>68</v>
      </c>
      <c r="AG290" s="6"/>
      <c r="AH290" s="6" t="s">
        <v>58</v>
      </c>
      <c r="AI290" s="6"/>
      <c r="AJ290" s="11" t="s">
        <v>244</v>
      </c>
    </row>
    <row r="291" spans="1:36" ht="15.75" customHeight="1" x14ac:dyDescent="0.25">
      <c r="A291" s="7">
        <v>43418.657253067126</v>
      </c>
      <c r="B291" s="6" t="s">
        <v>60</v>
      </c>
      <c r="C291" s="6" t="s">
        <v>79</v>
      </c>
      <c r="D291" s="6" t="s">
        <v>91</v>
      </c>
      <c r="E291" s="6" t="s">
        <v>81</v>
      </c>
      <c r="G291" s="6" t="s">
        <v>87</v>
      </c>
      <c r="H291" s="6" t="s">
        <v>1064</v>
      </c>
      <c r="I291" s="6"/>
      <c r="J291" s="6" t="s">
        <v>64</v>
      </c>
      <c r="K291" s="6"/>
      <c r="L291" s="6" t="s">
        <v>1065</v>
      </c>
      <c r="M291" s="6"/>
      <c r="N291" s="6" t="s">
        <v>212</v>
      </c>
      <c r="O291" s="6"/>
      <c r="P291" s="6" t="s">
        <v>131</v>
      </c>
      <c r="Q291" s="6"/>
      <c r="R291" s="47" t="s">
        <v>3457</v>
      </c>
      <c r="S291" s="14" t="s">
        <v>4389</v>
      </c>
      <c r="T291" s="14" t="s">
        <v>4776</v>
      </c>
      <c r="U291" s="14" t="s">
        <v>4421</v>
      </c>
      <c r="AA291" s="6"/>
      <c r="AB291" s="6" t="s">
        <v>67</v>
      </c>
      <c r="AC291" s="6"/>
      <c r="AD291" s="6" t="s">
        <v>56</v>
      </c>
      <c r="AE291" s="6"/>
      <c r="AF291" s="6" t="s">
        <v>75</v>
      </c>
      <c r="AG291" s="6"/>
      <c r="AH291" s="6" t="s">
        <v>57</v>
      </c>
      <c r="AJ291" s="6" t="s">
        <v>57</v>
      </c>
    </row>
    <row r="292" spans="1:36" ht="15.75" customHeight="1" x14ac:dyDescent="0.25">
      <c r="A292" s="7">
        <v>43418.658144780093</v>
      </c>
      <c r="B292" s="6" t="s">
        <v>26</v>
      </c>
      <c r="C292" s="6" t="s">
        <v>45</v>
      </c>
      <c r="D292" s="6" t="s">
        <v>46</v>
      </c>
      <c r="E292" s="6" t="s">
        <v>81</v>
      </c>
      <c r="G292" s="6" t="s">
        <v>87</v>
      </c>
      <c r="J292" s="6" t="s">
        <v>106</v>
      </c>
      <c r="K292" s="6"/>
      <c r="L292" s="6" t="s">
        <v>1067</v>
      </c>
      <c r="M292" s="6"/>
      <c r="N292" s="6" t="s">
        <v>93</v>
      </c>
      <c r="O292" s="6"/>
      <c r="P292" s="6" t="s">
        <v>94</v>
      </c>
      <c r="Q292" s="6"/>
      <c r="R292" s="47" t="s">
        <v>149</v>
      </c>
      <c r="S292" s="14" t="s">
        <v>4456</v>
      </c>
      <c r="T292" s="14" t="s">
        <v>4777</v>
      </c>
      <c r="AA292" s="6"/>
      <c r="AB292" s="6" t="s">
        <v>101</v>
      </c>
      <c r="AC292" s="6"/>
      <c r="AD292" s="6" t="s">
        <v>109</v>
      </c>
      <c r="AE292" s="6"/>
      <c r="AF292" s="6" t="s">
        <v>161</v>
      </c>
      <c r="AG292" s="6"/>
      <c r="AH292" s="6" t="s">
        <v>58</v>
      </c>
      <c r="AI292" s="6"/>
      <c r="AJ292" s="6" t="s">
        <v>77</v>
      </c>
    </row>
    <row r="293" spans="1:36" ht="15.75" customHeight="1" x14ac:dyDescent="0.25">
      <c r="A293" s="7">
        <v>43418.659194282409</v>
      </c>
      <c r="B293" s="6" t="s">
        <v>154</v>
      </c>
      <c r="C293" s="6" t="s">
        <v>128</v>
      </c>
      <c r="D293" s="6" t="s">
        <v>165</v>
      </c>
      <c r="E293" s="6" t="s">
        <v>81</v>
      </c>
      <c r="G293" s="6" t="s">
        <v>87</v>
      </c>
      <c r="J293" s="6" t="s">
        <v>73</v>
      </c>
      <c r="K293" s="6"/>
      <c r="N293" s="6" t="s">
        <v>181</v>
      </c>
      <c r="O293" s="6"/>
      <c r="P293" s="6" t="s">
        <v>131</v>
      </c>
      <c r="Q293" s="6"/>
      <c r="R293" s="47" t="s">
        <v>1069</v>
      </c>
      <c r="AA293" s="6"/>
      <c r="AB293" s="6" t="s">
        <v>203</v>
      </c>
      <c r="AC293" s="6"/>
      <c r="AD293" s="6" t="s">
        <v>56</v>
      </c>
      <c r="AE293" s="6"/>
      <c r="AF293" s="6" t="s">
        <v>68</v>
      </c>
      <c r="AG293" s="6"/>
      <c r="AH293" s="6" t="s">
        <v>126</v>
      </c>
      <c r="AI293" s="6"/>
      <c r="AJ293" s="6" t="s">
        <v>286</v>
      </c>
    </row>
    <row r="294" spans="1:36" ht="15.75" customHeight="1" x14ac:dyDescent="0.25">
      <c r="A294" s="7">
        <v>43418.659511458332</v>
      </c>
      <c r="B294" s="6" t="s">
        <v>30</v>
      </c>
      <c r="C294" s="6" t="s">
        <v>378</v>
      </c>
      <c r="D294" s="6" t="s">
        <v>91</v>
      </c>
      <c r="E294" s="6" t="s">
        <v>81</v>
      </c>
      <c r="G294" s="6" t="s">
        <v>87</v>
      </c>
      <c r="H294" s="6" t="s">
        <v>1070</v>
      </c>
      <c r="I294" s="6"/>
      <c r="J294" s="6" t="s">
        <v>158</v>
      </c>
      <c r="K294" s="6"/>
      <c r="L294" s="6" t="s">
        <v>1071</v>
      </c>
      <c r="M294" s="6"/>
      <c r="N294" s="6" t="s">
        <v>98</v>
      </c>
      <c r="O294" s="6"/>
      <c r="P294" s="6" t="s">
        <v>131</v>
      </c>
      <c r="Q294" s="6"/>
      <c r="R294" s="47" t="s">
        <v>4778</v>
      </c>
      <c r="S294" s="14" t="s">
        <v>4431</v>
      </c>
      <c r="T294" s="14" t="s">
        <v>4779</v>
      </c>
      <c r="U294" s="14" t="s">
        <v>4780</v>
      </c>
      <c r="V294" s="14" t="s">
        <v>4540</v>
      </c>
      <c r="W294" s="14" t="s">
        <v>4781</v>
      </c>
      <c r="AA294" s="6"/>
      <c r="AB294" s="6" t="s">
        <v>101</v>
      </c>
      <c r="AC294" s="6"/>
      <c r="AD294" s="6" t="s">
        <v>56</v>
      </c>
      <c r="AE294" s="6"/>
      <c r="AF294" s="6" t="s">
        <v>75</v>
      </c>
      <c r="AG294" s="6"/>
      <c r="AH294" s="6" t="s">
        <v>126</v>
      </c>
      <c r="AI294" s="6"/>
      <c r="AJ294" s="6" t="s">
        <v>77</v>
      </c>
    </row>
    <row r="295" spans="1:36" ht="15.75" customHeight="1" x14ac:dyDescent="0.25">
      <c r="A295" s="7">
        <v>43418.66</v>
      </c>
      <c r="B295" s="6" t="s">
        <v>60</v>
      </c>
      <c r="C295" s="6" t="s">
        <v>749</v>
      </c>
      <c r="D295" s="6" t="s">
        <v>46</v>
      </c>
      <c r="E295" s="6" t="s">
        <v>81</v>
      </c>
      <c r="G295" s="6" t="s">
        <v>87</v>
      </c>
      <c r="H295" s="6" t="s">
        <v>1073</v>
      </c>
      <c r="I295" s="6"/>
      <c r="J295" s="6" t="s">
        <v>158</v>
      </c>
      <c r="K295" s="6"/>
      <c r="L295" s="6" t="s">
        <v>1074</v>
      </c>
      <c r="M295" s="6"/>
      <c r="N295" s="6" t="s">
        <v>51</v>
      </c>
      <c r="O295" s="6"/>
      <c r="P295" s="6" t="s">
        <v>52</v>
      </c>
      <c r="Q295" s="6"/>
      <c r="R295" s="47" t="s">
        <v>224</v>
      </c>
      <c r="AA295" s="6"/>
      <c r="AB295" s="6" t="s">
        <v>67</v>
      </c>
      <c r="AC295" s="6"/>
      <c r="AD295" s="6" t="s">
        <v>56</v>
      </c>
      <c r="AE295" s="6"/>
      <c r="AF295" s="6" t="s">
        <v>68</v>
      </c>
      <c r="AG295" s="6"/>
      <c r="AH295" s="6" t="s">
        <v>58</v>
      </c>
      <c r="AI295" s="6"/>
      <c r="AJ295" s="6" t="s">
        <v>137</v>
      </c>
    </row>
    <row r="296" spans="1:36" ht="15.75" customHeight="1" x14ac:dyDescent="0.25">
      <c r="A296" s="7">
        <v>43418.660721550928</v>
      </c>
      <c r="B296" s="6" t="s">
        <v>294</v>
      </c>
      <c r="C296" s="6" t="s">
        <v>776</v>
      </c>
      <c r="D296" s="6" t="s">
        <v>46</v>
      </c>
      <c r="E296" s="6" t="s">
        <v>48</v>
      </c>
      <c r="F296" s="6" t="s">
        <v>1075</v>
      </c>
      <c r="G296" s="6" t="s">
        <v>48</v>
      </c>
      <c r="H296" s="6" t="s">
        <v>1076</v>
      </c>
      <c r="I296" s="6"/>
      <c r="J296" s="6" t="s">
        <v>110</v>
      </c>
      <c r="K296" s="6"/>
      <c r="L296" s="6" t="s">
        <v>1077</v>
      </c>
      <c r="M296" s="6"/>
      <c r="N296" s="6" t="s">
        <v>51</v>
      </c>
      <c r="O296" s="6"/>
      <c r="P296" s="6" t="s">
        <v>99</v>
      </c>
      <c r="Q296" s="6"/>
      <c r="R296" s="47" t="s">
        <v>4782</v>
      </c>
      <c r="S296" s="14" t="s">
        <v>4510</v>
      </c>
      <c r="T296" s="14" t="s">
        <v>4783</v>
      </c>
      <c r="U296" s="14" t="s">
        <v>4389</v>
      </c>
      <c r="AA296" s="6"/>
      <c r="AB296" s="6" t="s">
        <v>55</v>
      </c>
      <c r="AC296" s="6"/>
      <c r="AD296" s="6" t="s">
        <v>56</v>
      </c>
      <c r="AE296" s="6"/>
      <c r="AF296" s="6" t="s">
        <v>75</v>
      </c>
      <c r="AG296" s="6"/>
      <c r="AH296" s="6" t="s">
        <v>57</v>
      </c>
      <c r="AI296" s="6"/>
      <c r="AJ296" s="6" t="s">
        <v>115</v>
      </c>
    </row>
    <row r="297" spans="1:36" ht="15.75" customHeight="1" x14ac:dyDescent="0.25">
      <c r="A297" s="7">
        <v>43418.661278414351</v>
      </c>
      <c r="B297" s="6" t="s">
        <v>1079</v>
      </c>
      <c r="C297" s="6" t="s">
        <v>128</v>
      </c>
      <c r="D297" s="6" t="s">
        <v>165</v>
      </c>
      <c r="E297" s="6" t="s">
        <v>81</v>
      </c>
      <c r="G297" s="6" t="s">
        <v>87</v>
      </c>
      <c r="H297" s="6" t="s">
        <v>1080</v>
      </c>
      <c r="I297" s="6"/>
      <c r="J297" s="6" t="s">
        <v>158</v>
      </c>
      <c r="K297" s="6"/>
      <c r="L297" s="6" t="s">
        <v>1081</v>
      </c>
      <c r="M297" s="6"/>
      <c r="N297" s="6" t="s">
        <v>181</v>
      </c>
      <c r="O297" s="6"/>
      <c r="P297" s="6" t="s">
        <v>52</v>
      </c>
      <c r="Q297" s="6"/>
      <c r="R297" s="47" t="s">
        <v>149</v>
      </c>
      <c r="S297" s="14" t="s">
        <v>4784</v>
      </c>
      <c r="T297" s="14" t="s">
        <v>4585</v>
      </c>
      <c r="U297" s="14" t="s">
        <v>4785</v>
      </c>
      <c r="V297" s="14" t="s">
        <v>4786</v>
      </c>
      <c r="AA297" s="6"/>
      <c r="AB297" s="6" t="s">
        <v>101</v>
      </c>
      <c r="AC297" s="6"/>
      <c r="AD297" s="6" t="s">
        <v>56</v>
      </c>
      <c r="AE297" s="6"/>
      <c r="AF297" s="6" t="s">
        <v>75</v>
      </c>
      <c r="AG297" s="6"/>
      <c r="AH297" s="6" t="s">
        <v>126</v>
      </c>
      <c r="AI297" s="6"/>
      <c r="AJ297" s="6" t="s">
        <v>77</v>
      </c>
    </row>
    <row r="298" spans="1:36" ht="15.75" customHeight="1" x14ac:dyDescent="0.25">
      <c r="A298" s="7">
        <v>43418.661713715279</v>
      </c>
      <c r="B298" s="6" t="s">
        <v>1083</v>
      </c>
      <c r="C298" s="6" t="s">
        <v>378</v>
      </c>
      <c r="D298" s="6" t="s">
        <v>46</v>
      </c>
      <c r="E298" s="6" t="s">
        <v>81</v>
      </c>
      <c r="H298" s="6" t="s">
        <v>1084</v>
      </c>
      <c r="I298" s="6"/>
      <c r="J298" s="6" t="s">
        <v>64</v>
      </c>
      <c r="K298" s="6"/>
      <c r="L298" s="6" t="s">
        <v>1085</v>
      </c>
      <c r="M298" s="6"/>
      <c r="N298" s="6" t="s">
        <v>112</v>
      </c>
      <c r="O298" s="6"/>
      <c r="P298" s="6" t="s">
        <v>131</v>
      </c>
      <c r="Q298" s="6"/>
      <c r="AA298" s="6"/>
      <c r="AB298" s="6" t="s">
        <v>203</v>
      </c>
      <c r="AC298" s="6"/>
      <c r="AD298" s="6" t="s">
        <v>56</v>
      </c>
      <c r="AE298" s="6"/>
      <c r="AF298" s="6" t="s">
        <v>161</v>
      </c>
      <c r="AG298" s="6"/>
      <c r="AH298" s="6" t="s">
        <v>76</v>
      </c>
      <c r="AI298" s="6"/>
      <c r="AJ298" s="6" t="s">
        <v>291</v>
      </c>
    </row>
    <row r="299" spans="1:36" ht="15.75" customHeight="1" x14ac:dyDescent="0.25">
      <c r="A299" s="7">
        <v>43418.661947488421</v>
      </c>
      <c r="B299" s="6" t="s">
        <v>127</v>
      </c>
      <c r="C299" s="6" t="s">
        <v>116</v>
      </c>
      <c r="D299" s="6" t="s">
        <v>261</v>
      </c>
      <c r="E299" s="6" t="s">
        <v>48</v>
      </c>
      <c r="F299" s="6" t="s">
        <v>1086</v>
      </c>
      <c r="G299" s="6" t="s">
        <v>81</v>
      </c>
      <c r="H299" s="6" t="s">
        <v>1087</v>
      </c>
      <c r="I299" s="6"/>
      <c r="J299" s="6" t="s">
        <v>89</v>
      </c>
      <c r="K299" s="6"/>
      <c r="L299" s="6" t="s">
        <v>1088</v>
      </c>
      <c r="M299" s="6"/>
      <c r="N299" s="6" t="s">
        <v>181</v>
      </c>
      <c r="O299" s="6"/>
      <c r="P299" s="6" t="s">
        <v>94</v>
      </c>
      <c r="Q299" s="6"/>
      <c r="R299" s="47" t="s">
        <v>254</v>
      </c>
      <c r="S299" s="14" t="s">
        <v>4787</v>
      </c>
      <c r="T299" s="14" t="s">
        <v>4788</v>
      </c>
      <c r="U299" s="14" t="s">
        <v>4421</v>
      </c>
      <c r="AA299" s="6"/>
      <c r="AB299" s="6" t="s">
        <v>55</v>
      </c>
      <c r="AC299" s="6"/>
      <c r="AD299" s="6" t="s">
        <v>56</v>
      </c>
      <c r="AE299" s="6"/>
      <c r="AF299" s="6" t="s">
        <v>75</v>
      </c>
      <c r="AG299" s="6"/>
      <c r="AH299" s="6" t="s">
        <v>58</v>
      </c>
      <c r="AI299" s="6"/>
      <c r="AJ299" s="6" t="s">
        <v>77</v>
      </c>
    </row>
    <row r="300" spans="1:36" ht="15.75" customHeight="1" x14ac:dyDescent="0.25">
      <c r="A300" s="7">
        <v>43418.66254326389</v>
      </c>
      <c r="B300" s="6" t="s">
        <v>30</v>
      </c>
      <c r="C300" s="6" t="s">
        <v>116</v>
      </c>
      <c r="D300" s="6" t="s">
        <v>165</v>
      </c>
      <c r="E300" s="6" t="s">
        <v>48</v>
      </c>
      <c r="F300" s="6" t="s">
        <v>1090</v>
      </c>
      <c r="G300" s="6" t="s">
        <v>48</v>
      </c>
      <c r="H300" s="6" t="s">
        <v>1091</v>
      </c>
      <c r="I300" s="6"/>
      <c r="J300" s="6" t="s">
        <v>92</v>
      </c>
      <c r="K300" s="6"/>
      <c r="L300" s="6" t="s">
        <v>1092</v>
      </c>
      <c r="M300" s="6"/>
      <c r="N300" s="6" t="s">
        <v>51</v>
      </c>
      <c r="O300" s="6"/>
      <c r="P300" s="6" t="s">
        <v>131</v>
      </c>
      <c r="Q300" s="6"/>
      <c r="R300" s="47" t="s">
        <v>4789</v>
      </c>
      <c r="S300" s="14" t="s">
        <v>4790</v>
      </c>
      <c r="T300" s="14" t="s">
        <v>4579</v>
      </c>
      <c r="U300" s="14" t="s">
        <v>4791</v>
      </c>
      <c r="AA300" s="6"/>
      <c r="AB300" s="6" t="s">
        <v>101</v>
      </c>
      <c r="AC300" s="6"/>
      <c r="AD300" s="6" t="s">
        <v>56</v>
      </c>
      <c r="AE300" s="6"/>
      <c r="AF300" s="6" t="s">
        <v>68</v>
      </c>
      <c r="AG300" s="6"/>
      <c r="AH300" s="6" t="s">
        <v>76</v>
      </c>
      <c r="AI300" s="6"/>
      <c r="AJ300" s="6" t="s">
        <v>328</v>
      </c>
    </row>
    <row r="301" spans="1:36" ht="15.75" customHeight="1" x14ac:dyDescent="0.25">
      <c r="A301" s="7">
        <v>43418.663188229169</v>
      </c>
      <c r="B301" s="6" t="s">
        <v>154</v>
      </c>
      <c r="C301" s="6" t="s">
        <v>482</v>
      </c>
      <c r="D301" s="6" t="s">
        <v>46</v>
      </c>
      <c r="E301" s="6" t="s">
        <v>81</v>
      </c>
      <c r="G301" s="6" t="s">
        <v>87</v>
      </c>
      <c r="J301" s="6" t="s">
        <v>73</v>
      </c>
      <c r="K301" s="6"/>
      <c r="N301" s="6" t="s">
        <v>121</v>
      </c>
      <c r="O301" s="6"/>
      <c r="P301" s="6" t="s">
        <v>168</v>
      </c>
      <c r="Q301" s="6"/>
      <c r="R301" s="47" t="s">
        <v>1094</v>
      </c>
      <c r="AA301" s="6"/>
      <c r="AB301" s="6" t="s">
        <v>67</v>
      </c>
      <c r="AC301" s="6"/>
      <c r="AD301" s="6" t="s">
        <v>56</v>
      </c>
      <c r="AE301" s="6"/>
      <c r="AF301" s="6" t="s">
        <v>75</v>
      </c>
      <c r="AG301" s="6"/>
      <c r="AH301" s="6" t="s">
        <v>76</v>
      </c>
      <c r="AI301" s="6"/>
      <c r="AJ301" s="11" t="s">
        <v>244</v>
      </c>
    </row>
    <row r="302" spans="1:36" ht="15.75" customHeight="1" x14ac:dyDescent="0.25">
      <c r="A302" s="7">
        <v>43418.666563402774</v>
      </c>
      <c r="B302" s="6" t="s">
        <v>30</v>
      </c>
      <c r="C302" s="6" t="s">
        <v>45</v>
      </c>
      <c r="D302" s="6" t="s">
        <v>46</v>
      </c>
      <c r="E302" s="6" t="s">
        <v>81</v>
      </c>
      <c r="G302" s="6" t="s">
        <v>87</v>
      </c>
      <c r="H302" s="6" t="s">
        <v>1095</v>
      </c>
      <c r="I302" s="6"/>
      <c r="J302" s="6" t="s">
        <v>92</v>
      </c>
      <c r="K302" s="6"/>
      <c r="L302" s="6" t="s">
        <v>1096</v>
      </c>
      <c r="M302" s="6"/>
      <c r="N302" s="6" t="s">
        <v>167</v>
      </c>
      <c r="O302" s="6"/>
      <c r="P302" s="6" t="s">
        <v>94</v>
      </c>
      <c r="Q302" s="6"/>
      <c r="R302" s="47" t="s">
        <v>892</v>
      </c>
      <c r="AA302" s="6"/>
      <c r="AB302" s="6" t="s">
        <v>67</v>
      </c>
      <c r="AC302" s="6"/>
      <c r="AD302" s="6" t="s">
        <v>56</v>
      </c>
      <c r="AE302" s="6"/>
      <c r="AF302" s="6" t="s">
        <v>161</v>
      </c>
      <c r="AG302" s="6"/>
      <c r="AH302" s="6" t="s">
        <v>76</v>
      </c>
      <c r="AI302" s="6"/>
      <c r="AJ302" s="6" t="s">
        <v>77</v>
      </c>
    </row>
    <row r="303" spans="1:36" ht="15.75" customHeight="1" x14ac:dyDescent="0.25">
      <c r="A303" s="7">
        <v>43418.667154374998</v>
      </c>
      <c r="B303" s="6" t="s">
        <v>154</v>
      </c>
      <c r="C303" s="6" t="s">
        <v>128</v>
      </c>
      <c r="D303" s="6" t="s">
        <v>91</v>
      </c>
      <c r="E303" s="6" t="s">
        <v>81</v>
      </c>
      <c r="G303" s="6" t="s">
        <v>87</v>
      </c>
      <c r="J303" s="6" t="s">
        <v>92</v>
      </c>
      <c r="K303" s="6"/>
      <c r="L303" s="6" t="s">
        <v>1097</v>
      </c>
      <c r="M303" s="6"/>
      <c r="N303" s="6" t="s">
        <v>98</v>
      </c>
      <c r="O303" s="6"/>
      <c r="P303" s="6" t="s">
        <v>94</v>
      </c>
      <c r="Q303" s="6"/>
      <c r="R303" s="47" t="s">
        <v>4792</v>
      </c>
      <c r="S303" s="14" t="s">
        <v>4793</v>
      </c>
      <c r="T303" s="14" t="s">
        <v>4794</v>
      </c>
      <c r="U303" s="14" t="s">
        <v>4795</v>
      </c>
      <c r="V303" s="14" t="s">
        <v>4796</v>
      </c>
      <c r="AA303" s="6"/>
      <c r="AB303" s="6" t="s">
        <v>101</v>
      </c>
      <c r="AC303" s="6"/>
      <c r="AD303" s="6" t="s">
        <v>56</v>
      </c>
      <c r="AE303" s="6"/>
      <c r="AF303" s="6" t="s">
        <v>75</v>
      </c>
      <c r="AG303" s="6"/>
      <c r="AH303" s="6" t="s">
        <v>76</v>
      </c>
      <c r="AI303" s="6"/>
      <c r="AJ303" s="6" t="s">
        <v>77</v>
      </c>
    </row>
    <row r="304" spans="1:36" ht="15.75" customHeight="1" x14ac:dyDescent="0.25">
      <c r="A304" s="7">
        <v>43418.667929479168</v>
      </c>
      <c r="B304" s="6" t="s">
        <v>30</v>
      </c>
      <c r="C304" s="6" t="s">
        <v>378</v>
      </c>
      <c r="D304" s="6" t="s">
        <v>190</v>
      </c>
      <c r="E304" s="6" t="s">
        <v>81</v>
      </c>
      <c r="G304" s="6" t="s">
        <v>87</v>
      </c>
      <c r="H304" s="6" t="s">
        <v>1099</v>
      </c>
      <c r="I304" s="6"/>
      <c r="J304" s="6" t="s">
        <v>64</v>
      </c>
      <c r="K304" s="6"/>
      <c r="L304" s="6" t="s">
        <v>1100</v>
      </c>
      <c r="M304" s="6"/>
      <c r="N304" s="6" t="s">
        <v>212</v>
      </c>
      <c r="O304" s="6"/>
      <c r="P304" s="6" t="s">
        <v>131</v>
      </c>
      <c r="Q304" s="6"/>
      <c r="R304" s="47" t="s">
        <v>3305</v>
      </c>
      <c r="S304" s="14" t="s">
        <v>4797</v>
      </c>
      <c r="T304" s="14" t="s">
        <v>4798</v>
      </c>
      <c r="U304" s="14" t="s">
        <v>4799</v>
      </c>
      <c r="V304" s="14" t="s">
        <v>4800</v>
      </c>
      <c r="AA304" s="6"/>
      <c r="AB304" s="6" t="s">
        <v>67</v>
      </c>
      <c r="AC304" s="6"/>
      <c r="AD304" s="6" t="s">
        <v>56</v>
      </c>
      <c r="AE304" s="6"/>
      <c r="AF304" s="6" t="s">
        <v>68</v>
      </c>
      <c r="AG304" s="6"/>
      <c r="AH304" s="6" t="s">
        <v>58</v>
      </c>
      <c r="AI304" s="6"/>
      <c r="AJ304" s="6" t="s">
        <v>244</v>
      </c>
    </row>
    <row r="305" spans="1:36" ht="15.75" customHeight="1" x14ac:dyDescent="0.25">
      <c r="A305" s="7">
        <v>43418.669222523153</v>
      </c>
      <c r="B305" s="6" t="s">
        <v>127</v>
      </c>
      <c r="C305" s="6" t="s">
        <v>1102</v>
      </c>
      <c r="D305" s="6" t="s">
        <v>91</v>
      </c>
      <c r="E305" s="6" t="s">
        <v>81</v>
      </c>
      <c r="G305" s="6" t="s">
        <v>48</v>
      </c>
      <c r="J305" s="6" t="s">
        <v>92</v>
      </c>
      <c r="K305" s="6"/>
      <c r="P305" s="6" t="s">
        <v>99</v>
      </c>
      <c r="Q305" s="6"/>
      <c r="AA305" s="6"/>
      <c r="AB305" s="6" t="s">
        <v>55</v>
      </c>
      <c r="AC305" s="6"/>
      <c r="AD305" s="6" t="s">
        <v>56</v>
      </c>
      <c r="AE305" s="6"/>
      <c r="AF305" s="6" t="s">
        <v>68</v>
      </c>
      <c r="AG305" s="6"/>
      <c r="AH305" s="6" t="s">
        <v>57</v>
      </c>
      <c r="AI305" s="6"/>
      <c r="AJ305" s="6" t="s">
        <v>417</v>
      </c>
    </row>
    <row r="306" spans="1:36" ht="15.75" customHeight="1" x14ac:dyDescent="0.25">
      <c r="A306" s="7">
        <v>43418.669744340281</v>
      </c>
      <c r="B306" s="6" t="s">
        <v>30</v>
      </c>
      <c r="C306" s="6" t="s">
        <v>95</v>
      </c>
      <c r="D306" s="6" t="s">
        <v>46</v>
      </c>
      <c r="E306" s="6" t="s">
        <v>81</v>
      </c>
      <c r="G306" s="6" t="s">
        <v>87</v>
      </c>
      <c r="J306" s="6" t="s">
        <v>158</v>
      </c>
      <c r="K306" s="6"/>
      <c r="L306" s="6" t="s">
        <v>1103</v>
      </c>
      <c r="M306" s="6"/>
      <c r="N306" s="6" t="s">
        <v>112</v>
      </c>
      <c r="O306" s="6"/>
      <c r="P306" s="6" t="s">
        <v>99</v>
      </c>
      <c r="Q306" s="6"/>
      <c r="R306" s="47" t="s">
        <v>242</v>
      </c>
      <c r="AA306" s="6"/>
      <c r="AB306" s="6" t="s">
        <v>55</v>
      </c>
      <c r="AC306" s="6"/>
      <c r="AD306" s="6" t="s">
        <v>56</v>
      </c>
      <c r="AE306" s="6"/>
      <c r="AF306" s="6" t="s">
        <v>161</v>
      </c>
      <c r="AG306" s="6"/>
      <c r="AH306" s="6" t="s">
        <v>76</v>
      </c>
      <c r="AI306" s="6"/>
      <c r="AJ306" s="6" t="s">
        <v>77</v>
      </c>
    </row>
    <row r="307" spans="1:36" ht="15.75" customHeight="1" x14ac:dyDescent="0.25">
      <c r="A307" s="7">
        <v>43418.670744999996</v>
      </c>
      <c r="B307" s="6" t="s">
        <v>60</v>
      </c>
      <c r="C307" s="6" t="s">
        <v>79</v>
      </c>
      <c r="D307" s="6" t="s">
        <v>165</v>
      </c>
      <c r="E307" s="6" t="s">
        <v>81</v>
      </c>
      <c r="G307" s="6" t="s">
        <v>87</v>
      </c>
      <c r="H307" s="6" t="s">
        <v>1104</v>
      </c>
      <c r="I307" s="6"/>
      <c r="J307" s="6" t="s">
        <v>64</v>
      </c>
      <c r="K307" s="6"/>
      <c r="L307" s="6" t="s">
        <v>1105</v>
      </c>
      <c r="M307" s="6"/>
      <c r="N307" s="6" t="s">
        <v>112</v>
      </c>
      <c r="O307" s="6"/>
      <c r="P307" s="6" t="s">
        <v>131</v>
      </c>
      <c r="Q307" s="6"/>
      <c r="AA307" s="6"/>
      <c r="AB307" s="6" t="s">
        <v>67</v>
      </c>
      <c r="AC307" s="6"/>
      <c r="AD307" s="6" t="s">
        <v>56</v>
      </c>
      <c r="AE307" s="6"/>
      <c r="AF307" s="6" t="s">
        <v>75</v>
      </c>
      <c r="AG307" s="6"/>
      <c r="AH307" s="6" t="s">
        <v>58</v>
      </c>
      <c r="AI307" s="6"/>
      <c r="AJ307" s="11" t="s">
        <v>174</v>
      </c>
    </row>
    <row r="308" spans="1:36" ht="15.75" customHeight="1" x14ac:dyDescent="0.25">
      <c r="A308" s="7">
        <v>43418.671269039347</v>
      </c>
      <c r="B308" s="6" t="s">
        <v>60</v>
      </c>
      <c r="C308" s="6" t="s">
        <v>749</v>
      </c>
      <c r="D308" s="6" t="s">
        <v>163</v>
      </c>
      <c r="E308" s="6" t="s">
        <v>48</v>
      </c>
      <c r="F308" s="6" t="s">
        <v>1106</v>
      </c>
      <c r="G308" s="6" t="s">
        <v>48</v>
      </c>
      <c r="J308" s="6" t="s">
        <v>106</v>
      </c>
      <c r="K308" s="6"/>
      <c r="N308" s="6" t="s">
        <v>181</v>
      </c>
      <c r="O308" s="6"/>
      <c r="P308" s="6" t="s">
        <v>94</v>
      </c>
      <c r="Q308" s="6"/>
      <c r="AA308" s="6"/>
      <c r="AB308" s="6" t="s">
        <v>67</v>
      </c>
      <c r="AC308" s="6"/>
      <c r="AD308" s="6" t="s">
        <v>56</v>
      </c>
      <c r="AE308" s="6"/>
      <c r="AF308" s="6" t="s">
        <v>68</v>
      </c>
      <c r="AG308" s="6"/>
      <c r="AH308" s="6" t="s">
        <v>58</v>
      </c>
      <c r="AJ308" s="6" t="s">
        <v>57</v>
      </c>
    </row>
    <row r="309" spans="1:36" ht="15.75" customHeight="1" x14ac:dyDescent="0.25">
      <c r="A309" s="7">
        <v>43418.671405405097</v>
      </c>
      <c r="B309" s="6" t="s">
        <v>294</v>
      </c>
      <c r="C309" s="6" t="s">
        <v>116</v>
      </c>
      <c r="D309" s="6" t="s">
        <v>133</v>
      </c>
      <c r="E309" s="6" t="s">
        <v>81</v>
      </c>
      <c r="G309" s="6" t="s">
        <v>87</v>
      </c>
      <c r="J309" s="6" t="s">
        <v>89</v>
      </c>
      <c r="K309" s="6"/>
      <c r="L309" s="6" t="s">
        <v>1107</v>
      </c>
      <c r="M309" s="6"/>
      <c r="N309" s="6" t="s">
        <v>121</v>
      </c>
      <c r="O309" s="6"/>
      <c r="P309" s="6" t="s">
        <v>94</v>
      </c>
      <c r="Q309" s="6"/>
      <c r="R309" s="47" t="s">
        <v>3260</v>
      </c>
      <c r="S309" s="14" t="s">
        <v>4801</v>
      </c>
      <c r="AA309" s="6"/>
      <c r="AB309" s="6" t="s">
        <v>101</v>
      </c>
      <c r="AC309" s="6"/>
      <c r="AD309" s="6" t="s">
        <v>56</v>
      </c>
      <c r="AE309" s="6"/>
      <c r="AF309" s="6" t="s">
        <v>161</v>
      </c>
      <c r="AG309" s="6"/>
      <c r="AH309" s="6" t="s">
        <v>76</v>
      </c>
      <c r="AI309" s="6"/>
      <c r="AJ309" s="6" t="s">
        <v>187</v>
      </c>
    </row>
    <row r="310" spans="1:36" ht="15.75" customHeight="1" x14ac:dyDescent="0.25">
      <c r="A310" s="7">
        <v>43418.672308935187</v>
      </c>
      <c r="B310" s="6" t="s">
        <v>127</v>
      </c>
      <c r="C310" s="6" t="s">
        <v>1044</v>
      </c>
      <c r="D310" s="6" t="s">
        <v>46</v>
      </c>
      <c r="E310" s="6" t="s">
        <v>81</v>
      </c>
      <c r="G310" s="6" t="s">
        <v>87</v>
      </c>
      <c r="J310" s="6" t="s">
        <v>92</v>
      </c>
      <c r="K310" s="6"/>
      <c r="L310" s="6" t="s">
        <v>1109</v>
      </c>
      <c r="M310" s="6"/>
      <c r="N310" s="6" t="s">
        <v>167</v>
      </c>
      <c r="O310" s="6"/>
      <c r="P310" s="6" t="s">
        <v>168</v>
      </c>
      <c r="Q310" s="6"/>
      <c r="AA310" s="6"/>
      <c r="AB310" s="6" t="s">
        <v>67</v>
      </c>
      <c r="AC310" s="6"/>
      <c r="AD310" s="6" t="s">
        <v>56</v>
      </c>
      <c r="AE310" s="6"/>
      <c r="AF310" s="6" t="s">
        <v>68</v>
      </c>
      <c r="AG310" s="6"/>
      <c r="AH310" s="6" t="s">
        <v>58</v>
      </c>
      <c r="AI310" s="6"/>
      <c r="AJ310" s="6" t="s">
        <v>115</v>
      </c>
    </row>
    <row r="311" spans="1:36" ht="15.75" customHeight="1" x14ac:dyDescent="0.25">
      <c r="A311" s="7">
        <v>43418.673082222223</v>
      </c>
      <c r="B311" s="6" t="s">
        <v>1110</v>
      </c>
      <c r="C311" s="6" t="s">
        <v>306</v>
      </c>
      <c r="D311" s="6" t="s">
        <v>510</v>
      </c>
      <c r="E311" s="6" t="s">
        <v>81</v>
      </c>
      <c r="G311" s="6" t="s">
        <v>87</v>
      </c>
      <c r="H311" s="6" t="s">
        <v>1111</v>
      </c>
      <c r="I311" s="6"/>
      <c r="J311" s="6" t="s">
        <v>92</v>
      </c>
      <c r="K311" s="6"/>
      <c r="L311" s="6" t="s">
        <v>1112</v>
      </c>
      <c r="M311" s="6"/>
      <c r="N311" s="6" t="s">
        <v>93</v>
      </c>
      <c r="O311" s="6"/>
      <c r="P311" s="6" t="s">
        <v>94</v>
      </c>
      <c r="Q311" s="6"/>
      <c r="AA311" s="6"/>
      <c r="AB311" s="6" t="s">
        <v>101</v>
      </c>
      <c r="AC311" s="6"/>
      <c r="AD311" s="6" t="s">
        <v>56</v>
      </c>
      <c r="AE311" s="6"/>
      <c r="AF311" s="6" t="s">
        <v>75</v>
      </c>
      <c r="AG311" s="6"/>
      <c r="AH311" s="6" t="s">
        <v>76</v>
      </c>
      <c r="AI311" s="6"/>
      <c r="AJ311" s="6" t="s">
        <v>259</v>
      </c>
    </row>
    <row r="312" spans="1:36" ht="15.75" customHeight="1" x14ac:dyDescent="0.25">
      <c r="A312" s="7">
        <v>43418.674212280093</v>
      </c>
      <c r="B312" s="6" t="s">
        <v>30</v>
      </c>
      <c r="C312" s="6" t="s">
        <v>85</v>
      </c>
      <c r="D312" s="6" t="s">
        <v>190</v>
      </c>
      <c r="E312" s="6" t="s">
        <v>81</v>
      </c>
      <c r="G312" s="6" t="s">
        <v>87</v>
      </c>
      <c r="H312" s="6" t="s">
        <v>1113</v>
      </c>
      <c r="I312" s="6"/>
      <c r="J312" s="6" t="s">
        <v>106</v>
      </c>
      <c r="K312" s="6"/>
      <c r="L312" s="6" t="s">
        <v>1114</v>
      </c>
      <c r="M312" s="6"/>
      <c r="N312" s="6" t="s">
        <v>98</v>
      </c>
      <c r="O312" s="6"/>
      <c r="P312" s="6" t="s">
        <v>131</v>
      </c>
      <c r="Q312" s="6"/>
      <c r="R312" s="47" t="s">
        <v>1115</v>
      </c>
      <c r="AA312" s="6"/>
      <c r="AB312" s="6" t="s">
        <v>101</v>
      </c>
      <c r="AC312" s="6"/>
      <c r="AD312" s="6" t="s">
        <v>56</v>
      </c>
      <c r="AE312" s="6"/>
      <c r="AF312" s="6" t="s">
        <v>75</v>
      </c>
      <c r="AG312" s="6"/>
      <c r="AH312" s="6" t="s">
        <v>58</v>
      </c>
      <c r="AI312" s="6"/>
      <c r="AJ312" s="6" t="s">
        <v>132</v>
      </c>
    </row>
    <row r="313" spans="1:36" ht="15.75" customHeight="1" x14ac:dyDescent="0.25">
      <c r="A313" s="7">
        <v>43418.674334583338</v>
      </c>
      <c r="B313" s="6" t="s">
        <v>26</v>
      </c>
      <c r="C313" s="6" t="s">
        <v>79</v>
      </c>
      <c r="E313" s="6" t="s">
        <v>81</v>
      </c>
      <c r="G313" s="6" t="s">
        <v>87</v>
      </c>
      <c r="H313" s="6" t="s">
        <v>1116</v>
      </c>
      <c r="I313" s="6"/>
      <c r="J313" s="6" t="s">
        <v>92</v>
      </c>
      <c r="K313" s="6"/>
      <c r="L313" s="6" t="s">
        <v>910</v>
      </c>
      <c r="M313" s="6"/>
      <c r="N313" s="6" t="s">
        <v>181</v>
      </c>
      <c r="O313" s="6"/>
      <c r="P313" s="6" t="s">
        <v>94</v>
      </c>
      <c r="Q313" s="6"/>
      <c r="R313" s="47" t="s">
        <v>254</v>
      </c>
      <c r="S313" s="14" t="s">
        <v>4802</v>
      </c>
      <c r="AA313" s="6"/>
      <c r="AB313" s="6" t="s">
        <v>203</v>
      </c>
      <c r="AC313" s="6"/>
      <c r="AD313" s="6" t="s">
        <v>56</v>
      </c>
      <c r="AE313" s="6"/>
      <c r="AF313" s="6" t="s">
        <v>75</v>
      </c>
      <c r="AG313" s="6"/>
      <c r="AH313" s="6" t="s">
        <v>76</v>
      </c>
      <c r="AI313" s="6"/>
      <c r="AJ313" s="6" t="s">
        <v>77</v>
      </c>
    </row>
    <row r="314" spans="1:36" ht="15.75" customHeight="1" x14ac:dyDescent="0.25">
      <c r="A314" s="7">
        <v>43418.674391516208</v>
      </c>
      <c r="B314" s="6" t="s">
        <v>127</v>
      </c>
      <c r="C314" s="6" t="s">
        <v>1118</v>
      </c>
      <c r="D314" s="6" t="s">
        <v>307</v>
      </c>
      <c r="E314" s="6" t="s">
        <v>48</v>
      </c>
      <c r="F314" s="6" t="s">
        <v>1119</v>
      </c>
      <c r="G314" s="6" t="s">
        <v>48</v>
      </c>
      <c r="H314" s="6" t="s">
        <v>1120</v>
      </c>
      <c r="I314" s="6"/>
      <c r="J314" s="6" t="s">
        <v>92</v>
      </c>
      <c r="K314" s="6"/>
      <c r="L314" s="6" t="s">
        <v>1121</v>
      </c>
      <c r="M314" s="6"/>
      <c r="N314" s="6" t="s">
        <v>51</v>
      </c>
      <c r="O314" s="6"/>
      <c r="P314" s="6" t="s">
        <v>52</v>
      </c>
      <c r="Q314" s="6"/>
      <c r="R314" s="47" t="s">
        <v>4803</v>
      </c>
      <c r="S314" s="14" t="s">
        <v>4438</v>
      </c>
      <c r="T314" s="14" t="s">
        <v>4425</v>
      </c>
      <c r="U314" s="14" t="s">
        <v>4804</v>
      </c>
      <c r="V314" s="14" t="s">
        <v>4805</v>
      </c>
      <c r="AA314" s="6"/>
      <c r="AB314" s="6" t="s">
        <v>67</v>
      </c>
      <c r="AC314" s="6"/>
      <c r="AD314" s="6" t="s">
        <v>56</v>
      </c>
      <c r="AE314" s="6"/>
      <c r="AF314" s="6" t="s">
        <v>75</v>
      </c>
      <c r="AG314" s="6"/>
      <c r="AH314" s="11" t="s">
        <v>58</v>
      </c>
      <c r="AI314" s="6"/>
      <c r="AJ314" s="6" t="s">
        <v>115</v>
      </c>
    </row>
    <row r="315" spans="1:36" ht="15.75" customHeight="1" x14ac:dyDescent="0.25">
      <c r="A315" s="7">
        <v>43418.676526319439</v>
      </c>
      <c r="B315" s="6" t="s">
        <v>30</v>
      </c>
      <c r="C315" s="6" t="s">
        <v>128</v>
      </c>
      <c r="D315" s="6" t="s">
        <v>165</v>
      </c>
      <c r="E315" s="6" t="s">
        <v>81</v>
      </c>
      <c r="G315" s="6" t="s">
        <v>87</v>
      </c>
      <c r="J315" s="6" t="s">
        <v>92</v>
      </c>
      <c r="K315" s="6"/>
      <c r="L315" s="6" t="s">
        <v>1123</v>
      </c>
      <c r="M315" s="6"/>
      <c r="N315" s="6" t="s">
        <v>121</v>
      </c>
      <c r="O315" s="6"/>
      <c r="P315" s="6" t="s">
        <v>168</v>
      </c>
      <c r="Q315" s="6"/>
      <c r="R315" s="47" t="s">
        <v>149</v>
      </c>
      <c r="AA315" s="6"/>
      <c r="AB315" s="6" t="s">
        <v>67</v>
      </c>
      <c r="AC315" s="6"/>
      <c r="AD315" s="6" t="s">
        <v>56</v>
      </c>
      <c r="AE315" s="6"/>
      <c r="AF315" s="6" t="s">
        <v>161</v>
      </c>
      <c r="AG315" s="6"/>
      <c r="AH315" s="6" t="s">
        <v>76</v>
      </c>
      <c r="AI315" s="6"/>
      <c r="AJ315" s="6" t="s">
        <v>259</v>
      </c>
    </row>
    <row r="316" spans="1:36" ht="15.75" customHeight="1" x14ac:dyDescent="0.25">
      <c r="A316" s="7">
        <v>43418.676690763888</v>
      </c>
      <c r="B316" s="6" t="s">
        <v>30</v>
      </c>
      <c r="C316" s="6" t="s">
        <v>116</v>
      </c>
      <c r="D316" s="6" t="s">
        <v>46</v>
      </c>
      <c r="E316" s="6" t="s">
        <v>48</v>
      </c>
      <c r="F316" s="6" t="s">
        <v>1124</v>
      </c>
      <c r="G316" s="6" t="s">
        <v>48</v>
      </c>
      <c r="H316" s="6" t="s">
        <v>1125</v>
      </c>
      <c r="I316" s="6"/>
      <c r="J316" s="6" t="s">
        <v>110</v>
      </c>
      <c r="K316" s="6"/>
      <c r="L316" s="6" t="s">
        <v>1126</v>
      </c>
      <c r="M316" s="6"/>
      <c r="N316" s="6" t="s">
        <v>51</v>
      </c>
      <c r="O316" s="6"/>
      <c r="P316" s="6" t="s">
        <v>131</v>
      </c>
      <c r="Q316" s="6"/>
      <c r="R316" s="47" t="s">
        <v>149</v>
      </c>
      <c r="S316" s="14" t="s">
        <v>4400</v>
      </c>
      <c r="T316" s="14" t="s">
        <v>4472</v>
      </c>
      <c r="U316" s="14" t="s">
        <v>4404</v>
      </c>
      <c r="V316" s="14" t="s">
        <v>4393</v>
      </c>
      <c r="W316" s="14" t="s">
        <v>4806</v>
      </c>
      <c r="X316" s="14" t="s">
        <v>3994</v>
      </c>
      <c r="AA316" s="6"/>
      <c r="AB316" s="6" t="s">
        <v>67</v>
      </c>
      <c r="AC316" s="6"/>
      <c r="AD316" s="6" t="s">
        <v>56</v>
      </c>
      <c r="AE316" s="6"/>
      <c r="AF316" s="6" t="s">
        <v>161</v>
      </c>
      <c r="AG316" s="6"/>
      <c r="AH316" s="6" t="s">
        <v>126</v>
      </c>
      <c r="AI316" s="6"/>
      <c r="AJ316" s="6" t="s">
        <v>233</v>
      </c>
    </row>
    <row r="317" spans="1:36" ht="15.75" customHeight="1" x14ac:dyDescent="0.25">
      <c r="A317" s="7">
        <v>43418.676960925921</v>
      </c>
      <c r="B317" s="6" t="s">
        <v>60</v>
      </c>
      <c r="C317" s="6" t="s">
        <v>128</v>
      </c>
      <c r="D317" s="6" t="s">
        <v>163</v>
      </c>
      <c r="E317" s="6" t="s">
        <v>48</v>
      </c>
      <c r="F317" s="6" t="s">
        <v>665</v>
      </c>
      <c r="G317" s="6" t="s">
        <v>48</v>
      </c>
      <c r="H317" s="6" t="s">
        <v>1128</v>
      </c>
      <c r="I317" s="6"/>
      <c r="J317" s="6" t="s">
        <v>50</v>
      </c>
      <c r="K317" s="6"/>
      <c r="L317" s="6" t="s">
        <v>1129</v>
      </c>
      <c r="M317" s="6"/>
      <c r="N317" s="6" t="s">
        <v>121</v>
      </c>
      <c r="O317" s="6"/>
      <c r="P317" s="6" t="s">
        <v>94</v>
      </c>
      <c r="Q317" s="6"/>
      <c r="R317" s="47" t="s">
        <v>1130</v>
      </c>
      <c r="AA317" s="6"/>
      <c r="AB317" s="6" t="s">
        <v>55</v>
      </c>
      <c r="AC317" s="6"/>
      <c r="AD317" s="6" t="s">
        <v>56</v>
      </c>
      <c r="AE317" s="6"/>
      <c r="AF317" s="6" t="s">
        <v>75</v>
      </c>
      <c r="AG317" s="6"/>
      <c r="AH317" s="6" t="s">
        <v>76</v>
      </c>
      <c r="AI317" s="6"/>
      <c r="AJ317" s="6" t="s">
        <v>77</v>
      </c>
    </row>
    <row r="318" spans="1:36" ht="15.75" customHeight="1" x14ac:dyDescent="0.25">
      <c r="A318" s="7">
        <v>43418.677006736107</v>
      </c>
      <c r="B318" s="6" t="s">
        <v>1131</v>
      </c>
      <c r="C318" s="6" t="s">
        <v>829</v>
      </c>
      <c r="D318" s="6" t="s">
        <v>510</v>
      </c>
      <c r="E318" s="6" t="s">
        <v>48</v>
      </c>
      <c r="F318" s="6" t="s">
        <v>1132</v>
      </c>
      <c r="G318" s="6" t="s">
        <v>48</v>
      </c>
      <c r="H318" s="6" t="s">
        <v>1133</v>
      </c>
      <c r="I318" s="6"/>
      <c r="J318" s="6" t="s">
        <v>184</v>
      </c>
      <c r="K318" s="6"/>
      <c r="L318" s="6" t="s">
        <v>1134</v>
      </c>
      <c r="M318" s="6"/>
      <c r="N318" s="6" t="s">
        <v>121</v>
      </c>
      <c r="O318" s="6"/>
      <c r="P318" s="6" t="s">
        <v>94</v>
      </c>
      <c r="Q318" s="6"/>
      <c r="R318" s="47" t="s">
        <v>1135</v>
      </c>
      <c r="AA318" s="6"/>
      <c r="AB318" s="6" t="s">
        <v>67</v>
      </c>
      <c r="AC318" s="6"/>
      <c r="AD318" s="6" t="s">
        <v>56</v>
      </c>
      <c r="AE318" s="6"/>
      <c r="AF318" s="6" t="s">
        <v>68</v>
      </c>
      <c r="AG318" s="6"/>
      <c r="AH318" s="6" t="s">
        <v>126</v>
      </c>
      <c r="AI318" s="6"/>
      <c r="AJ318" s="11" t="s">
        <v>170</v>
      </c>
    </row>
    <row r="319" spans="1:36" ht="15.75" customHeight="1" x14ac:dyDescent="0.25">
      <c r="A319" s="7">
        <v>43418.679461504631</v>
      </c>
      <c r="B319" s="6" t="s">
        <v>127</v>
      </c>
      <c r="C319" s="6" t="s">
        <v>419</v>
      </c>
      <c r="D319" s="6" t="s">
        <v>165</v>
      </c>
      <c r="E319" s="6" t="s">
        <v>81</v>
      </c>
      <c r="G319" s="6" t="s">
        <v>87</v>
      </c>
      <c r="H319" s="6" t="s">
        <v>1136</v>
      </c>
      <c r="I319" s="6"/>
      <c r="J319" s="6" t="s">
        <v>158</v>
      </c>
      <c r="K319" s="6"/>
      <c r="L319" s="6" t="s">
        <v>1137</v>
      </c>
      <c r="M319" s="6"/>
      <c r="N319" s="6" t="s">
        <v>112</v>
      </c>
      <c r="O319" s="6"/>
      <c r="P319" s="6" t="s">
        <v>99</v>
      </c>
      <c r="Q319" s="6"/>
      <c r="R319" s="47" t="s">
        <v>254</v>
      </c>
      <c r="S319" s="14" t="s">
        <v>4807</v>
      </c>
      <c r="T319" s="14" t="s">
        <v>4595</v>
      </c>
      <c r="AA319" s="6"/>
      <c r="AB319" s="6" t="s">
        <v>101</v>
      </c>
      <c r="AC319" s="6"/>
      <c r="AD319" s="6" t="s">
        <v>56</v>
      </c>
      <c r="AE319" s="6"/>
      <c r="AF319" s="6" t="s">
        <v>75</v>
      </c>
      <c r="AG319" s="6"/>
      <c r="AH319" s="6" t="s">
        <v>76</v>
      </c>
      <c r="AI319" s="6"/>
      <c r="AJ319" s="6" t="s">
        <v>288</v>
      </c>
    </row>
    <row r="320" spans="1:36" ht="15.75" customHeight="1" x14ac:dyDescent="0.25">
      <c r="A320" s="7">
        <v>43418.679561689816</v>
      </c>
      <c r="B320" s="6" t="s">
        <v>103</v>
      </c>
      <c r="C320" s="6" t="s">
        <v>79</v>
      </c>
      <c r="D320" s="6" t="s">
        <v>138</v>
      </c>
      <c r="E320" s="6" t="s">
        <v>48</v>
      </c>
      <c r="F320" s="6" t="s">
        <v>139</v>
      </c>
      <c r="G320" s="6" t="s">
        <v>48</v>
      </c>
      <c r="H320" s="6" t="s">
        <v>1139</v>
      </c>
      <c r="I320" s="6"/>
      <c r="J320" s="6" t="s">
        <v>110</v>
      </c>
      <c r="K320" s="6"/>
      <c r="L320" s="6" t="s">
        <v>1140</v>
      </c>
      <c r="M320" s="6"/>
      <c r="N320" s="6" t="s">
        <v>181</v>
      </c>
      <c r="O320" s="6"/>
      <c r="P320" s="6" t="s">
        <v>52</v>
      </c>
      <c r="Q320" s="6"/>
      <c r="R320" s="47" t="s">
        <v>1141</v>
      </c>
      <c r="AA320" s="6"/>
      <c r="AB320" s="6" t="s">
        <v>101</v>
      </c>
      <c r="AC320" s="6"/>
      <c r="AD320" s="6" t="s">
        <v>56</v>
      </c>
      <c r="AE320" s="6"/>
      <c r="AF320" s="6" t="s">
        <v>75</v>
      </c>
      <c r="AG320" s="6"/>
      <c r="AH320" s="6" t="s">
        <v>76</v>
      </c>
      <c r="AI320" s="6"/>
      <c r="AJ320" s="6" t="s">
        <v>77</v>
      </c>
    </row>
    <row r="321" spans="1:36" ht="15.75" customHeight="1" x14ac:dyDescent="0.25">
      <c r="A321" s="7">
        <v>43418.680057662037</v>
      </c>
      <c r="B321" s="6" t="s">
        <v>60</v>
      </c>
      <c r="C321" s="6" t="s">
        <v>1142</v>
      </c>
      <c r="D321" s="6" t="s">
        <v>91</v>
      </c>
      <c r="E321" s="6" t="s">
        <v>81</v>
      </c>
      <c r="G321" s="6" t="s">
        <v>87</v>
      </c>
      <c r="J321" s="6" t="s">
        <v>92</v>
      </c>
      <c r="K321" s="6"/>
      <c r="N321" s="6" t="s">
        <v>121</v>
      </c>
      <c r="O321" s="6"/>
      <c r="P321" s="6" t="s">
        <v>131</v>
      </c>
      <c r="Q321" s="6"/>
      <c r="R321" s="47" t="s">
        <v>1143</v>
      </c>
      <c r="AA321" s="6"/>
      <c r="AB321" s="6" t="s">
        <v>55</v>
      </c>
      <c r="AC321" s="6"/>
      <c r="AD321" s="6" t="s">
        <v>56</v>
      </c>
      <c r="AE321" s="6"/>
      <c r="AF321" s="6" t="s">
        <v>68</v>
      </c>
      <c r="AG321" s="6"/>
      <c r="AH321" s="6" t="s">
        <v>126</v>
      </c>
      <c r="AI321" s="6"/>
      <c r="AJ321" s="11" t="s">
        <v>314</v>
      </c>
    </row>
    <row r="322" spans="1:36" ht="15.75" customHeight="1" x14ac:dyDescent="0.25">
      <c r="A322" s="7">
        <v>43418.681891898144</v>
      </c>
      <c r="B322" s="6" t="s">
        <v>397</v>
      </c>
      <c r="C322" s="6" t="s">
        <v>378</v>
      </c>
      <c r="D322" s="6" t="s">
        <v>261</v>
      </c>
      <c r="E322" s="6" t="s">
        <v>48</v>
      </c>
      <c r="F322" s="6" t="s">
        <v>1144</v>
      </c>
      <c r="G322" s="6" t="s">
        <v>81</v>
      </c>
      <c r="J322" s="6" t="s">
        <v>106</v>
      </c>
      <c r="K322" s="6"/>
      <c r="L322" s="6" t="s">
        <v>1145</v>
      </c>
      <c r="M322" s="6"/>
      <c r="N322" s="6" t="s">
        <v>98</v>
      </c>
      <c r="O322" s="6"/>
      <c r="P322" s="6" t="s">
        <v>131</v>
      </c>
      <c r="Q322" s="6"/>
      <c r="AA322" s="6"/>
      <c r="AB322" s="6" t="s">
        <v>67</v>
      </c>
      <c r="AC322" s="6"/>
      <c r="AD322" s="6" t="s">
        <v>56</v>
      </c>
      <c r="AE322" s="6"/>
      <c r="AF322" s="6" t="s">
        <v>68</v>
      </c>
      <c r="AG322" s="6"/>
      <c r="AH322" s="6" t="s">
        <v>126</v>
      </c>
      <c r="AI322" s="6"/>
      <c r="AJ322" s="6" t="s">
        <v>132</v>
      </c>
    </row>
    <row r="323" spans="1:36" ht="15.75" customHeight="1" x14ac:dyDescent="0.25">
      <c r="A323" s="7">
        <v>43418.682089479167</v>
      </c>
      <c r="B323" s="6" t="s">
        <v>60</v>
      </c>
      <c r="C323" s="6" t="s">
        <v>45</v>
      </c>
      <c r="D323" s="6" t="s">
        <v>155</v>
      </c>
      <c r="E323" s="6" t="s">
        <v>81</v>
      </c>
      <c r="G323" s="6" t="s">
        <v>87</v>
      </c>
      <c r="H323" s="6" t="s">
        <v>1146</v>
      </c>
      <c r="I323" s="6"/>
      <c r="J323" s="6" t="s">
        <v>73</v>
      </c>
      <c r="K323" s="6"/>
      <c r="L323" s="6" t="s">
        <v>1147</v>
      </c>
      <c r="M323" s="6"/>
      <c r="N323" s="6" t="s">
        <v>121</v>
      </c>
      <c r="O323" s="6"/>
      <c r="P323" s="6" t="s">
        <v>94</v>
      </c>
      <c r="Q323" s="6"/>
      <c r="R323" s="47" t="s">
        <v>149</v>
      </c>
      <c r="AA323" s="6"/>
      <c r="AB323" s="6" t="s">
        <v>101</v>
      </c>
      <c r="AC323" s="6"/>
      <c r="AD323" s="6" t="s">
        <v>56</v>
      </c>
      <c r="AE323" s="6"/>
      <c r="AF323" s="6" t="s">
        <v>161</v>
      </c>
      <c r="AG323" s="6"/>
      <c r="AH323" s="6" t="s">
        <v>76</v>
      </c>
      <c r="AI323" s="6"/>
      <c r="AJ323" s="6" t="s">
        <v>340</v>
      </c>
    </row>
    <row r="324" spans="1:36" ht="15.75" customHeight="1" x14ac:dyDescent="0.25">
      <c r="A324" s="7">
        <v>43418.683178877312</v>
      </c>
      <c r="B324" s="6" t="s">
        <v>30</v>
      </c>
      <c r="C324" s="6" t="s">
        <v>378</v>
      </c>
      <c r="D324" s="6" t="s">
        <v>133</v>
      </c>
      <c r="E324" s="6" t="s">
        <v>81</v>
      </c>
      <c r="G324" s="6" t="s">
        <v>48</v>
      </c>
      <c r="H324" s="6" t="s">
        <v>1148</v>
      </c>
      <c r="I324" s="6"/>
      <c r="J324" s="6" t="s">
        <v>73</v>
      </c>
      <c r="K324" s="6"/>
      <c r="L324" s="6" t="s">
        <v>1149</v>
      </c>
      <c r="M324" s="6"/>
      <c r="N324" s="6" t="s">
        <v>212</v>
      </c>
      <c r="O324" s="6"/>
      <c r="P324" s="6" t="s">
        <v>131</v>
      </c>
      <c r="Q324" s="6"/>
      <c r="R324" s="47" t="s">
        <v>242</v>
      </c>
      <c r="S324" s="14" t="s">
        <v>4401</v>
      </c>
      <c r="T324" s="14" t="s">
        <v>4808</v>
      </c>
      <c r="U324" s="14" t="s">
        <v>4809</v>
      </c>
      <c r="V324" s="14" t="s">
        <v>4810</v>
      </c>
      <c r="AA324" s="6"/>
      <c r="AB324" s="6" t="s">
        <v>55</v>
      </c>
      <c r="AC324" s="6"/>
      <c r="AD324" s="6" t="s">
        <v>56</v>
      </c>
      <c r="AE324" s="6"/>
      <c r="AF324" s="6" t="s">
        <v>205</v>
      </c>
      <c r="AG324" s="6"/>
      <c r="AH324" s="6" t="s">
        <v>58</v>
      </c>
      <c r="AI324" s="6"/>
      <c r="AJ324" s="6" t="s">
        <v>115</v>
      </c>
    </row>
    <row r="325" spans="1:36" ht="15.75" customHeight="1" x14ac:dyDescent="0.25">
      <c r="A325" s="7">
        <v>43418.684986678243</v>
      </c>
      <c r="B325" s="6" t="s">
        <v>60</v>
      </c>
      <c r="C325" s="6" t="s">
        <v>971</v>
      </c>
      <c r="D325" s="6" t="s">
        <v>46</v>
      </c>
      <c r="E325" s="6" t="s">
        <v>81</v>
      </c>
      <c r="G325" s="6" t="s">
        <v>87</v>
      </c>
      <c r="H325" s="6" t="s">
        <v>1151</v>
      </c>
      <c r="I325" s="6"/>
      <c r="J325" s="6" t="s">
        <v>89</v>
      </c>
      <c r="K325" s="6"/>
      <c r="L325" s="6" t="s">
        <v>1152</v>
      </c>
      <c r="M325" s="6"/>
      <c r="N325" s="6" t="s">
        <v>51</v>
      </c>
      <c r="O325" s="6"/>
      <c r="P325" s="6" t="s">
        <v>52</v>
      </c>
      <c r="Q325" s="6"/>
      <c r="R325" s="47" t="s">
        <v>4811</v>
      </c>
      <c r="S325" s="14" t="s">
        <v>4812</v>
      </c>
      <c r="T325" s="14" t="s">
        <v>4813</v>
      </c>
      <c r="U325" s="14" t="s">
        <v>4814</v>
      </c>
      <c r="V325" s="14" t="s">
        <v>4815</v>
      </c>
      <c r="W325" s="14" t="s">
        <v>4816</v>
      </c>
      <c r="X325" s="14" t="s">
        <v>4817</v>
      </c>
      <c r="AA325" s="6"/>
      <c r="AB325" s="6" t="s">
        <v>101</v>
      </c>
      <c r="AC325" s="6"/>
      <c r="AD325" s="6" t="s">
        <v>56</v>
      </c>
      <c r="AE325" s="6"/>
      <c r="AF325" s="6" t="s">
        <v>75</v>
      </c>
      <c r="AG325" s="6"/>
      <c r="AH325" s="6" t="s">
        <v>76</v>
      </c>
      <c r="AI325" s="6"/>
      <c r="AJ325" s="6" t="s">
        <v>77</v>
      </c>
    </row>
    <row r="326" spans="1:36" ht="15.75" customHeight="1" x14ac:dyDescent="0.25">
      <c r="A326" s="7">
        <v>43418.685148206016</v>
      </c>
      <c r="B326" s="6" t="s">
        <v>60</v>
      </c>
      <c r="C326" s="6" t="s">
        <v>749</v>
      </c>
      <c r="D326" s="6" t="s">
        <v>133</v>
      </c>
      <c r="E326" s="6" t="s">
        <v>81</v>
      </c>
      <c r="G326" s="6" t="s">
        <v>87</v>
      </c>
      <c r="H326" s="6" t="s">
        <v>1154</v>
      </c>
      <c r="I326" s="6"/>
      <c r="J326" s="6" t="s">
        <v>89</v>
      </c>
      <c r="K326" s="6"/>
      <c r="L326" s="6" t="s">
        <v>1155</v>
      </c>
      <c r="M326" s="6"/>
      <c r="N326" s="6" t="s">
        <v>181</v>
      </c>
      <c r="O326" s="6"/>
      <c r="P326" s="6" t="s">
        <v>94</v>
      </c>
      <c r="Q326" s="6"/>
      <c r="R326" s="47" t="s">
        <v>4818</v>
      </c>
      <c r="S326" s="14" t="s">
        <v>4819</v>
      </c>
      <c r="T326" s="14" t="s">
        <v>4820</v>
      </c>
      <c r="AA326" s="6"/>
      <c r="AB326" s="6" t="s">
        <v>101</v>
      </c>
      <c r="AC326" s="6"/>
      <c r="AD326" s="6" t="s">
        <v>56</v>
      </c>
      <c r="AE326" s="6"/>
      <c r="AF326" s="6" t="s">
        <v>75</v>
      </c>
      <c r="AG326" s="6"/>
      <c r="AH326" s="6" t="s">
        <v>57</v>
      </c>
      <c r="AI326" s="6"/>
      <c r="AJ326" s="6" t="s">
        <v>77</v>
      </c>
    </row>
    <row r="327" spans="1:36" ht="15.75" customHeight="1" x14ac:dyDescent="0.25">
      <c r="A327" s="7">
        <v>43418.686024837967</v>
      </c>
      <c r="B327" s="6" t="s">
        <v>60</v>
      </c>
      <c r="C327" s="6" t="s">
        <v>90</v>
      </c>
      <c r="D327" s="6" t="s">
        <v>165</v>
      </c>
      <c r="E327" s="6" t="s">
        <v>81</v>
      </c>
      <c r="G327" s="6" t="s">
        <v>87</v>
      </c>
      <c r="H327" s="6" t="s">
        <v>1157</v>
      </c>
      <c r="I327" s="6"/>
      <c r="J327" s="6" t="s">
        <v>92</v>
      </c>
      <c r="K327" s="6"/>
      <c r="L327" s="6" t="s">
        <v>1158</v>
      </c>
      <c r="M327" s="6"/>
      <c r="N327" s="6" t="s">
        <v>98</v>
      </c>
      <c r="O327" s="6"/>
      <c r="P327" s="6" t="s">
        <v>94</v>
      </c>
      <c r="Q327" s="6"/>
      <c r="R327" s="47" t="s">
        <v>182</v>
      </c>
      <c r="AA327" s="6"/>
      <c r="AB327" s="6" t="s">
        <v>67</v>
      </c>
      <c r="AC327" s="6"/>
      <c r="AD327" s="6" t="s">
        <v>56</v>
      </c>
      <c r="AE327" s="6"/>
      <c r="AF327" s="6" t="s">
        <v>68</v>
      </c>
      <c r="AG327" s="6"/>
      <c r="AH327" s="6" t="s">
        <v>76</v>
      </c>
      <c r="AI327" s="6"/>
      <c r="AJ327" s="6" t="s">
        <v>115</v>
      </c>
    </row>
    <row r="328" spans="1:36" ht="15.75" customHeight="1" x14ac:dyDescent="0.25">
      <c r="A328" s="7">
        <v>43418.686963206019</v>
      </c>
      <c r="B328" s="6" t="s">
        <v>103</v>
      </c>
      <c r="C328" s="6" t="s">
        <v>79</v>
      </c>
      <c r="E328" s="6" t="s">
        <v>81</v>
      </c>
      <c r="G328" s="6" t="s">
        <v>87</v>
      </c>
      <c r="H328" s="6" t="s">
        <v>1159</v>
      </c>
      <c r="I328" s="6"/>
      <c r="J328" s="6" t="s">
        <v>158</v>
      </c>
      <c r="K328" s="6"/>
      <c r="L328" s="6" t="s">
        <v>1160</v>
      </c>
      <c r="M328" s="6"/>
      <c r="N328" s="6" t="s">
        <v>112</v>
      </c>
      <c r="O328" s="6"/>
      <c r="P328" s="6" t="s">
        <v>94</v>
      </c>
      <c r="Q328" s="6"/>
      <c r="R328" s="47" t="s">
        <v>2905</v>
      </c>
      <c r="S328" s="14" t="s">
        <v>4614</v>
      </c>
      <c r="T328" s="14" t="s">
        <v>4407</v>
      </c>
      <c r="U328" s="14" t="s">
        <v>4457</v>
      </c>
      <c r="AA328" s="6"/>
      <c r="AB328" s="6" t="s">
        <v>67</v>
      </c>
      <c r="AC328" s="6"/>
      <c r="AD328" s="6" t="s">
        <v>56</v>
      </c>
      <c r="AE328" s="6"/>
      <c r="AF328" s="6" t="s">
        <v>75</v>
      </c>
      <c r="AG328" s="6"/>
      <c r="AH328" s="6" t="s">
        <v>58</v>
      </c>
      <c r="AI328" s="6"/>
      <c r="AJ328" s="6" t="s">
        <v>77</v>
      </c>
    </row>
    <row r="329" spans="1:36" ht="15.75" customHeight="1" x14ac:dyDescent="0.25">
      <c r="A329" s="7">
        <v>43418.687338148149</v>
      </c>
      <c r="B329" s="6" t="s">
        <v>28</v>
      </c>
      <c r="C329" s="6" t="s">
        <v>116</v>
      </c>
      <c r="D329" s="6" t="s">
        <v>133</v>
      </c>
      <c r="E329" s="6" t="s">
        <v>81</v>
      </c>
      <c r="G329" s="6" t="s">
        <v>87</v>
      </c>
      <c r="N329" s="6" t="s">
        <v>98</v>
      </c>
      <c r="O329" s="6"/>
      <c r="P329" s="6" t="s">
        <v>94</v>
      </c>
      <c r="Q329" s="6"/>
      <c r="AA329" s="6"/>
      <c r="AB329" s="6" t="s">
        <v>101</v>
      </c>
      <c r="AC329" s="6"/>
      <c r="AD329" s="6" t="s">
        <v>56</v>
      </c>
      <c r="AE329" s="6"/>
      <c r="AF329" s="6" t="s">
        <v>161</v>
      </c>
      <c r="AG329" s="6"/>
      <c r="AH329" s="6" t="s">
        <v>76</v>
      </c>
      <c r="AJ329" s="6" t="s">
        <v>57</v>
      </c>
    </row>
    <row r="330" spans="1:36" ht="15.75" customHeight="1" x14ac:dyDescent="0.25">
      <c r="A330" s="7">
        <v>43418.688016388885</v>
      </c>
      <c r="B330" s="6" t="s">
        <v>30</v>
      </c>
      <c r="C330" s="6" t="s">
        <v>705</v>
      </c>
      <c r="D330" s="6" t="s">
        <v>138</v>
      </c>
      <c r="E330" s="6" t="s">
        <v>48</v>
      </c>
      <c r="F330" s="6" t="s">
        <v>1162</v>
      </c>
      <c r="G330" s="6" t="s">
        <v>48</v>
      </c>
      <c r="H330" s="6" t="s">
        <v>1163</v>
      </c>
      <c r="I330" s="6"/>
      <c r="J330" s="6" t="s">
        <v>73</v>
      </c>
      <c r="K330" s="6"/>
      <c r="L330" s="6" t="s">
        <v>1164</v>
      </c>
      <c r="M330" s="6"/>
      <c r="N330" s="6" t="s">
        <v>121</v>
      </c>
      <c r="O330" s="6"/>
      <c r="P330" s="6" t="s">
        <v>94</v>
      </c>
      <c r="Q330" s="6"/>
      <c r="R330" s="47" t="s">
        <v>234</v>
      </c>
      <c r="S330" s="14" t="s">
        <v>4400</v>
      </c>
      <c r="T330" s="14" t="s">
        <v>4821</v>
      </c>
      <c r="AA330" s="6"/>
      <c r="AB330" s="6" t="s">
        <v>67</v>
      </c>
      <c r="AC330" s="6"/>
      <c r="AD330" s="6" t="s">
        <v>109</v>
      </c>
      <c r="AE330" s="6"/>
      <c r="AF330" s="6" t="s">
        <v>68</v>
      </c>
      <c r="AG330" s="6"/>
      <c r="AH330" s="6" t="s">
        <v>58</v>
      </c>
      <c r="AI330" s="6"/>
      <c r="AJ330" s="6" t="s">
        <v>187</v>
      </c>
    </row>
    <row r="331" spans="1:36" ht="15.75" customHeight="1" x14ac:dyDescent="0.25">
      <c r="A331" s="7">
        <v>43418.688206921295</v>
      </c>
      <c r="B331" s="6" t="s">
        <v>127</v>
      </c>
      <c r="C331" s="6" t="s">
        <v>794</v>
      </c>
      <c r="D331" s="6" t="s">
        <v>46</v>
      </c>
      <c r="E331" s="6" t="s">
        <v>81</v>
      </c>
      <c r="G331" s="6" t="s">
        <v>87</v>
      </c>
      <c r="H331" s="6" t="s">
        <v>1166</v>
      </c>
      <c r="I331" s="6"/>
      <c r="J331" s="6" t="s">
        <v>92</v>
      </c>
      <c r="K331" s="6"/>
      <c r="L331" s="6" t="s">
        <v>1167</v>
      </c>
      <c r="M331" s="6"/>
      <c r="N331" s="6" t="s">
        <v>181</v>
      </c>
      <c r="O331" s="6"/>
      <c r="P331" s="6" t="s">
        <v>94</v>
      </c>
      <c r="Q331" s="6"/>
      <c r="R331" s="47" t="s">
        <v>1168</v>
      </c>
      <c r="AA331" s="6"/>
      <c r="AB331" s="6" t="s">
        <v>67</v>
      </c>
      <c r="AC331" s="6"/>
      <c r="AD331" s="6" t="s">
        <v>56</v>
      </c>
      <c r="AE331" s="6"/>
      <c r="AF331" s="6" t="s">
        <v>57</v>
      </c>
      <c r="AG331" s="6"/>
      <c r="AH331" s="6" t="s">
        <v>57</v>
      </c>
      <c r="AI331" s="6"/>
      <c r="AJ331" s="6" t="s">
        <v>115</v>
      </c>
    </row>
    <row r="332" spans="1:36" ht="15.75" customHeight="1" x14ac:dyDescent="0.25">
      <c r="A332" s="7">
        <v>43418.688935613427</v>
      </c>
      <c r="B332" s="6" t="s">
        <v>30</v>
      </c>
      <c r="C332" s="6" t="s">
        <v>95</v>
      </c>
      <c r="D332" s="6" t="s">
        <v>165</v>
      </c>
      <c r="E332" s="6" t="s">
        <v>81</v>
      </c>
      <c r="G332" s="6" t="s">
        <v>87</v>
      </c>
      <c r="H332" s="6" t="s">
        <v>1169</v>
      </c>
      <c r="I332" s="6"/>
      <c r="J332" s="6" t="s">
        <v>92</v>
      </c>
      <c r="K332" s="6"/>
      <c r="L332" s="6" t="s">
        <v>1170</v>
      </c>
      <c r="M332" s="6"/>
      <c r="N332" s="6" t="s">
        <v>98</v>
      </c>
      <c r="O332" s="6"/>
      <c r="P332" s="6" t="s">
        <v>94</v>
      </c>
      <c r="Q332" s="6"/>
      <c r="R332" s="47" t="s">
        <v>4822</v>
      </c>
      <c r="S332" s="14" t="s">
        <v>4823</v>
      </c>
      <c r="T332" s="14" t="s">
        <v>4473</v>
      </c>
      <c r="AA332" s="6"/>
      <c r="AB332" s="6" t="s">
        <v>101</v>
      </c>
      <c r="AC332" s="6"/>
      <c r="AD332" s="6" t="s">
        <v>56</v>
      </c>
      <c r="AE332" s="6"/>
      <c r="AF332" s="6" t="s">
        <v>161</v>
      </c>
      <c r="AG332" s="6"/>
      <c r="AH332" s="6" t="s">
        <v>76</v>
      </c>
      <c r="AJ332" s="6" t="s">
        <v>57</v>
      </c>
    </row>
    <row r="333" spans="1:36" ht="15.75" customHeight="1" x14ac:dyDescent="0.25">
      <c r="A333" s="7">
        <v>43418.689236377315</v>
      </c>
      <c r="B333" s="6" t="s">
        <v>60</v>
      </c>
      <c r="C333" s="6" t="s">
        <v>116</v>
      </c>
      <c r="D333" s="6" t="s">
        <v>46</v>
      </c>
      <c r="E333" s="6" t="s">
        <v>81</v>
      </c>
      <c r="G333" s="6" t="s">
        <v>87</v>
      </c>
      <c r="J333" s="6" t="s">
        <v>89</v>
      </c>
      <c r="K333" s="6"/>
      <c r="N333" s="6" t="s">
        <v>181</v>
      </c>
      <c r="O333" s="6"/>
      <c r="P333" s="6" t="s">
        <v>94</v>
      </c>
      <c r="Q333" s="6"/>
      <c r="AA333" s="6"/>
      <c r="AB333" s="6" t="s">
        <v>67</v>
      </c>
      <c r="AC333" s="6"/>
      <c r="AD333" s="6" t="s">
        <v>56</v>
      </c>
      <c r="AE333" s="6"/>
      <c r="AF333" s="6" t="s">
        <v>75</v>
      </c>
      <c r="AG333" s="6"/>
      <c r="AH333" s="6" t="s">
        <v>76</v>
      </c>
      <c r="AI333" s="6"/>
      <c r="AJ333" s="6" t="s">
        <v>204</v>
      </c>
    </row>
    <row r="334" spans="1:36" ht="15.75" customHeight="1" x14ac:dyDescent="0.25">
      <c r="A334" s="7">
        <v>43418.689370081018</v>
      </c>
      <c r="B334" s="6" t="s">
        <v>31</v>
      </c>
      <c r="C334" s="6" t="s">
        <v>95</v>
      </c>
      <c r="D334" s="6" t="s">
        <v>133</v>
      </c>
      <c r="E334" s="6" t="s">
        <v>81</v>
      </c>
      <c r="G334" s="6" t="s">
        <v>87</v>
      </c>
      <c r="J334" s="6" t="s">
        <v>92</v>
      </c>
      <c r="K334" s="6"/>
      <c r="L334" s="6" t="s">
        <v>1172</v>
      </c>
      <c r="M334" s="6"/>
      <c r="N334" s="6" t="s">
        <v>93</v>
      </c>
      <c r="O334" s="6"/>
      <c r="P334" s="6" t="s">
        <v>168</v>
      </c>
      <c r="Q334" s="6"/>
      <c r="R334" s="47" t="s">
        <v>1173</v>
      </c>
      <c r="AA334" s="6"/>
      <c r="AB334" s="6" t="s">
        <v>101</v>
      </c>
      <c r="AC334" s="6"/>
      <c r="AD334" s="6" t="s">
        <v>56</v>
      </c>
      <c r="AE334" s="6"/>
      <c r="AF334" s="6" t="s">
        <v>161</v>
      </c>
      <c r="AG334" s="6"/>
      <c r="AH334" s="6" t="s">
        <v>76</v>
      </c>
      <c r="AI334" s="6"/>
      <c r="AJ334" s="6" t="s">
        <v>174</v>
      </c>
    </row>
    <row r="335" spans="1:36" ht="15.75" customHeight="1" x14ac:dyDescent="0.25">
      <c r="A335" s="7">
        <v>43418.68972224537</v>
      </c>
      <c r="B335" s="6" t="s">
        <v>30</v>
      </c>
      <c r="C335" s="6" t="s">
        <v>1174</v>
      </c>
      <c r="D335" s="6" t="s">
        <v>91</v>
      </c>
      <c r="E335" s="6" t="s">
        <v>48</v>
      </c>
      <c r="F335" s="6" t="s">
        <v>1175</v>
      </c>
      <c r="G335" s="6" t="s">
        <v>48</v>
      </c>
      <c r="H335" s="6" t="s">
        <v>1176</v>
      </c>
      <c r="I335" s="6"/>
      <c r="J335" s="6" t="s">
        <v>92</v>
      </c>
      <c r="K335" s="6"/>
      <c r="L335" s="6" t="s">
        <v>1177</v>
      </c>
      <c r="M335" s="6"/>
      <c r="N335" s="6" t="s">
        <v>51</v>
      </c>
      <c r="O335" s="6"/>
      <c r="P335" s="6" t="s">
        <v>131</v>
      </c>
      <c r="Q335" s="6"/>
      <c r="R335" s="47" t="s">
        <v>4824</v>
      </c>
      <c r="S335" s="14" t="s">
        <v>4825</v>
      </c>
      <c r="T335" s="14" t="s">
        <v>4826</v>
      </c>
      <c r="U335" s="14" t="s">
        <v>4827</v>
      </c>
      <c r="V335" s="14" t="s">
        <v>4828</v>
      </c>
      <c r="W335" s="14" t="s">
        <v>4829</v>
      </c>
      <c r="X335" s="14" t="s">
        <v>4830</v>
      </c>
      <c r="AA335" s="6"/>
      <c r="AB335" s="6" t="s">
        <v>101</v>
      </c>
      <c r="AC335" s="6"/>
      <c r="AD335" s="6" t="s">
        <v>56</v>
      </c>
      <c r="AE335" s="6"/>
      <c r="AF335" s="6" t="s">
        <v>75</v>
      </c>
      <c r="AG335" s="6"/>
      <c r="AH335" s="6" t="s">
        <v>58</v>
      </c>
      <c r="AI335" s="6"/>
      <c r="AJ335" s="6" t="s">
        <v>296</v>
      </c>
    </row>
    <row r="336" spans="1:36" ht="15.75" customHeight="1" x14ac:dyDescent="0.25">
      <c r="A336" s="7">
        <v>43418.690448136578</v>
      </c>
      <c r="B336" s="6" t="s">
        <v>60</v>
      </c>
      <c r="C336" s="6" t="s">
        <v>1180</v>
      </c>
      <c r="D336" s="6" t="s">
        <v>261</v>
      </c>
      <c r="E336" s="6" t="s">
        <v>81</v>
      </c>
      <c r="G336" s="6" t="s">
        <v>87</v>
      </c>
      <c r="J336" s="6" t="s">
        <v>106</v>
      </c>
      <c r="K336" s="6"/>
      <c r="N336" s="6" t="s">
        <v>212</v>
      </c>
      <c r="O336" s="6"/>
      <c r="P336" s="6" t="s">
        <v>131</v>
      </c>
      <c r="Q336" s="6"/>
      <c r="AA336" s="6"/>
      <c r="AB336" s="6" t="s">
        <v>101</v>
      </c>
      <c r="AC336" s="6"/>
      <c r="AD336" s="6" t="s">
        <v>56</v>
      </c>
      <c r="AE336" s="6"/>
      <c r="AF336" s="6" t="s">
        <v>68</v>
      </c>
      <c r="AG336" s="6"/>
      <c r="AH336" s="6" t="s">
        <v>76</v>
      </c>
      <c r="AI336" s="6"/>
      <c r="AJ336" s="6" t="s">
        <v>291</v>
      </c>
    </row>
    <row r="337" spans="1:36" ht="15.75" customHeight="1" x14ac:dyDescent="0.25">
      <c r="A337" s="7">
        <v>43418.690792013891</v>
      </c>
      <c r="B337" s="6" t="s">
        <v>30</v>
      </c>
      <c r="C337" s="6" t="s">
        <v>971</v>
      </c>
      <c r="E337" s="6" t="s">
        <v>81</v>
      </c>
      <c r="G337" s="6" t="s">
        <v>87</v>
      </c>
      <c r="H337" s="6" t="s">
        <v>1188</v>
      </c>
      <c r="I337" s="6"/>
      <c r="J337" s="6" t="s">
        <v>110</v>
      </c>
      <c r="K337" s="6"/>
      <c r="L337" s="6" t="s">
        <v>1189</v>
      </c>
      <c r="M337" s="6"/>
      <c r="N337" s="6" t="s">
        <v>51</v>
      </c>
      <c r="O337" s="6"/>
      <c r="P337" s="6" t="s">
        <v>131</v>
      </c>
      <c r="Q337" s="6"/>
      <c r="R337" s="47" t="s">
        <v>3986</v>
      </c>
      <c r="S337" s="14" t="s">
        <v>4412</v>
      </c>
      <c r="AA337" s="6"/>
      <c r="AB337" s="6" t="s">
        <v>67</v>
      </c>
      <c r="AC337" s="6"/>
      <c r="AD337" s="6" t="s">
        <v>56</v>
      </c>
      <c r="AE337" s="6"/>
      <c r="AF337" s="6" t="s">
        <v>161</v>
      </c>
      <c r="AG337" s="6"/>
      <c r="AH337" s="6" t="s">
        <v>76</v>
      </c>
      <c r="AI337" s="6"/>
      <c r="AJ337" s="6" t="s">
        <v>174</v>
      </c>
    </row>
    <row r="338" spans="1:36" ht="15.75" customHeight="1" x14ac:dyDescent="0.25">
      <c r="A338" s="7">
        <v>43418.692210555557</v>
      </c>
      <c r="B338" s="6" t="s">
        <v>30</v>
      </c>
      <c r="C338" s="6" t="s">
        <v>306</v>
      </c>
      <c r="D338" s="6" t="s">
        <v>510</v>
      </c>
      <c r="E338" s="6" t="s">
        <v>81</v>
      </c>
      <c r="G338" s="6" t="s">
        <v>87</v>
      </c>
      <c r="J338" s="6" t="s">
        <v>92</v>
      </c>
      <c r="K338" s="6"/>
      <c r="L338" s="6" t="s">
        <v>1194</v>
      </c>
      <c r="M338" s="6"/>
      <c r="N338" s="6" t="s">
        <v>121</v>
      </c>
      <c r="O338" s="6"/>
      <c r="P338" s="6" t="s">
        <v>94</v>
      </c>
      <c r="Q338" s="6"/>
      <c r="R338" s="47" t="s">
        <v>4831</v>
      </c>
      <c r="S338" s="14" t="s">
        <v>4832</v>
      </c>
      <c r="AA338" s="6"/>
      <c r="AB338" s="6" t="s">
        <v>67</v>
      </c>
      <c r="AC338" s="6"/>
      <c r="AD338" s="6" t="s">
        <v>56</v>
      </c>
      <c r="AE338" s="6"/>
      <c r="AF338" s="6" t="s">
        <v>161</v>
      </c>
      <c r="AG338" s="6"/>
      <c r="AH338" s="6" t="s">
        <v>76</v>
      </c>
      <c r="AI338" s="6"/>
      <c r="AJ338" s="6" t="s">
        <v>256</v>
      </c>
    </row>
    <row r="339" spans="1:36" ht="15.75" customHeight="1" x14ac:dyDescent="0.25">
      <c r="A339" s="7">
        <v>43418.69327019676</v>
      </c>
      <c r="B339" s="6" t="s">
        <v>1197</v>
      </c>
      <c r="C339" s="6" t="s">
        <v>1180</v>
      </c>
      <c r="D339" s="6" t="s">
        <v>91</v>
      </c>
      <c r="E339" s="6" t="s">
        <v>48</v>
      </c>
      <c r="F339" s="6" t="s">
        <v>1198</v>
      </c>
      <c r="G339" s="6" t="s">
        <v>48</v>
      </c>
      <c r="H339" s="6" t="s">
        <v>1199</v>
      </c>
      <c r="I339" s="6"/>
      <c r="J339" s="6" t="s">
        <v>110</v>
      </c>
      <c r="K339" s="6"/>
      <c r="L339" s="6" t="s">
        <v>1200</v>
      </c>
      <c r="M339" s="6"/>
      <c r="N339" s="6" t="s">
        <v>181</v>
      </c>
      <c r="O339" s="6"/>
      <c r="P339" s="6" t="s">
        <v>131</v>
      </c>
      <c r="Q339" s="6"/>
      <c r="R339" s="47" t="s">
        <v>4833</v>
      </c>
      <c r="S339" s="14" t="s">
        <v>4834</v>
      </c>
      <c r="AA339" s="6"/>
      <c r="AB339" s="6" t="s">
        <v>67</v>
      </c>
      <c r="AC339" s="6"/>
      <c r="AD339" s="6" t="s">
        <v>56</v>
      </c>
      <c r="AE339" s="6"/>
      <c r="AF339" s="6" t="s">
        <v>205</v>
      </c>
      <c r="AG339" s="6"/>
      <c r="AH339" s="6" t="s">
        <v>58</v>
      </c>
      <c r="AI339" s="6"/>
      <c r="AJ339" s="6" t="s">
        <v>77</v>
      </c>
    </row>
    <row r="340" spans="1:36" ht="15.75" customHeight="1" x14ac:dyDescent="0.25">
      <c r="A340" s="7">
        <v>43418.696820127312</v>
      </c>
      <c r="B340" s="6" t="s">
        <v>1202</v>
      </c>
      <c r="C340" s="6" t="s">
        <v>749</v>
      </c>
      <c r="D340" s="6" t="s">
        <v>190</v>
      </c>
      <c r="E340" s="6" t="s">
        <v>81</v>
      </c>
      <c r="G340" s="6" t="s">
        <v>87</v>
      </c>
      <c r="H340" s="6" t="s">
        <v>1204</v>
      </c>
      <c r="I340" s="6"/>
      <c r="J340" s="6" t="s">
        <v>110</v>
      </c>
      <c r="K340" s="6"/>
      <c r="L340" s="6" t="s">
        <v>1205</v>
      </c>
      <c r="M340" s="6"/>
      <c r="N340" s="6" t="s">
        <v>51</v>
      </c>
      <c r="O340" s="6"/>
      <c r="P340" s="6" t="s">
        <v>52</v>
      </c>
      <c r="Q340" s="6"/>
      <c r="R340" s="47" t="s">
        <v>1206</v>
      </c>
      <c r="AA340" s="6"/>
      <c r="AB340" s="6" t="s">
        <v>203</v>
      </c>
      <c r="AC340" s="6"/>
      <c r="AD340" s="6" t="s">
        <v>56</v>
      </c>
      <c r="AE340" s="6"/>
      <c r="AF340" s="6" t="s">
        <v>75</v>
      </c>
      <c r="AG340" s="6"/>
      <c r="AH340" s="11" t="s">
        <v>144</v>
      </c>
      <c r="AI340" s="6"/>
      <c r="AJ340" s="6" t="s">
        <v>102</v>
      </c>
    </row>
    <row r="341" spans="1:36" ht="15.75" customHeight="1" x14ac:dyDescent="0.25">
      <c r="A341" s="7">
        <v>43418.697130578701</v>
      </c>
      <c r="B341" s="6" t="s">
        <v>30</v>
      </c>
      <c r="C341" s="6" t="s">
        <v>45</v>
      </c>
      <c r="D341" s="6" t="s">
        <v>46</v>
      </c>
      <c r="E341" s="6" t="s">
        <v>81</v>
      </c>
      <c r="G341" s="6" t="s">
        <v>87</v>
      </c>
      <c r="J341" s="6" t="s">
        <v>92</v>
      </c>
      <c r="K341" s="6"/>
      <c r="L341" s="6" t="s">
        <v>1207</v>
      </c>
      <c r="M341" s="6"/>
      <c r="N341" s="6" t="s">
        <v>181</v>
      </c>
      <c r="O341" s="6"/>
      <c r="P341" s="6" t="s">
        <v>94</v>
      </c>
      <c r="Q341" s="6"/>
      <c r="AA341" s="6"/>
      <c r="AB341" s="6" t="s">
        <v>67</v>
      </c>
      <c r="AC341" s="6"/>
      <c r="AD341" s="6" t="s">
        <v>56</v>
      </c>
      <c r="AE341" s="6"/>
      <c r="AF341" s="6" t="s">
        <v>68</v>
      </c>
      <c r="AG341" s="6"/>
      <c r="AH341" s="6" t="s">
        <v>58</v>
      </c>
      <c r="AI341" s="6"/>
      <c r="AJ341" s="6" t="s">
        <v>77</v>
      </c>
    </row>
    <row r="342" spans="1:36" ht="15.75" customHeight="1" x14ac:dyDescent="0.25">
      <c r="A342" s="7">
        <v>43418.698576481482</v>
      </c>
      <c r="B342" s="6" t="s">
        <v>1208</v>
      </c>
      <c r="C342" s="6" t="s">
        <v>116</v>
      </c>
      <c r="D342" s="6" t="s">
        <v>91</v>
      </c>
      <c r="E342" s="6" t="s">
        <v>81</v>
      </c>
      <c r="G342" s="6" t="s">
        <v>87</v>
      </c>
      <c r="H342" s="6" t="s">
        <v>1209</v>
      </c>
      <c r="I342" s="6"/>
      <c r="J342" s="6" t="s">
        <v>110</v>
      </c>
      <c r="K342" s="6"/>
      <c r="L342" s="6" t="s">
        <v>1211</v>
      </c>
      <c r="M342" s="6"/>
      <c r="N342" s="6" t="s">
        <v>51</v>
      </c>
      <c r="O342" s="6"/>
      <c r="P342" s="6" t="s">
        <v>131</v>
      </c>
      <c r="Q342" s="6"/>
      <c r="R342" s="47" t="s">
        <v>3302</v>
      </c>
      <c r="S342" s="14" t="s">
        <v>4623</v>
      </c>
      <c r="AA342" s="6"/>
      <c r="AB342" s="6" t="s">
        <v>55</v>
      </c>
      <c r="AC342" s="6"/>
      <c r="AD342" s="6" t="s">
        <v>56</v>
      </c>
      <c r="AE342" s="6"/>
      <c r="AF342" s="6" t="s">
        <v>68</v>
      </c>
      <c r="AG342" s="6"/>
      <c r="AH342" s="6" t="s">
        <v>58</v>
      </c>
      <c r="AI342" s="6"/>
      <c r="AJ342" s="6" t="s">
        <v>77</v>
      </c>
    </row>
    <row r="343" spans="1:36" ht="15.75" customHeight="1" x14ac:dyDescent="0.25">
      <c r="A343" s="7">
        <v>43418.699803298616</v>
      </c>
      <c r="B343" s="6" t="s">
        <v>127</v>
      </c>
      <c r="C343" s="6" t="s">
        <v>306</v>
      </c>
      <c r="D343" s="6" t="s">
        <v>190</v>
      </c>
      <c r="E343" s="6" t="s">
        <v>81</v>
      </c>
      <c r="G343" s="6" t="s">
        <v>87</v>
      </c>
      <c r="H343" s="6" t="s">
        <v>1214</v>
      </c>
      <c r="I343" s="6"/>
      <c r="J343" s="6" t="s">
        <v>89</v>
      </c>
      <c r="K343" s="6"/>
      <c r="L343" s="6" t="s">
        <v>1215</v>
      </c>
      <c r="M343" s="6"/>
      <c r="N343" s="6" t="s">
        <v>121</v>
      </c>
      <c r="O343" s="6"/>
      <c r="P343" s="6" t="s">
        <v>94</v>
      </c>
      <c r="Q343" s="6"/>
      <c r="R343" s="47" t="s">
        <v>1216</v>
      </c>
      <c r="AA343" s="6"/>
      <c r="AB343" s="6" t="s">
        <v>67</v>
      </c>
      <c r="AC343" s="6"/>
      <c r="AD343" s="6" t="s">
        <v>56</v>
      </c>
      <c r="AE343" s="6"/>
      <c r="AF343" s="6" t="s">
        <v>75</v>
      </c>
      <c r="AG343" s="6"/>
      <c r="AH343" s="6" t="s">
        <v>57</v>
      </c>
      <c r="AI343" s="6"/>
      <c r="AJ343" s="6" t="s">
        <v>425</v>
      </c>
    </row>
    <row r="344" spans="1:36" ht="15.75" customHeight="1" x14ac:dyDescent="0.25">
      <c r="A344" s="7">
        <v>43418.700761932865</v>
      </c>
      <c r="B344" s="6" t="s">
        <v>30</v>
      </c>
      <c r="C344" s="6" t="s">
        <v>1217</v>
      </c>
      <c r="D344" s="6" t="s">
        <v>163</v>
      </c>
      <c r="E344" s="6" t="s">
        <v>81</v>
      </c>
      <c r="G344" s="6" t="s">
        <v>87</v>
      </c>
      <c r="H344" s="6" t="s">
        <v>1218</v>
      </c>
      <c r="I344" s="6"/>
      <c r="J344" s="6" t="s">
        <v>50</v>
      </c>
      <c r="K344" s="6"/>
      <c r="L344" s="6" t="s">
        <v>1219</v>
      </c>
      <c r="M344" s="6"/>
      <c r="N344" s="6" t="s">
        <v>112</v>
      </c>
      <c r="O344" s="6"/>
      <c r="P344" s="6" t="s">
        <v>52</v>
      </c>
      <c r="Q344" s="6"/>
      <c r="R344" s="47" t="s">
        <v>4835</v>
      </c>
      <c r="S344" s="14" t="s">
        <v>4836</v>
      </c>
      <c r="AA344" s="6"/>
      <c r="AB344" s="6" t="s">
        <v>101</v>
      </c>
      <c r="AC344" s="6"/>
      <c r="AD344" s="6" t="s">
        <v>56</v>
      </c>
      <c r="AE344" s="6"/>
      <c r="AF344" s="6" t="s">
        <v>68</v>
      </c>
      <c r="AG344" s="6"/>
      <c r="AH344" s="6" t="s">
        <v>76</v>
      </c>
      <c r="AI344" s="6"/>
      <c r="AJ344" s="11" t="s">
        <v>115</v>
      </c>
    </row>
    <row r="345" spans="1:36" ht="15.75" customHeight="1" x14ac:dyDescent="0.25">
      <c r="A345" s="7">
        <v>43418.70081894676</v>
      </c>
      <c r="B345" s="6" t="s">
        <v>127</v>
      </c>
      <c r="C345" s="6" t="s">
        <v>1142</v>
      </c>
      <c r="D345" s="6" t="s">
        <v>91</v>
      </c>
      <c r="E345" s="6" t="s">
        <v>48</v>
      </c>
      <c r="F345" s="6" t="s">
        <v>1222</v>
      </c>
      <c r="G345" s="6" t="s">
        <v>48</v>
      </c>
      <c r="H345" s="6" t="s">
        <v>1223</v>
      </c>
      <c r="I345" s="6"/>
      <c r="J345" s="6" t="s">
        <v>89</v>
      </c>
      <c r="K345" s="6"/>
      <c r="L345" s="6" t="s">
        <v>1224</v>
      </c>
      <c r="M345" s="6"/>
      <c r="N345" s="6" t="s">
        <v>112</v>
      </c>
      <c r="O345" s="6"/>
      <c r="P345" s="6" t="s">
        <v>99</v>
      </c>
      <c r="Q345" s="6"/>
      <c r="R345" s="47" t="s">
        <v>143</v>
      </c>
      <c r="S345" s="14" t="s">
        <v>4837</v>
      </c>
      <c r="T345" s="14" t="s">
        <v>4838</v>
      </c>
      <c r="U345" s="14" t="s">
        <v>4839</v>
      </c>
      <c r="AA345" s="6"/>
      <c r="AB345" s="6" t="s">
        <v>67</v>
      </c>
      <c r="AC345" s="6"/>
      <c r="AD345" s="6" t="s">
        <v>56</v>
      </c>
      <c r="AE345" s="6"/>
      <c r="AF345" s="6" t="s">
        <v>68</v>
      </c>
      <c r="AG345" s="6"/>
      <c r="AH345" s="6" t="s">
        <v>58</v>
      </c>
      <c r="AI345" s="6"/>
      <c r="AJ345" s="6" t="s">
        <v>170</v>
      </c>
    </row>
    <row r="346" spans="1:36" ht="15.75" customHeight="1" x14ac:dyDescent="0.25">
      <c r="A346" s="7">
        <v>43418.70263792824</v>
      </c>
      <c r="B346" s="6" t="s">
        <v>127</v>
      </c>
      <c r="C346" s="6" t="s">
        <v>95</v>
      </c>
      <c r="D346" s="6" t="s">
        <v>163</v>
      </c>
      <c r="E346" s="6" t="s">
        <v>48</v>
      </c>
      <c r="F346" s="6" t="s">
        <v>1228</v>
      </c>
      <c r="G346" s="6" t="s">
        <v>48</v>
      </c>
      <c r="H346" s="6" t="s">
        <v>1229</v>
      </c>
      <c r="I346" s="6"/>
      <c r="J346" s="6" t="s">
        <v>92</v>
      </c>
      <c r="K346" s="6"/>
      <c r="L346" s="6" t="s">
        <v>1230</v>
      </c>
      <c r="M346" s="6"/>
      <c r="N346" s="6" t="s">
        <v>121</v>
      </c>
      <c r="O346" s="6"/>
      <c r="P346" s="6" t="s">
        <v>94</v>
      </c>
      <c r="Q346" s="6"/>
      <c r="R346" s="47" t="s">
        <v>4840</v>
      </c>
      <c r="S346" s="14" t="s">
        <v>4497</v>
      </c>
      <c r="T346" s="14" t="s">
        <v>4841</v>
      </c>
      <c r="U346" s="14" t="s">
        <v>3994</v>
      </c>
      <c r="AA346" s="6"/>
      <c r="AB346" s="6" t="s">
        <v>203</v>
      </c>
      <c r="AC346" s="6"/>
      <c r="AD346" s="6" t="s">
        <v>56</v>
      </c>
      <c r="AE346" s="6"/>
      <c r="AF346" s="6" t="s">
        <v>75</v>
      </c>
      <c r="AG346" s="6"/>
      <c r="AH346" s="6" t="s">
        <v>76</v>
      </c>
      <c r="AI346" s="6"/>
      <c r="AJ346" s="6" t="s">
        <v>174</v>
      </c>
    </row>
    <row r="347" spans="1:36" ht="15.75" customHeight="1" x14ac:dyDescent="0.25">
      <c r="A347" s="7">
        <v>43418.703062546294</v>
      </c>
      <c r="B347" s="6" t="s">
        <v>294</v>
      </c>
      <c r="C347" s="6" t="s">
        <v>128</v>
      </c>
      <c r="D347" s="6" t="s">
        <v>510</v>
      </c>
      <c r="E347" s="6" t="s">
        <v>48</v>
      </c>
      <c r="F347" s="6" t="s">
        <v>1232</v>
      </c>
      <c r="G347" s="6" t="s">
        <v>48</v>
      </c>
      <c r="J347" s="6" t="s">
        <v>106</v>
      </c>
      <c r="K347" s="6"/>
      <c r="N347" s="6" t="s">
        <v>98</v>
      </c>
      <c r="O347" s="6"/>
      <c r="P347" s="6" t="s">
        <v>94</v>
      </c>
      <c r="Q347" s="6"/>
      <c r="AA347" s="6"/>
      <c r="AB347" s="6" t="s">
        <v>67</v>
      </c>
      <c r="AC347" s="6"/>
      <c r="AD347" s="6" t="s">
        <v>56</v>
      </c>
      <c r="AE347" s="6"/>
      <c r="AF347" s="6" t="s">
        <v>68</v>
      </c>
      <c r="AG347" s="6"/>
      <c r="AH347" s="6" t="s">
        <v>58</v>
      </c>
      <c r="AI347" s="6"/>
      <c r="AJ347" s="6" t="s">
        <v>115</v>
      </c>
    </row>
    <row r="348" spans="1:36" ht="15.75" customHeight="1" x14ac:dyDescent="0.25">
      <c r="A348" s="7">
        <v>43418.703103032407</v>
      </c>
      <c r="B348" s="6" t="s">
        <v>14</v>
      </c>
      <c r="C348" s="6" t="s">
        <v>104</v>
      </c>
      <c r="D348" s="6" t="s">
        <v>165</v>
      </c>
      <c r="E348" s="6" t="s">
        <v>81</v>
      </c>
      <c r="G348" s="6" t="s">
        <v>87</v>
      </c>
      <c r="H348" s="6" t="s">
        <v>1234</v>
      </c>
      <c r="I348" s="6"/>
      <c r="J348" s="6" t="s">
        <v>158</v>
      </c>
      <c r="K348" s="6"/>
      <c r="L348" s="6" t="s">
        <v>1235</v>
      </c>
      <c r="M348" s="6"/>
      <c r="N348" s="6" t="s">
        <v>93</v>
      </c>
      <c r="O348" s="6"/>
      <c r="P348" s="6" t="s">
        <v>94</v>
      </c>
      <c r="Q348" s="6"/>
      <c r="R348" s="47" t="s">
        <v>3225</v>
      </c>
      <c r="S348" s="14" t="s">
        <v>4842</v>
      </c>
      <c r="T348" s="14" t="s">
        <v>4623</v>
      </c>
      <c r="U348" s="14" t="s">
        <v>4843</v>
      </c>
      <c r="V348" s="14" t="s">
        <v>4844</v>
      </c>
      <c r="W348" s="14" t="s">
        <v>4845</v>
      </c>
      <c r="AA348" s="6"/>
      <c r="AB348" s="6" t="s">
        <v>67</v>
      </c>
      <c r="AC348" s="6"/>
      <c r="AD348" s="6" t="s">
        <v>56</v>
      </c>
      <c r="AE348" s="6"/>
      <c r="AF348" s="6" t="s">
        <v>57</v>
      </c>
      <c r="AG348" s="6"/>
      <c r="AH348" s="6" t="s">
        <v>76</v>
      </c>
      <c r="AI348" s="6"/>
      <c r="AJ348" s="6" t="s">
        <v>77</v>
      </c>
    </row>
    <row r="349" spans="1:36" ht="15.75" customHeight="1" x14ac:dyDescent="0.25">
      <c r="A349" s="7">
        <v>43418.703182106481</v>
      </c>
      <c r="B349" s="6" t="s">
        <v>14</v>
      </c>
      <c r="C349" s="6" t="s">
        <v>104</v>
      </c>
      <c r="D349" s="6" t="s">
        <v>165</v>
      </c>
      <c r="E349" s="6" t="s">
        <v>81</v>
      </c>
      <c r="G349" s="6" t="s">
        <v>87</v>
      </c>
      <c r="H349" s="6" t="s">
        <v>1234</v>
      </c>
      <c r="I349" s="6"/>
      <c r="J349" s="6" t="s">
        <v>158</v>
      </c>
      <c r="K349" s="6"/>
      <c r="L349" s="6" t="s">
        <v>1235</v>
      </c>
      <c r="M349" s="6"/>
      <c r="N349" s="6" t="s">
        <v>93</v>
      </c>
      <c r="O349" s="6"/>
      <c r="P349" s="6" t="s">
        <v>94</v>
      </c>
      <c r="Q349" s="6"/>
      <c r="R349" s="47" t="s">
        <v>3225</v>
      </c>
      <c r="S349" s="14" t="s">
        <v>4842</v>
      </c>
      <c r="T349" s="14" t="s">
        <v>4623</v>
      </c>
      <c r="U349" s="14" t="s">
        <v>4843</v>
      </c>
      <c r="V349" s="14" t="s">
        <v>4844</v>
      </c>
      <c r="W349" s="14" t="s">
        <v>4845</v>
      </c>
      <c r="AA349" s="6"/>
      <c r="AB349" s="6" t="s">
        <v>67</v>
      </c>
      <c r="AC349" s="6"/>
      <c r="AD349" s="6" t="s">
        <v>56</v>
      </c>
      <c r="AE349" s="6"/>
      <c r="AF349" s="6" t="s">
        <v>57</v>
      </c>
      <c r="AG349" s="6"/>
      <c r="AH349" s="6" t="s">
        <v>76</v>
      </c>
      <c r="AI349" s="6"/>
      <c r="AJ349" s="6" t="s">
        <v>77</v>
      </c>
    </row>
    <row r="350" spans="1:36" ht="15.75" customHeight="1" x14ac:dyDescent="0.25">
      <c r="A350" s="7">
        <v>43418.703837337962</v>
      </c>
      <c r="B350" s="6" t="s">
        <v>28</v>
      </c>
      <c r="C350" s="6" t="s">
        <v>116</v>
      </c>
      <c r="D350" s="6" t="s">
        <v>165</v>
      </c>
      <c r="E350" s="6" t="s">
        <v>48</v>
      </c>
      <c r="F350" s="6" t="s">
        <v>1237</v>
      </c>
      <c r="G350" s="6" t="s">
        <v>81</v>
      </c>
      <c r="J350" s="6" t="s">
        <v>158</v>
      </c>
      <c r="K350" s="6"/>
      <c r="L350" s="6" t="s">
        <v>1238</v>
      </c>
      <c r="M350" s="6"/>
      <c r="N350" s="6" t="s">
        <v>181</v>
      </c>
      <c r="O350" s="6"/>
      <c r="P350" s="6" t="s">
        <v>94</v>
      </c>
      <c r="Q350" s="6"/>
      <c r="AB350" s="6" t="s">
        <v>55</v>
      </c>
      <c r="AC350" s="6"/>
      <c r="AD350" s="6" t="s">
        <v>56</v>
      </c>
      <c r="AE350" s="6"/>
      <c r="AF350" s="6" t="s">
        <v>75</v>
      </c>
      <c r="AG350" s="6"/>
      <c r="AH350" s="6" t="s">
        <v>57</v>
      </c>
      <c r="AI350" s="6"/>
      <c r="AJ350" s="6" t="s">
        <v>115</v>
      </c>
    </row>
    <row r="351" spans="1:36" ht="15.75" customHeight="1" x14ac:dyDescent="0.25">
      <c r="A351" s="7">
        <v>43418.70422881945</v>
      </c>
      <c r="B351" s="6" t="s">
        <v>127</v>
      </c>
      <c r="C351" s="6" t="s">
        <v>90</v>
      </c>
      <c r="D351" s="6" t="s">
        <v>46</v>
      </c>
      <c r="E351" s="6" t="s">
        <v>81</v>
      </c>
      <c r="G351" s="6" t="s">
        <v>87</v>
      </c>
      <c r="J351" s="6" t="s">
        <v>106</v>
      </c>
      <c r="K351" s="6"/>
      <c r="L351" s="6" t="s">
        <v>1239</v>
      </c>
      <c r="M351" s="6"/>
      <c r="N351" s="6" t="s">
        <v>167</v>
      </c>
      <c r="O351" s="6"/>
      <c r="P351" s="6" t="s">
        <v>168</v>
      </c>
      <c r="Q351" s="6"/>
      <c r="R351" s="47" t="s">
        <v>3225</v>
      </c>
      <c r="S351" s="14" t="s">
        <v>4425</v>
      </c>
      <c r="T351" s="14" t="s">
        <v>4472</v>
      </c>
      <c r="U351" s="14" t="s">
        <v>4395</v>
      </c>
      <c r="AA351" s="6"/>
      <c r="AB351" s="6" t="s">
        <v>67</v>
      </c>
      <c r="AC351" s="6"/>
      <c r="AD351" s="6" t="s">
        <v>109</v>
      </c>
      <c r="AE351" s="6"/>
      <c r="AF351" s="6" t="s">
        <v>161</v>
      </c>
      <c r="AG351" s="6"/>
      <c r="AH351" s="6" t="s">
        <v>76</v>
      </c>
      <c r="AI351" s="6"/>
      <c r="AJ351" s="6" t="s">
        <v>174</v>
      </c>
    </row>
    <row r="352" spans="1:36" ht="15.75" customHeight="1" x14ac:dyDescent="0.25">
      <c r="A352" s="7">
        <v>43418.705300868052</v>
      </c>
      <c r="B352" s="6" t="s">
        <v>60</v>
      </c>
      <c r="C352" s="6" t="s">
        <v>477</v>
      </c>
      <c r="D352" s="6" t="s">
        <v>165</v>
      </c>
      <c r="E352" s="6" t="s">
        <v>81</v>
      </c>
      <c r="G352" s="6" t="s">
        <v>87</v>
      </c>
      <c r="J352" s="6" t="s">
        <v>106</v>
      </c>
      <c r="K352" s="6"/>
      <c r="N352" s="6" t="s">
        <v>98</v>
      </c>
      <c r="O352" s="6"/>
      <c r="P352" s="6" t="s">
        <v>94</v>
      </c>
      <c r="Q352" s="6"/>
      <c r="AA352" s="6"/>
      <c r="AB352" s="6" t="s">
        <v>101</v>
      </c>
      <c r="AC352" s="6"/>
      <c r="AD352" s="6" t="s">
        <v>56</v>
      </c>
      <c r="AE352" s="6"/>
      <c r="AF352" s="6" t="s">
        <v>75</v>
      </c>
      <c r="AG352" s="6"/>
      <c r="AH352" s="6" t="s">
        <v>126</v>
      </c>
      <c r="AJ352" s="6" t="s">
        <v>57</v>
      </c>
    </row>
    <row r="353" spans="1:36" ht="15.75" customHeight="1" x14ac:dyDescent="0.25">
      <c r="A353" s="7">
        <v>43418.705408993061</v>
      </c>
      <c r="B353" s="6" t="s">
        <v>127</v>
      </c>
      <c r="C353" s="6" t="s">
        <v>749</v>
      </c>
      <c r="D353" s="6" t="s">
        <v>91</v>
      </c>
      <c r="E353" s="6" t="s">
        <v>81</v>
      </c>
      <c r="G353" s="6" t="s">
        <v>87</v>
      </c>
      <c r="H353" s="6" t="s">
        <v>1241</v>
      </c>
      <c r="I353" s="6"/>
      <c r="J353" s="6" t="s">
        <v>73</v>
      </c>
      <c r="K353" s="6"/>
      <c r="L353" s="6" t="s">
        <v>1242</v>
      </c>
      <c r="M353" s="6"/>
      <c r="N353" s="6" t="s">
        <v>112</v>
      </c>
      <c r="O353" s="6"/>
      <c r="P353" s="6" t="s">
        <v>52</v>
      </c>
      <c r="Q353" s="6"/>
      <c r="R353" s="47" t="s">
        <v>4846</v>
      </c>
      <c r="S353" s="14" t="s">
        <v>4494</v>
      </c>
      <c r="AA353" s="6"/>
      <c r="AB353" s="6" t="s">
        <v>67</v>
      </c>
      <c r="AC353" s="6"/>
      <c r="AD353" s="6" t="s">
        <v>56</v>
      </c>
      <c r="AE353" s="6"/>
      <c r="AF353" s="6" t="s">
        <v>68</v>
      </c>
      <c r="AG353" s="6"/>
      <c r="AH353" s="6" t="s">
        <v>58</v>
      </c>
      <c r="AI353" s="6"/>
      <c r="AJ353" s="6" t="s">
        <v>318</v>
      </c>
    </row>
    <row r="354" spans="1:36" ht="15.75" customHeight="1" x14ac:dyDescent="0.25">
      <c r="A354" s="7">
        <v>43418.706511493059</v>
      </c>
      <c r="B354" s="6" t="s">
        <v>60</v>
      </c>
      <c r="C354" s="6" t="s">
        <v>79</v>
      </c>
      <c r="D354" s="6" t="s">
        <v>165</v>
      </c>
      <c r="E354" s="6" t="s">
        <v>81</v>
      </c>
      <c r="G354" s="6" t="s">
        <v>87</v>
      </c>
      <c r="J354" s="6" t="s">
        <v>92</v>
      </c>
      <c r="K354" s="6"/>
      <c r="P354" s="6" t="s">
        <v>94</v>
      </c>
      <c r="Q354" s="6"/>
      <c r="R354" s="47" t="s">
        <v>1244</v>
      </c>
      <c r="AA354" s="6"/>
      <c r="AB354" s="6" t="s">
        <v>67</v>
      </c>
      <c r="AC354" s="6"/>
      <c r="AD354" s="6" t="s">
        <v>56</v>
      </c>
      <c r="AE354" s="6"/>
      <c r="AF354" s="6" t="s">
        <v>75</v>
      </c>
      <c r="AG354" s="6"/>
      <c r="AH354" s="6" t="s">
        <v>58</v>
      </c>
      <c r="AI354" s="6"/>
      <c r="AJ354" s="6" t="s">
        <v>77</v>
      </c>
    </row>
    <row r="355" spans="1:36" ht="15.75" customHeight="1" x14ac:dyDescent="0.25">
      <c r="A355" s="7">
        <v>43418.706866643523</v>
      </c>
      <c r="B355" s="6" t="s">
        <v>30</v>
      </c>
      <c r="C355" s="6" t="s">
        <v>95</v>
      </c>
      <c r="E355" s="6" t="s">
        <v>81</v>
      </c>
      <c r="G355" s="6" t="s">
        <v>87</v>
      </c>
      <c r="H355" s="6" t="s">
        <v>1245</v>
      </c>
      <c r="I355" s="6"/>
      <c r="J355" s="6" t="s">
        <v>184</v>
      </c>
      <c r="K355" s="6"/>
      <c r="L355" s="6" t="s">
        <v>1246</v>
      </c>
      <c r="M355" s="6"/>
      <c r="N355" s="6" t="s">
        <v>93</v>
      </c>
      <c r="O355" s="6"/>
      <c r="P355" s="6" t="s">
        <v>94</v>
      </c>
      <c r="Q355" s="6"/>
      <c r="R355" s="47" t="s">
        <v>1247</v>
      </c>
      <c r="AA355" s="6"/>
      <c r="AB355" s="6" t="s">
        <v>101</v>
      </c>
      <c r="AC355" s="6"/>
      <c r="AD355" s="6" t="s">
        <v>56</v>
      </c>
      <c r="AE355" s="6"/>
      <c r="AF355" s="6" t="s">
        <v>161</v>
      </c>
      <c r="AG355" s="6"/>
      <c r="AH355" s="6" t="s">
        <v>76</v>
      </c>
      <c r="AI355" s="6"/>
      <c r="AJ355" s="6" t="s">
        <v>132</v>
      </c>
    </row>
    <row r="356" spans="1:36" ht="15.75" customHeight="1" x14ac:dyDescent="0.25">
      <c r="A356" s="7">
        <v>43418.707119444443</v>
      </c>
      <c r="B356" s="6" t="s">
        <v>60</v>
      </c>
      <c r="C356" s="6" t="s">
        <v>477</v>
      </c>
      <c r="D356" s="6" t="s">
        <v>133</v>
      </c>
      <c r="E356" s="6" t="s">
        <v>81</v>
      </c>
      <c r="G356" s="6" t="s">
        <v>87</v>
      </c>
      <c r="J356" s="6" t="s">
        <v>64</v>
      </c>
      <c r="K356" s="6"/>
      <c r="N356" s="6" t="s">
        <v>98</v>
      </c>
      <c r="O356" s="6"/>
      <c r="P356" s="6" t="s">
        <v>94</v>
      </c>
      <c r="Q356" s="6"/>
      <c r="R356" s="47" t="s">
        <v>1248</v>
      </c>
      <c r="AA356" s="6"/>
      <c r="AB356" s="6" t="s">
        <v>67</v>
      </c>
      <c r="AC356" s="6"/>
      <c r="AD356" s="6" t="s">
        <v>56</v>
      </c>
      <c r="AE356" s="6"/>
      <c r="AF356" s="6" t="s">
        <v>75</v>
      </c>
      <c r="AG356" s="6"/>
      <c r="AH356" s="6" t="s">
        <v>58</v>
      </c>
      <c r="AI356" s="6"/>
      <c r="AJ356" s="6" t="s">
        <v>244</v>
      </c>
    </row>
    <row r="357" spans="1:36" ht="15.75" customHeight="1" x14ac:dyDescent="0.25">
      <c r="A357" s="7">
        <v>43418.707543020835</v>
      </c>
      <c r="B357" s="6" t="s">
        <v>30</v>
      </c>
      <c r="C357" s="6" t="s">
        <v>1249</v>
      </c>
      <c r="D357" s="6" t="s">
        <v>165</v>
      </c>
      <c r="E357" s="6" t="s">
        <v>48</v>
      </c>
      <c r="F357" s="6" t="s">
        <v>1250</v>
      </c>
      <c r="G357" s="6" t="s">
        <v>48</v>
      </c>
      <c r="H357" s="6" t="s">
        <v>1251</v>
      </c>
      <c r="I357" s="6"/>
      <c r="J357" s="6" t="s">
        <v>92</v>
      </c>
      <c r="K357" s="6"/>
      <c r="L357" s="6" t="s">
        <v>1252</v>
      </c>
      <c r="M357" s="6"/>
      <c r="N357" s="6" t="s">
        <v>112</v>
      </c>
      <c r="O357" s="6"/>
      <c r="P357" s="6" t="s">
        <v>131</v>
      </c>
      <c r="Q357" s="6"/>
      <c r="R357" s="47" t="s">
        <v>4847</v>
      </c>
      <c r="S357" s="14" t="s">
        <v>4848</v>
      </c>
      <c r="T357" s="14" t="s">
        <v>4849</v>
      </c>
      <c r="U357" s="14" t="s">
        <v>4850</v>
      </c>
      <c r="V357" s="14" t="s">
        <v>4484</v>
      </c>
      <c r="AA357" s="6"/>
      <c r="AB357" s="6" t="s">
        <v>101</v>
      </c>
      <c r="AC357" s="6"/>
      <c r="AD357" s="6" t="s">
        <v>56</v>
      </c>
      <c r="AE357" s="6"/>
      <c r="AF357" s="6" t="s">
        <v>75</v>
      </c>
      <c r="AG357" s="6"/>
      <c r="AH357" s="6" t="s">
        <v>58</v>
      </c>
      <c r="AI357" s="6"/>
      <c r="AJ357" s="6" t="s">
        <v>296</v>
      </c>
    </row>
    <row r="358" spans="1:36" ht="15.75" customHeight="1" x14ac:dyDescent="0.25">
      <c r="A358" s="7">
        <v>43418.707735393516</v>
      </c>
      <c r="B358" s="6" t="s">
        <v>30</v>
      </c>
      <c r="C358" s="6" t="s">
        <v>850</v>
      </c>
      <c r="D358" s="6" t="s">
        <v>129</v>
      </c>
      <c r="E358" s="6" t="s">
        <v>48</v>
      </c>
      <c r="F358" s="6" t="s">
        <v>1254</v>
      </c>
      <c r="G358" s="6" t="s">
        <v>48</v>
      </c>
      <c r="J358" s="6" t="s">
        <v>158</v>
      </c>
      <c r="K358" s="6"/>
      <c r="N358" s="6" t="s">
        <v>112</v>
      </c>
      <c r="O358" s="6"/>
      <c r="P358" s="6" t="s">
        <v>52</v>
      </c>
      <c r="Q358" s="6"/>
      <c r="R358" s="47" t="s">
        <v>4851</v>
      </c>
      <c r="S358" s="14" t="s">
        <v>4583</v>
      </c>
      <c r="T358" s="14" t="s">
        <v>4826</v>
      </c>
      <c r="AA358" s="6"/>
      <c r="AB358" s="6" t="s">
        <v>67</v>
      </c>
      <c r="AC358" s="6"/>
      <c r="AD358" s="6" t="s">
        <v>56</v>
      </c>
      <c r="AE358" s="6"/>
      <c r="AF358" s="6" t="s">
        <v>75</v>
      </c>
      <c r="AG358" s="6"/>
      <c r="AH358" s="6" t="s">
        <v>58</v>
      </c>
      <c r="AI358" s="6"/>
      <c r="AJ358" s="6" t="s">
        <v>233</v>
      </c>
    </row>
    <row r="359" spans="1:36" ht="15.75" customHeight="1" x14ac:dyDescent="0.25">
      <c r="A359" s="7">
        <v>43418.708120243056</v>
      </c>
      <c r="B359" s="6" t="s">
        <v>30</v>
      </c>
      <c r="C359" s="6" t="s">
        <v>116</v>
      </c>
      <c r="D359" s="6" t="s">
        <v>91</v>
      </c>
      <c r="E359" s="6" t="s">
        <v>81</v>
      </c>
      <c r="G359" s="6" t="s">
        <v>87</v>
      </c>
      <c r="H359" s="6" t="s">
        <v>1256</v>
      </c>
      <c r="I359" s="6"/>
      <c r="J359" s="6" t="s">
        <v>92</v>
      </c>
      <c r="K359" s="6"/>
      <c r="L359" s="6" t="s">
        <v>1257</v>
      </c>
      <c r="M359" s="6"/>
      <c r="N359" s="6" t="s">
        <v>98</v>
      </c>
      <c r="O359" s="6"/>
      <c r="P359" s="6" t="s">
        <v>131</v>
      </c>
      <c r="Q359" s="6"/>
      <c r="R359" s="47" t="s">
        <v>149</v>
      </c>
      <c r="S359" s="14" t="s">
        <v>4431</v>
      </c>
      <c r="T359" s="14" t="s">
        <v>4462</v>
      </c>
      <c r="U359" s="14" t="s">
        <v>4852</v>
      </c>
      <c r="V359" s="14" t="s">
        <v>4853</v>
      </c>
      <c r="W359" s="14" t="s">
        <v>4854</v>
      </c>
      <c r="X359" s="14" t="s">
        <v>4855</v>
      </c>
      <c r="Y359" s="14" t="s">
        <v>4856</v>
      </c>
      <c r="Z359" s="14" t="s">
        <v>4401</v>
      </c>
      <c r="AA359" s="6"/>
      <c r="AB359" s="6" t="s">
        <v>67</v>
      </c>
      <c r="AC359" s="6"/>
      <c r="AD359" s="6" t="s">
        <v>56</v>
      </c>
      <c r="AE359" s="6"/>
      <c r="AF359" s="6" t="s">
        <v>75</v>
      </c>
      <c r="AG359" s="6"/>
      <c r="AH359" s="6" t="s">
        <v>58</v>
      </c>
      <c r="AI359" s="6"/>
      <c r="AJ359" s="6" t="s">
        <v>77</v>
      </c>
    </row>
    <row r="360" spans="1:36" ht="15.75" customHeight="1" x14ac:dyDescent="0.25">
      <c r="A360" s="7">
        <v>43418.708320902777</v>
      </c>
      <c r="B360" s="6" t="s">
        <v>30</v>
      </c>
      <c r="C360" s="6" t="s">
        <v>95</v>
      </c>
      <c r="D360" s="6" t="s">
        <v>165</v>
      </c>
      <c r="E360" s="6" t="s">
        <v>81</v>
      </c>
      <c r="G360" s="6" t="s">
        <v>87</v>
      </c>
      <c r="H360" s="6" t="s">
        <v>1259</v>
      </c>
      <c r="I360" s="6"/>
      <c r="J360" s="6" t="s">
        <v>89</v>
      </c>
      <c r="K360" s="6"/>
      <c r="L360" s="6" t="s">
        <v>1260</v>
      </c>
      <c r="M360" s="6"/>
      <c r="N360" s="6" t="s">
        <v>212</v>
      </c>
      <c r="O360" s="6"/>
      <c r="P360" s="6" t="s">
        <v>94</v>
      </c>
      <c r="Q360" s="6"/>
      <c r="R360" s="47" t="s">
        <v>1261</v>
      </c>
      <c r="AA360" s="6"/>
      <c r="AB360" s="6" t="s">
        <v>203</v>
      </c>
      <c r="AC360" s="6"/>
      <c r="AD360" s="6" t="s">
        <v>56</v>
      </c>
      <c r="AE360" s="6"/>
      <c r="AF360" s="6" t="s">
        <v>75</v>
      </c>
      <c r="AG360" s="6"/>
      <c r="AH360" s="6" t="s">
        <v>58</v>
      </c>
      <c r="AI360" s="6"/>
      <c r="AJ360" s="6" t="s">
        <v>296</v>
      </c>
    </row>
    <row r="361" spans="1:36" ht="15.75" customHeight="1" x14ac:dyDescent="0.25">
      <c r="A361" s="7">
        <v>43418.708664710648</v>
      </c>
      <c r="B361" s="6" t="s">
        <v>103</v>
      </c>
      <c r="C361" s="6" t="s">
        <v>116</v>
      </c>
      <c r="D361" s="6" t="s">
        <v>46</v>
      </c>
      <c r="E361" s="6" t="s">
        <v>81</v>
      </c>
      <c r="G361" s="6" t="s">
        <v>87</v>
      </c>
      <c r="J361" s="6" t="s">
        <v>110</v>
      </c>
      <c r="K361" s="6"/>
      <c r="N361" s="6" t="s">
        <v>181</v>
      </c>
      <c r="O361" s="6"/>
      <c r="P361" s="6" t="s">
        <v>131</v>
      </c>
      <c r="Q361" s="6"/>
      <c r="AA361" s="6"/>
      <c r="AB361" s="6" t="s">
        <v>101</v>
      </c>
      <c r="AC361" s="6"/>
      <c r="AD361" s="6" t="s">
        <v>56</v>
      </c>
      <c r="AE361" s="6"/>
      <c r="AF361" s="6" t="s">
        <v>75</v>
      </c>
      <c r="AG361" s="6"/>
      <c r="AH361" s="6" t="s">
        <v>58</v>
      </c>
      <c r="AJ361" s="6" t="s">
        <v>57</v>
      </c>
    </row>
    <row r="362" spans="1:36" ht="15.75" customHeight="1" x14ac:dyDescent="0.25">
      <c r="A362" s="7">
        <v>43418.710294988428</v>
      </c>
      <c r="B362" s="6" t="s">
        <v>127</v>
      </c>
      <c r="C362" s="6" t="s">
        <v>90</v>
      </c>
      <c r="D362" s="6" t="s">
        <v>163</v>
      </c>
      <c r="E362" s="6" t="s">
        <v>81</v>
      </c>
      <c r="F362" s="6" t="s">
        <v>1185</v>
      </c>
      <c r="G362" s="6" t="s">
        <v>87</v>
      </c>
      <c r="J362" s="6" t="s">
        <v>92</v>
      </c>
      <c r="K362" s="6"/>
      <c r="L362" s="6" t="s">
        <v>1262</v>
      </c>
      <c r="M362" s="6"/>
      <c r="N362" s="6" t="s">
        <v>121</v>
      </c>
      <c r="O362" s="6"/>
      <c r="P362" s="6" t="s">
        <v>168</v>
      </c>
      <c r="Q362" s="6"/>
      <c r="R362" s="47" t="s">
        <v>4512</v>
      </c>
      <c r="S362" s="14" t="s">
        <v>4857</v>
      </c>
      <c r="T362" s="14" t="s">
        <v>4426</v>
      </c>
      <c r="U362" s="14" t="s">
        <v>4858</v>
      </c>
      <c r="AA362" s="6"/>
      <c r="AB362" s="6" t="s">
        <v>67</v>
      </c>
      <c r="AC362" s="6"/>
      <c r="AD362" s="6" t="s">
        <v>56</v>
      </c>
      <c r="AE362" s="6"/>
      <c r="AF362" s="6" t="s">
        <v>68</v>
      </c>
      <c r="AG362" s="6"/>
      <c r="AH362" s="6" t="s">
        <v>58</v>
      </c>
      <c r="AI362" s="6"/>
      <c r="AJ362" s="6" t="s">
        <v>335</v>
      </c>
    </row>
    <row r="363" spans="1:36" ht="15.75" customHeight="1" x14ac:dyDescent="0.25">
      <c r="A363" s="7">
        <v>43418.710594039352</v>
      </c>
      <c r="B363" s="6" t="s">
        <v>30</v>
      </c>
      <c r="C363" s="6" t="s">
        <v>45</v>
      </c>
      <c r="D363" s="6" t="s">
        <v>165</v>
      </c>
      <c r="E363" s="6" t="s">
        <v>81</v>
      </c>
      <c r="G363" s="6" t="s">
        <v>87</v>
      </c>
      <c r="H363" s="6" t="s">
        <v>1264</v>
      </c>
      <c r="I363" s="6"/>
      <c r="J363" s="6" t="s">
        <v>64</v>
      </c>
      <c r="K363" s="6"/>
      <c r="L363" s="6" t="s">
        <v>1265</v>
      </c>
      <c r="M363" s="6"/>
      <c r="N363" s="6" t="s">
        <v>98</v>
      </c>
      <c r="O363" s="6"/>
      <c r="P363" s="6" t="s">
        <v>94</v>
      </c>
      <c r="Q363" s="6"/>
      <c r="R363" s="47" t="s">
        <v>4859</v>
      </c>
      <c r="S363" s="14" t="s">
        <v>4860</v>
      </c>
      <c r="AA363" s="6"/>
      <c r="AB363" s="6" t="s">
        <v>67</v>
      </c>
      <c r="AC363" s="6"/>
      <c r="AD363" s="6" t="s">
        <v>56</v>
      </c>
      <c r="AE363" s="6"/>
      <c r="AF363" s="6" t="s">
        <v>161</v>
      </c>
      <c r="AG363" s="6"/>
      <c r="AH363" s="6" t="s">
        <v>76</v>
      </c>
      <c r="AI363" s="6"/>
      <c r="AJ363" s="6" t="s">
        <v>57</v>
      </c>
    </row>
    <row r="364" spans="1:36" ht="15.75" customHeight="1" x14ac:dyDescent="0.25">
      <c r="A364" s="7">
        <v>43418.712927083332</v>
      </c>
      <c r="B364" s="6" t="s">
        <v>1267</v>
      </c>
      <c r="C364" s="6" t="s">
        <v>79</v>
      </c>
      <c r="D364" s="6" t="s">
        <v>163</v>
      </c>
      <c r="E364" s="6" t="s">
        <v>81</v>
      </c>
      <c r="G364" s="6" t="s">
        <v>87</v>
      </c>
      <c r="H364" s="6" t="s">
        <v>1268</v>
      </c>
      <c r="I364" s="6"/>
      <c r="J364" s="6" t="s">
        <v>92</v>
      </c>
      <c r="K364" s="6"/>
      <c r="L364" s="6" t="s">
        <v>1269</v>
      </c>
      <c r="M364" s="6"/>
      <c r="N364" s="6" t="s">
        <v>121</v>
      </c>
      <c r="O364" s="6"/>
      <c r="P364" s="6" t="s">
        <v>99</v>
      </c>
      <c r="Q364" s="6"/>
      <c r="R364" s="47" t="s">
        <v>182</v>
      </c>
      <c r="S364" s="14" t="s">
        <v>4432</v>
      </c>
      <c r="T364" s="14" t="s">
        <v>4861</v>
      </c>
      <c r="U364" s="14" t="s">
        <v>4390</v>
      </c>
      <c r="V364" s="14" t="s">
        <v>4862</v>
      </c>
      <c r="AA364" s="6"/>
      <c r="AB364" s="6" t="s">
        <v>101</v>
      </c>
      <c r="AC364" s="6"/>
      <c r="AD364" s="6" t="s">
        <v>56</v>
      </c>
      <c r="AE364" s="6"/>
      <c r="AF364" s="6" t="s">
        <v>205</v>
      </c>
      <c r="AG364" s="6"/>
      <c r="AH364" s="6" t="s">
        <v>57</v>
      </c>
      <c r="AI364" s="6"/>
      <c r="AJ364" s="6" t="s">
        <v>77</v>
      </c>
    </row>
    <row r="365" spans="1:36" ht="15.75" customHeight="1" x14ac:dyDescent="0.25">
      <c r="A365" s="7">
        <v>43418.713920069444</v>
      </c>
      <c r="B365" s="6" t="s">
        <v>26</v>
      </c>
      <c r="C365" s="6" t="s">
        <v>116</v>
      </c>
      <c r="D365" s="6" t="s">
        <v>165</v>
      </c>
      <c r="E365" s="6" t="s">
        <v>81</v>
      </c>
      <c r="G365" s="6" t="s">
        <v>87</v>
      </c>
      <c r="H365" s="6" t="s">
        <v>1271</v>
      </c>
      <c r="I365" s="6"/>
      <c r="J365" s="6" t="s">
        <v>64</v>
      </c>
      <c r="K365" s="6"/>
      <c r="L365" s="6" t="s">
        <v>1272</v>
      </c>
      <c r="M365" s="6"/>
      <c r="N365" s="6" t="s">
        <v>98</v>
      </c>
      <c r="O365" s="6"/>
      <c r="P365" s="6" t="s">
        <v>131</v>
      </c>
      <c r="Q365" s="6"/>
      <c r="R365" s="47" t="s">
        <v>1273</v>
      </c>
      <c r="AA365" s="6"/>
      <c r="AB365" s="6" t="s">
        <v>101</v>
      </c>
      <c r="AC365" s="6"/>
      <c r="AD365" s="6" t="s">
        <v>56</v>
      </c>
      <c r="AE365" s="6"/>
      <c r="AF365" s="6" t="s">
        <v>161</v>
      </c>
      <c r="AG365" s="6"/>
      <c r="AH365" s="6" t="s">
        <v>76</v>
      </c>
      <c r="AI365" s="6"/>
      <c r="AJ365" s="6" t="s">
        <v>321</v>
      </c>
    </row>
    <row r="366" spans="1:36" ht="15.75" customHeight="1" x14ac:dyDescent="0.25">
      <c r="A366" s="7">
        <v>43418.714325729168</v>
      </c>
      <c r="B366" s="6" t="s">
        <v>30</v>
      </c>
      <c r="C366" s="6" t="s">
        <v>45</v>
      </c>
      <c r="D366" s="6" t="s">
        <v>46</v>
      </c>
      <c r="E366" s="6" t="s">
        <v>81</v>
      </c>
      <c r="F366" s="6" t="s">
        <v>1183</v>
      </c>
      <c r="G366" s="6" t="s">
        <v>87</v>
      </c>
      <c r="J366" s="6" t="s">
        <v>92</v>
      </c>
      <c r="K366" s="6"/>
      <c r="AH366" s="6" t="s">
        <v>57</v>
      </c>
      <c r="AJ366" s="6" t="s">
        <v>57</v>
      </c>
    </row>
    <row r="367" spans="1:36" ht="15.75" customHeight="1" x14ac:dyDescent="0.25">
      <c r="A367" s="7">
        <v>43418.714605439818</v>
      </c>
      <c r="B367" s="6" t="s">
        <v>154</v>
      </c>
      <c r="C367" s="6" t="s">
        <v>287</v>
      </c>
      <c r="D367" s="6" t="s">
        <v>165</v>
      </c>
      <c r="E367" s="6" t="s">
        <v>81</v>
      </c>
      <c r="G367" s="6" t="s">
        <v>87</v>
      </c>
      <c r="J367" s="6" t="s">
        <v>92</v>
      </c>
      <c r="K367" s="6"/>
      <c r="L367" s="6" t="s">
        <v>1274</v>
      </c>
      <c r="M367" s="6"/>
      <c r="N367" s="6" t="s">
        <v>98</v>
      </c>
      <c r="O367" s="6"/>
      <c r="P367" s="6" t="s">
        <v>94</v>
      </c>
      <c r="Q367" s="6"/>
      <c r="R367" s="47" t="s">
        <v>192</v>
      </c>
      <c r="S367" s="14" t="s">
        <v>4400</v>
      </c>
      <c r="T367" s="14" t="s">
        <v>4863</v>
      </c>
      <c r="AA367" s="6"/>
      <c r="AB367" s="6" t="s">
        <v>55</v>
      </c>
      <c r="AC367" s="6"/>
      <c r="AD367" s="6" t="s">
        <v>56</v>
      </c>
      <c r="AE367" s="6"/>
      <c r="AF367" s="6" t="s">
        <v>161</v>
      </c>
      <c r="AG367" s="6"/>
      <c r="AH367" s="6" t="s">
        <v>76</v>
      </c>
      <c r="AI367" s="6"/>
      <c r="AJ367" s="6" t="s">
        <v>260</v>
      </c>
    </row>
    <row r="368" spans="1:36" ht="15.75" customHeight="1" x14ac:dyDescent="0.25">
      <c r="A368" s="7">
        <v>43418.715465914356</v>
      </c>
      <c r="B368" s="6" t="s">
        <v>30</v>
      </c>
      <c r="C368" s="6" t="s">
        <v>116</v>
      </c>
      <c r="D368" s="6" t="s">
        <v>163</v>
      </c>
      <c r="E368" s="6" t="s">
        <v>81</v>
      </c>
      <c r="G368" s="6" t="s">
        <v>87</v>
      </c>
      <c r="H368" s="6" t="s">
        <v>1276</v>
      </c>
      <c r="I368" s="6"/>
      <c r="J368" s="6" t="s">
        <v>89</v>
      </c>
      <c r="K368" s="6"/>
      <c r="L368" s="6" t="s">
        <v>1277</v>
      </c>
      <c r="M368" s="6"/>
      <c r="N368" s="6" t="s">
        <v>112</v>
      </c>
      <c r="O368" s="6"/>
      <c r="P368" s="6" t="s">
        <v>52</v>
      </c>
      <c r="Q368" s="6"/>
      <c r="R368" s="47" t="s">
        <v>3324</v>
      </c>
      <c r="S368" s="14" t="s">
        <v>4400</v>
      </c>
      <c r="T368" s="14" t="s">
        <v>4472</v>
      </c>
      <c r="U368" s="14" t="s">
        <v>4539</v>
      </c>
      <c r="V368" s="14" t="s">
        <v>4864</v>
      </c>
      <c r="AA368" s="6"/>
      <c r="AB368" s="6" t="s">
        <v>67</v>
      </c>
      <c r="AC368" s="6"/>
      <c r="AD368" s="6" t="s">
        <v>56</v>
      </c>
      <c r="AE368" s="6"/>
      <c r="AF368" s="6" t="s">
        <v>205</v>
      </c>
      <c r="AG368" s="6"/>
      <c r="AH368" s="11" t="s">
        <v>126</v>
      </c>
      <c r="AI368" s="6"/>
      <c r="AJ368" s="6" t="s">
        <v>77</v>
      </c>
    </row>
    <row r="369" spans="1:36" ht="15.75" customHeight="1" x14ac:dyDescent="0.25">
      <c r="A369" s="7">
        <v>43418.715653321764</v>
      </c>
      <c r="B369" s="6" t="s">
        <v>1279</v>
      </c>
      <c r="C369" s="6" t="s">
        <v>45</v>
      </c>
      <c r="D369" s="6" t="s">
        <v>46</v>
      </c>
      <c r="E369" s="6" t="s">
        <v>81</v>
      </c>
      <c r="G369" s="6" t="s">
        <v>87</v>
      </c>
      <c r="H369" s="6" t="s">
        <v>1280</v>
      </c>
      <c r="I369" s="6"/>
      <c r="J369" s="6" t="s">
        <v>73</v>
      </c>
      <c r="K369" s="6"/>
      <c r="L369" s="6" t="s">
        <v>1281</v>
      </c>
      <c r="M369" s="6"/>
      <c r="N369" s="6" t="s">
        <v>51</v>
      </c>
      <c r="O369" s="6"/>
      <c r="P369" s="6" t="s">
        <v>52</v>
      </c>
      <c r="Q369" s="6"/>
      <c r="R369" s="47" t="s">
        <v>242</v>
      </c>
      <c r="S369" s="14" t="s">
        <v>4865</v>
      </c>
      <c r="AA369" s="6"/>
      <c r="AB369" s="6" t="s">
        <v>101</v>
      </c>
      <c r="AC369" s="6"/>
      <c r="AD369" s="6" t="s">
        <v>56</v>
      </c>
      <c r="AE369" s="6"/>
      <c r="AF369" s="6" t="s">
        <v>75</v>
      </c>
      <c r="AG369" s="6"/>
      <c r="AH369" s="6" t="s">
        <v>76</v>
      </c>
      <c r="AI369" s="6"/>
      <c r="AJ369" s="6" t="s">
        <v>335</v>
      </c>
    </row>
    <row r="370" spans="1:36" ht="15.75" customHeight="1" x14ac:dyDescent="0.25">
      <c r="A370" s="7">
        <v>43418.716162708333</v>
      </c>
      <c r="B370" s="6" t="s">
        <v>30</v>
      </c>
      <c r="C370" s="6" t="s">
        <v>95</v>
      </c>
      <c r="D370" s="6" t="s">
        <v>46</v>
      </c>
      <c r="E370" s="6" t="s">
        <v>81</v>
      </c>
      <c r="G370" s="6" t="s">
        <v>87</v>
      </c>
      <c r="H370" s="6" t="s">
        <v>86</v>
      </c>
      <c r="I370" s="6"/>
      <c r="J370" s="6" t="s">
        <v>110</v>
      </c>
      <c r="K370" s="6"/>
      <c r="N370" s="6" t="s">
        <v>112</v>
      </c>
      <c r="O370" s="6"/>
      <c r="P370" s="6" t="s">
        <v>99</v>
      </c>
      <c r="Q370" s="6"/>
      <c r="AA370" s="6"/>
      <c r="AB370" s="6" t="s">
        <v>101</v>
      </c>
      <c r="AC370" s="6"/>
      <c r="AD370" s="6" t="s">
        <v>57</v>
      </c>
      <c r="AE370" s="6"/>
      <c r="AF370" s="6" t="s">
        <v>57</v>
      </c>
      <c r="AG370" s="6"/>
      <c r="AH370" s="6" t="s">
        <v>76</v>
      </c>
      <c r="AJ370" s="6" t="s">
        <v>57</v>
      </c>
    </row>
    <row r="371" spans="1:36" ht="15.75" customHeight="1" x14ac:dyDescent="0.25">
      <c r="A371" s="7">
        <v>43418.716780000002</v>
      </c>
      <c r="B371" s="6" t="s">
        <v>60</v>
      </c>
      <c r="C371" s="6" t="s">
        <v>434</v>
      </c>
      <c r="E371" s="6" t="s">
        <v>48</v>
      </c>
      <c r="F371" s="6" t="s">
        <v>1283</v>
      </c>
      <c r="G371" s="6" t="s">
        <v>48</v>
      </c>
      <c r="H371" s="6" t="s">
        <v>1284</v>
      </c>
      <c r="I371" s="6"/>
      <c r="J371" s="6" t="s">
        <v>50</v>
      </c>
      <c r="K371" s="6"/>
      <c r="L371" s="6" t="s">
        <v>1285</v>
      </c>
      <c r="M371" s="6"/>
      <c r="N371" s="6" t="s">
        <v>98</v>
      </c>
      <c r="O371" s="6"/>
      <c r="P371" s="6" t="s">
        <v>94</v>
      </c>
      <c r="Q371" s="6"/>
      <c r="R371" s="47" t="s">
        <v>149</v>
      </c>
      <c r="S371" s="14" t="s">
        <v>4393</v>
      </c>
      <c r="T371" s="14" t="s">
        <v>4748</v>
      </c>
      <c r="AA371" s="6"/>
      <c r="AB371" s="6" t="s">
        <v>67</v>
      </c>
      <c r="AC371" s="6"/>
      <c r="AD371" s="6" t="s">
        <v>56</v>
      </c>
      <c r="AE371" s="6"/>
      <c r="AF371" s="6" t="s">
        <v>68</v>
      </c>
      <c r="AG371" s="6"/>
      <c r="AH371" s="6" t="s">
        <v>58</v>
      </c>
      <c r="AI371" s="6"/>
      <c r="AJ371" s="6" t="s">
        <v>77</v>
      </c>
    </row>
    <row r="372" spans="1:36" ht="15.75" customHeight="1" x14ac:dyDescent="0.25">
      <c r="A372" s="7">
        <v>43418.717551921298</v>
      </c>
      <c r="B372" s="6" t="s">
        <v>305</v>
      </c>
      <c r="C372" s="6" t="s">
        <v>116</v>
      </c>
      <c r="D372" s="6" t="s">
        <v>46</v>
      </c>
      <c r="E372" s="6" t="s">
        <v>48</v>
      </c>
      <c r="F372" s="6" t="s">
        <v>1287</v>
      </c>
      <c r="G372" s="6" t="s">
        <v>48</v>
      </c>
      <c r="H372" s="6" t="s">
        <v>1288</v>
      </c>
      <c r="I372" s="6"/>
      <c r="J372" s="6" t="s">
        <v>106</v>
      </c>
      <c r="K372" s="6"/>
      <c r="L372" s="6" t="s">
        <v>1289</v>
      </c>
      <c r="M372" s="6"/>
      <c r="N372" s="6" t="s">
        <v>98</v>
      </c>
      <c r="O372" s="6"/>
      <c r="P372" s="6" t="s">
        <v>131</v>
      </c>
      <c r="Q372" s="6"/>
      <c r="R372" s="47" t="s">
        <v>4866</v>
      </c>
      <c r="S372" s="14" t="s">
        <v>4867</v>
      </c>
      <c r="T372" s="14" t="s">
        <v>4868</v>
      </c>
      <c r="AA372" s="6"/>
      <c r="AB372" s="6" t="s">
        <v>101</v>
      </c>
      <c r="AC372" s="6"/>
      <c r="AD372" s="6" t="s">
        <v>56</v>
      </c>
      <c r="AE372" s="6"/>
      <c r="AF372" s="6" t="s">
        <v>75</v>
      </c>
      <c r="AG372" s="6"/>
      <c r="AH372" s="6" t="s">
        <v>58</v>
      </c>
      <c r="AI372" s="6"/>
      <c r="AJ372" s="6" t="s">
        <v>259</v>
      </c>
    </row>
    <row r="373" spans="1:36" ht="15.75" customHeight="1" x14ac:dyDescent="0.25">
      <c r="A373" s="7">
        <v>43418.717670729166</v>
      </c>
      <c r="B373" s="6" t="s">
        <v>1291</v>
      </c>
      <c r="C373" s="6" t="s">
        <v>79</v>
      </c>
      <c r="D373" s="6" t="s">
        <v>129</v>
      </c>
      <c r="E373" s="6" t="s">
        <v>48</v>
      </c>
      <c r="F373" s="6" t="s">
        <v>1292</v>
      </c>
      <c r="G373" s="6" t="s">
        <v>48</v>
      </c>
      <c r="H373" s="6" t="s">
        <v>1293</v>
      </c>
      <c r="I373" s="6"/>
      <c r="J373" s="6" t="s">
        <v>184</v>
      </c>
      <c r="K373" s="6"/>
      <c r="L373" s="6" t="s">
        <v>1294</v>
      </c>
      <c r="M373" s="6"/>
      <c r="N373" s="6" t="s">
        <v>181</v>
      </c>
      <c r="O373" s="6"/>
      <c r="P373" s="6" t="s">
        <v>99</v>
      </c>
      <c r="Q373" s="6"/>
      <c r="R373" s="47" t="s">
        <v>4869</v>
      </c>
      <c r="S373" s="14" t="s">
        <v>4870</v>
      </c>
      <c r="AA373" s="6"/>
      <c r="AB373" s="6" t="s">
        <v>55</v>
      </c>
      <c r="AC373" s="6"/>
      <c r="AD373" s="6" t="s">
        <v>56</v>
      </c>
      <c r="AE373" s="6"/>
      <c r="AF373" s="6" t="s">
        <v>161</v>
      </c>
      <c r="AG373" s="6"/>
      <c r="AH373" s="6" t="s">
        <v>76</v>
      </c>
      <c r="AI373" s="6"/>
      <c r="AJ373" s="11" t="s">
        <v>174</v>
      </c>
    </row>
    <row r="374" spans="1:36" ht="15.75" customHeight="1" x14ac:dyDescent="0.25">
      <c r="A374" s="7">
        <v>43418.717877476854</v>
      </c>
      <c r="B374" s="6" t="s">
        <v>30</v>
      </c>
      <c r="C374" s="6" t="s">
        <v>287</v>
      </c>
      <c r="D374" s="6" t="s">
        <v>165</v>
      </c>
      <c r="E374" s="6" t="s">
        <v>48</v>
      </c>
      <c r="F374" s="6" t="s">
        <v>1296</v>
      </c>
      <c r="G374" s="6" t="s">
        <v>48</v>
      </c>
      <c r="J374" s="6" t="s">
        <v>158</v>
      </c>
      <c r="K374" s="6"/>
      <c r="L374" s="6" t="s">
        <v>1297</v>
      </c>
      <c r="M374" s="6"/>
      <c r="N374" s="6" t="s">
        <v>181</v>
      </c>
      <c r="O374" s="6"/>
      <c r="P374" s="6" t="s">
        <v>94</v>
      </c>
      <c r="Q374" s="6"/>
      <c r="R374" s="47" t="s">
        <v>2751</v>
      </c>
      <c r="S374" s="14" t="s">
        <v>4871</v>
      </c>
      <c r="T374" s="14" t="s">
        <v>4490</v>
      </c>
      <c r="U374" s="14" t="s">
        <v>4806</v>
      </c>
      <c r="AA374" s="6"/>
      <c r="AB374" s="6" t="s">
        <v>101</v>
      </c>
      <c r="AC374" s="6"/>
      <c r="AD374" s="6" t="s">
        <v>56</v>
      </c>
      <c r="AE374" s="6"/>
      <c r="AF374" s="6" t="s">
        <v>68</v>
      </c>
      <c r="AG374" s="6"/>
      <c r="AH374" s="6" t="s">
        <v>58</v>
      </c>
      <c r="AI374" s="6"/>
      <c r="AJ374" s="6" t="s">
        <v>260</v>
      </c>
    </row>
    <row r="375" spans="1:36" ht="15.75" customHeight="1" x14ac:dyDescent="0.25">
      <c r="A375" s="7">
        <v>43418.717890405096</v>
      </c>
      <c r="B375" s="6" t="s">
        <v>30</v>
      </c>
      <c r="C375" s="6" t="s">
        <v>287</v>
      </c>
      <c r="D375" s="6" t="s">
        <v>155</v>
      </c>
      <c r="E375" s="6" t="s">
        <v>81</v>
      </c>
      <c r="G375" s="6" t="s">
        <v>87</v>
      </c>
      <c r="J375" s="6" t="s">
        <v>92</v>
      </c>
      <c r="K375" s="6"/>
      <c r="L375" s="6" t="s">
        <v>1299</v>
      </c>
      <c r="M375" s="6"/>
      <c r="N375" s="6" t="s">
        <v>167</v>
      </c>
      <c r="O375" s="6"/>
      <c r="P375" s="6" t="s">
        <v>168</v>
      </c>
      <c r="Q375" s="6"/>
      <c r="R375" s="47" t="s">
        <v>1300</v>
      </c>
      <c r="AA375" s="6"/>
      <c r="AB375" s="6" t="s">
        <v>67</v>
      </c>
      <c r="AC375" s="6"/>
      <c r="AD375" s="6" t="s">
        <v>109</v>
      </c>
      <c r="AE375" s="6"/>
      <c r="AF375" s="6" t="s">
        <v>161</v>
      </c>
      <c r="AG375" s="6"/>
      <c r="AH375" s="6" t="s">
        <v>57</v>
      </c>
      <c r="AI375" s="6"/>
      <c r="AJ375" s="6" t="s">
        <v>77</v>
      </c>
    </row>
    <row r="376" spans="1:36" ht="15.75" customHeight="1" x14ac:dyDescent="0.25">
      <c r="A376" s="7">
        <v>43418.718308877316</v>
      </c>
      <c r="B376" s="6" t="s">
        <v>127</v>
      </c>
      <c r="C376" s="6" t="s">
        <v>215</v>
      </c>
      <c r="D376" s="6" t="s">
        <v>165</v>
      </c>
      <c r="E376" s="6" t="s">
        <v>81</v>
      </c>
      <c r="G376" s="6" t="s">
        <v>87</v>
      </c>
      <c r="H376" s="6" t="s">
        <v>1301</v>
      </c>
      <c r="I376" s="6"/>
      <c r="J376" s="6" t="s">
        <v>110</v>
      </c>
      <c r="K376" s="6"/>
      <c r="L376" s="6" t="s">
        <v>1302</v>
      </c>
      <c r="M376" s="6"/>
      <c r="N376" s="6" t="s">
        <v>121</v>
      </c>
      <c r="O376" s="6"/>
      <c r="P376" s="6" t="s">
        <v>94</v>
      </c>
      <c r="Q376" s="6"/>
      <c r="R376" s="47" t="s">
        <v>4872</v>
      </c>
      <c r="S376" s="14" t="s">
        <v>4873</v>
      </c>
      <c r="T376" s="14" t="s">
        <v>4874</v>
      </c>
      <c r="U376" s="14" t="s">
        <v>4875</v>
      </c>
      <c r="AA376" s="6"/>
      <c r="AB376" s="6" t="s">
        <v>67</v>
      </c>
      <c r="AC376" s="6"/>
      <c r="AD376" s="6" t="s">
        <v>56</v>
      </c>
      <c r="AE376" s="6"/>
      <c r="AF376" s="6" t="s">
        <v>161</v>
      </c>
      <c r="AG376" s="6"/>
      <c r="AH376" s="6" t="s">
        <v>76</v>
      </c>
      <c r="AI376" s="6"/>
      <c r="AJ376" s="6" t="s">
        <v>398</v>
      </c>
    </row>
    <row r="377" spans="1:36" ht="15.75" customHeight="1" x14ac:dyDescent="0.25">
      <c r="A377" s="7">
        <v>43418.718638680555</v>
      </c>
      <c r="B377" s="6" t="s">
        <v>60</v>
      </c>
      <c r="C377" s="6" t="s">
        <v>95</v>
      </c>
      <c r="D377" s="6" t="s">
        <v>163</v>
      </c>
      <c r="E377" s="6" t="s">
        <v>48</v>
      </c>
      <c r="F377" s="6" t="s">
        <v>1304</v>
      </c>
      <c r="G377" s="6" t="s">
        <v>48</v>
      </c>
      <c r="H377" s="6" t="s">
        <v>1305</v>
      </c>
      <c r="I377" s="6"/>
      <c r="J377" s="6" t="s">
        <v>106</v>
      </c>
      <c r="K377" s="6"/>
      <c r="L377" s="6" t="s">
        <v>1306</v>
      </c>
      <c r="M377" s="6"/>
      <c r="N377" s="6" t="s">
        <v>112</v>
      </c>
      <c r="O377" s="6"/>
      <c r="P377" s="6" t="s">
        <v>131</v>
      </c>
      <c r="Q377" s="6"/>
      <c r="AA377" s="6"/>
      <c r="AB377" s="6" t="s">
        <v>67</v>
      </c>
      <c r="AC377" s="6"/>
      <c r="AD377" s="6" t="s">
        <v>56</v>
      </c>
      <c r="AE377" s="6"/>
      <c r="AF377" s="6" t="s">
        <v>75</v>
      </c>
      <c r="AG377" s="6"/>
      <c r="AH377" s="6" t="s">
        <v>57</v>
      </c>
      <c r="AI377" s="6"/>
      <c r="AJ377" s="6" t="s">
        <v>187</v>
      </c>
    </row>
    <row r="378" spans="1:36" ht="15.75" customHeight="1" x14ac:dyDescent="0.25">
      <c r="A378" s="7">
        <v>43418.720442638893</v>
      </c>
      <c r="B378" s="6" t="s">
        <v>30</v>
      </c>
      <c r="C378" s="6" t="s">
        <v>95</v>
      </c>
      <c r="D378" s="6" t="s">
        <v>46</v>
      </c>
      <c r="E378" s="6" t="s">
        <v>81</v>
      </c>
      <c r="G378" s="6" t="s">
        <v>87</v>
      </c>
      <c r="H378" s="6" t="s">
        <v>1307</v>
      </c>
      <c r="I378" s="6"/>
      <c r="J378" s="6" t="s">
        <v>92</v>
      </c>
      <c r="K378" s="6"/>
      <c r="L378" s="6" t="s">
        <v>1308</v>
      </c>
      <c r="M378" s="6"/>
      <c r="N378" s="6" t="s">
        <v>121</v>
      </c>
      <c r="O378" s="6"/>
      <c r="P378" s="6" t="s">
        <v>94</v>
      </c>
      <c r="Q378" s="6"/>
      <c r="R378" s="47" t="s">
        <v>1309</v>
      </c>
      <c r="AA378" s="6"/>
      <c r="AB378" s="6" t="s">
        <v>67</v>
      </c>
      <c r="AC378" s="6"/>
      <c r="AD378" s="6" t="s">
        <v>56</v>
      </c>
      <c r="AE378" s="6"/>
      <c r="AF378" s="6" t="s">
        <v>68</v>
      </c>
      <c r="AG378" s="6"/>
      <c r="AH378" s="6" t="s">
        <v>58</v>
      </c>
      <c r="AI378" s="6"/>
      <c r="AJ378" s="6" t="s">
        <v>77</v>
      </c>
    </row>
    <row r="379" spans="1:36" ht="15.75" customHeight="1" x14ac:dyDescent="0.25">
      <c r="A379" s="7">
        <v>43418.721004768522</v>
      </c>
      <c r="B379" s="6" t="s">
        <v>1310</v>
      </c>
      <c r="C379" s="6" t="s">
        <v>45</v>
      </c>
      <c r="D379" s="6" t="s">
        <v>46</v>
      </c>
      <c r="E379" s="6" t="s">
        <v>81</v>
      </c>
      <c r="G379" s="6" t="s">
        <v>87</v>
      </c>
      <c r="J379" s="6" t="s">
        <v>106</v>
      </c>
      <c r="K379" s="6"/>
      <c r="L379" s="6" t="s">
        <v>1311</v>
      </c>
      <c r="M379" s="6"/>
      <c r="N379" s="6" t="s">
        <v>98</v>
      </c>
      <c r="O379" s="6"/>
      <c r="P379" s="6" t="s">
        <v>99</v>
      </c>
      <c r="Q379" s="6"/>
      <c r="R379" s="47" t="s">
        <v>4876</v>
      </c>
      <c r="S379" s="14" t="s">
        <v>4877</v>
      </c>
      <c r="T379" s="14" t="s">
        <v>4878</v>
      </c>
      <c r="AA379" s="6"/>
      <c r="AB379" s="6" t="s">
        <v>101</v>
      </c>
      <c r="AC379" s="6"/>
      <c r="AD379" s="6" t="s">
        <v>56</v>
      </c>
      <c r="AE379" s="6"/>
      <c r="AF379" s="6" t="s">
        <v>68</v>
      </c>
      <c r="AG379" s="6"/>
      <c r="AH379" s="6" t="s">
        <v>76</v>
      </c>
      <c r="AI379" s="6"/>
      <c r="AJ379" s="6" t="s">
        <v>288</v>
      </c>
    </row>
    <row r="380" spans="1:36" ht="15.75" customHeight="1" x14ac:dyDescent="0.25">
      <c r="A380" s="7">
        <v>43418.722143483799</v>
      </c>
      <c r="B380" s="6" t="s">
        <v>60</v>
      </c>
      <c r="C380" s="6" t="s">
        <v>1313</v>
      </c>
      <c r="D380" s="6" t="s">
        <v>247</v>
      </c>
      <c r="E380" s="6" t="s">
        <v>48</v>
      </c>
      <c r="F380" s="6" t="s">
        <v>1314</v>
      </c>
      <c r="G380" s="6" t="s">
        <v>81</v>
      </c>
      <c r="H380" s="6" t="s">
        <v>1315</v>
      </c>
      <c r="I380" s="6"/>
      <c r="J380" s="6" t="s">
        <v>73</v>
      </c>
      <c r="K380" s="6"/>
      <c r="L380" s="6" t="s">
        <v>1316</v>
      </c>
      <c r="M380" s="6"/>
      <c r="N380" s="6" t="s">
        <v>51</v>
      </c>
      <c r="O380" s="6"/>
      <c r="P380" s="6" t="s">
        <v>52</v>
      </c>
      <c r="Q380" s="6"/>
      <c r="R380" s="47" t="s">
        <v>1317</v>
      </c>
      <c r="AA380" s="6"/>
      <c r="AB380" s="6" t="s">
        <v>55</v>
      </c>
      <c r="AC380" s="6"/>
      <c r="AD380" s="6" t="s">
        <v>56</v>
      </c>
      <c r="AE380" s="6"/>
      <c r="AF380" s="6" t="s">
        <v>75</v>
      </c>
      <c r="AG380" s="6"/>
      <c r="AH380" s="6" t="s">
        <v>76</v>
      </c>
      <c r="AI380" s="6"/>
      <c r="AJ380" s="6" t="s">
        <v>77</v>
      </c>
    </row>
    <row r="381" spans="1:36" ht="15.75" customHeight="1" x14ac:dyDescent="0.25">
      <c r="A381" s="7">
        <v>43418.723257256948</v>
      </c>
      <c r="B381" s="6" t="s">
        <v>30</v>
      </c>
      <c r="C381" s="6" t="s">
        <v>95</v>
      </c>
      <c r="E381" s="6" t="s">
        <v>81</v>
      </c>
      <c r="G381" s="6" t="s">
        <v>87</v>
      </c>
      <c r="N381" s="6" t="s">
        <v>98</v>
      </c>
      <c r="O381" s="6"/>
      <c r="P381" s="6" t="s">
        <v>168</v>
      </c>
      <c r="Q381" s="6"/>
      <c r="R381" s="47" t="s">
        <v>2905</v>
      </c>
      <c r="S381" s="14" t="s">
        <v>4879</v>
      </c>
      <c r="T381" s="14" t="s">
        <v>4880</v>
      </c>
      <c r="U381" s="14" t="s">
        <v>4400</v>
      </c>
      <c r="V381" s="14" t="s">
        <v>4881</v>
      </c>
      <c r="AA381" s="6"/>
      <c r="AB381" s="6" t="s">
        <v>101</v>
      </c>
      <c r="AC381" s="6"/>
      <c r="AD381" s="6" t="s">
        <v>56</v>
      </c>
      <c r="AE381" s="6"/>
      <c r="AF381" s="6" t="s">
        <v>75</v>
      </c>
      <c r="AG381" s="6"/>
      <c r="AH381" s="6" t="s">
        <v>76</v>
      </c>
      <c r="AI381" s="6"/>
      <c r="AJ381" s="6" t="s">
        <v>132</v>
      </c>
    </row>
    <row r="382" spans="1:36" ht="15.75" customHeight="1" x14ac:dyDescent="0.25">
      <c r="A382" s="7">
        <v>43418.723785682872</v>
      </c>
      <c r="B382" s="6" t="s">
        <v>30</v>
      </c>
      <c r="C382" s="6" t="s">
        <v>116</v>
      </c>
      <c r="D382" s="6" t="s">
        <v>163</v>
      </c>
      <c r="E382" s="6" t="s">
        <v>81</v>
      </c>
      <c r="G382" s="6" t="s">
        <v>87</v>
      </c>
      <c r="J382" s="6" t="s">
        <v>64</v>
      </c>
      <c r="K382" s="6"/>
      <c r="L382" s="6" t="s">
        <v>1319</v>
      </c>
      <c r="M382" s="6"/>
      <c r="N382" s="6" t="s">
        <v>98</v>
      </c>
      <c r="O382" s="6"/>
      <c r="P382" s="6" t="s">
        <v>94</v>
      </c>
      <c r="Q382" s="6"/>
      <c r="R382" s="47" t="s">
        <v>224</v>
      </c>
      <c r="S382" s="14" t="s">
        <v>4517</v>
      </c>
      <c r="AA382" s="6"/>
      <c r="AB382" s="6" t="s">
        <v>55</v>
      </c>
      <c r="AC382" s="6"/>
      <c r="AD382" s="6" t="s">
        <v>56</v>
      </c>
      <c r="AE382" s="6"/>
      <c r="AF382" s="6" t="s">
        <v>75</v>
      </c>
      <c r="AG382" s="6"/>
      <c r="AH382" s="6" t="s">
        <v>76</v>
      </c>
      <c r="AI382" s="6"/>
      <c r="AJ382" s="6" t="s">
        <v>77</v>
      </c>
    </row>
    <row r="383" spans="1:36" ht="15.75" customHeight="1" x14ac:dyDescent="0.25">
      <c r="A383" s="7">
        <v>43418.72449493056</v>
      </c>
      <c r="B383" s="6" t="s">
        <v>30</v>
      </c>
      <c r="C383" s="6" t="s">
        <v>709</v>
      </c>
      <c r="D383" s="6" t="s">
        <v>163</v>
      </c>
      <c r="E383" s="6" t="s">
        <v>48</v>
      </c>
      <c r="F383" s="6" t="s">
        <v>1321</v>
      </c>
      <c r="G383" s="6" t="s">
        <v>48</v>
      </c>
      <c r="H383" s="6" t="s">
        <v>1322</v>
      </c>
      <c r="I383" s="6"/>
      <c r="J383" s="6" t="s">
        <v>73</v>
      </c>
      <c r="K383" s="6"/>
      <c r="L383" s="6" t="s">
        <v>1323</v>
      </c>
      <c r="M383" s="6"/>
      <c r="N383" s="6" t="s">
        <v>212</v>
      </c>
      <c r="O383" s="6"/>
      <c r="P383" s="6" t="s">
        <v>52</v>
      </c>
      <c r="Q383" s="6"/>
      <c r="R383" s="47" t="s">
        <v>3691</v>
      </c>
      <c r="S383" s="14" t="s">
        <v>4882</v>
      </c>
      <c r="T383" s="14" t="s">
        <v>4883</v>
      </c>
      <c r="U383" s="14" t="s">
        <v>4586</v>
      </c>
      <c r="V383" s="14" t="s">
        <v>4884</v>
      </c>
      <c r="AA383" s="6"/>
      <c r="AB383" s="6" t="s">
        <v>101</v>
      </c>
      <c r="AC383" s="6"/>
      <c r="AD383" s="6" t="s">
        <v>56</v>
      </c>
      <c r="AE383" s="6"/>
      <c r="AF383" s="6" t="s">
        <v>205</v>
      </c>
      <c r="AG383" s="6"/>
      <c r="AH383" s="11" t="s">
        <v>126</v>
      </c>
      <c r="AI383" s="6"/>
      <c r="AJ383" s="11" t="s">
        <v>174</v>
      </c>
    </row>
    <row r="384" spans="1:36" ht="15.75" customHeight="1" x14ac:dyDescent="0.25">
      <c r="A384" s="7">
        <v>43418.724698217593</v>
      </c>
      <c r="B384" s="6" t="s">
        <v>1325</v>
      </c>
      <c r="C384" s="6" t="s">
        <v>419</v>
      </c>
      <c r="D384" s="6" t="s">
        <v>772</v>
      </c>
      <c r="E384" s="6" t="s">
        <v>81</v>
      </c>
      <c r="G384" s="6" t="s">
        <v>87</v>
      </c>
      <c r="H384" s="6" t="s">
        <v>1326</v>
      </c>
      <c r="I384" s="6"/>
      <c r="J384" s="6" t="s">
        <v>89</v>
      </c>
      <c r="K384" s="6"/>
      <c r="L384" s="6" t="s">
        <v>1327</v>
      </c>
      <c r="M384" s="6"/>
      <c r="N384" s="6" t="s">
        <v>98</v>
      </c>
      <c r="O384" s="6"/>
      <c r="P384" s="6" t="s">
        <v>131</v>
      </c>
      <c r="Q384" s="6"/>
      <c r="R384" s="47" t="s">
        <v>1328</v>
      </c>
      <c r="AA384" s="6"/>
      <c r="AB384" s="6" t="s">
        <v>55</v>
      </c>
      <c r="AC384" s="6"/>
      <c r="AD384" s="6" t="s">
        <v>56</v>
      </c>
      <c r="AE384" s="6"/>
      <c r="AF384" s="6" t="s">
        <v>75</v>
      </c>
      <c r="AG384" s="6"/>
      <c r="AH384" s="6" t="s">
        <v>58</v>
      </c>
      <c r="AI384" s="6"/>
      <c r="AJ384" s="6" t="s">
        <v>77</v>
      </c>
    </row>
    <row r="385" spans="1:36" ht="15.75" customHeight="1" x14ac:dyDescent="0.25">
      <c r="A385" s="7">
        <v>43418.725147800928</v>
      </c>
      <c r="B385" s="6" t="s">
        <v>30</v>
      </c>
      <c r="C385" s="6" t="s">
        <v>95</v>
      </c>
      <c r="D385" s="6" t="s">
        <v>165</v>
      </c>
      <c r="E385" s="6" t="s">
        <v>48</v>
      </c>
      <c r="F385" s="6" t="s">
        <v>1329</v>
      </c>
      <c r="G385" s="6" t="s">
        <v>48</v>
      </c>
      <c r="J385" s="6" t="s">
        <v>110</v>
      </c>
      <c r="K385" s="6"/>
      <c r="N385" s="6" t="s">
        <v>181</v>
      </c>
      <c r="O385" s="6"/>
      <c r="P385" s="6" t="s">
        <v>131</v>
      </c>
      <c r="Q385" s="6"/>
      <c r="R385" s="47" t="s">
        <v>169</v>
      </c>
      <c r="AA385" s="6"/>
      <c r="AB385" s="6" t="s">
        <v>101</v>
      </c>
      <c r="AC385" s="6"/>
      <c r="AD385" s="6" t="s">
        <v>56</v>
      </c>
      <c r="AE385" s="6"/>
      <c r="AF385" s="6" t="s">
        <v>75</v>
      </c>
      <c r="AG385" s="6"/>
      <c r="AH385" s="6" t="s">
        <v>126</v>
      </c>
      <c r="AI385" s="6"/>
      <c r="AJ385" s="6" t="s">
        <v>233</v>
      </c>
    </row>
    <row r="386" spans="1:36" ht="15.75" customHeight="1" x14ac:dyDescent="0.25">
      <c r="A386" s="7">
        <v>43418.725280752318</v>
      </c>
      <c r="B386" s="6" t="s">
        <v>60</v>
      </c>
      <c r="C386" s="6" t="s">
        <v>90</v>
      </c>
      <c r="D386" s="6" t="s">
        <v>46</v>
      </c>
      <c r="E386" s="6" t="s">
        <v>48</v>
      </c>
      <c r="F386" s="6" t="s">
        <v>1330</v>
      </c>
      <c r="G386" s="6" t="s">
        <v>48</v>
      </c>
      <c r="H386" s="6" t="s">
        <v>1331</v>
      </c>
      <c r="I386" s="6"/>
      <c r="J386" s="6" t="s">
        <v>110</v>
      </c>
      <c r="K386" s="6"/>
      <c r="L386" s="6" t="s">
        <v>1332</v>
      </c>
      <c r="M386" s="6"/>
      <c r="N386" s="6" t="s">
        <v>181</v>
      </c>
      <c r="O386" s="6"/>
      <c r="P386" s="6" t="s">
        <v>131</v>
      </c>
      <c r="Q386" s="6"/>
      <c r="R386" s="47" t="s">
        <v>182</v>
      </c>
      <c r="S386" s="14" t="s">
        <v>4393</v>
      </c>
      <c r="T386" s="14" t="s">
        <v>4885</v>
      </c>
      <c r="AA386" s="6"/>
      <c r="AB386" s="6" t="s">
        <v>67</v>
      </c>
      <c r="AC386" s="6"/>
      <c r="AD386" s="6" t="s">
        <v>56</v>
      </c>
      <c r="AE386" s="6"/>
      <c r="AF386" s="6" t="s">
        <v>68</v>
      </c>
      <c r="AG386" s="6"/>
      <c r="AH386" s="6" t="s">
        <v>58</v>
      </c>
      <c r="AI386" s="6"/>
      <c r="AJ386" s="6" t="s">
        <v>132</v>
      </c>
    </row>
    <row r="387" spans="1:36" ht="15.75" customHeight="1" x14ac:dyDescent="0.25">
      <c r="A387" s="7">
        <v>43418.725503923612</v>
      </c>
      <c r="B387" s="6" t="s">
        <v>30</v>
      </c>
      <c r="C387" s="6" t="s">
        <v>116</v>
      </c>
      <c r="E387" s="6" t="s">
        <v>81</v>
      </c>
      <c r="G387" s="6" t="s">
        <v>48</v>
      </c>
      <c r="J387" s="6" t="s">
        <v>184</v>
      </c>
      <c r="K387" s="6"/>
      <c r="N387" s="6" t="s">
        <v>51</v>
      </c>
      <c r="O387" s="6"/>
      <c r="P387" s="6" t="s">
        <v>52</v>
      </c>
      <c r="Q387" s="6"/>
      <c r="AA387" s="6"/>
      <c r="AB387" s="6" t="s">
        <v>67</v>
      </c>
      <c r="AF387" s="6" t="s">
        <v>68</v>
      </c>
      <c r="AG387" s="6"/>
      <c r="AH387" s="6" t="s">
        <v>57</v>
      </c>
      <c r="AJ387" s="6" t="s">
        <v>57</v>
      </c>
    </row>
    <row r="388" spans="1:36" ht="15.75" customHeight="1" x14ac:dyDescent="0.25">
      <c r="A388" s="7">
        <v>43418.725984108794</v>
      </c>
      <c r="B388" s="6" t="s">
        <v>30</v>
      </c>
      <c r="C388" s="6" t="s">
        <v>1061</v>
      </c>
      <c r="D388" s="6" t="s">
        <v>91</v>
      </c>
      <c r="E388" s="6" t="s">
        <v>48</v>
      </c>
      <c r="F388" s="6" t="s">
        <v>1334</v>
      </c>
      <c r="G388" s="6" t="s">
        <v>48</v>
      </c>
      <c r="H388" s="6" t="s">
        <v>1335</v>
      </c>
      <c r="I388" s="6"/>
      <c r="J388" s="6" t="s">
        <v>64</v>
      </c>
      <c r="K388" s="6"/>
      <c r="L388" s="6" t="s">
        <v>1336</v>
      </c>
      <c r="M388" s="6"/>
      <c r="N388" s="6" t="s">
        <v>51</v>
      </c>
      <c r="O388" s="6"/>
      <c r="P388" s="6" t="s">
        <v>52</v>
      </c>
      <c r="Q388" s="6"/>
      <c r="R388" s="47" t="s">
        <v>1971</v>
      </c>
      <c r="S388" s="14" t="s">
        <v>4583</v>
      </c>
      <c r="T388" s="14" t="s">
        <v>4886</v>
      </c>
      <c r="AA388" s="6"/>
      <c r="AB388" s="6" t="s">
        <v>55</v>
      </c>
      <c r="AC388" s="6"/>
      <c r="AD388" s="6" t="s">
        <v>56</v>
      </c>
      <c r="AE388" s="6"/>
      <c r="AF388" s="6" t="s">
        <v>68</v>
      </c>
      <c r="AG388" s="6"/>
      <c r="AH388" s="6" t="s">
        <v>58</v>
      </c>
      <c r="AI388" s="6"/>
      <c r="AJ388" s="6" t="s">
        <v>77</v>
      </c>
    </row>
    <row r="389" spans="1:36" ht="15.75" customHeight="1" x14ac:dyDescent="0.25">
      <c r="A389" s="7">
        <v>43418.72618568287</v>
      </c>
      <c r="B389" s="6" t="s">
        <v>30</v>
      </c>
      <c r="C389" s="6" t="s">
        <v>378</v>
      </c>
      <c r="D389" s="6" t="s">
        <v>91</v>
      </c>
      <c r="E389" s="6" t="s">
        <v>81</v>
      </c>
      <c r="G389" s="6" t="s">
        <v>87</v>
      </c>
      <c r="H389" s="6" t="s">
        <v>1338</v>
      </c>
      <c r="I389" s="6"/>
      <c r="J389" s="6" t="s">
        <v>158</v>
      </c>
      <c r="K389" s="6"/>
      <c r="L389" s="6" t="s">
        <v>1339</v>
      </c>
      <c r="M389" s="6"/>
      <c r="N389" s="6" t="s">
        <v>212</v>
      </c>
      <c r="O389" s="6"/>
      <c r="P389" s="6" t="s">
        <v>131</v>
      </c>
      <c r="Q389" s="6"/>
      <c r="R389" s="47" t="s">
        <v>149</v>
      </c>
      <c r="S389" s="14" t="s">
        <v>4473</v>
      </c>
      <c r="T389" s="14" t="s">
        <v>4586</v>
      </c>
      <c r="U389" s="14" t="s">
        <v>4438</v>
      </c>
      <c r="V389" s="14" t="s">
        <v>4887</v>
      </c>
      <c r="AA389" s="6"/>
      <c r="AB389" s="6" t="s">
        <v>67</v>
      </c>
      <c r="AC389" s="6"/>
      <c r="AD389" s="6" t="s">
        <v>56</v>
      </c>
      <c r="AE389" s="6"/>
      <c r="AF389" s="6" t="s">
        <v>75</v>
      </c>
      <c r="AG389" s="6"/>
      <c r="AH389" s="6" t="s">
        <v>76</v>
      </c>
      <c r="AI389" s="6"/>
      <c r="AJ389" s="6" t="s">
        <v>256</v>
      </c>
    </row>
    <row r="390" spans="1:36" ht="15.75" customHeight="1" x14ac:dyDescent="0.25">
      <c r="A390" s="7">
        <v>43418.727354131945</v>
      </c>
      <c r="B390" s="6" t="s">
        <v>103</v>
      </c>
      <c r="C390" s="6" t="s">
        <v>1061</v>
      </c>
      <c r="D390" s="6" t="s">
        <v>165</v>
      </c>
      <c r="E390" s="6" t="s">
        <v>81</v>
      </c>
      <c r="G390" s="6" t="s">
        <v>87</v>
      </c>
      <c r="H390" s="6" t="s">
        <v>1341</v>
      </c>
      <c r="I390" s="6"/>
      <c r="J390" s="6" t="s">
        <v>110</v>
      </c>
      <c r="K390" s="6"/>
      <c r="L390" s="6" t="s">
        <v>1342</v>
      </c>
      <c r="M390" s="6"/>
      <c r="N390" s="6" t="s">
        <v>212</v>
      </c>
      <c r="O390" s="6"/>
      <c r="P390" s="6" t="s">
        <v>131</v>
      </c>
      <c r="Q390" s="6"/>
      <c r="R390" s="47" t="s">
        <v>1343</v>
      </c>
      <c r="AA390" s="6"/>
      <c r="AB390" s="6" t="s">
        <v>67</v>
      </c>
      <c r="AC390" s="6"/>
      <c r="AD390" s="6" t="s">
        <v>56</v>
      </c>
      <c r="AE390" s="6"/>
      <c r="AF390" s="6" t="s">
        <v>68</v>
      </c>
      <c r="AG390" s="6"/>
      <c r="AH390" s="6" t="s">
        <v>57</v>
      </c>
      <c r="AI390" s="6"/>
      <c r="AJ390" s="6" t="s">
        <v>77</v>
      </c>
    </row>
    <row r="391" spans="1:36" ht="15.75" customHeight="1" x14ac:dyDescent="0.25">
      <c r="A391" s="7">
        <v>43418.73047505787</v>
      </c>
      <c r="B391" s="6" t="s">
        <v>30</v>
      </c>
      <c r="C391" s="6" t="s">
        <v>116</v>
      </c>
      <c r="D391" s="6" t="s">
        <v>46</v>
      </c>
      <c r="E391" s="6" t="s">
        <v>81</v>
      </c>
      <c r="G391" s="6" t="s">
        <v>87</v>
      </c>
      <c r="H391" s="6" t="s">
        <v>1344</v>
      </c>
      <c r="I391" s="6"/>
      <c r="J391" s="6" t="s">
        <v>89</v>
      </c>
      <c r="K391" s="6"/>
      <c r="L391" s="6" t="s">
        <v>1345</v>
      </c>
      <c r="M391" s="6"/>
      <c r="N391" s="6" t="s">
        <v>212</v>
      </c>
      <c r="O391" s="6"/>
      <c r="P391" s="6" t="s">
        <v>131</v>
      </c>
      <c r="Q391" s="6"/>
      <c r="R391" s="47" t="s">
        <v>4888</v>
      </c>
      <c r="S391" s="14" t="s">
        <v>4579</v>
      </c>
      <c r="AA391" s="6"/>
      <c r="AB391" s="6" t="s">
        <v>67</v>
      </c>
      <c r="AC391" s="6"/>
      <c r="AD391" s="6" t="s">
        <v>56</v>
      </c>
      <c r="AE391" s="6"/>
      <c r="AF391" s="6" t="s">
        <v>75</v>
      </c>
      <c r="AG391" s="6"/>
      <c r="AH391" s="6" t="s">
        <v>126</v>
      </c>
      <c r="AI391" s="6"/>
      <c r="AJ391" s="11" t="s">
        <v>260</v>
      </c>
    </row>
    <row r="392" spans="1:36" ht="15.75" customHeight="1" x14ac:dyDescent="0.25">
      <c r="A392" s="7">
        <v>43418.730956111111</v>
      </c>
      <c r="B392" s="6" t="s">
        <v>30</v>
      </c>
      <c r="C392" s="6" t="s">
        <v>95</v>
      </c>
      <c r="D392" s="6" t="s">
        <v>165</v>
      </c>
      <c r="E392" s="6" t="s">
        <v>81</v>
      </c>
      <c r="G392" s="6" t="s">
        <v>87</v>
      </c>
      <c r="H392" s="6" t="s">
        <v>1347</v>
      </c>
      <c r="I392" s="6"/>
      <c r="J392" s="6" t="s">
        <v>89</v>
      </c>
      <c r="K392" s="6"/>
      <c r="L392" s="6" t="s">
        <v>1348</v>
      </c>
      <c r="M392" s="6"/>
      <c r="N392" s="6" t="s">
        <v>181</v>
      </c>
      <c r="O392" s="6"/>
      <c r="P392" s="6" t="s">
        <v>94</v>
      </c>
      <c r="Q392" s="6"/>
      <c r="R392" s="47" t="s">
        <v>149</v>
      </c>
      <c r="S392" s="14" t="s">
        <v>4614</v>
      </c>
      <c r="T392" s="14" t="s">
        <v>4616</v>
      </c>
      <c r="U392" s="14" t="s">
        <v>4647</v>
      </c>
      <c r="AA392" s="6"/>
      <c r="AB392" s="6" t="s">
        <v>67</v>
      </c>
      <c r="AC392" s="6"/>
      <c r="AD392" s="6" t="s">
        <v>56</v>
      </c>
      <c r="AE392" s="6"/>
      <c r="AF392" s="6" t="s">
        <v>161</v>
      </c>
      <c r="AG392" s="6"/>
      <c r="AH392" s="6" t="s">
        <v>76</v>
      </c>
      <c r="AI392" s="6"/>
      <c r="AJ392" s="11" t="s">
        <v>174</v>
      </c>
    </row>
    <row r="393" spans="1:36" ht="15.75" customHeight="1" x14ac:dyDescent="0.25">
      <c r="A393" s="7">
        <v>43418.732217453704</v>
      </c>
      <c r="B393" s="6" t="s">
        <v>30</v>
      </c>
      <c r="C393" s="6" t="s">
        <v>656</v>
      </c>
      <c r="D393" s="6" t="s">
        <v>165</v>
      </c>
      <c r="E393" s="6" t="s">
        <v>48</v>
      </c>
      <c r="F393" s="6" t="s">
        <v>1363</v>
      </c>
      <c r="G393" s="6" t="s">
        <v>48</v>
      </c>
      <c r="H393" s="6" t="s">
        <v>1364</v>
      </c>
      <c r="I393" s="6"/>
      <c r="J393" s="6" t="s">
        <v>158</v>
      </c>
      <c r="K393" s="6"/>
      <c r="L393" s="6" t="s">
        <v>1366</v>
      </c>
      <c r="M393" s="6"/>
      <c r="N393" s="6" t="s">
        <v>181</v>
      </c>
      <c r="O393" s="6"/>
      <c r="P393" s="6" t="s">
        <v>131</v>
      </c>
      <c r="Q393" s="6"/>
      <c r="R393" s="47" t="s">
        <v>4522</v>
      </c>
      <c r="S393" s="14" t="s">
        <v>4393</v>
      </c>
      <c r="T393" s="14" t="s">
        <v>4889</v>
      </c>
      <c r="AA393" s="6"/>
      <c r="AB393" s="6" t="s">
        <v>101</v>
      </c>
      <c r="AC393" s="6"/>
      <c r="AD393" s="6" t="s">
        <v>56</v>
      </c>
      <c r="AE393" s="6"/>
      <c r="AF393" s="6" t="s">
        <v>75</v>
      </c>
      <c r="AG393" s="6"/>
      <c r="AH393" s="6" t="s">
        <v>58</v>
      </c>
      <c r="AI393" s="6"/>
      <c r="AJ393" s="6" t="s">
        <v>59</v>
      </c>
    </row>
    <row r="394" spans="1:36" ht="15.75" customHeight="1" x14ac:dyDescent="0.25">
      <c r="A394" s="7">
        <v>43418.732305277779</v>
      </c>
      <c r="B394" s="6" t="s">
        <v>397</v>
      </c>
      <c r="C394" s="6" t="s">
        <v>128</v>
      </c>
      <c r="D394" s="6" t="s">
        <v>133</v>
      </c>
      <c r="E394" s="6" t="s">
        <v>48</v>
      </c>
      <c r="F394" s="6" t="s">
        <v>993</v>
      </c>
      <c r="G394" s="6" t="s">
        <v>48</v>
      </c>
      <c r="H394" s="6" t="s">
        <v>1368</v>
      </c>
      <c r="I394" s="6"/>
      <c r="J394" s="6" t="s">
        <v>89</v>
      </c>
      <c r="K394" s="6"/>
      <c r="L394" s="6" t="s">
        <v>1370</v>
      </c>
      <c r="M394" s="6"/>
      <c r="N394" s="6" t="s">
        <v>98</v>
      </c>
      <c r="O394" s="6"/>
      <c r="P394" s="6" t="s">
        <v>131</v>
      </c>
      <c r="Q394" s="6"/>
      <c r="R394" s="47" t="s">
        <v>1372</v>
      </c>
      <c r="AA394" s="6"/>
      <c r="AB394" s="6" t="s">
        <v>55</v>
      </c>
      <c r="AC394" s="6"/>
      <c r="AD394" s="6" t="s">
        <v>56</v>
      </c>
      <c r="AE394" s="6"/>
      <c r="AF394" s="6" t="s">
        <v>75</v>
      </c>
      <c r="AG394" s="6"/>
      <c r="AH394" s="6" t="s">
        <v>76</v>
      </c>
      <c r="AI394" s="6"/>
      <c r="AJ394" s="11" t="s">
        <v>174</v>
      </c>
    </row>
    <row r="395" spans="1:36" ht="15.75" customHeight="1" x14ac:dyDescent="0.25">
      <c r="A395" s="7">
        <v>43418.733367731482</v>
      </c>
      <c r="B395" s="6" t="s">
        <v>1382</v>
      </c>
      <c r="C395" s="6" t="s">
        <v>95</v>
      </c>
      <c r="D395" s="6" t="s">
        <v>91</v>
      </c>
      <c r="E395" s="6" t="s">
        <v>81</v>
      </c>
      <c r="G395" s="6" t="s">
        <v>87</v>
      </c>
      <c r="H395" s="6" t="s">
        <v>1383</v>
      </c>
      <c r="I395" s="6"/>
      <c r="J395" s="6" t="s">
        <v>106</v>
      </c>
      <c r="K395" s="6"/>
      <c r="L395" s="6" t="s">
        <v>1384</v>
      </c>
      <c r="M395" s="6"/>
      <c r="N395" s="6" t="s">
        <v>212</v>
      </c>
      <c r="O395" s="6"/>
      <c r="P395" s="6" t="s">
        <v>94</v>
      </c>
      <c r="Q395" s="6"/>
      <c r="R395" s="47" t="s">
        <v>234</v>
      </c>
      <c r="S395" s="14" t="s">
        <v>4890</v>
      </c>
      <c r="AA395" s="6"/>
      <c r="AB395" s="6" t="s">
        <v>55</v>
      </c>
      <c r="AC395" s="6"/>
      <c r="AD395" s="6" t="s">
        <v>56</v>
      </c>
      <c r="AE395" s="6"/>
      <c r="AF395" s="6" t="s">
        <v>75</v>
      </c>
      <c r="AG395" s="6"/>
      <c r="AH395" s="6" t="s">
        <v>126</v>
      </c>
      <c r="AI395" s="6"/>
      <c r="AJ395" s="6" t="s">
        <v>132</v>
      </c>
    </row>
    <row r="396" spans="1:36" ht="15.75" customHeight="1" x14ac:dyDescent="0.25">
      <c r="A396" s="7">
        <v>43418.735384745371</v>
      </c>
      <c r="B396" s="6" t="s">
        <v>30</v>
      </c>
      <c r="C396" s="6" t="s">
        <v>756</v>
      </c>
      <c r="D396" s="6" t="s">
        <v>46</v>
      </c>
      <c r="E396" s="6" t="s">
        <v>48</v>
      </c>
      <c r="F396" s="6" t="s">
        <v>993</v>
      </c>
      <c r="G396" s="6" t="s">
        <v>48</v>
      </c>
      <c r="H396" s="6" t="s">
        <v>1386</v>
      </c>
      <c r="I396" s="6"/>
      <c r="J396" s="6" t="s">
        <v>92</v>
      </c>
      <c r="K396" s="6"/>
      <c r="L396" s="6" t="s">
        <v>1387</v>
      </c>
      <c r="M396" s="6"/>
      <c r="N396" s="6" t="s">
        <v>121</v>
      </c>
      <c r="O396" s="6"/>
      <c r="P396" s="6" t="s">
        <v>94</v>
      </c>
      <c r="Q396" s="6"/>
      <c r="R396" s="47" t="s">
        <v>4891</v>
      </c>
      <c r="S396" s="14" t="s">
        <v>4334</v>
      </c>
      <c r="T396" s="14" t="s">
        <v>1143</v>
      </c>
      <c r="U396" s="14" t="s">
        <v>4892</v>
      </c>
      <c r="V396" s="14" t="s">
        <v>4649</v>
      </c>
      <c r="W396" s="14" t="s">
        <v>4647</v>
      </c>
      <c r="X396" s="14" t="s">
        <v>4893</v>
      </c>
      <c r="Y396" s="14" t="s">
        <v>4894</v>
      </c>
      <c r="AA396" s="6"/>
      <c r="AB396" s="6" t="s">
        <v>55</v>
      </c>
      <c r="AC396" s="6"/>
      <c r="AD396" s="6" t="s">
        <v>56</v>
      </c>
      <c r="AE396" s="6"/>
      <c r="AF396" s="6" t="s">
        <v>75</v>
      </c>
      <c r="AG396" s="6"/>
      <c r="AH396" s="6" t="s">
        <v>58</v>
      </c>
      <c r="AI396" s="6"/>
      <c r="AJ396" s="11" t="s">
        <v>174</v>
      </c>
    </row>
    <row r="397" spans="1:36" ht="15.75" customHeight="1" x14ac:dyDescent="0.25">
      <c r="A397" s="7">
        <v>43418.736728969903</v>
      </c>
      <c r="B397" s="6" t="s">
        <v>1389</v>
      </c>
      <c r="C397" s="6" t="s">
        <v>79</v>
      </c>
      <c r="D397" s="6" t="s">
        <v>165</v>
      </c>
      <c r="E397" s="6" t="s">
        <v>81</v>
      </c>
      <c r="G397" s="6" t="s">
        <v>87</v>
      </c>
      <c r="J397" s="6" t="s">
        <v>50</v>
      </c>
      <c r="K397" s="6"/>
      <c r="L397" s="6" t="s">
        <v>1390</v>
      </c>
      <c r="M397" s="6"/>
      <c r="N397" s="6" t="s">
        <v>121</v>
      </c>
      <c r="O397" s="6"/>
      <c r="P397" s="6" t="s">
        <v>131</v>
      </c>
      <c r="Q397" s="6"/>
      <c r="R397" s="47" t="s">
        <v>1143</v>
      </c>
      <c r="AA397" s="6"/>
      <c r="AB397" s="6" t="s">
        <v>67</v>
      </c>
      <c r="AC397" s="6"/>
      <c r="AD397" s="6" t="s">
        <v>56</v>
      </c>
      <c r="AE397" s="6"/>
      <c r="AF397" s="6" t="s">
        <v>68</v>
      </c>
      <c r="AG397" s="6"/>
      <c r="AH397" s="6" t="s">
        <v>126</v>
      </c>
      <c r="AI397" s="6"/>
      <c r="AJ397" s="11" t="s">
        <v>288</v>
      </c>
    </row>
    <row r="398" spans="1:36" ht="15.75" customHeight="1" x14ac:dyDescent="0.25">
      <c r="A398" s="7">
        <v>43418.736992256949</v>
      </c>
      <c r="B398" s="6" t="s">
        <v>30</v>
      </c>
      <c r="C398" s="6" t="s">
        <v>79</v>
      </c>
      <c r="D398" s="6" t="s">
        <v>129</v>
      </c>
      <c r="E398" s="6" t="s">
        <v>48</v>
      </c>
      <c r="F398" s="6" t="s">
        <v>1391</v>
      </c>
      <c r="G398" s="6" t="s">
        <v>48</v>
      </c>
      <c r="H398" s="6" t="s">
        <v>1392</v>
      </c>
      <c r="I398" s="6"/>
      <c r="J398" s="6" t="s">
        <v>92</v>
      </c>
      <c r="K398" s="6"/>
      <c r="L398" s="6" t="s">
        <v>757</v>
      </c>
      <c r="M398" s="6"/>
      <c r="N398" s="6" t="s">
        <v>112</v>
      </c>
      <c r="O398" s="6"/>
      <c r="P398" s="6" t="s">
        <v>94</v>
      </c>
      <c r="Q398" s="6"/>
      <c r="R398" s="47" t="s">
        <v>201</v>
      </c>
      <c r="S398" s="14" t="s">
        <v>4393</v>
      </c>
      <c r="AA398" s="6"/>
      <c r="AB398" s="6" t="s">
        <v>67</v>
      </c>
      <c r="AC398" s="6"/>
      <c r="AD398" s="6" t="s">
        <v>56</v>
      </c>
      <c r="AE398" s="6"/>
      <c r="AF398" s="6" t="s">
        <v>68</v>
      </c>
      <c r="AG398" s="6"/>
      <c r="AH398" s="6" t="s">
        <v>58</v>
      </c>
      <c r="AI398" s="6"/>
      <c r="AJ398" s="6" t="s">
        <v>77</v>
      </c>
    </row>
    <row r="399" spans="1:36" ht="15.75" customHeight="1" x14ac:dyDescent="0.25">
      <c r="A399" s="7">
        <v>43418.737810810184</v>
      </c>
      <c r="B399" s="6" t="s">
        <v>103</v>
      </c>
      <c r="C399" s="6" t="s">
        <v>663</v>
      </c>
      <c r="D399" s="6" t="s">
        <v>163</v>
      </c>
      <c r="E399" s="6" t="s">
        <v>81</v>
      </c>
      <c r="G399" s="6" t="s">
        <v>87</v>
      </c>
      <c r="H399" s="6" t="s">
        <v>1394</v>
      </c>
      <c r="I399" s="6"/>
      <c r="J399" s="6" t="s">
        <v>89</v>
      </c>
      <c r="K399" s="6"/>
      <c r="L399" s="6" t="s">
        <v>1395</v>
      </c>
      <c r="M399" s="6"/>
      <c r="N399" s="6" t="s">
        <v>212</v>
      </c>
      <c r="O399" s="6"/>
      <c r="P399" s="6" t="s">
        <v>99</v>
      </c>
      <c r="Q399" s="6"/>
      <c r="R399" s="47" t="s">
        <v>1396</v>
      </c>
      <c r="AA399" s="6"/>
      <c r="AB399" s="6" t="s">
        <v>101</v>
      </c>
      <c r="AC399" s="6"/>
      <c r="AD399" s="6" t="s">
        <v>56</v>
      </c>
      <c r="AE399" s="6"/>
      <c r="AF399" s="6" t="s">
        <v>68</v>
      </c>
      <c r="AG399" s="6"/>
      <c r="AH399" s="6" t="s">
        <v>126</v>
      </c>
      <c r="AI399" s="6"/>
      <c r="AJ399" s="6" t="s">
        <v>328</v>
      </c>
    </row>
    <row r="400" spans="1:36" ht="15.75" customHeight="1" x14ac:dyDescent="0.25">
      <c r="A400" s="7">
        <v>43418.737891562501</v>
      </c>
      <c r="B400" s="6" t="s">
        <v>30</v>
      </c>
      <c r="C400" s="6" t="s">
        <v>85</v>
      </c>
      <c r="E400" s="6" t="s">
        <v>81</v>
      </c>
      <c r="G400" s="6" t="s">
        <v>81</v>
      </c>
      <c r="J400" s="6" t="s">
        <v>92</v>
      </c>
      <c r="K400" s="6"/>
      <c r="L400" s="6" t="s">
        <v>1397</v>
      </c>
      <c r="M400" s="6"/>
      <c r="N400" s="6" t="s">
        <v>112</v>
      </c>
      <c r="O400" s="6"/>
      <c r="P400" s="6" t="s">
        <v>131</v>
      </c>
      <c r="Q400" s="6"/>
      <c r="R400" s="47" t="s">
        <v>4895</v>
      </c>
      <c r="S400" s="14" t="s">
        <v>4614</v>
      </c>
      <c r="AA400" s="6"/>
      <c r="AB400" s="6" t="s">
        <v>67</v>
      </c>
      <c r="AC400" s="6"/>
      <c r="AD400" s="6" t="s">
        <v>56</v>
      </c>
      <c r="AE400" s="6"/>
      <c r="AF400" s="6" t="s">
        <v>75</v>
      </c>
      <c r="AG400" s="6"/>
      <c r="AH400" s="6" t="s">
        <v>76</v>
      </c>
      <c r="AI400" s="6"/>
      <c r="AJ400" s="6" t="s">
        <v>132</v>
      </c>
    </row>
    <row r="401" spans="1:36" ht="15.75" customHeight="1" x14ac:dyDescent="0.25">
      <c r="A401" s="7">
        <v>43418.73808328704</v>
      </c>
      <c r="B401" s="6" t="s">
        <v>60</v>
      </c>
      <c r="C401" s="6" t="s">
        <v>829</v>
      </c>
      <c r="D401" s="6" t="s">
        <v>46</v>
      </c>
      <c r="E401" s="6" t="s">
        <v>81</v>
      </c>
      <c r="G401" s="6" t="s">
        <v>87</v>
      </c>
      <c r="H401" s="6" t="s">
        <v>1399</v>
      </c>
      <c r="I401" s="6"/>
      <c r="J401" s="6" t="s">
        <v>110</v>
      </c>
      <c r="K401" s="6"/>
      <c r="L401" s="6" t="s">
        <v>1400</v>
      </c>
      <c r="M401" s="6"/>
      <c r="N401" s="6" t="s">
        <v>51</v>
      </c>
      <c r="O401" s="6"/>
      <c r="P401" s="6" t="s">
        <v>131</v>
      </c>
      <c r="Q401" s="6"/>
      <c r="R401" s="47" t="s">
        <v>3319</v>
      </c>
      <c r="S401" s="14" t="s">
        <v>4896</v>
      </c>
      <c r="T401" s="14" t="s">
        <v>4707</v>
      </c>
      <c r="U401" s="14" t="s">
        <v>4473</v>
      </c>
      <c r="AA401" s="6"/>
      <c r="AB401" s="6" t="s">
        <v>67</v>
      </c>
      <c r="AC401" s="6"/>
      <c r="AD401" s="6" t="s">
        <v>56</v>
      </c>
      <c r="AE401" s="6"/>
      <c r="AF401" s="6" t="s">
        <v>68</v>
      </c>
      <c r="AG401" s="6"/>
      <c r="AH401" s="6" t="s">
        <v>58</v>
      </c>
      <c r="AI401" s="6"/>
      <c r="AJ401" s="6" t="s">
        <v>115</v>
      </c>
    </row>
    <row r="402" spans="1:36" ht="15.75" customHeight="1" x14ac:dyDescent="0.25">
      <c r="A402" s="7">
        <v>43418.738535775468</v>
      </c>
      <c r="B402" s="6" t="s">
        <v>1402</v>
      </c>
      <c r="C402" s="6" t="s">
        <v>128</v>
      </c>
      <c r="D402" s="6" t="s">
        <v>165</v>
      </c>
      <c r="E402" s="6" t="s">
        <v>48</v>
      </c>
      <c r="F402" s="6" t="s">
        <v>1403</v>
      </c>
      <c r="G402" s="6" t="s">
        <v>48</v>
      </c>
      <c r="H402" s="6" t="s">
        <v>1404</v>
      </c>
      <c r="I402" s="6"/>
      <c r="J402" s="6" t="s">
        <v>64</v>
      </c>
      <c r="K402" s="6"/>
      <c r="L402" s="6" t="s">
        <v>1405</v>
      </c>
      <c r="M402" s="6"/>
      <c r="N402" s="6" t="s">
        <v>212</v>
      </c>
      <c r="O402" s="6"/>
      <c r="P402" s="6" t="s">
        <v>131</v>
      </c>
      <c r="Q402" s="6"/>
      <c r="R402" s="47" t="s">
        <v>4897</v>
      </c>
      <c r="S402" s="14" t="s">
        <v>4493</v>
      </c>
      <c r="T402" s="14" t="s">
        <v>4898</v>
      </c>
      <c r="AA402" s="6"/>
      <c r="AB402" s="6" t="s">
        <v>101</v>
      </c>
      <c r="AC402" s="6"/>
      <c r="AD402" s="6" t="s">
        <v>56</v>
      </c>
      <c r="AE402" s="6"/>
      <c r="AF402" s="6" t="s">
        <v>75</v>
      </c>
      <c r="AG402" s="6"/>
      <c r="AH402" s="6" t="s">
        <v>76</v>
      </c>
      <c r="AI402" s="6"/>
      <c r="AJ402" s="6" t="s">
        <v>115</v>
      </c>
    </row>
    <row r="403" spans="1:36" ht="15.75" customHeight="1" x14ac:dyDescent="0.25">
      <c r="A403" s="7">
        <v>43418.739222407406</v>
      </c>
      <c r="B403" s="6" t="s">
        <v>30</v>
      </c>
      <c r="C403" s="6" t="s">
        <v>306</v>
      </c>
      <c r="D403" s="6" t="s">
        <v>307</v>
      </c>
      <c r="E403" s="6" t="s">
        <v>48</v>
      </c>
      <c r="F403" s="6" t="s">
        <v>1407</v>
      </c>
      <c r="G403" s="6" t="s">
        <v>48</v>
      </c>
      <c r="H403" s="6" t="s">
        <v>1408</v>
      </c>
      <c r="I403" s="6"/>
      <c r="J403" s="6" t="s">
        <v>92</v>
      </c>
      <c r="K403" s="6"/>
      <c r="L403" s="6" t="s">
        <v>1409</v>
      </c>
      <c r="M403" s="6"/>
      <c r="N403" s="6" t="s">
        <v>121</v>
      </c>
      <c r="O403" s="6"/>
      <c r="P403" s="6" t="s">
        <v>94</v>
      </c>
      <c r="Q403" s="6"/>
      <c r="R403" s="47" t="s">
        <v>1410</v>
      </c>
      <c r="AA403" s="6"/>
      <c r="AB403" s="6" t="s">
        <v>67</v>
      </c>
      <c r="AC403" s="6"/>
      <c r="AD403" s="6" t="s">
        <v>56</v>
      </c>
      <c r="AE403" s="6"/>
      <c r="AF403" s="6" t="s">
        <v>75</v>
      </c>
      <c r="AG403" s="6"/>
      <c r="AH403" s="6" t="s">
        <v>126</v>
      </c>
      <c r="AI403" s="6"/>
      <c r="AJ403" s="6" t="s">
        <v>174</v>
      </c>
    </row>
    <row r="404" spans="1:36" ht="15.75" customHeight="1" x14ac:dyDescent="0.25">
      <c r="A404" s="7">
        <v>43418.74008447917</v>
      </c>
      <c r="B404" s="6" t="s">
        <v>127</v>
      </c>
      <c r="C404" s="6" t="s">
        <v>749</v>
      </c>
      <c r="D404" s="6" t="s">
        <v>46</v>
      </c>
      <c r="E404" s="6" t="s">
        <v>81</v>
      </c>
      <c r="G404" s="6" t="s">
        <v>87</v>
      </c>
      <c r="H404" s="6" t="s">
        <v>1411</v>
      </c>
      <c r="I404" s="6"/>
      <c r="J404" s="6" t="s">
        <v>89</v>
      </c>
      <c r="K404" s="6"/>
      <c r="L404" s="6" t="s">
        <v>1412</v>
      </c>
      <c r="M404" s="6"/>
      <c r="N404" s="6" t="s">
        <v>112</v>
      </c>
      <c r="O404" s="6"/>
      <c r="P404" s="6" t="s">
        <v>131</v>
      </c>
      <c r="Q404" s="6"/>
      <c r="R404" s="47" t="s">
        <v>149</v>
      </c>
      <c r="S404" s="14" t="s">
        <v>4607</v>
      </c>
      <c r="T404" s="14" t="s">
        <v>4518</v>
      </c>
      <c r="AA404" s="6"/>
      <c r="AB404" s="6" t="s">
        <v>101</v>
      </c>
      <c r="AC404" s="6"/>
      <c r="AD404" s="6" t="s">
        <v>56</v>
      </c>
      <c r="AE404" s="6"/>
      <c r="AF404" s="6" t="s">
        <v>161</v>
      </c>
      <c r="AG404" s="6"/>
      <c r="AH404" s="6" t="s">
        <v>76</v>
      </c>
      <c r="AI404" s="6"/>
      <c r="AJ404" s="11" t="s">
        <v>259</v>
      </c>
    </row>
    <row r="405" spans="1:36" ht="15.75" customHeight="1" x14ac:dyDescent="0.25">
      <c r="A405" s="7">
        <v>43418.740129652782</v>
      </c>
      <c r="B405" s="6" t="s">
        <v>294</v>
      </c>
      <c r="C405" s="6" t="s">
        <v>95</v>
      </c>
      <c r="D405" s="6" t="s">
        <v>165</v>
      </c>
      <c r="E405" s="6" t="s">
        <v>81</v>
      </c>
      <c r="G405" s="6" t="s">
        <v>87</v>
      </c>
      <c r="J405" s="6" t="s">
        <v>92</v>
      </c>
      <c r="K405" s="6"/>
      <c r="N405" s="6" t="s">
        <v>121</v>
      </c>
      <c r="O405" s="6"/>
      <c r="P405" s="6" t="s">
        <v>94</v>
      </c>
      <c r="Q405" s="6"/>
      <c r="AA405" s="6"/>
      <c r="AB405" s="6" t="s">
        <v>101</v>
      </c>
      <c r="AC405" s="6"/>
      <c r="AD405" s="6" t="s">
        <v>56</v>
      </c>
      <c r="AE405" s="6"/>
      <c r="AF405" s="6" t="s">
        <v>161</v>
      </c>
      <c r="AG405" s="6"/>
      <c r="AH405" s="6" t="s">
        <v>57</v>
      </c>
      <c r="AJ405" s="6" t="s">
        <v>57</v>
      </c>
    </row>
    <row r="406" spans="1:36" ht="15.75" customHeight="1" x14ac:dyDescent="0.25">
      <c r="A406" s="7">
        <v>43418.741059247681</v>
      </c>
      <c r="B406" s="6" t="s">
        <v>30</v>
      </c>
      <c r="C406" s="6" t="s">
        <v>215</v>
      </c>
      <c r="D406" s="6" t="s">
        <v>155</v>
      </c>
      <c r="E406" s="6" t="s">
        <v>48</v>
      </c>
      <c r="F406" s="6" t="s">
        <v>1414</v>
      </c>
      <c r="G406" s="6" t="s">
        <v>48</v>
      </c>
      <c r="H406" s="6" t="s">
        <v>1415</v>
      </c>
      <c r="I406" s="6"/>
      <c r="J406" s="6" t="s">
        <v>50</v>
      </c>
      <c r="K406" s="6"/>
      <c r="L406" s="6" t="s">
        <v>1416</v>
      </c>
      <c r="M406" s="6"/>
      <c r="N406" s="6" t="s">
        <v>98</v>
      </c>
      <c r="O406" s="6"/>
      <c r="P406" s="6" t="s">
        <v>131</v>
      </c>
      <c r="Q406" s="6"/>
      <c r="R406" s="47" t="s">
        <v>1417</v>
      </c>
      <c r="AA406" s="6"/>
      <c r="AB406" s="6" t="s">
        <v>67</v>
      </c>
      <c r="AC406" s="6"/>
      <c r="AD406" s="6" t="s">
        <v>56</v>
      </c>
      <c r="AE406" s="6"/>
      <c r="AF406" s="6" t="s">
        <v>68</v>
      </c>
      <c r="AG406" s="6"/>
      <c r="AH406" s="6" t="s">
        <v>58</v>
      </c>
      <c r="AI406" s="6"/>
      <c r="AJ406" s="6" t="s">
        <v>77</v>
      </c>
    </row>
    <row r="407" spans="1:36" ht="15.75" customHeight="1" x14ac:dyDescent="0.25">
      <c r="A407" s="7">
        <v>43418.741149317131</v>
      </c>
      <c r="B407" s="6" t="s">
        <v>30</v>
      </c>
      <c r="C407" s="6" t="s">
        <v>128</v>
      </c>
      <c r="D407" s="6" t="s">
        <v>46</v>
      </c>
      <c r="E407" s="6" t="s">
        <v>48</v>
      </c>
      <c r="F407" s="6" t="s">
        <v>1418</v>
      </c>
      <c r="G407" s="6" t="s">
        <v>81</v>
      </c>
      <c r="H407" s="6" t="s">
        <v>1419</v>
      </c>
      <c r="I407" s="6"/>
      <c r="J407" s="6" t="s">
        <v>50</v>
      </c>
      <c r="K407" s="6"/>
      <c r="L407" s="6" t="s">
        <v>1420</v>
      </c>
      <c r="M407" s="6"/>
      <c r="N407" s="6" t="s">
        <v>51</v>
      </c>
      <c r="O407" s="6"/>
      <c r="P407" s="6" t="s">
        <v>52</v>
      </c>
      <c r="Q407" s="6"/>
      <c r="R407" s="47" t="s">
        <v>4899</v>
      </c>
      <c r="S407" s="14" t="s">
        <v>4900</v>
      </c>
      <c r="AA407" s="6"/>
      <c r="AB407" s="6" t="s">
        <v>101</v>
      </c>
      <c r="AC407" s="6"/>
      <c r="AD407" s="6" t="s">
        <v>56</v>
      </c>
      <c r="AE407" s="6"/>
      <c r="AF407" s="6" t="s">
        <v>75</v>
      </c>
      <c r="AG407" s="6"/>
      <c r="AH407" s="6" t="s">
        <v>76</v>
      </c>
      <c r="AI407" s="6"/>
      <c r="AJ407" s="6" t="s">
        <v>296</v>
      </c>
    </row>
    <row r="408" spans="1:36" ht="15.75" customHeight="1" x14ac:dyDescent="0.25">
      <c r="A408" s="7">
        <v>43418.742508136573</v>
      </c>
      <c r="B408" s="6" t="s">
        <v>127</v>
      </c>
      <c r="C408" s="6" t="s">
        <v>1422</v>
      </c>
      <c r="D408" s="6" t="s">
        <v>307</v>
      </c>
      <c r="E408" s="6" t="s">
        <v>48</v>
      </c>
      <c r="F408" s="6" t="s">
        <v>993</v>
      </c>
      <c r="G408" s="6" t="s">
        <v>48</v>
      </c>
      <c r="J408" s="6" t="s">
        <v>73</v>
      </c>
      <c r="K408" s="6"/>
      <c r="L408" s="6" t="s">
        <v>1423</v>
      </c>
      <c r="M408" s="6"/>
      <c r="N408" s="6" t="s">
        <v>112</v>
      </c>
      <c r="O408" s="6"/>
      <c r="P408" s="6" t="s">
        <v>52</v>
      </c>
      <c r="Q408" s="6"/>
      <c r="R408" s="47" t="s">
        <v>1424</v>
      </c>
      <c r="AA408" s="6"/>
      <c r="AB408" s="6" t="s">
        <v>203</v>
      </c>
      <c r="AC408" s="6"/>
      <c r="AD408" s="6" t="s">
        <v>56</v>
      </c>
      <c r="AE408" s="6"/>
      <c r="AF408" s="6" t="s">
        <v>205</v>
      </c>
      <c r="AG408" s="6"/>
      <c r="AH408" s="6" t="s">
        <v>126</v>
      </c>
      <c r="AI408" s="6"/>
      <c r="AJ408" s="6" t="s">
        <v>132</v>
      </c>
    </row>
    <row r="409" spans="1:36" ht="15.75" customHeight="1" x14ac:dyDescent="0.25">
      <c r="A409" s="7">
        <v>43418.744033819443</v>
      </c>
      <c r="B409" s="6" t="s">
        <v>30</v>
      </c>
      <c r="C409" s="6" t="s">
        <v>95</v>
      </c>
      <c r="D409" s="6" t="s">
        <v>165</v>
      </c>
      <c r="E409" s="6" t="s">
        <v>81</v>
      </c>
      <c r="G409" s="6" t="s">
        <v>87</v>
      </c>
      <c r="H409" s="6" t="s">
        <v>1425</v>
      </c>
      <c r="I409" s="6"/>
      <c r="J409" s="6" t="s">
        <v>92</v>
      </c>
      <c r="K409" s="6"/>
      <c r="L409" s="6" t="s">
        <v>1426</v>
      </c>
      <c r="M409" s="6"/>
      <c r="N409" s="6" t="s">
        <v>98</v>
      </c>
      <c r="O409" s="6"/>
      <c r="P409" s="6" t="s">
        <v>168</v>
      </c>
      <c r="Q409" s="6"/>
      <c r="R409" s="47" t="s">
        <v>1427</v>
      </c>
      <c r="AA409" s="6"/>
      <c r="AB409" s="6" t="s">
        <v>101</v>
      </c>
      <c r="AC409" s="6"/>
      <c r="AD409" s="6" t="s">
        <v>56</v>
      </c>
      <c r="AE409" s="6"/>
      <c r="AF409" s="6" t="s">
        <v>75</v>
      </c>
      <c r="AG409" s="6"/>
      <c r="AH409" s="6" t="s">
        <v>76</v>
      </c>
      <c r="AI409" s="6"/>
      <c r="AJ409" s="11" t="s">
        <v>244</v>
      </c>
    </row>
    <row r="410" spans="1:36" ht="15.75" customHeight="1" x14ac:dyDescent="0.25">
      <c r="A410" s="7">
        <v>43418.74479409722</v>
      </c>
      <c r="B410" s="6" t="s">
        <v>30</v>
      </c>
      <c r="C410" s="6" t="s">
        <v>90</v>
      </c>
      <c r="D410" s="6" t="s">
        <v>46</v>
      </c>
      <c r="E410" s="6" t="s">
        <v>81</v>
      </c>
      <c r="G410" s="6" t="s">
        <v>87</v>
      </c>
      <c r="H410" s="6" t="s">
        <v>1428</v>
      </c>
      <c r="I410" s="6"/>
      <c r="J410" s="6" t="s">
        <v>106</v>
      </c>
      <c r="K410" s="6"/>
      <c r="L410" s="6" t="s">
        <v>1429</v>
      </c>
      <c r="M410" s="6"/>
      <c r="N410" s="6" t="s">
        <v>181</v>
      </c>
      <c r="O410" s="6"/>
      <c r="P410" s="6" t="s">
        <v>99</v>
      </c>
      <c r="Q410" s="6"/>
      <c r="R410" s="47" t="s">
        <v>3225</v>
      </c>
      <c r="S410" s="14" t="s">
        <v>4397</v>
      </c>
      <c r="T410" s="14" t="s">
        <v>4901</v>
      </c>
      <c r="AA410" s="6"/>
      <c r="AB410" s="6" t="s">
        <v>101</v>
      </c>
      <c r="AC410" s="6"/>
      <c r="AD410" s="6" t="s">
        <v>56</v>
      </c>
      <c r="AE410" s="6"/>
      <c r="AF410" s="6" t="s">
        <v>57</v>
      </c>
      <c r="AG410" s="6"/>
      <c r="AH410" s="6" t="s">
        <v>57</v>
      </c>
      <c r="AI410" s="6"/>
      <c r="AJ410" s="11" t="s">
        <v>256</v>
      </c>
    </row>
    <row r="411" spans="1:36" ht="15.75" customHeight="1" x14ac:dyDescent="0.25">
      <c r="A411" s="7">
        <v>43418.745726168985</v>
      </c>
      <c r="B411" s="6" t="s">
        <v>1431</v>
      </c>
      <c r="C411" s="6" t="s">
        <v>95</v>
      </c>
      <c r="D411" s="6" t="s">
        <v>190</v>
      </c>
      <c r="E411" s="6" t="s">
        <v>48</v>
      </c>
      <c r="F411" s="6" t="s">
        <v>1432</v>
      </c>
      <c r="G411" s="6" t="s">
        <v>48</v>
      </c>
      <c r="H411" s="6" t="s">
        <v>1433</v>
      </c>
      <c r="I411" s="6"/>
      <c r="J411" s="6" t="s">
        <v>89</v>
      </c>
      <c r="K411" s="6"/>
      <c r="L411" s="6" t="s">
        <v>1434</v>
      </c>
      <c r="M411" s="6"/>
      <c r="N411" s="6" t="s">
        <v>112</v>
      </c>
      <c r="O411" s="6"/>
      <c r="P411" s="6" t="s">
        <v>99</v>
      </c>
      <c r="Q411" s="6"/>
      <c r="R411" s="47" t="s">
        <v>3054</v>
      </c>
      <c r="S411" s="14" t="s">
        <v>4902</v>
      </c>
      <c r="T411" s="14" t="s">
        <v>4393</v>
      </c>
      <c r="U411" s="14" t="s">
        <v>4632</v>
      </c>
      <c r="V411" s="14" t="s">
        <v>4407</v>
      </c>
      <c r="W411" s="14" t="s">
        <v>4526</v>
      </c>
      <c r="X411" s="14" t="s">
        <v>4903</v>
      </c>
      <c r="Y411" s="14" t="s">
        <v>4904</v>
      </c>
      <c r="Z411" s="14" t="s">
        <v>4905</v>
      </c>
      <c r="AA411" s="6"/>
      <c r="AB411" s="6" t="s">
        <v>101</v>
      </c>
      <c r="AC411" s="6"/>
      <c r="AD411" s="6" t="s">
        <v>56</v>
      </c>
      <c r="AE411" s="6"/>
      <c r="AF411" s="6" t="s">
        <v>75</v>
      </c>
      <c r="AG411" s="6"/>
      <c r="AH411" s="6" t="s">
        <v>58</v>
      </c>
      <c r="AI411" s="6"/>
      <c r="AJ411" s="6" t="s">
        <v>77</v>
      </c>
    </row>
    <row r="412" spans="1:36" ht="15.75" customHeight="1" x14ac:dyDescent="0.25">
      <c r="A412" s="7">
        <v>43418.745933356477</v>
      </c>
      <c r="B412" s="6" t="s">
        <v>30</v>
      </c>
      <c r="C412" s="6" t="s">
        <v>95</v>
      </c>
      <c r="D412" s="6" t="s">
        <v>165</v>
      </c>
      <c r="E412" s="6" t="s">
        <v>81</v>
      </c>
      <c r="G412" s="6" t="s">
        <v>87</v>
      </c>
      <c r="H412" s="6" t="s">
        <v>1436</v>
      </c>
      <c r="I412" s="6"/>
      <c r="J412" s="6" t="s">
        <v>158</v>
      </c>
      <c r="K412" s="6"/>
      <c r="L412" s="6" t="s">
        <v>1437</v>
      </c>
      <c r="M412" s="6"/>
      <c r="N412" s="6" t="s">
        <v>98</v>
      </c>
      <c r="O412" s="6"/>
      <c r="P412" s="6" t="s">
        <v>94</v>
      </c>
      <c r="Q412" s="6"/>
      <c r="R412" s="47" t="s">
        <v>4906</v>
      </c>
      <c r="S412" s="14" t="s">
        <v>4907</v>
      </c>
      <c r="T412" s="14" t="s">
        <v>4908</v>
      </c>
      <c r="U412" s="14" t="s">
        <v>4909</v>
      </c>
      <c r="V412" s="14" t="s">
        <v>4910</v>
      </c>
      <c r="AA412" s="6"/>
      <c r="AB412" s="6" t="s">
        <v>101</v>
      </c>
      <c r="AC412" s="6"/>
      <c r="AD412" s="6" t="s">
        <v>56</v>
      </c>
      <c r="AE412" s="6"/>
      <c r="AF412" s="6" t="s">
        <v>75</v>
      </c>
      <c r="AG412" s="6"/>
      <c r="AH412" s="6" t="s">
        <v>58</v>
      </c>
      <c r="AI412" s="6"/>
      <c r="AJ412" s="11" t="s">
        <v>174</v>
      </c>
    </row>
    <row r="413" spans="1:36" ht="15.75" customHeight="1" x14ac:dyDescent="0.25">
      <c r="A413" s="7">
        <v>43418.746304803237</v>
      </c>
      <c r="B413" s="6" t="s">
        <v>30</v>
      </c>
      <c r="C413" s="6" t="s">
        <v>95</v>
      </c>
      <c r="D413" s="6" t="s">
        <v>46</v>
      </c>
      <c r="E413" s="6" t="s">
        <v>81</v>
      </c>
      <c r="G413" s="6" t="s">
        <v>48</v>
      </c>
      <c r="H413" s="6" t="s">
        <v>1439</v>
      </c>
      <c r="I413" s="6"/>
      <c r="J413" s="6" t="s">
        <v>158</v>
      </c>
      <c r="K413" s="6"/>
      <c r="L413" s="6" t="s">
        <v>1440</v>
      </c>
      <c r="M413" s="6"/>
      <c r="N413" s="6" t="s">
        <v>112</v>
      </c>
      <c r="O413" s="6"/>
      <c r="P413" s="6" t="s">
        <v>99</v>
      </c>
      <c r="Q413" s="6"/>
      <c r="R413" s="47" t="s">
        <v>916</v>
      </c>
      <c r="S413" s="14" t="s">
        <v>4911</v>
      </c>
      <c r="T413" s="14" t="s">
        <v>4721</v>
      </c>
      <c r="U413" s="14" t="s">
        <v>4912</v>
      </c>
      <c r="V413" s="14" t="s">
        <v>4913</v>
      </c>
      <c r="AA413" s="6"/>
      <c r="AB413" s="6" t="s">
        <v>67</v>
      </c>
      <c r="AC413" s="6"/>
      <c r="AD413" s="6" t="s">
        <v>56</v>
      </c>
      <c r="AE413" s="6"/>
      <c r="AF413" s="6" t="s">
        <v>75</v>
      </c>
      <c r="AG413" s="6"/>
      <c r="AH413" s="6" t="s">
        <v>126</v>
      </c>
      <c r="AI413" s="6"/>
      <c r="AJ413" s="6" t="s">
        <v>77</v>
      </c>
    </row>
    <row r="414" spans="1:36" ht="15.75" customHeight="1" x14ac:dyDescent="0.25">
      <c r="A414" s="7">
        <v>43418.746986331018</v>
      </c>
      <c r="B414" s="6" t="s">
        <v>30</v>
      </c>
      <c r="C414" s="6" t="s">
        <v>79</v>
      </c>
      <c r="E414" s="6" t="s">
        <v>48</v>
      </c>
      <c r="F414" s="6" t="s">
        <v>1443</v>
      </c>
      <c r="G414" s="6" t="s">
        <v>48</v>
      </c>
      <c r="H414" s="6" t="s">
        <v>1444</v>
      </c>
      <c r="I414" s="6"/>
      <c r="J414" s="6" t="s">
        <v>73</v>
      </c>
      <c r="K414" s="6"/>
      <c r="L414" s="6" t="s">
        <v>1445</v>
      </c>
      <c r="M414" s="6"/>
      <c r="N414" s="6" t="s">
        <v>98</v>
      </c>
      <c r="O414" s="6"/>
      <c r="P414" s="6" t="s">
        <v>94</v>
      </c>
      <c r="Q414" s="6"/>
      <c r="R414" s="47" t="s">
        <v>242</v>
      </c>
      <c r="S414" s="14" t="s">
        <v>4914</v>
      </c>
      <c r="T414" s="14" t="s">
        <v>4400</v>
      </c>
      <c r="U414" s="14" t="s">
        <v>4915</v>
      </c>
      <c r="AA414" s="6"/>
      <c r="AB414" s="6" t="s">
        <v>67</v>
      </c>
      <c r="AC414" s="6"/>
      <c r="AD414" s="6" t="s">
        <v>56</v>
      </c>
      <c r="AE414" s="6"/>
      <c r="AF414" s="6" t="s">
        <v>161</v>
      </c>
      <c r="AG414" s="6"/>
      <c r="AH414" s="6" t="s">
        <v>76</v>
      </c>
      <c r="AI414" s="6"/>
      <c r="AJ414" s="6" t="s">
        <v>77</v>
      </c>
    </row>
    <row r="415" spans="1:36" ht="15.75" customHeight="1" x14ac:dyDescent="0.25">
      <c r="A415" s="7">
        <v>43418.74747642361</v>
      </c>
      <c r="B415" s="6" t="s">
        <v>60</v>
      </c>
      <c r="C415" s="6" t="s">
        <v>116</v>
      </c>
      <c r="D415" s="6" t="s">
        <v>46</v>
      </c>
      <c r="E415" s="6" t="s">
        <v>81</v>
      </c>
      <c r="G415" s="6" t="s">
        <v>87</v>
      </c>
      <c r="J415" s="6" t="s">
        <v>110</v>
      </c>
      <c r="K415" s="6"/>
      <c r="L415" s="6" t="s">
        <v>1447</v>
      </c>
      <c r="M415" s="6"/>
      <c r="N415" s="6" t="s">
        <v>212</v>
      </c>
      <c r="O415" s="6"/>
      <c r="P415" s="6" t="s">
        <v>94</v>
      </c>
      <c r="Q415" s="6"/>
      <c r="R415" s="47" t="s">
        <v>1448</v>
      </c>
      <c r="AA415" s="6"/>
      <c r="AB415" s="6" t="s">
        <v>67</v>
      </c>
      <c r="AC415" s="6"/>
      <c r="AD415" s="6" t="s">
        <v>56</v>
      </c>
      <c r="AE415" s="6"/>
      <c r="AF415" s="6" t="s">
        <v>75</v>
      </c>
      <c r="AG415" s="6"/>
      <c r="AH415" s="6" t="s">
        <v>76</v>
      </c>
      <c r="AI415" s="6"/>
      <c r="AJ415" s="6" t="s">
        <v>137</v>
      </c>
    </row>
    <row r="416" spans="1:36" ht="15.75" customHeight="1" x14ac:dyDescent="0.25">
      <c r="A416" s="7">
        <v>43418.747567789353</v>
      </c>
      <c r="B416" s="6" t="s">
        <v>30</v>
      </c>
      <c r="C416" s="6" t="s">
        <v>45</v>
      </c>
      <c r="D416" s="6" t="s">
        <v>46</v>
      </c>
      <c r="E416" s="6" t="s">
        <v>48</v>
      </c>
      <c r="F416" s="6" t="s">
        <v>1449</v>
      </c>
      <c r="G416" s="6" t="s">
        <v>48</v>
      </c>
      <c r="H416" s="6" t="s">
        <v>1450</v>
      </c>
      <c r="I416" s="6"/>
      <c r="J416" s="6" t="s">
        <v>89</v>
      </c>
      <c r="K416" s="6"/>
      <c r="L416" s="6" t="s">
        <v>1451</v>
      </c>
      <c r="M416" s="6"/>
      <c r="N416" s="6" t="s">
        <v>51</v>
      </c>
      <c r="O416" s="6"/>
      <c r="P416" s="6" t="s">
        <v>52</v>
      </c>
      <c r="Q416" s="6"/>
      <c r="AA416" s="6"/>
      <c r="AB416" s="6" t="s">
        <v>67</v>
      </c>
      <c r="AC416" s="6"/>
      <c r="AD416" s="6" t="s">
        <v>56</v>
      </c>
      <c r="AE416" s="6"/>
      <c r="AF416" s="6" t="s">
        <v>68</v>
      </c>
      <c r="AG416" s="6"/>
      <c r="AH416" s="6" t="s">
        <v>58</v>
      </c>
      <c r="AI416" s="6"/>
      <c r="AJ416" s="6" t="s">
        <v>333</v>
      </c>
    </row>
    <row r="417" spans="1:36" ht="15.75" customHeight="1" x14ac:dyDescent="0.25">
      <c r="A417" s="7">
        <v>43418.747715173609</v>
      </c>
      <c r="B417" s="6" t="s">
        <v>154</v>
      </c>
      <c r="C417" s="6" t="s">
        <v>116</v>
      </c>
      <c r="D417" s="6" t="s">
        <v>163</v>
      </c>
      <c r="E417" s="6" t="s">
        <v>48</v>
      </c>
      <c r="F417" s="6" t="s">
        <v>1452</v>
      </c>
      <c r="G417" s="6" t="s">
        <v>48</v>
      </c>
      <c r="H417" s="6" t="s">
        <v>1453</v>
      </c>
      <c r="I417" s="6"/>
      <c r="J417" s="6" t="s">
        <v>92</v>
      </c>
      <c r="K417" s="6"/>
      <c r="L417" s="6" t="s">
        <v>1454</v>
      </c>
      <c r="M417" s="6"/>
      <c r="N417" s="6" t="s">
        <v>51</v>
      </c>
      <c r="O417" s="6"/>
      <c r="P417" s="6" t="s">
        <v>65</v>
      </c>
      <c r="Q417" s="6"/>
      <c r="R417" s="47" t="s">
        <v>1454</v>
      </c>
      <c r="AA417" s="6"/>
      <c r="AB417" s="6" t="s">
        <v>67</v>
      </c>
      <c r="AC417" s="6"/>
      <c r="AD417" s="6" t="s">
        <v>56</v>
      </c>
      <c r="AE417" s="6"/>
      <c r="AF417" s="6" t="s">
        <v>75</v>
      </c>
      <c r="AG417" s="6"/>
      <c r="AH417" s="6" t="s">
        <v>76</v>
      </c>
      <c r="AI417" s="6"/>
      <c r="AJ417" s="6" t="s">
        <v>57</v>
      </c>
    </row>
    <row r="418" spans="1:36" ht="15.75" customHeight="1" x14ac:dyDescent="0.25">
      <c r="A418" s="7">
        <v>43418.749020636576</v>
      </c>
      <c r="B418" s="6" t="s">
        <v>26</v>
      </c>
      <c r="C418" s="6" t="s">
        <v>95</v>
      </c>
      <c r="D418" s="6" t="s">
        <v>165</v>
      </c>
      <c r="E418" s="6" t="s">
        <v>81</v>
      </c>
      <c r="G418" s="6" t="s">
        <v>87</v>
      </c>
      <c r="H418" s="6" t="s">
        <v>1455</v>
      </c>
      <c r="I418" s="6"/>
      <c r="J418" s="6" t="s">
        <v>64</v>
      </c>
      <c r="K418" s="6"/>
      <c r="L418" s="6" t="s">
        <v>1456</v>
      </c>
      <c r="M418" s="6"/>
      <c r="N418" s="6" t="s">
        <v>98</v>
      </c>
      <c r="O418" s="6"/>
      <c r="P418" s="6" t="s">
        <v>94</v>
      </c>
      <c r="Q418" s="6"/>
      <c r="R418" s="47" t="s">
        <v>3225</v>
      </c>
      <c r="S418" s="14" t="s">
        <v>4916</v>
      </c>
      <c r="T418" s="14" t="s">
        <v>4917</v>
      </c>
      <c r="AA418" s="6"/>
      <c r="AB418" s="6" t="s">
        <v>67</v>
      </c>
      <c r="AC418" s="6"/>
      <c r="AD418" s="6" t="s">
        <v>56</v>
      </c>
      <c r="AE418" s="6"/>
      <c r="AF418" s="6" t="s">
        <v>161</v>
      </c>
      <c r="AG418" s="6"/>
      <c r="AH418" s="6" t="s">
        <v>76</v>
      </c>
      <c r="AI418" s="6"/>
      <c r="AJ418" s="6" t="s">
        <v>132</v>
      </c>
    </row>
    <row r="419" spans="1:36" ht="15.75" customHeight="1" x14ac:dyDescent="0.25">
      <c r="A419" s="7">
        <v>43418.749886597223</v>
      </c>
      <c r="B419" s="6" t="s">
        <v>30</v>
      </c>
      <c r="C419" s="6" t="s">
        <v>95</v>
      </c>
      <c r="D419" s="6" t="s">
        <v>165</v>
      </c>
      <c r="E419" s="6" t="s">
        <v>81</v>
      </c>
      <c r="G419" s="6" t="s">
        <v>87</v>
      </c>
      <c r="H419" s="6" t="s">
        <v>1458</v>
      </c>
      <c r="I419" s="6"/>
      <c r="J419" s="6" t="s">
        <v>92</v>
      </c>
      <c r="K419" s="6"/>
      <c r="L419" s="6" t="s">
        <v>1459</v>
      </c>
      <c r="M419" s="6"/>
      <c r="N419" s="6" t="s">
        <v>93</v>
      </c>
      <c r="O419" s="6"/>
      <c r="P419" s="6" t="s">
        <v>168</v>
      </c>
      <c r="Q419" s="6"/>
      <c r="AA419" s="6"/>
      <c r="AB419" s="6" t="s">
        <v>101</v>
      </c>
      <c r="AC419" s="6"/>
      <c r="AD419" s="6" t="s">
        <v>56</v>
      </c>
      <c r="AE419" s="6"/>
      <c r="AF419" s="6" t="s">
        <v>161</v>
      </c>
      <c r="AG419" s="6"/>
      <c r="AH419" s="6" t="s">
        <v>76</v>
      </c>
      <c r="AJ419" s="6" t="s">
        <v>57</v>
      </c>
    </row>
    <row r="420" spans="1:36" ht="15.75" customHeight="1" x14ac:dyDescent="0.25">
      <c r="A420" s="7">
        <v>43418.749929942132</v>
      </c>
      <c r="B420" s="6" t="s">
        <v>60</v>
      </c>
      <c r="C420" s="6" t="s">
        <v>1061</v>
      </c>
      <c r="D420" s="6" t="s">
        <v>163</v>
      </c>
      <c r="E420" s="6" t="s">
        <v>81</v>
      </c>
      <c r="G420" s="6" t="s">
        <v>87</v>
      </c>
      <c r="H420" s="6" t="s">
        <v>1460</v>
      </c>
      <c r="I420" s="6"/>
      <c r="J420" s="6" t="s">
        <v>64</v>
      </c>
      <c r="K420" s="6"/>
      <c r="L420" s="6" t="s">
        <v>1461</v>
      </c>
      <c r="M420" s="6"/>
      <c r="N420" s="6" t="s">
        <v>112</v>
      </c>
      <c r="O420" s="6"/>
      <c r="P420" s="6" t="s">
        <v>99</v>
      </c>
      <c r="Q420" s="6"/>
      <c r="R420" s="47" t="s">
        <v>3349</v>
      </c>
      <c r="S420" s="14" t="s">
        <v>4918</v>
      </c>
      <c r="T420" s="14" t="s">
        <v>4919</v>
      </c>
      <c r="U420" s="14" t="s">
        <v>4920</v>
      </c>
      <c r="V420" s="14" t="s">
        <v>4911</v>
      </c>
      <c r="W420" s="14" t="s">
        <v>4921</v>
      </c>
      <c r="X420" s="14" t="s">
        <v>4607</v>
      </c>
      <c r="Y420" s="14" t="s">
        <v>4922</v>
      </c>
      <c r="Z420" s="14" t="s">
        <v>4901</v>
      </c>
      <c r="AA420" s="6"/>
      <c r="AB420" s="6" t="s">
        <v>101</v>
      </c>
      <c r="AC420" s="6"/>
      <c r="AD420" s="6" t="s">
        <v>56</v>
      </c>
      <c r="AE420" s="6"/>
      <c r="AF420" s="6" t="s">
        <v>75</v>
      </c>
      <c r="AG420" s="6"/>
      <c r="AH420" s="11" t="s">
        <v>76</v>
      </c>
      <c r="AI420" s="6"/>
      <c r="AJ420" s="6" t="s">
        <v>170</v>
      </c>
    </row>
    <row r="421" spans="1:36" ht="15.75" customHeight="1" x14ac:dyDescent="0.25">
      <c r="A421" s="7">
        <v>43418.750588668983</v>
      </c>
      <c r="B421" s="6" t="s">
        <v>127</v>
      </c>
      <c r="C421" s="6" t="s">
        <v>215</v>
      </c>
      <c r="D421" s="6" t="s">
        <v>261</v>
      </c>
      <c r="E421" s="6" t="s">
        <v>81</v>
      </c>
      <c r="G421" s="6" t="s">
        <v>87</v>
      </c>
      <c r="J421" s="6" t="s">
        <v>106</v>
      </c>
      <c r="K421" s="6"/>
      <c r="L421" s="6" t="s">
        <v>1463</v>
      </c>
      <c r="M421" s="6"/>
      <c r="N421" s="6" t="s">
        <v>181</v>
      </c>
      <c r="O421" s="6"/>
      <c r="P421" s="6" t="s">
        <v>131</v>
      </c>
      <c r="Q421" s="6"/>
      <c r="R421" s="47" t="s">
        <v>4522</v>
      </c>
      <c r="S421" s="14" t="s">
        <v>4573</v>
      </c>
      <c r="T421" s="14" t="s">
        <v>4426</v>
      </c>
      <c r="U421" s="14" t="s">
        <v>4923</v>
      </c>
      <c r="V421" s="14" t="s">
        <v>4924</v>
      </c>
      <c r="AA421" s="6"/>
      <c r="AB421" s="6" t="s">
        <v>55</v>
      </c>
      <c r="AC421" s="6"/>
      <c r="AD421" s="6" t="s">
        <v>56</v>
      </c>
      <c r="AE421" s="6"/>
      <c r="AF421" s="6" t="s">
        <v>75</v>
      </c>
      <c r="AG421" s="6"/>
      <c r="AH421" s="6" t="s">
        <v>76</v>
      </c>
      <c r="AI421" s="6"/>
      <c r="AJ421" s="11" t="s">
        <v>286</v>
      </c>
    </row>
    <row r="422" spans="1:36" ht="15.75" customHeight="1" x14ac:dyDescent="0.25">
      <c r="A422" s="7">
        <v>43418.751306874998</v>
      </c>
      <c r="B422" s="6" t="s">
        <v>30</v>
      </c>
      <c r="C422" s="6" t="s">
        <v>95</v>
      </c>
      <c r="D422" s="6" t="s">
        <v>46</v>
      </c>
      <c r="E422" s="6" t="s">
        <v>81</v>
      </c>
      <c r="G422" s="6" t="s">
        <v>87</v>
      </c>
      <c r="H422" s="6" t="s">
        <v>1465</v>
      </c>
      <c r="I422" s="6"/>
      <c r="J422" s="6" t="s">
        <v>158</v>
      </c>
      <c r="K422" s="6"/>
      <c r="L422" s="6" t="s">
        <v>1466</v>
      </c>
      <c r="M422" s="6"/>
      <c r="N422" s="6" t="s">
        <v>98</v>
      </c>
      <c r="O422" s="6"/>
      <c r="P422" s="6" t="s">
        <v>168</v>
      </c>
      <c r="Q422" s="6"/>
      <c r="R422" s="47" t="s">
        <v>149</v>
      </c>
      <c r="S422" s="14" t="s">
        <v>4925</v>
      </c>
      <c r="T422" s="14" t="s">
        <v>4617</v>
      </c>
      <c r="AA422" s="6"/>
      <c r="AB422" s="6" t="s">
        <v>67</v>
      </c>
      <c r="AC422" s="6"/>
      <c r="AD422" s="6" t="s">
        <v>56</v>
      </c>
      <c r="AE422" s="6"/>
      <c r="AF422" s="6" t="s">
        <v>75</v>
      </c>
      <c r="AG422" s="6"/>
      <c r="AH422" s="6" t="s">
        <v>76</v>
      </c>
      <c r="AI422" s="6"/>
      <c r="AJ422" s="6" t="s">
        <v>204</v>
      </c>
    </row>
    <row r="423" spans="1:36" ht="15.75" customHeight="1" x14ac:dyDescent="0.25">
      <c r="A423" s="7">
        <v>43418.751526469903</v>
      </c>
      <c r="B423" s="6" t="s">
        <v>30</v>
      </c>
      <c r="C423" s="6" t="s">
        <v>90</v>
      </c>
      <c r="D423" s="6" t="s">
        <v>129</v>
      </c>
      <c r="E423" s="6" t="s">
        <v>81</v>
      </c>
      <c r="F423" s="6" t="s">
        <v>1468</v>
      </c>
      <c r="G423" s="6" t="s">
        <v>87</v>
      </c>
      <c r="H423" s="6" t="s">
        <v>1469</v>
      </c>
      <c r="I423" s="6"/>
      <c r="J423" s="6" t="s">
        <v>89</v>
      </c>
      <c r="K423" s="6"/>
      <c r="L423" s="6" t="s">
        <v>1470</v>
      </c>
      <c r="M423" s="6"/>
      <c r="N423" s="6" t="s">
        <v>181</v>
      </c>
      <c r="O423" s="6"/>
      <c r="P423" s="6" t="s">
        <v>131</v>
      </c>
      <c r="Q423" s="6"/>
      <c r="R423" s="47" t="s">
        <v>4926</v>
      </c>
      <c r="S423" s="14" t="s">
        <v>4927</v>
      </c>
      <c r="AA423" s="6"/>
      <c r="AB423" s="6" t="s">
        <v>55</v>
      </c>
      <c r="AC423" s="6"/>
      <c r="AD423" s="6" t="s">
        <v>56</v>
      </c>
      <c r="AE423" s="6"/>
      <c r="AF423" s="6" t="s">
        <v>68</v>
      </c>
      <c r="AG423" s="6"/>
      <c r="AH423" s="6" t="s">
        <v>57</v>
      </c>
      <c r="AI423" s="6"/>
      <c r="AJ423" s="11" t="s">
        <v>77</v>
      </c>
    </row>
    <row r="424" spans="1:36" ht="15.75" customHeight="1" x14ac:dyDescent="0.25">
      <c r="A424" s="7">
        <v>43418.751701678237</v>
      </c>
      <c r="B424" s="6" t="s">
        <v>127</v>
      </c>
      <c r="C424" s="6" t="s">
        <v>790</v>
      </c>
      <c r="D424" s="6" t="s">
        <v>138</v>
      </c>
      <c r="E424" s="6" t="s">
        <v>81</v>
      </c>
      <c r="G424" s="6" t="s">
        <v>48</v>
      </c>
      <c r="H424" s="6" t="s">
        <v>1472</v>
      </c>
      <c r="I424" s="6"/>
      <c r="J424" s="6" t="s">
        <v>92</v>
      </c>
      <c r="K424" s="6"/>
      <c r="L424" s="6" t="s">
        <v>1473</v>
      </c>
      <c r="M424" s="6"/>
      <c r="N424" s="6" t="s">
        <v>181</v>
      </c>
      <c r="O424" s="6"/>
      <c r="P424" s="6" t="s">
        <v>131</v>
      </c>
      <c r="Q424" s="6"/>
      <c r="R424" s="47" t="s">
        <v>192</v>
      </c>
      <c r="S424" s="14" t="s">
        <v>4450</v>
      </c>
      <c r="T424" s="14" t="s">
        <v>4438</v>
      </c>
      <c r="U424" s="14" t="s">
        <v>4928</v>
      </c>
      <c r="AA424" s="6"/>
      <c r="AB424" s="6" t="s">
        <v>67</v>
      </c>
      <c r="AC424" s="6"/>
      <c r="AD424" s="6" t="s">
        <v>56</v>
      </c>
      <c r="AE424" s="6"/>
      <c r="AF424" s="6" t="s">
        <v>205</v>
      </c>
      <c r="AG424" s="6"/>
      <c r="AH424" s="11" t="s">
        <v>144</v>
      </c>
      <c r="AI424" s="6"/>
      <c r="AJ424" s="6" t="s">
        <v>324</v>
      </c>
    </row>
    <row r="425" spans="1:36" ht="15.75" customHeight="1" x14ac:dyDescent="0.25">
      <c r="A425" s="7">
        <v>43418.753039247684</v>
      </c>
      <c r="B425" s="6" t="s">
        <v>60</v>
      </c>
      <c r="C425" s="6" t="s">
        <v>116</v>
      </c>
      <c r="D425" s="6" t="s">
        <v>46</v>
      </c>
      <c r="E425" s="6" t="s">
        <v>81</v>
      </c>
      <c r="G425" s="6" t="s">
        <v>87</v>
      </c>
      <c r="J425" s="6" t="s">
        <v>92</v>
      </c>
      <c r="K425" s="6"/>
      <c r="L425" s="6" t="s">
        <v>1475</v>
      </c>
      <c r="M425" s="6"/>
      <c r="N425" s="6" t="s">
        <v>248</v>
      </c>
      <c r="O425" s="6"/>
      <c r="P425" s="6" t="s">
        <v>168</v>
      </c>
      <c r="Q425" s="6"/>
      <c r="R425" s="47" t="s">
        <v>1477</v>
      </c>
      <c r="AA425" s="6"/>
      <c r="AB425" s="6" t="s">
        <v>101</v>
      </c>
      <c r="AC425" s="6"/>
      <c r="AD425" s="6" t="s">
        <v>56</v>
      </c>
      <c r="AE425" s="6"/>
      <c r="AF425" s="6" t="s">
        <v>161</v>
      </c>
      <c r="AG425" s="6"/>
      <c r="AH425" s="6" t="s">
        <v>76</v>
      </c>
      <c r="AI425" s="6"/>
      <c r="AJ425" s="6" t="s">
        <v>259</v>
      </c>
    </row>
    <row r="426" spans="1:36" ht="15.75" customHeight="1" x14ac:dyDescent="0.25">
      <c r="A426" s="7">
        <v>43418.75515355324</v>
      </c>
      <c r="B426" s="6" t="s">
        <v>30</v>
      </c>
      <c r="C426" s="6" t="s">
        <v>95</v>
      </c>
      <c r="D426" s="6" t="s">
        <v>46</v>
      </c>
      <c r="E426" s="6" t="s">
        <v>81</v>
      </c>
      <c r="G426" s="6" t="s">
        <v>87</v>
      </c>
      <c r="H426" s="6" t="s">
        <v>1478</v>
      </c>
      <c r="I426" s="6"/>
      <c r="J426" s="6" t="s">
        <v>92</v>
      </c>
      <c r="K426" s="6"/>
      <c r="L426" s="6" t="s">
        <v>1479</v>
      </c>
      <c r="M426" s="6"/>
      <c r="N426" s="6" t="s">
        <v>212</v>
      </c>
      <c r="O426" s="6"/>
      <c r="P426" s="6" t="s">
        <v>94</v>
      </c>
      <c r="Q426" s="6"/>
      <c r="R426" s="47" t="s">
        <v>865</v>
      </c>
      <c r="S426" s="14" t="s">
        <v>4929</v>
      </c>
      <c r="T426" s="14" t="s">
        <v>4930</v>
      </c>
      <c r="U426" s="14" t="s">
        <v>4931</v>
      </c>
      <c r="AA426" s="6"/>
      <c r="AB426" s="6" t="s">
        <v>101</v>
      </c>
      <c r="AC426" s="6"/>
      <c r="AD426" s="6" t="s">
        <v>56</v>
      </c>
      <c r="AE426" s="6"/>
      <c r="AF426" s="6" t="s">
        <v>161</v>
      </c>
      <c r="AG426" s="6"/>
      <c r="AH426" s="6" t="s">
        <v>76</v>
      </c>
      <c r="AI426" s="6"/>
      <c r="AJ426" s="11" t="s">
        <v>77</v>
      </c>
    </row>
    <row r="427" spans="1:36" ht="15.75" customHeight="1" x14ac:dyDescent="0.25">
      <c r="A427" s="7">
        <v>43418.756570243058</v>
      </c>
      <c r="B427" s="6" t="s">
        <v>30</v>
      </c>
      <c r="C427" s="6" t="s">
        <v>116</v>
      </c>
      <c r="D427" s="6" t="s">
        <v>91</v>
      </c>
      <c r="E427" s="6" t="s">
        <v>48</v>
      </c>
      <c r="F427" s="6" t="s">
        <v>1481</v>
      </c>
      <c r="G427" s="6" t="s">
        <v>48</v>
      </c>
      <c r="H427" s="6" t="s">
        <v>1482</v>
      </c>
      <c r="I427" s="6"/>
      <c r="J427" s="6" t="s">
        <v>92</v>
      </c>
      <c r="K427" s="6"/>
      <c r="L427" s="6" t="s">
        <v>1483</v>
      </c>
      <c r="M427" s="6"/>
      <c r="N427" s="6" t="s">
        <v>98</v>
      </c>
      <c r="O427" s="6"/>
      <c r="P427" s="6" t="s">
        <v>131</v>
      </c>
      <c r="Q427" s="6"/>
      <c r="R427" s="47" t="s">
        <v>4932</v>
      </c>
      <c r="S427" s="14" t="s">
        <v>4933</v>
      </c>
      <c r="AA427" s="6"/>
      <c r="AB427" s="6" t="s">
        <v>67</v>
      </c>
      <c r="AC427" s="6"/>
      <c r="AD427" s="6" t="s">
        <v>109</v>
      </c>
      <c r="AE427" s="6"/>
      <c r="AF427" s="6" t="s">
        <v>75</v>
      </c>
      <c r="AG427" s="6"/>
      <c r="AH427" s="11" t="s">
        <v>126</v>
      </c>
      <c r="AI427" s="6"/>
      <c r="AJ427" s="6" t="s">
        <v>187</v>
      </c>
    </row>
    <row r="428" spans="1:36" ht="15.75" customHeight="1" x14ac:dyDescent="0.25">
      <c r="A428" s="7">
        <v>43418.757320682867</v>
      </c>
      <c r="B428" s="6" t="s">
        <v>30</v>
      </c>
      <c r="C428" s="6" t="s">
        <v>829</v>
      </c>
      <c r="D428" s="6" t="s">
        <v>165</v>
      </c>
      <c r="E428" s="6" t="s">
        <v>81</v>
      </c>
      <c r="G428" s="6" t="s">
        <v>87</v>
      </c>
      <c r="J428" s="6" t="s">
        <v>92</v>
      </c>
      <c r="K428" s="6"/>
      <c r="L428" s="6" t="s">
        <v>1485</v>
      </c>
      <c r="M428" s="6"/>
      <c r="N428" s="6" t="s">
        <v>98</v>
      </c>
      <c r="O428" s="6"/>
      <c r="P428" s="6" t="s">
        <v>94</v>
      </c>
      <c r="Q428" s="6"/>
      <c r="R428" s="47" t="s">
        <v>1486</v>
      </c>
      <c r="AA428" s="6"/>
      <c r="AB428" s="6" t="s">
        <v>203</v>
      </c>
      <c r="AD428" s="6" t="s">
        <v>56</v>
      </c>
      <c r="AE428" s="6"/>
      <c r="AF428" s="6" t="s">
        <v>68</v>
      </c>
      <c r="AG428" s="6"/>
      <c r="AH428" s="6" t="s">
        <v>57</v>
      </c>
      <c r="AI428" s="6"/>
      <c r="AJ428" s="11" t="s">
        <v>288</v>
      </c>
    </row>
    <row r="429" spans="1:36" ht="15.75" customHeight="1" x14ac:dyDescent="0.25">
      <c r="A429" s="7">
        <v>43418.757796006947</v>
      </c>
      <c r="B429" s="6" t="s">
        <v>127</v>
      </c>
      <c r="C429" s="6" t="s">
        <v>1487</v>
      </c>
      <c r="D429" s="6" t="s">
        <v>165</v>
      </c>
      <c r="E429" s="6" t="s">
        <v>81</v>
      </c>
      <c r="G429" s="6" t="s">
        <v>87</v>
      </c>
      <c r="J429" s="6" t="s">
        <v>50</v>
      </c>
      <c r="K429" s="6"/>
      <c r="L429" s="6" t="s">
        <v>1488</v>
      </c>
      <c r="M429" s="6"/>
      <c r="N429" s="6" t="s">
        <v>51</v>
      </c>
      <c r="O429" s="6"/>
      <c r="P429" s="6" t="s">
        <v>65</v>
      </c>
      <c r="Q429" s="6"/>
      <c r="R429" s="47" t="s">
        <v>1489</v>
      </c>
      <c r="AA429" s="6"/>
      <c r="AB429" s="6" t="s">
        <v>67</v>
      </c>
      <c r="AC429" s="6"/>
      <c r="AD429" s="6" t="s">
        <v>56</v>
      </c>
      <c r="AE429" s="6"/>
      <c r="AF429" s="6" t="s">
        <v>68</v>
      </c>
      <c r="AG429" s="6"/>
      <c r="AH429" s="6" t="s">
        <v>58</v>
      </c>
      <c r="AI429" s="6"/>
      <c r="AJ429" s="6" t="s">
        <v>77</v>
      </c>
    </row>
    <row r="430" spans="1:36" ht="15.75" customHeight="1" x14ac:dyDescent="0.25">
      <c r="A430" s="7">
        <v>43418.75909097222</v>
      </c>
      <c r="B430" s="6" t="s">
        <v>30</v>
      </c>
      <c r="C430" s="6" t="s">
        <v>215</v>
      </c>
      <c r="D430" s="6" t="s">
        <v>91</v>
      </c>
      <c r="E430" s="6" t="s">
        <v>81</v>
      </c>
      <c r="G430" s="6" t="s">
        <v>87</v>
      </c>
      <c r="H430" s="6" t="s">
        <v>1490</v>
      </c>
      <c r="I430" s="6"/>
      <c r="J430" s="6" t="s">
        <v>64</v>
      </c>
      <c r="K430" s="6"/>
      <c r="L430" s="6" t="s">
        <v>1491</v>
      </c>
      <c r="M430" s="6"/>
      <c r="N430" s="6" t="s">
        <v>121</v>
      </c>
      <c r="O430" s="6"/>
      <c r="P430" s="6" t="s">
        <v>131</v>
      </c>
      <c r="Q430" s="6"/>
      <c r="R430" s="47" t="s">
        <v>192</v>
      </c>
      <c r="S430" s="14" t="s">
        <v>4934</v>
      </c>
      <c r="T430" s="14" t="s">
        <v>4514</v>
      </c>
      <c r="U430" s="14" t="s">
        <v>4935</v>
      </c>
      <c r="V430" s="14" t="s">
        <v>4510</v>
      </c>
      <c r="W430" s="14" t="s">
        <v>4936</v>
      </c>
      <c r="AA430" s="6"/>
      <c r="AB430" s="6" t="s">
        <v>101</v>
      </c>
      <c r="AC430" s="6"/>
      <c r="AD430" s="6" t="s">
        <v>56</v>
      </c>
      <c r="AE430" s="6"/>
      <c r="AF430" s="6" t="s">
        <v>161</v>
      </c>
      <c r="AG430" s="6"/>
      <c r="AH430" s="6" t="s">
        <v>76</v>
      </c>
      <c r="AI430" s="6"/>
      <c r="AJ430" s="6" t="s">
        <v>259</v>
      </c>
    </row>
    <row r="431" spans="1:36" ht="15.75" customHeight="1" x14ac:dyDescent="0.25">
      <c r="A431" s="7">
        <v>43418.760169409725</v>
      </c>
      <c r="B431" s="6" t="s">
        <v>1493</v>
      </c>
      <c r="C431" s="6" t="s">
        <v>705</v>
      </c>
      <c r="D431" s="6" t="s">
        <v>155</v>
      </c>
      <c r="E431" s="6" t="s">
        <v>81</v>
      </c>
      <c r="G431" s="6" t="s">
        <v>87</v>
      </c>
      <c r="J431" s="6" t="s">
        <v>110</v>
      </c>
      <c r="K431" s="6"/>
      <c r="L431" s="6" t="s">
        <v>1494</v>
      </c>
      <c r="M431" s="6"/>
      <c r="N431" s="6" t="s">
        <v>212</v>
      </c>
      <c r="O431" s="6"/>
      <c r="P431" s="6" t="s">
        <v>94</v>
      </c>
      <c r="Q431" s="6"/>
      <c r="R431" s="47" t="s">
        <v>4937</v>
      </c>
      <c r="S431" s="14" t="s">
        <v>4938</v>
      </c>
      <c r="T431" s="14" t="s">
        <v>4939</v>
      </c>
      <c r="AA431" s="6"/>
      <c r="AB431" s="6" t="s">
        <v>203</v>
      </c>
      <c r="AC431" s="6"/>
      <c r="AD431" s="6" t="s">
        <v>56</v>
      </c>
      <c r="AE431" s="6"/>
      <c r="AF431" s="6" t="s">
        <v>75</v>
      </c>
      <c r="AG431" s="6"/>
      <c r="AH431" s="6" t="s">
        <v>57</v>
      </c>
      <c r="AI431" s="6"/>
      <c r="AJ431" s="11" t="s">
        <v>295</v>
      </c>
    </row>
    <row r="432" spans="1:36" ht="15.75" customHeight="1" x14ac:dyDescent="0.25">
      <c r="A432" s="7">
        <v>43418.760678368053</v>
      </c>
      <c r="B432" s="6" t="s">
        <v>30</v>
      </c>
      <c r="C432" s="6" t="s">
        <v>128</v>
      </c>
      <c r="D432" s="6" t="s">
        <v>138</v>
      </c>
      <c r="E432" s="6" t="s">
        <v>48</v>
      </c>
      <c r="F432" s="6" t="s">
        <v>1496</v>
      </c>
      <c r="G432" s="6" t="s">
        <v>48</v>
      </c>
      <c r="H432" s="6" t="s">
        <v>1497</v>
      </c>
      <c r="I432" s="6"/>
      <c r="J432" s="6" t="s">
        <v>106</v>
      </c>
      <c r="K432" s="6"/>
      <c r="L432" s="6" t="s">
        <v>1498</v>
      </c>
      <c r="M432" s="6"/>
      <c r="N432" s="6" t="s">
        <v>98</v>
      </c>
      <c r="O432" s="6"/>
      <c r="P432" s="6" t="s">
        <v>131</v>
      </c>
      <c r="Q432" s="6"/>
      <c r="R432" s="47" t="s">
        <v>1499</v>
      </c>
      <c r="AA432" s="6"/>
      <c r="AB432" s="6" t="s">
        <v>67</v>
      </c>
      <c r="AC432" s="6"/>
      <c r="AD432" s="6" t="s">
        <v>56</v>
      </c>
      <c r="AE432" s="6"/>
      <c r="AF432" s="6" t="s">
        <v>75</v>
      </c>
      <c r="AG432" s="6"/>
      <c r="AH432" s="6" t="s">
        <v>58</v>
      </c>
      <c r="AI432" s="6"/>
      <c r="AJ432" s="6" t="s">
        <v>77</v>
      </c>
    </row>
    <row r="433" spans="1:36" ht="15.75" customHeight="1" x14ac:dyDescent="0.25">
      <c r="A433" s="7">
        <v>43418.761284826389</v>
      </c>
      <c r="B433" s="6" t="s">
        <v>60</v>
      </c>
      <c r="C433" s="6" t="s">
        <v>116</v>
      </c>
      <c r="D433" s="6" t="s">
        <v>772</v>
      </c>
      <c r="E433" s="6" t="s">
        <v>48</v>
      </c>
      <c r="F433" s="6" t="s">
        <v>139</v>
      </c>
      <c r="G433" s="6" t="s">
        <v>48</v>
      </c>
      <c r="H433" s="6" t="s">
        <v>1500</v>
      </c>
      <c r="I433" s="6"/>
      <c r="J433" s="6" t="s">
        <v>106</v>
      </c>
      <c r="K433" s="6"/>
      <c r="L433" s="6" t="s">
        <v>1501</v>
      </c>
      <c r="M433" s="6"/>
      <c r="N433" s="6" t="s">
        <v>181</v>
      </c>
      <c r="O433" s="6"/>
      <c r="P433" s="6" t="s">
        <v>52</v>
      </c>
      <c r="Q433" s="6"/>
      <c r="R433" s="47" t="s">
        <v>3243</v>
      </c>
      <c r="S433" s="14" t="s">
        <v>4940</v>
      </c>
      <c r="AA433" s="6"/>
      <c r="AB433" s="6" t="s">
        <v>67</v>
      </c>
      <c r="AC433" s="6"/>
      <c r="AD433" s="6" t="s">
        <v>56</v>
      </c>
      <c r="AE433" s="6"/>
      <c r="AF433" s="6" t="s">
        <v>75</v>
      </c>
      <c r="AG433" s="6"/>
      <c r="AH433" s="6" t="s">
        <v>58</v>
      </c>
      <c r="AI433" s="6"/>
      <c r="AJ433" s="6" t="s">
        <v>244</v>
      </c>
    </row>
    <row r="434" spans="1:36" ht="15.75" customHeight="1" x14ac:dyDescent="0.25">
      <c r="A434" s="7">
        <v>43418.762496469906</v>
      </c>
      <c r="B434" s="6" t="s">
        <v>60</v>
      </c>
      <c r="C434" s="6" t="s">
        <v>477</v>
      </c>
      <c r="D434" s="6" t="s">
        <v>46</v>
      </c>
      <c r="E434" s="6" t="s">
        <v>48</v>
      </c>
      <c r="G434" s="6" t="s">
        <v>48</v>
      </c>
      <c r="J434" s="6" t="s">
        <v>92</v>
      </c>
      <c r="K434" s="6"/>
      <c r="N434" s="6" t="s">
        <v>98</v>
      </c>
      <c r="O434" s="6"/>
      <c r="P434" s="6" t="s">
        <v>131</v>
      </c>
      <c r="Q434" s="6"/>
      <c r="AA434" s="6"/>
      <c r="AB434" s="6" t="s">
        <v>67</v>
      </c>
      <c r="AC434" s="6"/>
      <c r="AD434" s="6" t="s">
        <v>56</v>
      </c>
      <c r="AE434" s="6"/>
      <c r="AF434" s="6" t="s">
        <v>68</v>
      </c>
      <c r="AG434" s="6"/>
      <c r="AH434" s="6" t="s">
        <v>58</v>
      </c>
      <c r="AJ434" s="6" t="s">
        <v>57</v>
      </c>
    </row>
    <row r="435" spans="1:36" ht="15.75" customHeight="1" x14ac:dyDescent="0.25">
      <c r="A435" s="7">
        <v>43418.763143229167</v>
      </c>
      <c r="B435" s="6" t="s">
        <v>154</v>
      </c>
      <c r="C435" s="6" t="s">
        <v>95</v>
      </c>
      <c r="D435" s="6" t="s">
        <v>138</v>
      </c>
      <c r="E435" s="6" t="s">
        <v>48</v>
      </c>
      <c r="F435" s="6" t="s">
        <v>1503</v>
      </c>
      <c r="G435" s="6" t="s">
        <v>48</v>
      </c>
      <c r="H435" s="6" t="s">
        <v>1504</v>
      </c>
      <c r="I435" s="6"/>
      <c r="J435" s="6" t="s">
        <v>106</v>
      </c>
      <c r="K435" s="6"/>
      <c r="L435" s="6" t="s">
        <v>1505</v>
      </c>
      <c r="M435" s="6"/>
      <c r="N435" s="6" t="s">
        <v>112</v>
      </c>
      <c r="O435" s="6"/>
      <c r="P435" s="6" t="s">
        <v>131</v>
      </c>
      <c r="Q435" s="6"/>
      <c r="R435" s="47" t="s">
        <v>234</v>
      </c>
      <c r="S435" s="14" t="s">
        <v>4494</v>
      </c>
      <c r="T435" s="14" t="s">
        <v>4472</v>
      </c>
      <c r="U435" s="14" t="s">
        <v>4425</v>
      </c>
      <c r="V435" s="14" t="s">
        <v>4753</v>
      </c>
      <c r="W435" s="14" t="s">
        <v>4941</v>
      </c>
      <c r="AA435" s="6"/>
      <c r="AB435" s="6" t="s">
        <v>55</v>
      </c>
      <c r="AC435" s="6"/>
      <c r="AD435" s="6" t="s">
        <v>109</v>
      </c>
      <c r="AE435" s="6"/>
      <c r="AF435" s="6" t="s">
        <v>68</v>
      </c>
      <c r="AG435" s="6"/>
      <c r="AH435" s="11" t="s">
        <v>144</v>
      </c>
      <c r="AI435" s="6"/>
      <c r="AJ435" s="6" t="s">
        <v>77</v>
      </c>
    </row>
    <row r="436" spans="1:36" ht="15.75" customHeight="1" x14ac:dyDescent="0.25">
      <c r="A436" s="7">
        <v>43418.763375590279</v>
      </c>
      <c r="B436" s="6" t="s">
        <v>30</v>
      </c>
      <c r="C436" s="6" t="s">
        <v>95</v>
      </c>
      <c r="D436" s="6" t="s">
        <v>133</v>
      </c>
      <c r="E436" s="6" t="s">
        <v>81</v>
      </c>
      <c r="G436" s="6" t="s">
        <v>87</v>
      </c>
      <c r="J436" s="6" t="s">
        <v>92</v>
      </c>
      <c r="K436" s="6"/>
      <c r="L436" s="6" t="s">
        <v>1507</v>
      </c>
      <c r="M436" s="6"/>
      <c r="N436" s="6" t="s">
        <v>121</v>
      </c>
      <c r="O436" s="6"/>
      <c r="P436" s="6" t="s">
        <v>94</v>
      </c>
      <c r="Q436" s="6"/>
      <c r="R436" s="47" t="s">
        <v>169</v>
      </c>
      <c r="S436" s="14" t="s">
        <v>4942</v>
      </c>
      <c r="T436" s="14" t="s">
        <v>4943</v>
      </c>
      <c r="U436" s="14" t="s">
        <v>4393</v>
      </c>
      <c r="V436" s="14" t="s">
        <v>4707</v>
      </c>
      <c r="AA436" s="6"/>
      <c r="AB436" s="6" t="s">
        <v>67</v>
      </c>
      <c r="AC436" s="6"/>
      <c r="AD436" s="6" t="s">
        <v>56</v>
      </c>
      <c r="AE436" s="6"/>
      <c r="AF436" s="6" t="s">
        <v>75</v>
      </c>
      <c r="AG436" s="6"/>
      <c r="AH436" s="6" t="s">
        <v>76</v>
      </c>
      <c r="AI436" s="6"/>
      <c r="AJ436" s="6" t="s">
        <v>115</v>
      </c>
    </row>
    <row r="437" spans="1:36" ht="15.75" customHeight="1" x14ac:dyDescent="0.25">
      <c r="A437" s="7">
        <v>43418.763829247684</v>
      </c>
      <c r="B437" s="6" t="s">
        <v>60</v>
      </c>
      <c r="C437" s="6" t="s">
        <v>90</v>
      </c>
      <c r="D437" s="6" t="s">
        <v>133</v>
      </c>
      <c r="E437" s="6" t="s">
        <v>81</v>
      </c>
      <c r="G437" s="6" t="s">
        <v>87</v>
      </c>
      <c r="H437" s="6" t="s">
        <v>1509</v>
      </c>
      <c r="I437" s="6"/>
      <c r="J437" s="6" t="s">
        <v>110</v>
      </c>
      <c r="K437" s="6"/>
      <c r="L437" s="6" t="s">
        <v>1510</v>
      </c>
      <c r="M437" s="6"/>
      <c r="N437" s="6" t="s">
        <v>112</v>
      </c>
      <c r="O437" s="6"/>
      <c r="P437" s="6" t="s">
        <v>99</v>
      </c>
      <c r="Q437" s="6"/>
      <c r="R437" s="47" t="s">
        <v>4944</v>
      </c>
      <c r="S437" s="14" t="s">
        <v>4945</v>
      </c>
      <c r="T437" s="14" t="s">
        <v>4632</v>
      </c>
      <c r="AA437" s="6"/>
      <c r="AB437" s="6" t="s">
        <v>67</v>
      </c>
      <c r="AC437" s="6"/>
      <c r="AD437" s="6" t="s">
        <v>56</v>
      </c>
      <c r="AE437" s="6"/>
      <c r="AF437" s="6" t="s">
        <v>68</v>
      </c>
      <c r="AG437" s="6"/>
      <c r="AH437" s="6" t="s">
        <v>58</v>
      </c>
      <c r="AI437" s="6"/>
      <c r="AJ437" s="6" t="s">
        <v>321</v>
      </c>
    </row>
    <row r="438" spans="1:36" ht="15.75" customHeight="1" x14ac:dyDescent="0.25">
      <c r="A438" s="7">
        <v>43418.765202361115</v>
      </c>
      <c r="B438" s="6" t="s">
        <v>294</v>
      </c>
      <c r="C438" s="6" t="s">
        <v>341</v>
      </c>
      <c r="D438" s="6" t="s">
        <v>155</v>
      </c>
      <c r="E438" s="6" t="s">
        <v>81</v>
      </c>
      <c r="G438" s="6" t="s">
        <v>87</v>
      </c>
      <c r="J438" s="6" t="s">
        <v>184</v>
      </c>
      <c r="K438" s="6"/>
      <c r="L438" s="6" t="s">
        <v>1512</v>
      </c>
      <c r="M438" s="6"/>
      <c r="N438" s="6" t="s">
        <v>121</v>
      </c>
      <c r="O438" s="6"/>
      <c r="P438" s="6" t="s">
        <v>94</v>
      </c>
      <c r="Q438" s="6"/>
      <c r="R438" s="47" t="s">
        <v>4946</v>
      </c>
      <c r="S438" s="14" t="s">
        <v>4573</v>
      </c>
      <c r="T438" s="14" t="s">
        <v>4628</v>
      </c>
      <c r="U438" s="14" t="s">
        <v>4947</v>
      </c>
      <c r="V438" s="14" t="s">
        <v>4948</v>
      </c>
      <c r="AA438" s="6"/>
      <c r="AB438" s="6" t="s">
        <v>67</v>
      </c>
      <c r="AC438" s="6"/>
      <c r="AD438" s="6" t="s">
        <v>56</v>
      </c>
      <c r="AE438" s="6"/>
      <c r="AF438" s="6" t="s">
        <v>161</v>
      </c>
      <c r="AG438" s="6"/>
      <c r="AH438" s="6" t="s">
        <v>76</v>
      </c>
      <c r="AI438" s="6"/>
      <c r="AJ438" s="6" t="s">
        <v>77</v>
      </c>
    </row>
    <row r="439" spans="1:36" ht="15.75" customHeight="1" x14ac:dyDescent="0.25">
      <c r="A439" s="7">
        <v>43418.765654571762</v>
      </c>
      <c r="B439" s="6" t="s">
        <v>30</v>
      </c>
      <c r="C439" s="6" t="s">
        <v>90</v>
      </c>
      <c r="D439" s="6" t="s">
        <v>165</v>
      </c>
      <c r="E439" s="6" t="s">
        <v>48</v>
      </c>
      <c r="F439" s="6" t="s">
        <v>36</v>
      </c>
      <c r="G439" s="6" t="s">
        <v>48</v>
      </c>
      <c r="H439" s="6" t="s">
        <v>1516</v>
      </c>
      <c r="I439" s="6"/>
      <c r="J439" s="6" t="s">
        <v>110</v>
      </c>
      <c r="K439" s="6"/>
      <c r="L439" s="6" t="s">
        <v>1517</v>
      </c>
      <c r="M439" s="6"/>
      <c r="N439" s="6" t="s">
        <v>51</v>
      </c>
      <c r="O439" s="6"/>
      <c r="P439" s="6" t="s">
        <v>65</v>
      </c>
      <c r="Q439" s="6"/>
      <c r="R439" s="47" t="s">
        <v>4627</v>
      </c>
      <c r="S439" s="14" t="s">
        <v>4949</v>
      </c>
      <c r="T439" s="14" t="s">
        <v>4950</v>
      </c>
      <c r="U439" s="14" t="s">
        <v>4951</v>
      </c>
      <c r="V439" s="14" t="s">
        <v>4952</v>
      </c>
      <c r="AA439" s="6"/>
      <c r="AB439" s="6" t="s">
        <v>67</v>
      </c>
      <c r="AC439" s="6"/>
      <c r="AD439" s="6" t="s">
        <v>56</v>
      </c>
      <c r="AE439" s="6"/>
      <c r="AF439" s="6" t="s">
        <v>68</v>
      </c>
      <c r="AG439" s="6"/>
      <c r="AH439" s="6" t="s">
        <v>76</v>
      </c>
      <c r="AI439" s="6"/>
      <c r="AJ439" s="6" t="s">
        <v>260</v>
      </c>
    </row>
    <row r="440" spans="1:36" ht="15.75" customHeight="1" x14ac:dyDescent="0.25">
      <c r="A440" s="7">
        <v>43418.765906759261</v>
      </c>
      <c r="B440" s="6" t="s">
        <v>294</v>
      </c>
      <c r="C440" s="6" t="s">
        <v>749</v>
      </c>
      <c r="D440" s="6" t="s">
        <v>165</v>
      </c>
      <c r="E440" s="6" t="s">
        <v>48</v>
      </c>
      <c r="F440" s="6" t="s">
        <v>36</v>
      </c>
      <c r="G440" s="6" t="s">
        <v>48</v>
      </c>
      <c r="H440" s="6" t="s">
        <v>1519</v>
      </c>
      <c r="I440" s="6"/>
      <c r="J440" s="6" t="s">
        <v>89</v>
      </c>
      <c r="K440" s="6"/>
      <c r="L440" s="6" t="s">
        <v>1520</v>
      </c>
      <c r="M440" s="6"/>
      <c r="N440" s="6" t="s">
        <v>181</v>
      </c>
      <c r="O440" s="6"/>
      <c r="P440" s="6" t="s">
        <v>131</v>
      </c>
      <c r="Q440" s="6"/>
      <c r="R440" s="47" t="s">
        <v>254</v>
      </c>
      <c r="S440" s="14" t="s">
        <v>4471</v>
      </c>
      <c r="T440" s="14" t="s">
        <v>4953</v>
      </c>
      <c r="AA440" s="6"/>
      <c r="AC440" s="6"/>
      <c r="AD440" s="6" t="s">
        <v>56</v>
      </c>
      <c r="AE440" s="6"/>
      <c r="AF440" s="6" t="s">
        <v>205</v>
      </c>
      <c r="AG440" s="6"/>
      <c r="AH440" s="11" t="s">
        <v>144</v>
      </c>
      <c r="AI440" s="6"/>
      <c r="AJ440" s="11" t="s">
        <v>297</v>
      </c>
    </row>
    <row r="441" spans="1:36" ht="15.75" customHeight="1" x14ac:dyDescent="0.25">
      <c r="A441" s="7">
        <v>43418.766258784723</v>
      </c>
      <c r="B441" s="6" t="s">
        <v>30</v>
      </c>
      <c r="C441" s="6" t="s">
        <v>923</v>
      </c>
      <c r="D441" s="6" t="s">
        <v>129</v>
      </c>
      <c r="E441" s="6" t="s">
        <v>48</v>
      </c>
      <c r="F441" s="6" t="s">
        <v>262</v>
      </c>
      <c r="G441" s="6" t="s">
        <v>48</v>
      </c>
      <c r="H441" s="6" t="s">
        <v>1522</v>
      </c>
      <c r="I441" s="6"/>
      <c r="J441" s="6" t="s">
        <v>106</v>
      </c>
      <c r="K441" s="6"/>
      <c r="L441" s="6" t="s">
        <v>1523</v>
      </c>
      <c r="M441" s="6"/>
      <c r="N441" s="6" t="s">
        <v>51</v>
      </c>
      <c r="O441" s="6"/>
      <c r="P441" s="6" t="s">
        <v>52</v>
      </c>
      <c r="Q441" s="6"/>
      <c r="R441" s="47" t="s">
        <v>4954</v>
      </c>
      <c r="S441" s="14" t="s">
        <v>4955</v>
      </c>
      <c r="AA441" s="6"/>
      <c r="AB441" s="6" t="s">
        <v>67</v>
      </c>
      <c r="AC441" s="6"/>
      <c r="AD441" s="6" t="s">
        <v>56</v>
      </c>
      <c r="AE441" s="6"/>
      <c r="AF441" s="6" t="s">
        <v>68</v>
      </c>
      <c r="AG441" s="6"/>
      <c r="AH441" s="6" t="s">
        <v>58</v>
      </c>
      <c r="AI441" s="6"/>
      <c r="AJ441" s="6" t="s">
        <v>174</v>
      </c>
    </row>
    <row r="442" spans="1:36" ht="15.75" customHeight="1" x14ac:dyDescent="0.25">
      <c r="A442" s="7">
        <v>43418.766282372686</v>
      </c>
      <c r="B442" s="6" t="s">
        <v>30</v>
      </c>
      <c r="C442" s="6" t="s">
        <v>45</v>
      </c>
      <c r="D442" s="6" t="s">
        <v>165</v>
      </c>
      <c r="E442" s="6" t="s">
        <v>81</v>
      </c>
      <c r="G442" s="6" t="s">
        <v>87</v>
      </c>
      <c r="H442" s="6" t="s">
        <v>1525</v>
      </c>
      <c r="I442" s="6"/>
      <c r="J442" s="6" t="s">
        <v>110</v>
      </c>
      <c r="K442" s="6"/>
      <c r="L442" s="6" t="s">
        <v>1526</v>
      </c>
      <c r="M442" s="6"/>
      <c r="N442" s="6" t="s">
        <v>98</v>
      </c>
      <c r="O442" s="6"/>
      <c r="P442" s="6" t="s">
        <v>94</v>
      </c>
      <c r="Q442" s="6"/>
      <c r="R442" s="47" t="s">
        <v>1527</v>
      </c>
      <c r="AA442" s="6"/>
      <c r="AB442" s="6" t="s">
        <v>55</v>
      </c>
      <c r="AC442" s="6"/>
      <c r="AD442" s="6" t="s">
        <v>56</v>
      </c>
      <c r="AE442" s="6"/>
      <c r="AF442" s="6" t="s">
        <v>161</v>
      </c>
      <c r="AG442" s="6"/>
      <c r="AH442" s="6" t="s">
        <v>76</v>
      </c>
      <c r="AI442" s="6"/>
      <c r="AJ442" s="11" t="s">
        <v>187</v>
      </c>
    </row>
    <row r="443" spans="1:36" ht="15.75" customHeight="1" x14ac:dyDescent="0.25">
      <c r="A443" s="7">
        <v>43418.766628530095</v>
      </c>
      <c r="B443" s="6" t="s">
        <v>28</v>
      </c>
      <c r="C443" s="6" t="s">
        <v>705</v>
      </c>
      <c r="D443" s="6" t="s">
        <v>46</v>
      </c>
      <c r="E443" s="6" t="s">
        <v>48</v>
      </c>
      <c r="F443" s="6" t="s">
        <v>1528</v>
      </c>
      <c r="G443" s="6" t="s">
        <v>48</v>
      </c>
      <c r="H443" s="6" t="s">
        <v>1529</v>
      </c>
      <c r="I443" s="6"/>
      <c r="J443" s="6" t="s">
        <v>64</v>
      </c>
      <c r="K443" s="6"/>
      <c r="L443" s="6" t="s">
        <v>1530</v>
      </c>
      <c r="M443" s="6"/>
      <c r="N443" s="6" t="s">
        <v>93</v>
      </c>
      <c r="O443" s="6"/>
      <c r="P443" s="6" t="s">
        <v>131</v>
      </c>
      <c r="Q443" s="6"/>
      <c r="AA443" s="6"/>
      <c r="AB443" s="6" t="s">
        <v>55</v>
      </c>
      <c r="AC443" s="6"/>
      <c r="AD443" s="6" t="s">
        <v>109</v>
      </c>
      <c r="AE443" s="6"/>
      <c r="AF443" s="6" t="s">
        <v>205</v>
      </c>
      <c r="AG443" s="6"/>
      <c r="AH443" s="6" t="s">
        <v>226</v>
      </c>
      <c r="AI443" s="6"/>
      <c r="AJ443" s="11" t="s">
        <v>77</v>
      </c>
    </row>
    <row r="444" spans="1:36" ht="15.75" customHeight="1" x14ac:dyDescent="0.25">
      <c r="A444" s="7">
        <v>43418.767052962961</v>
      </c>
      <c r="B444" s="6" t="s">
        <v>127</v>
      </c>
      <c r="C444" s="6" t="s">
        <v>794</v>
      </c>
      <c r="D444" s="6" t="s">
        <v>165</v>
      </c>
      <c r="E444" s="6" t="s">
        <v>81</v>
      </c>
      <c r="G444" s="6" t="s">
        <v>48</v>
      </c>
      <c r="H444" s="6" t="s">
        <v>1531</v>
      </c>
      <c r="I444" s="6"/>
      <c r="J444" s="6" t="s">
        <v>110</v>
      </c>
      <c r="K444" s="6"/>
      <c r="L444" s="6" t="s">
        <v>1532</v>
      </c>
      <c r="M444" s="6"/>
      <c r="N444" s="6" t="s">
        <v>51</v>
      </c>
      <c r="O444" s="6"/>
      <c r="P444" s="6" t="s">
        <v>52</v>
      </c>
      <c r="Q444" s="6"/>
      <c r="AA444" s="6"/>
      <c r="AB444" s="6" t="s">
        <v>101</v>
      </c>
      <c r="AC444" s="6"/>
      <c r="AD444" s="6" t="s">
        <v>56</v>
      </c>
      <c r="AE444" s="6"/>
      <c r="AF444" s="6" t="s">
        <v>75</v>
      </c>
      <c r="AG444" s="6"/>
      <c r="AH444" s="6" t="s">
        <v>76</v>
      </c>
      <c r="AI444" s="6"/>
      <c r="AJ444" s="11" t="s">
        <v>115</v>
      </c>
    </row>
    <row r="445" spans="1:36" ht="15.75" customHeight="1" x14ac:dyDescent="0.25">
      <c r="A445" s="7">
        <v>43418.767184965276</v>
      </c>
      <c r="B445" s="6" t="s">
        <v>1533</v>
      </c>
      <c r="C445" s="6" t="s">
        <v>90</v>
      </c>
      <c r="D445" s="6" t="s">
        <v>846</v>
      </c>
      <c r="E445" s="6" t="s">
        <v>81</v>
      </c>
      <c r="G445" s="6" t="s">
        <v>87</v>
      </c>
      <c r="J445" s="6" t="s">
        <v>106</v>
      </c>
      <c r="K445" s="6"/>
      <c r="L445" s="6" t="s">
        <v>1534</v>
      </c>
      <c r="M445" s="6"/>
      <c r="N445" s="6" t="s">
        <v>167</v>
      </c>
      <c r="O445" s="6"/>
      <c r="P445" s="6" t="s">
        <v>94</v>
      </c>
      <c r="Q445" s="6"/>
      <c r="R445" s="47" t="s">
        <v>1535</v>
      </c>
      <c r="AA445" s="6"/>
      <c r="AB445" s="6" t="s">
        <v>101</v>
      </c>
      <c r="AC445" s="6"/>
      <c r="AD445" s="6" t="s">
        <v>109</v>
      </c>
      <c r="AE445" s="6"/>
      <c r="AF445" s="6" t="s">
        <v>68</v>
      </c>
      <c r="AG445" s="6"/>
      <c r="AH445" s="11" t="s">
        <v>76</v>
      </c>
      <c r="AI445" s="6"/>
      <c r="AJ445" s="11" t="s">
        <v>77</v>
      </c>
    </row>
    <row r="446" spans="1:36" ht="15.75" customHeight="1" x14ac:dyDescent="0.25">
      <c r="A446" s="7">
        <v>43418.767292326389</v>
      </c>
      <c r="B446" s="6" t="s">
        <v>30</v>
      </c>
      <c r="C446" s="6" t="s">
        <v>45</v>
      </c>
      <c r="D446" s="6" t="s">
        <v>46</v>
      </c>
      <c r="E446" s="6" t="s">
        <v>48</v>
      </c>
      <c r="F446" s="6" t="s">
        <v>1536</v>
      </c>
      <c r="G446" s="6" t="s">
        <v>48</v>
      </c>
      <c r="J446" s="6" t="s">
        <v>110</v>
      </c>
      <c r="K446" s="6"/>
      <c r="L446" s="6" t="s">
        <v>1537</v>
      </c>
      <c r="M446" s="6"/>
      <c r="N446" s="6" t="s">
        <v>98</v>
      </c>
      <c r="O446" s="6"/>
      <c r="P446" s="6" t="s">
        <v>94</v>
      </c>
      <c r="Q446" s="6"/>
      <c r="R446" s="47" t="s">
        <v>4956</v>
      </c>
      <c r="S446" s="14" t="s">
        <v>4420</v>
      </c>
      <c r="AA446" s="6"/>
      <c r="AB446" s="6" t="s">
        <v>67</v>
      </c>
      <c r="AC446" s="6"/>
      <c r="AD446" s="6" t="s">
        <v>56</v>
      </c>
      <c r="AE446" s="6"/>
      <c r="AF446" s="6" t="s">
        <v>68</v>
      </c>
      <c r="AG446" s="6"/>
      <c r="AH446" s="6" t="s">
        <v>58</v>
      </c>
      <c r="AI446" s="6"/>
      <c r="AJ446" s="11" t="s">
        <v>174</v>
      </c>
    </row>
    <row r="447" spans="1:36" ht="15.75" customHeight="1" x14ac:dyDescent="0.25">
      <c r="A447" s="7">
        <v>43418.769189166662</v>
      </c>
      <c r="B447" s="6" t="s">
        <v>60</v>
      </c>
      <c r="C447" s="6" t="s">
        <v>287</v>
      </c>
      <c r="D447" s="6" t="s">
        <v>510</v>
      </c>
      <c r="E447" s="6" t="s">
        <v>81</v>
      </c>
      <c r="G447" s="6" t="s">
        <v>87</v>
      </c>
      <c r="J447" s="6" t="s">
        <v>158</v>
      </c>
      <c r="K447" s="6"/>
      <c r="N447" s="6" t="s">
        <v>98</v>
      </c>
      <c r="O447" s="6"/>
      <c r="P447" s="6" t="s">
        <v>94</v>
      </c>
      <c r="Q447" s="6"/>
      <c r="R447" s="47" t="s">
        <v>4957</v>
      </c>
      <c r="S447" s="14" t="s">
        <v>4420</v>
      </c>
      <c r="T447" s="14" t="s">
        <v>4958</v>
      </c>
      <c r="U447" s="14" t="s">
        <v>4959</v>
      </c>
      <c r="AA447" s="6"/>
      <c r="AB447" s="6" t="s">
        <v>55</v>
      </c>
      <c r="AC447" s="6"/>
      <c r="AD447" s="6" t="s">
        <v>109</v>
      </c>
      <c r="AE447" s="6"/>
      <c r="AF447" s="6" t="s">
        <v>75</v>
      </c>
      <c r="AG447" s="6"/>
      <c r="AH447" s="6" t="s">
        <v>126</v>
      </c>
      <c r="AI447" s="6"/>
      <c r="AJ447" s="6" t="s">
        <v>77</v>
      </c>
    </row>
    <row r="448" spans="1:36" ht="15.75" customHeight="1" x14ac:dyDescent="0.25">
      <c r="A448" s="7">
        <v>43418.770250983798</v>
      </c>
      <c r="B448" s="6" t="s">
        <v>60</v>
      </c>
      <c r="C448" s="6" t="s">
        <v>79</v>
      </c>
      <c r="D448" s="6" t="s">
        <v>46</v>
      </c>
      <c r="E448" s="6" t="s">
        <v>48</v>
      </c>
      <c r="F448" s="6" t="s">
        <v>1541</v>
      </c>
      <c r="G448" s="6" t="s">
        <v>48</v>
      </c>
      <c r="H448" s="6" t="s">
        <v>1542</v>
      </c>
      <c r="I448" s="6"/>
      <c r="J448" s="6" t="s">
        <v>106</v>
      </c>
      <c r="K448" s="6"/>
      <c r="L448" s="6" t="s">
        <v>1543</v>
      </c>
      <c r="M448" s="6"/>
      <c r="N448" s="6" t="s">
        <v>93</v>
      </c>
      <c r="O448" s="6"/>
      <c r="P448" s="6" t="s">
        <v>168</v>
      </c>
      <c r="Q448" s="6"/>
      <c r="R448" s="47" t="s">
        <v>1143</v>
      </c>
      <c r="AA448" s="6"/>
      <c r="AB448" s="6" t="s">
        <v>67</v>
      </c>
      <c r="AC448" s="6"/>
      <c r="AD448" s="6" t="s">
        <v>56</v>
      </c>
      <c r="AE448" s="6"/>
      <c r="AF448" s="6" t="s">
        <v>75</v>
      </c>
      <c r="AG448" s="6"/>
      <c r="AH448" s="6" t="s">
        <v>76</v>
      </c>
      <c r="AI448" s="6"/>
      <c r="AJ448" s="11" t="s">
        <v>77</v>
      </c>
    </row>
    <row r="449" spans="1:36" ht="15.75" customHeight="1" x14ac:dyDescent="0.25">
      <c r="A449" s="7">
        <v>43418.770955219909</v>
      </c>
      <c r="B449" s="6" t="s">
        <v>30</v>
      </c>
      <c r="C449" s="6" t="s">
        <v>45</v>
      </c>
      <c r="D449" s="6" t="s">
        <v>91</v>
      </c>
      <c r="E449" s="6" t="s">
        <v>81</v>
      </c>
      <c r="G449" s="6" t="s">
        <v>87</v>
      </c>
      <c r="J449" s="6" t="s">
        <v>92</v>
      </c>
      <c r="K449" s="6"/>
      <c r="L449" s="6" t="s">
        <v>1544</v>
      </c>
      <c r="M449" s="6"/>
      <c r="N449" s="6" t="s">
        <v>181</v>
      </c>
      <c r="O449" s="6"/>
      <c r="P449" s="6" t="s">
        <v>94</v>
      </c>
      <c r="Q449" s="6"/>
      <c r="R449" s="47" t="s">
        <v>149</v>
      </c>
      <c r="AA449" s="6"/>
      <c r="AB449" s="6" t="s">
        <v>67</v>
      </c>
      <c r="AC449" s="6"/>
      <c r="AD449" s="6" t="s">
        <v>56</v>
      </c>
      <c r="AE449" s="6"/>
      <c r="AF449" s="6" t="s">
        <v>68</v>
      </c>
      <c r="AG449" s="6"/>
      <c r="AH449" s="6" t="s">
        <v>58</v>
      </c>
      <c r="AI449" s="6"/>
      <c r="AJ449" s="6" t="s">
        <v>187</v>
      </c>
    </row>
    <row r="450" spans="1:36" ht="15.75" customHeight="1" x14ac:dyDescent="0.25">
      <c r="A450" s="7">
        <v>43418.771934143515</v>
      </c>
      <c r="B450" s="6" t="s">
        <v>60</v>
      </c>
      <c r="C450" s="6" t="s">
        <v>477</v>
      </c>
      <c r="D450" s="6" t="s">
        <v>165</v>
      </c>
      <c r="E450" s="6" t="s">
        <v>48</v>
      </c>
      <c r="F450" s="6" t="s">
        <v>1545</v>
      </c>
      <c r="G450" s="6" t="s">
        <v>48</v>
      </c>
      <c r="H450" s="6" t="s">
        <v>1546</v>
      </c>
      <c r="I450" s="6"/>
      <c r="J450" s="6" t="s">
        <v>64</v>
      </c>
      <c r="K450" s="6"/>
      <c r="L450" s="6" t="s">
        <v>1547</v>
      </c>
      <c r="M450" s="6"/>
      <c r="N450" s="6" t="s">
        <v>212</v>
      </c>
      <c r="O450" s="6"/>
      <c r="P450" s="6" t="s">
        <v>94</v>
      </c>
      <c r="Q450" s="6"/>
      <c r="R450" s="47" t="s">
        <v>149</v>
      </c>
      <c r="S450" s="14" t="s">
        <v>4960</v>
      </c>
      <c r="AA450" s="6"/>
      <c r="AB450" s="6" t="s">
        <v>67</v>
      </c>
      <c r="AC450" s="6"/>
      <c r="AD450" s="6" t="s">
        <v>56</v>
      </c>
      <c r="AE450" s="6"/>
      <c r="AF450" s="6" t="s">
        <v>75</v>
      </c>
      <c r="AG450" s="6"/>
      <c r="AH450" s="6" t="s">
        <v>58</v>
      </c>
      <c r="AI450" s="6"/>
      <c r="AJ450" s="6" t="s">
        <v>115</v>
      </c>
    </row>
    <row r="451" spans="1:36" ht="15.75" customHeight="1" x14ac:dyDescent="0.25">
      <c r="A451" s="7">
        <v>43418.772004317128</v>
      </c>
      <c r="B451" s="6" t="s">
        <v>1549</v>
      </c>
      <c r="C451" s="6" t="s">
        <v>721</v>
      </c>
      <c r="D451" s="6" t="s">
        <v>129</v>
      </c>
      <c r="E451" s="6" t="s">
        <v>48</v>
      </c>
      <c r="F451" s="6" t="s">
        <v>139</v>
      </c>
      <c r="G451" s="6" t="s">
        <v>48</v>
      </c>
      <c r="H451" s="6" t="s">
        <v>1550</v>
      </c>
      <c r="I451" s="6"/>
      <c r="J451" s="6" t="s">
        <v>50</v>
      </c>
      <c r="K451" s="6"/>
      <c r="L451" s="6" t="s">
        <v>1551</v>
      </c>
      <c r="M451" s="6"/>
      <c r="N451" s="6" t="s">
        <v>51</v>
      </c>
      <c r="O451" s="6"/>
      <c r="P451" s="6" t="s">
        <v>65</v>
      </c>
      <c r="Q451" s="6"/>
      <c r="R451" s="47" t="s">
        <v>4961</v>
      </c>
      <c r="S451" s="14" t="s">
        <v>4962</v>
      </c>
      <c r="T451" s="14" t="s">
        <v>4963</v>
      </c>
      <c r="U451" s="14" t="s">
        <v>4964</v>
      </c>
      <c r="AA451" s="6"/>
      <c r="AB451" s="6" t="s">
        <v>67</v>
      </c>
      <c r="AC451" s="6"/>
      <c r="AD451" s="6" t="s">
        <v>56</v>
      </c>
      <c r="AE451" s="6"/>
      <c r="AF451" s="6" t="s">
        <v>75</v>
      </c>
      <c r="AG451" s="6"/>
      <c r="AH451" s="6" t="s">
        <v>76</v>
      </c>
      <c r="AI451" s="6"/>
      <c r="AJ451" s="6" t="s">
        <v>77</v>
      </c>
    </row>
    <row r="452" spans="1:36" ht="15.75" customHeight="1" x14ac:dyDescent="0.25">
      <c r="A452" s="7">
        <v>43418.773041643522</v>
      </c>
      <c r="B452" s="6" t="s">
        <v>30</v>
      </c>
      <c r="C452" s="6" t="s">
        <v>116</v>
      </c>
      <c r="D452" s="6" t="s">
        <v>163</v>
      </c>
      <c r="E452" s="6" t="s">
        <v>48</v>
      </c>
      <c r="F452" s="6" t="s">
        <v>586</v>
      </c>
      <c r="G452" s="6" t="s">
        <v>81</v>
      </c>
      <c r="J452" s="6" t="s">
        <v>73</v>
      </c>
      <c r="K452" s="6"/>
      <c r="L452" s="6" t="s">
        <v>1553</v>
      </c>
      <c r="M452" s="6"/>
      <c r="N452" s="6" t="s">
        <v>181</v>
      </c>
      <c r="O452" s="6"/>
      <c r="P452" s="6" t="s">
        <v>131</v>
      </c>
      <c r="Q452" s="6"/>
      <c r="AA452" s="6"/>
      <c r="AB452" s="6" t="s">
        <v>55</v>
      </c>
      <c r="AC452" s="6"/>
      <c r="AD452" s="6" t="s">
        <v>56</v>
      </c>
      <c r="AE452" s="6"/>
      <c r="AF452" s="6" t="s">
        <v>68</v>
      </c>
      <c r="AG452" s="6"/>
      <c r="AH452" s="6" t="s">
        <v>58</v>
      </c>
      <c r="AJ452" s="6" t="s">
        <v>57</v>
      </c>
    </row>
    <row r="453" spans="1:36" ht="15.75" customHeight="1" x14ac:dyDescent="0.25">
      <c r="A453" s="7">
        <v>43418.773373668984</v>
      </c>
      <c r="B453" s="6" t="s">
        <v>30</v>
      </c>
      <c r="C453" s="6" t="s">
        <v>116</v>
      </c>
      <c r="D453" s="6" t="s">
        <v>46</v>
      </c>
      <c r="E453" s="6" t="s">
        <v>48</v>
      </c>
      <c r="F453" s="6" t="s">
        <v>1554</v>
      </c>
      <c r="G453" s="6" t="s">
        <v>48</v>
      </c>
      <c r="H453" s="6" t="s">
        <v>1555</v>
      </c>
      <c r="I453" s="6"/>
      <c r="J453" s="6" t="s">
        <v>106</v>
      </c>
      <c r="K453" s="6"/>
      <c r="L453" s="6" t="s">
        <v>1556</v>
      </c>
      <c r="M453" s="6"/>
      <c r="N453" s="6" t="s">
        <v>181</v>
      </c>
      <c r="O453" s="6"/>
      <c r="P453" s="6" t="s">
        <v>99</v>
      </c>
      <c r="Q453" s="6"/>
      <c r="R453" s="47" t="s">
        <v>4965</v>
      </c>
      <c r="S453" s="14" t="s">
        <v>4966</v>
      </c>
      <c r="T453" s="14" t="s">
        <v>4967</v>
      </c>
      <c r="U453" s="14" t="s">
        <v>4599</v>
      </c>
      <c r="V453" s="14" t="s">
        <v>4968</v>
      </c>
      <c r="AA453" s="6"/>
      <c r="AB453" s="6" t="s">
        <v>101</v>
      </c>
      <c r="AC453" s="6"/>
      <c r="AD453" s="6" t="s">
        <v>56</v>
      </c>
      <c r="AE453" s="6"/>
      <c r="AF453" s="6" t="s">
        <v>75</v>
      </c>
      <c r="AG453" s="6"/>
      <c r="AH453" s="6" t="s">
        <v>76</v>
      </c>
      <c r="AI453" s="6"/>
      <c r="AJ453" s="6" t="s">
        <v>256</v>
      </c>
    </row>
    <row r="454" spans="1:36" ht="15.75" customHeight="1" x14ac:dyDescent="0.25">
      <c r="A454" s="7">
        <v>43418.776570416667</v>
      </c>
      <c r="B454" s="6" t="s">
        <v>463</v>
      </c>
      <c r="C454" s="6" t="s">
        <v>128</v>
      </c>
      <c r="D454" s="6" t="s">
        <v>163</v>
      </c>
      <c r="E454" s="6" t="s">
        <v>48</v>
      </c>
      <c r="F454" s="6" t="s">
        <v>36</v>
      </c>
      <c r="G454" s="6" t="s">
        <v>48</v>
      </c>
      <c r="H454" s="6" t="s">
        <v>1558</v>
      </c>
      <c r="I454" s="6"/>
      <c r="J454" s="6" t="s">
        <v>73</v>
      </c>
      <c r="K454" s="6"/>
      <c r="L454" s="6" t="s">
        <v>1559</v>
      </c>
      <c r="M454" s="6"/>
      <c r="N454" s="6" t="s">
        <v>98</v>
      </c>
      <c r="O454" s="6"/>
      <c r="P454" s="6" t="s">
        <v>131</v>
      </c>
      <c r="Q454" s="6"/>
      <c r="R454" s="47" t="s">
        <v>1560</v>
      </c>
      <c r="AA454" s="6"/>
      <c r="AB454" s="6" t="s">
        <v>67</v>
      </c>
      <c r="AC454" s="6"/>
      <c r="AD454" s="6" t="s">
        <v>56</v>
      </c>
      <c r="AE454" s="6"/>
      <c r="AF454" s="6" t="s">
        <v>75</v>
      </c>
      <c r="AG454" s="6"/>
      <c r="AH454" s="6" t="s">
        <v>76</v>
      </c>
      <c r="AI454" s="6"/>
      <c r="AJ454" s="6" t="s">
        <v>187</v>
      </c>
    </row>
    <row r="455" spans="1:36" ht="15.75" customHeight="1" x14ac:dyDescent="0.25">
      <c r="A455" s="7">
        <v>43418.777641296299</v>
      </c>
      <c r="B455" s="6" t="s">
        <v>305</v>
      </c>
      <c r="C455" s="6" t="s">
        <v>817</v>
      </c>
      <c r="D455" s="6" t="s">
        <v>165</v>
      </c>
      <c r="E455" s="6" t="s">
        <v>81</v>
      </c>
      <c r="G455" s="6" t="s">
        <v>87</v>
      </c>
      <c r="J455" s="6" t="s">
        <v>92</v>
      </c>
      <c r="K455" s="6"/>
      <c r="L455" s="6" t="s">
        <v>1561</v>
      </c>
      <c r="M455" s="6"/>
      <c r="N455" s="6" t="s">
        <v>181</v>
      </c>
      <c r="O455" s="6"/>
      <c r="P455" s="6" t="s">
        <v>99</v>
      </c>
      <c r="Q455" s="6"/>
      <c r="R455" s="47" t="s">
        <v>1562</v>
      </c>
      <c r="AA455" s="6"/>
      <c r="AB455" s="6" t="s">
        <v>101</v>
      </c>
      <c r="AC455" s="6"/>
      <c r="AD455" s="6" t="s">
        <v>56</v>
      </c>
      <c r="AE455" s="6"/>
      <c r="AF455" s="6" t="s">
        <v>68</v>
      </c>
      <c r="AG455" s="6"/>
      <c r="AH455" s="6" t="s">
        <v>58</v>
      </c>
      <c r="AI455" s="6"/>
      <c r="AJ455" s="11" t="s">
        <v>333</v>
      </c>
    </row>
    <row r="456" spans="1:36" ht="15.75" customHeight="1" x14ac:dyDescent="0.25">
      <c r="A456" s="7">
        <v>43418.781720381943</v>
      </c>
      <c r="B456" s="6" t="s">
        <v>60</v>
      </c>
      <c r="C456" s="6" t="s">
        <v>1061</v>
      </c>
      <c r="D456" s="6" t="s">
        <v>165</v>
      </c>
      <c r="E456" s="6" t="s">
        <v>81</v>
      </c>
      <c r="G456" s="6" t="s">
        <v>87</v>
      </c>
      <c r="J456" s="6" t="s">
        <v>64</v>
      </c>
      <c r="K456" s="6"/>
      <c r="L456" s="6" t="s">
        <v>1563</v>
      </c>
      <c r="M456" s="6"/>
      <c r="N456" s="6" t="s">
        <v>181</v>
      </c>
      <c r="O456" s="6"/>
      <c r="P456" s="6" t="s">
        <v>131</v>
      </c>
      <c r="Q456" s="6"/>
      <c r="R456" s="47" t="s">
        <v>4969</v>
      </c>
      <c r="S456" s="14" t="s">
        <v>4473</v>
      </c>
      <c r="T456" s="14" t="s">
        <v>4970</v>
      </c>
      <c r="U456" s="14" t="s">
        <v>4971</v>
      </c>
      <c r="V456" s="14" t="s">
        <v>4972</v>
      </c>
      <c r="W456" s="14" t="s">
        <v>4973</v>
      </c>
      <c r="X456" s="14" t="s">
        <v>4974</v>
      </c>
      <c r="Y456" s="14" t="s">
        <v>4975</v>
      </c>
      <c r="Z456" s="14" t="s">
        <v>4976</v>
      </c>
      <c r="AA456" s="6"/>
      <c r="AB456" s="6" t="s">
        <v>67</v>
      </c>
      <c r="AC456" s="6"/>
      <c r="AD456" s="6" t="s">
        <v>56</v>
      </c>
      <c r="AE456" s="6"/>
      <c r="AF456" s="6" t="s">
        <v>75</v>
      </c>
      <c r="AG456" s="6"/>
      <c r="AH456" s="6" t="s">
        <v>57</v>
      </c>
      <c r="AI456" s="6"/>
      <c r="AJ456" s="6" t="s">
        <v>77</v>
      </c>
    </row>
    <row r="457" spans="1:36" ht="15.75" customHeight="1" x14ac:dyDescent="0.25">
      <c r="A457" s="7">
        <v>43418.781776087962</v>
      </c>
      <c r="B457" s="6" t="s">
        <v>28</v>
      </c>
      <c r="C457" s="6" t="s">
        <v>1565</v>
      </c>
      <c r="D457" s="6" t="s">
        <v>163</v>
      </c>
      <c r="E457" s="6" t="s">
        <v>81</v>
      </c>
      <c r="G457" s="6" t="s">
        <v>87</v>
      </c>
      <c r="J457" s="6" t="s">
        <v>92</v>
      </c>
      <c r="K457" s="6"/>
      <c r="N457" s="6" t="s">
        <v>181</v>
      </c>
      <c r="O457" s="6"/>
      <c r="P457" s="6" t="s">
        <v>131</v>
      </c>
      <c r="Q457" s="6"/>
      <c r="AA457" s="6"/>
      <c r="AB457" s="6" t="s">
        <v>101</v>
      </c>
      <c r="AC457" s="6"/>
      <c r="AD457" s="6" t="s">
        <v>56</v>
      </c>
      <c r="AE457" s="6"/>
      <c r="AF457" s="6" t="s">
        <v>68</v>
      </c>
      <c r="AG457" s="6"/>
      <c r="AH457" s="6" t="s">
        <v>58</v>
      </c>
      <c r="AJ457" s="6" t="s">
        <v>57</v>
      </c>
    </row>
    <row r="458" spans="1:36" ht="15.75" customHeight="1" x14ac:dyDescent="0.25">
      <c r="A458" s="7">
        <v>43418.782552719902</v>
      </c>
      <c r="B458" s="6" t="s">
        <v>30</v>
      </c>
      <c r="C458" s="6" t="s">
        <v>128</v>
      </c>
      <c r="D458" s="6" t="s">
        <v>46</v>
      </c>
      <c r="E458" s="6" t="s">
        <v>81</v>
      </c>
      <c r="G458" s="6" t="s">
        <v>87</v>
      </c>
      <c r="J458" s="6" t="s">
        <v>50</v>
      </c>
      <c r="K458" s="6"/>
      <c r="N458" s="6" t="s">
        <v>51</v>
      </c>
      <c r="O458" s="6"/>
      <c r="P458" s="6" t="s">
        <v>99</v>
      </c>
      <c r="Q458" s="6"/>
      <c r="R458" s="47" t="s">
        <v>4977</v>
      </c>
      <c r="S458" s="14" t="s">
        <v>4463</v>
      </c>
      <c r="T458" s="14" t="s">
        <v>4978</v>
      </c>
      <c r="AA458" s="6"/>
      <c r="AB458" s="6" t="s">
        <v>101</v>
      </c>
      <c r="AC458" s="6"/>
      <c r="AD458" s="6" t="s">
        <v>56</v>
      </c>
      <c r="AE458" s="6"/>
      <c r="AF458" s="6" t="s">
        <v>75</v>
      </c>
      <c r="AG458" s="6"/>
      <c r="AH458" s="6" t="s">
        <v>126</v>
      </c>
      <c r="AI458" s="6"/>
      <c r="AJ458" s="6" t="s">
        <v>132</v>
      </c>
    </row>
    <row r="459" spans="1:36" ht="15.75" customHeight="1" x14ac:dyDescent="0.25">
      <c r="A459" s="7">
        <v>43418.782642673614</v>
      </c>
      <c r="B459" s="6" t="s">
        <v>60</v>
      </c>
      <c r="C459" s="6" t="s">
        <v>128</v>
      </c>
      <c r="D459" s="6" t="s">
        <v>846</v>
      </c>
      <c r="E459" s="6" t="s">
        <v>81</v>
      </c>
      <c r="G459" s="6" t="s">
        <v>87</v>
      </c>
      <c r="H459" s="6" t="s">
        <v>1567</v>
      </c>
      <c r="I459" s="6"/>
      <c r="J459" s="6" t="s">
        <v>64</v>
      </c>
      <c r="K459" s="6"/>
      <c r="L459" s="6" t="s">
        <v>1568</v>
      </c>
      <c r="M459" s="6"/>
      <c r="N459" s="6" t="s">
        <v>212</v>
      </c>
      <c r="O459" s="6"/>
      <c r="P459" s="6" t="s">
        <v>131</v>
      </c>
      <c r="Q459" s="6"/>
      <c r="R459" s="47" t="s">
        <v>2751</v>
      </c>
      <c r="S459" s="14" t="s">
        <v>4979</v>
      </c>
      <c r="T459" s="14" t="s">
        <v>4980</v>
      </c>
      <c r="U459" s="14" t="s">
        <v>4981</v>
      </c>
      <c r="V459" s="14" t="s">
        <v>4982</v>
      </c>
      <c r="AA459" s="6"/>
      <c r="AB459" s="6" t="s">
        <v>67</v>
      </c>
      <c r="AC459" s="6"/>
      <c r="AD459" s="6" t="s">
        <v>56</v>
      </c>
      <c r="AE459" s="6"/>
      <c r="AF459" s="6" t="s">
        <v>75</v>
      </c>
      <c r="AG459" s="6"/>
      <c r="AH459" s="6" t="s">
        <v>58</v>
      </c>
      <c r="AI459" s="6"/>
      <c r="AJ459" s="6" t="s">
        <v>244</v>
      </c>
    </row>
    <row r="460" spans="1:36" ht="15.75" customHeight="1" x14ac:dyDescent="0.25">
      <c r="A460" s="7">
        <v>43418.783472986106</v>
      </c>
      <c r="B460" s="6" t="s">
        <v>305</v>
      </c>
      <c r="C460" s="6" t="s">
        <v>45</v>
      </c>
      <c r="D460" s="6" t="s">
        <v>307</v>
      </c>
      <c r="E460" s="6" t="s">
        <v>81</v>
      </c>
      <c r="G460" s="6" t="s">
        <v>87</v>
      </c>
      <c r="H460" s="6" t="s">
        <v>1570</v>
      </c>
      <c r="I460" s="6"/>
      <c r="J460" s="6" t="s">
        <v>92</v>
      </c>
      <c r="K460" s="6"/>
      <c r="L460" s="6" t="s">
        <v>757</v>
      </c>
      <c r="M460" s="6"/>
      <c r="N460" s="6" t="s">
        <v>98</v>
      </c>
      <c r="O460" s="6"/>
      <c r="P460" s="6" t="s">
        <v>52</v>
      </c>
      <c r="Q460" s="6"/>
      <c r="AA460" s="6"/>
      <c r="AB460" s="6" t="s">
        <v>101</v>
      </c>
      <c r="AC460" s="6"/>
      <c r="AD460" s="6" t="s">
        <v>56</v>
      </c>
      <c r="AE460" s="6"/>
      <c r="AF460" s="6" t="s">
        <v>205</v>
      </c>
      <c r="AG460" s="6"/>
      <c r="AH460" s="6" t="s">
        <v>58</v>
      </c>
      <c r="AI460" s="6"/>
      <c r="AJ460" s="11" t="s">
        <v>304</v>
      </c>
    </row>
    <row r="461" spans="1:36" ht="15.75" customHeight="1" x14ac:dyDescent="0.25">
      <c r="A461" s="7">
        <v>43418.783509930552</v>
      </c>
      <c r="B461" s="6" t="s">
        <v>60</v>
      </c>
      <c r="C461" s="6" t="s">
        <v>1565</v>
      </c>
      <c r="E461" s="6" t="s">
        <v>81</v>
      </c>
      <c r="G461" s="6" t="s">
        <v>87</v>
      </c>
      <c r="H461" s="6" t="s">
        <v>1572</v>
      </c>
      <c r="I461" s="6"/>
      <c r="J461" s="6" t="s">
        <v>106</v>
      </c>
      <c r="K461" s="6"/>
      <c r="L461" s="6" t="s">
        <v>1573</v>
      </c>
      <c r="M461" s="6"/>
      <c r="N461" s="6" t="s">
        <v>121</v>
      </c>
      <c r="O461" s="6"/>
      <c r="P461" s="6" t="s">
        <v>94</v>
      </c>
      <c r="Q461" s="6"/>
      <c r="R461" s="47" t="s">
        <v>149</v>
      </c>
      <c r="S461" s="14" t="s">
        <v>4617</v>
      </c>
      <c r="T461" s="14" t="s">
        <v>4983</v>
      </c>
      <c r="AA461" s="6"/>
      <c r="AB461" s="6" t="s">
        <v>67</v>
      </c>
      <c r="AC461" s="6"/>
      <c r="AD461" s="6" t="s">
        <v>56</v>
      </c>
      <c r="AE461" s="6"/>
      <c r="AF461" s="6" t="s">
        <v>75</v>
      </c>
      <c r="AG461" s="6"/>
      <c r="AH461" s="6" t="s">
        <v>76</v>
      </c>
      <c r="AI461" s="6"/>
      <c r="AJ461" s="6" t="s">
        <v>77</v>
      </c>
    </row>
    <row r="462" spans="1:36" ht="15.75" customHeight="1" x14ac:dyDescent="0.25">
      <c r="A462" s="7">
        <v>43418.784507627315</v>
      </c>
      <c r="B462" s="6" t="s">
        <v>26</v>
      </c>
      <c r="C462" s="6" t="s">
        <v>45</v>
      </c>
      <c r="D462" s="6" t="s">
        <v>133</v>
      </c>
      <c r="E462" s="6" t="s">
        <v>81</v>
      </c>
      <c r="G462" s="6" t="s">
        <v>87</v>
      </c>
      <c r="J462" s="6" t="s">
        <v>92</v>
      </c>
      <c r="K462" s="6"/>
      <c r="N462" s="6" t="s">
        <v>121</v>
      </c>
      <c r="O462" s="6"/>
      <c r="P462" s="6" t="s">
        <v>131</v>
      </c>
      <c r="Q462" s="6"/>
      <c r="AA462" s="6"/>
      <c r="AB462" s="6" t="s">
        <v>101</v>
      </c>
      <c r="AC462" s="6"/>
      <c r="AD462" s="6" t="s">
        <v>56</v>
      </c>
      <c r="AE462" s="6"/>
      <c r="AF462" s="6" t="s">
        <v>161</v>
      </c>
      <c r="AG462" s="6"/>
      <c r="AH462" s="6" t="s">
        <v>76</v>
      </c>
      <c r="AJ462" s="6" t="s">
        <v>57</v>
      </c>
    </row>
    <row r="463" spans="1:36" ht="15.75" customHeight="1" x14ac:dyDescent="0.25">
      <c r="A463" s="7">
        <v>43418.78629256945</v>
      </c>
      <c r="B463" s="6" t="s">
        <v>30</v>
      </c>
      <c r="C463" s="6" t="s">
        <v>116</v>
      </c>
      <c r="D463" s="6" t="s">
        <v>165</v>
      </c>
      <c r="E463" s="6" t="s">
        <v>81</v>
      </c>
      <c r="G463" s="6" t="s">
        <v>87</v>
      </c>
      <c r="J463" s="6" t="s">
        <v>92</v>
      </c>
      <c r="K463" s="6"/>
      <c r="N463" s="6" t="s">
        <v>212</v>
      </c>
      <c r="O463" s="6"/>
      <c r="P463" s="6" t="s">
        <v>168</v>
      </c>
      <c r="Q463" s="6"/>
      <c r="R463" s="47" t="s">
        <v>4984</v>
      </c>
      <c r="S463" s="14" t="s">
        <v>4527</v>
      </c>
      <c r="T463" s="14" t="s">
        <v>4985</v>
      </c>
      <c r="U463" s="14" t="s">
        <v>4986</v>
      </c>
      <c r="AA463" s="6"/>
      <c r="AB463" s="6" t="s">
        <v>101</v>
      </c>
      <c r="AC463" s="6"/>
      <c r="AD463" s="6" t="s">
        <v>56</v>
      </c>
      <c r="AE463" s="6"/>
      <c r="AF463" s="6" t="s">
        <v>75</v>
      </c>
      <c r="AG463" s="6"/>
      <c r="AH463" s="6" t="s">
        <v>126</v>
      </c>
      <c r="AI463" s="6"/>
      <c r="AJ463" s="6" t="s">
        <v>385</v>
      </c>
    </row>
    <row r="464" spans="1:36" ht="15.75" customHeight="1" x14ac:dyDescent="0.25">
      <c r="A464" s="7">
        <v>43418.786742418983</v>
      </c>
      <c r="B464" s="6" t="s">
        <v>31</v>
      </c>
      <c r="C464" s="6" t="s">
        <v>287</v>
      </c>
      <c r="D464" s="6" t="s">
        <v>510</v>
      </c>
      <c r="E464" s="6" t="s">
        <v>81</v>
      </c>
      <c r="G464" s="6" t="s">
        <v>87</v>
      </c>
      <c r="H464" s="6" t="s">
        <v>1576</v>
      </c>
      <c r="I464" s="6"/>
      <c r="J464" s="6" t="s">
        <v>158</v>
      </c>
      <c r="K464" s="6"/>
      <c r="L464" s="6" t="s">
        <v>1577</v>
      </c>
      <c r="M464" s="6"/>
      <c r="N464" s="6" t="s">
        <v>167</v>
      </c>
      <c r="O464" s="6"/>
      <c r="P464" s="6" t="s">
        <v>168</v>
      </c>
      <c r="Q464" s="6"/>
      <c r="R464" s="47" t="s">
        <v>4987</v>
      </c>
      <c r="S464" s="14" t="s">
        <v>4044</v>
      </c>
      <c r="AA464" s="6"/>
      <c r="AB464" s="6" t="s">
        <v>67</v>
      </c>
      <c r="AC464" s="6"/>
      <c r="AD464" s="6" t="s">
        <v>56</v>
      </c>
      <c r="AE464" s="6"/>
      <c r="AF464" s="6" t="s">
        <v>161</v>
      </c>
      <c r="AG464" s="6"/>
      <c r="AH464" s="6" t="s">
        <v>76</v>
      </c>
      <c r="AI464" s="6"/>
      <c r="AJ464" s="6" t="s">
        <v>313</v>
      </c>
    </row>
    <row r="465" spans="1:36" ht="15.75" customHeight="1" x14ac:dyDescent="0.25">
      <c r="A465" s="7">
        <v>43418.787566874998</v>
      </c>
      <c r="B465" s="6" t="s">
        <v>60</v>
      </c>
      <c r="C465" s="6" t="s">
        <v>776</v>
      </c>
      <c r="D465" s="6" t="s">
        <v>165</v>
      </c>
      <c r="E465" s="6" t="s">
        <v>81</v>
      </c>
      <c r="G465" s="6" t="s">
        <v>87</v>
      </c>
      <c r="H465" s="6" t="s">
        <v>1579</v>
      </c>
      <c r="I465" s="6"/>
      <c r="J465" s="6" t="s">
        <v>106</v>
      </c>
      <c r="K465" s="6"/>
      <c r="L465" s="6" t="s">
        <v>1580</v>
      </c>
      <c r="M465" s="6"/>
      <c r="N465" s="6" t="s">
        <v>112</v>
      </c>
      <c r="O465" s="6"/>
      <c r="P465" s="6" t="s">
        <v>131</v>
      </c>
      <c r="Q465" s="6"/>
      <c r="R465" s="47" t="s">
        <v>3786</v>
      </c>
      <c r="S465" s="14" t="s">
        <v>4432</v>
      </c>
      <c r="T465" s="14" t="s">
        <v>4988</v>
      </c>
      <c r="U465" s="14" t="s">
        <v>4989</v>
      </c>
      <c r="AA465" s="6"/>
      <c r="AB465" s="6" t="s">
        <v>55</v>
      </c>
      <c r="AC465" s="6"/>
      <c r="AD465" s="6" t="s">
        <v>56</v>
      </c>
      <c r="AE465" s="6"/>
      <c r="AF465" s="6" t="s">
        <v>75</v>
      </c>
      <c r="AG465" s="6"/>
      <c r="AH465" s="6" t="s">
        <v>126</v>
      </c>
      <c r="AI465" s="6"/>
      <c r="AJ465" s="6" t="s">
        <v>309</v>
      </c>
    </row>
    <row r="466" spans="1:36" ht="15.75" customHeight="1" x14ac:dyDescent="0.25">
      <c r="A466" s="7">
        <v>43418.789040902775</v>
      </c>
      <c r="B466" s="6" t="s">
        <v>30</v>
      </c>
      <c r="C466" s="6" t="s">
        <v>1582</v>
      </c>
      <c r="D466" s="6" t="s">
        <v>46</v>
      </c>
      <c r="E466" s="6" t="s">
        <v>48</v>
      </c>
      <c r="F466" s="6" t="s">
        <v>1583</v>
      </c>
      <c r="G466" s="6" t="s">
        <v>48</v>
      </c>
      <c r="H466" s="6" t="s">
        <v>1584</v>
      </c>
      <c r="I466" s="6"/>
      <c r="J466" s="6" t="s">
        <v>64</v>
      </c>
      <c r="K466" s="6"/>
      <c r="L466" s="6" t="s">
        <v>1585</v>
      </c>
      <c r="M466" s="6"/>
      <c r="N466" s="6" t="s">
        <v>212</v>
      </c>
      <c r="O466" s="6"/>
      <c r="P466" s="6" t="s">
        <v>131</v>
      </c>
      <c r="Q466" s="6"/>
      <c r="R466" s="47" t="s">
        <v>3572</v>
      </c>
      <c r="S466" s="14" t="s">
        <v>4990</v>
      </c>
      <c r="T466" s="14" t="s">
        <v>3994</v>
      </c>
      <c r="AA466" s="6"/>
      <c r="AB466" s="6" t="s">
        <v>203</v>
      </c>
      <c r="AC466" s="6"/>
      <c r="AD466" s="6" t="s">
        <v>56</v>
      </c>
      <c r="AE466" s="6"/>
      <c r="AF466" s="6" t="s">
        <v>161</v>
      </c>
      <c r="AG466" s="6"/>
      <c r="AH466" s="6" t="s">
        <v>76</v>
      </c>
      <c r="AI466" s="6"/>
      <c r="AJ466" s="6" t="s">
        <v>293</v>
      </c>
    </row>
    <row r="467" spans="1:36" ht="15.75" customHeight="1" x14ac:dyDescent="0.25">
      <c r="A467" s="7">
        <v>43418.791708229168</v>
      </c>
      <c r="B467" s="6" t="s">
        <v>30</v>
      </c>
      <c r="C467" s="6" t="s">
        <v>971</v>
      </c>
      <c r="D467" s="6" t="s">
        <v>133</v>
      </c>
      <c r="E467" s="6" t="s">
        <v>81</v>
      </c>
      <c r="G467" s="6" t="s">
        <v>87</v>
      </c>
      <c r="H467" s="6" t="s">
        <v>1587</v>
      </c>
      <c r="I467" s="6"/>
      <c r="J467" s="6" t="s">
        <v>92</v>
      </c>
      <c r="K467" s="6"/>
      <c r="L467" s="6" t="s">
        <v>1588</v>
      </c>
      <c r="M467" s="6"/>
      <c r="N467" s="6" t="s">
        <v>51</v>
      </c>
      <c r="O467" s="6"/>
      <c r="P467" s="6" t="s">
        <v>52</v>
      </c>
      <c r="Q467" s="6"/>
      <c r="AA467" s="6"/>
      <c r="AB467" s="6" t="s">
        <v>101</v>
      </c>
      <c r="AC467" s="6"/>
      <c r="AD467" s="6" t="s">
        <v>56</v>
      </c>
      <c r="AE467" s="6"/>
      <c r="AF467" s="6" t="s">
        <v>75</v>
      </c>
      <c r="AG467" s="6"/>
      <c r="AH467" s="6" t="s">
        <v>76</v>
      </c>
      <c r="AI467" s="6"/>
      <c r="AJ467" s="6" t="s">
        <v>260</v>
      </c>
    </row>
    <row r="468" spans="1:36" ht="15.75" customHeight="1" x14ac:dyDescent="0.25">
      <c r="A468" s="7">
        <v>43418.791909097221</v>
      </c>
      <c r="B468" s="6" t="s">
        <v>463</v>
      </c>
      <c r="C468" s="6" t="s">
        <v>128</v>
      </c>
      <c r="D468" s="6" t="s">
        <v>163</v>
      </c>
      <c r="E468" s="6" t="s">
        <v>81</v>
      </c>
      <c r="G468" s="6" t="s">
        <v>87</v>
      </c>
      <c r="H468" s="6" t="s">
        <v>1589</v>
      </c>
      <c r="I468" s="6"/>
      <c r="J468" s="6" t="s">
        <v>110</v>
      </c>
      <c r="K468" s="6"/>
      <c r="L468" s="6" t="s">
        <v>1590</v>
      </c>
      <c r="M468" s="6"/>
      <c r="N468" s="6" t="s">
        <v>51</v>
      </c>
      <c r="O468" s="6"/>
      <c r="P468" s="6" t="s">
        <v>52</v>
      </c>
      <c r="Q468" s="6"/>
      <c r="R468" s="47" t="s">
        <v>2905</v>
      </c>
      <c r="S468" s="14" t="s">
        <v>4991</v>
      </c>
      <c r="T468" s="14" t="s">
        <v>4992</v>
      </c>
      <c r="U468" s="14" t="s">
        <v>4993</v>
      </c>
      <c r="AA468" s="6"/>
      <c r="AB468" s="6" t="s">
        <v>67</v>
      </c>
      <c r="AC468" s="6"/>
      <c r="AD468" s="6" t="s">
        <v>56</v>
      </c>
      <c r="AE468" s="6"/>
      <c r="AF468" s="6" t="s">
        <v>161</v>
      </c>
      <c r="AG468" s="6"/>
      <c r="AH468" s="6" t="s">
        <v>126</v>
      </c>
      <c r="AI468" s="6"/>
      <c r="AJ468" s="6" t="s">
        <v>132</v>
      </c>
    </row>
    <row r="469" spans="1:36" ht="15.75" customHeight="1" x14ac:dyDescent="0.25">
      <c r="A469" s="7">
        <v>43418.793423854164</v>
      </c>
      <c r="B469" s="6" t="s">
        <v>60</v>
      </c>
      <c r="C469" s="6" t="s">
        <v>663</v>
      </c>
      <c r="D469" s="6" t="s">
        <v>133</v>
      </c>
      <c r="E469" s="6" t="s">
        <v>81</v>
      </c>
      <c r="G469" s="6" t="s">
        <v>87</v>
      </c>
      <c r="H469" s="6" t="s">
        <v>1592</v>
      </c>
      <c r="I469" s="6"/>
      <c r="J469" s="6" t="s">
        <v>89</v>
      </c>
      <c r="K469" s="6"/>
      <c r="N469" s="6" t="s">
        <v>98</v>
      </c>
      <c r="O469" s="6"/>
      <c r="P469" s="6" t="s">
        <v>94</v>
      </c>
      <c r="Q469" s="6"/>
      <c r="AA469" s="6"/>
      <c r="AB469" s="6" t="s">
        <v>101</v>
      </c>
      <c r="AC469" s="6"/>
      <c r="AD469" s="6" t="s">
        <v>56</v>
      </c>
      <c r="AE469" s="6"/>
      <c r="AF469" s="6" t="s">
        <v>75</v>
      </c>
      <c r="AG469" s="6"/>
      <c r="AH469" s="6" t="s">
        <v>76</v>
      </c>
      <c r="AJ469" s="6" t="s">
        <v>57</v>
      </c>
    </row>
    <row r="470" spans="1:36" ht="15.75" customHeight="1" x14ac:dyDescent="0.25">
      <c r="A470" s="7">
        <v>43418.793616689814</v>
      </c>
      <c r="B470" s="6" t="s">
        <v>60</v>
      </c>
      <c r="C470" s="6" t="s">
        <v>90</v>
      </c>
      <c r="D470" s="6" t="s">
        <v>91</v>
      </c>
      <c r="E470" s="6" t="s">
        <v>48</v>
      </c>
      <c r="F470" s="6" t="s">
        <v>36</v>
      </c>
      <c r="G470" s="6" t="s">
        <v>48</v>
      </c>
      <c r="H470" s="6" t="s">
        <v>1593</v>
      </c>
      <c r="I470" s="6"/>
      <c r="J470" s="6" t="s">
        <v>64</v>
      </c>
      <c r="K470" s="6"/>
      <c r="L470" s="6" t="s">
        <v>1594</v>
      </c>
      <c r="M470" s="6"/>
      <c r="N470" s="6" t="s">
        <v>51</v>
      </c>
      <c r="O470" s="6"/>
      <c r="P470" s="6" t="s">
        <v>52</v>
      </c>
      <c r="Q470" s="6"/>
      <c r="R470" s="47" t="s">
        <v>3270</v>
      </c>
      <c r="S470" s="14" t="s">
        <v>4994</v>
      </c>
      <c r="T470" s="14" t="s">
        <v>4995</v>
      </c>
      <c r="U470" s="14" t="s">
        <v>4996</v>
      </c>
      <c r="V470" s="14" t="s">
        <v>4997</v>
      </c>
      <c r="W470" s="14" t="s">
        <v>4998</v>
      </c>
      <c r="X470" s="14" t="s">
        <v>4865</v>
      </c>
      <c r="Y470" s="14" t="s">
        <v>4999</v>
      </c>
      <c r="Z470" s="14" t="s">
        <v>5000</v>
      </c>
      <c r="AA470" s="6"/>
      <c r="AB470" s="6" t="s">
        <v>101</v>
      </c>
      <c r="AC470" s="6"/>
      <c r="AD470" s="6" t="s">
        <v>56</v>
      </c>
      <c r="AE470" s="6"/>
      <c r="AF470" s="6" t="s">
        <v>75</v>
      </c>
      <c r="AG470" s="6"/>
      <c r="AH470" s="6" t="s">
        <v>126</v>
      </c>
      <c r="AI470" s="6"/>
      <c r="AJ470" s="6" t="s">
        <v>77</v>
      </c>
    </row>
    <row r="471" spans="1:36" ht="15.75" customHeight="1" x14ac:dyDescent="0.25">
      <c r="A471" s="7">
        <v>43418.794084618057</v>
      </c>
      <c r="B471" s="6" t="s">
        <v>30</v>
      </c>
      <c r="C471" s="6" t="s">
        <v>95</v>
      </c>
      <c r="D471" s="6" t="s">
        <v>46</v>
      </c>
      <c r="E471" s="6" t="s">
        <v>48</v>
      </c>
      <c r="F471" s="6" t="s">
        <v>1596</v>
      </c>
      <c r="G471" s="6" t="s">
        <v>48</v>
      </c>
      <c r="H471" s="6" t="s">
        <v>142</v>
      </c>
      <c r="I471" s="6"/>
      <c r="J471" s="6" t="s">
        <v>92</v>
      </c>
      <c r="K471" s="6"/>
      <c r="L471" s="6" t="s">
        <v>1597</v>
      </c>
      <c r="M471" s="6"/>
      <c r="N471" s="6" t="s">
        <v>98</v>
      </c>
      <c r="O471" s="6"/>
      <c r="P471" s="6" t="s">
        <v>94</v>
      </c>
      <c r="Q471" s="6"/>
      <c r="AA471" s="6"/>
      <c r="AB471" s="6" t="s">
        <v>67</v>
      </c>
      <c r="AC471" s="6"/>
      <c r="AD471" s="6" t="s">
        <v>56</v>
      </c>
      <c r="AE471" s="6"/>
      <c r="AF471" s="6" t="s">
        <v>68</v>
      </c>
      <c r="AG471" s="6"/>
      <c r="AH471" s="6" t="s">
        <v>126</v>
      </c>
      <c r="AJ471" s="6" t="s">
        <v>57</v>
      </c>
    </row>
    <row r="472" spans="1:36" ht="15.75" customHeight="1" x14ac:dyDescent="0.25">
      <c r="A472" s="7">
        <v>43418.794879421301</v>
      </c>
      <c r="B472" s="6" t="s">
        <v>1598</v>
      </c>
      <c r="C472" s="6" t="s">
        <v>705</v>
      </c>
      <c r="D472" s="6" t="s">
        <v>163</v>
      </c>
      <c r="E472" s="6" t="s">
        <v>48</v>
      </c>
      <c r="F472" s="6" t="s">
        <v>1599</v>
      </c>
      <c r="G472" s="6" t="s">
        <v>48</v>
      </c>
      <c r="J472" s="6" t="s">
        <v>73</v>
      </c>
      <c r="K472" s="6"/>
      <c r="L472" s="6" t="s">
        <v>1600</v>
      </c>
      <c r="M472" s="6"/>
      <c r="N472" s="6" t="s">
        <v>181</v>
      </c>
      <c r="O472" s="6"/>
      <c r="P472" s="6" t="s">
        <v>131</v>
      </c>
      <c r="Q472" s="6"/>
      <c r="R472" s="47" t="s">
        <v>507</v>
      </c>
      <c r="S472" s="14" t="s">
        <v>5002</v>
      </c>
      <c r="T472" s="14" t="s">
        <v>4404</v>
      </c>
      <c r="U472" s="14" t="s">
        <v>4400</v>
      </c>
      <c r="AA472" s="6"/>
      <c r="AB472" s="6" t="s">
        <v>67</v>
      </c>
      <c r="AC472" s="6"/>
      <c r="AD472" s="6" t="s">
        <v>56</v>
      </c>
      <c r="AE472" s="6"/>
      <c r="AF472" s="6" t="s">
        <v>75</v>
      </c>
      <c r="AG472" s="6"/>
      <c r="AH472" s="6" t="s">
        <v>126</v>
      </c>
      <c r="AI472" s="6"/>
      <c r="AJ472" s="6" t="s">
        <v>132</v>
      </c>
    </row>
    <row r="473" spans="1:36" ht="15.75" customHeight="1" x14ac:dyDescent="0.25">
      <c r="A473" s="7">
        <v>43418.794996226847</v>
      </c>
      <c r="B473" s="6" t="s">
        <v>30</v>
      </c>
      <c r="C473" s="6" t="s">
        <v>79</v>
      </c>
      <c r="D473" s="6" t="s">
        <v>91</v>
      </c>
      <c r="E473" s="6" t="s">
        <v>48</v>
      </c>
      <c r="F473" s="6" t="s">
        <v>1602</v>
      </c>
      <c r="G473" s="6" t="s">
        <v>48</v>
      </c>
      <c r="H473" s="6" t="s">
        <v>1603</v>
      </c>
      <c r="I473" s="6"/>
      <c r="J473" s="6" t="s">
        <v>110</v>
      </c>
      <c r="K473" s="6"/>
      <c r="L473" s="6" t="s">
        <v>1604</v>
      </c>
      <c r="M473" s="6"/>
      <c r="N473" s="6" t="s">
        <v>112</v>
      </c>
      <c r="O473" s="6"/>
      <c r="P473" s="6" t="s">
        <v>131</v>
      </c>
      <c r="Q473" s="6"/>
      <c r="R473" s="47" t="s">
        <v>2905</v>
      </c>
      <c r="S473" s="14" t="s">
        <v>5003</v>
      </c>
      <c r="AA473" s="6"/>
      <c r="AB473" s="6" t="s">
        <v>203</v>
      </c>
      <c r="AC473" s="6"/>
      <c r="AD473" s="6" t="s">
        <v>56</v>
      </c>
      <c r="AE473" s="6"/>
      <c r="AF473" s="6" t="s">
        <v>75</v>
      </c>
      <c r="AG473" s="6"/>
      <c r="AH473" s="11" t="s">
        <v>58</v>
      </c>
      <c r="AI473" s="6"/>
      <c r="AJ473" s="11" t="s">
        <v>256</v>
      </c>
    </row>
    <row r="474" spans="1:36" ht="15.75" customHeight="1" x14ac:dyDescent="0.25">
      <c r="A474" s="7">
        <v>43418.796003750002</v>
      </c>
      <c r="B474" s="6" t="s">
        <v>30</v>
      </c>
      <c r="C474" s="6" t="s">
        <v>95</v>
      </c>
      <c r="D474" s="6" t="s">
        <v>165</v>
      </c>
      <c r="E474" s="6" t="s">
        <v>48</v>
      </c>
      <c r="F474" s="6" t="s">
        <v>1606</v>
      </c>
      <c r="G474" s="6" t="s">
        <v>48</v>
      </c>
      <c r="H474" s="6" t="s">
        <v>1607</v>
      </c>
      <c r="I474" s="6"/>
      <c r="J474" s="6" t="s">
        <v>89</v>
      </c>
      <c r="K474" s="6"/>
      <c r="L474" s="6" t="s">
        <v>1608</v>
      </c>
      <c r="M474" s="6"/>
      <c r="N474" s="6" t="s">
        <v>181</v>
      </c>
      <c r="O474" s="6"/>
      <c r="P474" s="6" t="s">
        <v>99</v>
      </c>
      <c r="Q474" s="6"/>
      <c r="R474" s="47" t="s">
        <v>182</v>
      </c>
      <c r="S474" s="14" t="s">
        <v>4599</v>
      </c>
      <c r="T474" s="14" t="s">
        <v>5004</v>
      </c>
      <c r="AA474" s="6"/>
      <c r="AB474" s="6" t="s">
        <v>67</v>
      </c>
      <c r="AC474" s="6"/>
      <c r="AD474" s="6" t="s">
        <v>56</v>
      </c>
      <c r="AE474" s="6"/>
      <c r="AF474" s="6" t="s">
        <v>75</v>
      </c>
      <c r="AG474" s="6"/>
      <c r="AH474" s="6" t="s">
        <v>76</v>
      </c>
      <c r="AI474" s="6"/>
      <c r="AJ474" s="6" t="s">
        <v>77</v>
      </c>
    </row>
    <row r="475" spans="1:36" ht="15.75" customHeight="1" x14ac:dyDescent="0.25">
      <c r="A475" s="7">
        <v>43418.796100509258</v>
      </c>
      <c r="B475" s="6" t="s">
        <v>1610</v>
      </c>
      <c r="C475" s="6" t="s">
        <v>215</v>
      </c>
      <c r="D475" s="6" t="s">
        <v>46</v>
      </c>
      <c r="E475" s="6" t="s">
        <v>48</v>
      </c>
      <c r="F475" s="6" t="s">
        <v>1611</v>
      </c>
      <c r="G475" s="6" t="s">
        <v>48</v>
      </c>
      <c r="H475" s="6" t="s">
        <v>1612</v>
      </c>
      <c r="I475" s="6"/>
      <c r="J475" s="6" t="s">
        <v>158</v>
      </c>
      <c r="K475" s="6"/>
      <c r="L475" s="6" t="s">
        <v>1613</v>
      </c>
      <c r="M475" s="6"/>
      <c r="N475" s="6" t="s">
        <v>212</v>
      </c>
      <c r="O475" s="6"/>
      <c r="P475" s="6" t="s">
        <v>131</v>
      </c>
      <c r="Q475" s="6"/>
      <c r="R475" s="47" t="s">
        <v>5005</v>
      </c>
      <c r="S475" s="14" t="s">
        <v>5006</v>
      </c>
      <c r="AA475" s="6"/>
      <c r="AB475" s="6" t="s">
        <v>67</v>
      </c>
      <c r="AC475" s="6"/>
      <c r="AD475" s="6" t="s">
        <v>56</v>
      </c>
      <c r="AE475" s="6"/>
      <c r="AF475" s="6" t="s">
        <v>68</v>
      </c>
      <c r="AG475" s="6"/>
      <c r="AH475" s="6" t="s">
        <v>58</v>
      </c>
      <c r="AI475" s="6"/>
      <c r="AJ475" s="6" t="s">
        <v>244</v>
      </c>
    </row>
    <row r="476" spans="1:36" ht="15.75" customHeight="1" x14ac:dyDescent="0.25">
      <c r="A476" s="7">
        <v>43418.796109224539</v>
      </c>
      <c r="B476" s="6" t="s">
        <v>28</v>
      </c>
      <c r="C476" s="6" t="s">
        <v>971</v>
      </c>
      <c r="D476" s="6" t="s">
        <v>133</v>
      </c>
      <c r="E476" s="6" t="s">
        <v>81</v>
      </c>
      <c r="G476" s="6" t="s">
        <v>87</v>
      </c>
      <c r="H476" s="6" t="s">
        <v>1615</v>
      </c>
      <c r="I476" s="6"/>
      <c r="J476" s="6" t="s">
        <v>158</v>
      </c>
      <c r="K476" s="6"/>
      <c r="L476" s="6" t="s">
        <v>1616</v>
      </c>
      <c r="M476" s="6"/>
      <c r="N476" s="6" t="s">
        <v>121</v>
      </c>
      <c r="O476" s="6"/>
      <c r="P476" s="6" t="s">
        <v>94</v>
      </c>
      <c r="Q476" s="6"/>
      <c r="R476" s="47" t="s">
        <v>1617</v>
      </c>
      <c r="AA476" s="6"/>
      <c r="AB476" s="6" t="s">
        <v>67</v>
      </c>
      <c r="AC476" s="6"/>
      <c r="AD476" s="6" t="s">
        <v>56</v>
      </c>
      <c r="AE476" s="6"/>
      <c r="AF476" s="6" t="s">
        <v>75</v>
      </c>
      <c r="AG476" s="6"/>
      <c r="AH476" s="6" t="s">
        <v>58</v>
      </c>
      <c r="AI476" s="6"/>
      <c r="AJ476" s="6" t="s">
        <v>115</v>
      </c>
    </row>
    <row r="477" spans="1:36" ht="15.75" customHeight="1" x14ac:dyDescent="0.25">
      <c r="A477" s="7">
        <v>43418.796244664351</v>
      </c>
      <c r="B477" s="6" t="s">
        <v>30</v>
      </c>
      <c r="C477" s="6" t="s">
        <v>45</v>
      </c>
      <c r="D477" s="6" t="s">
        <v>46</v>
      </c>
      <c r="E477" s="6" t="s">
        <v>81</v>
      </c>
      <c r="G477" s="6" t="s">
        <v>48</v>
      </c>
      <c r="H477" s="6" t="s">
        <v>86</v>
      </c>
      <c r="I477" s="6"/>
      <c r="P477" s="6" t="s">
        <v>168</v>
      </c>
      <c r="Q477" s="6"/>
      <c r="R477" s="47" t="s">
        <v>3402</v>
      </c>
      <c r="S477" s="14" t="s">
        <v>5007</v>
      </c>
      <c r="T477" s="14" t="s">
        <v>4400</v>
      </c>
      <c r="AA477" s="6"/>
      <c r="AB477" s="6" t="s">
        <v>101</v>
      </c>
      <c r="AC477" s="6"/>
      <c r="AD477" s="6" t="s">
        <v>56</v>
      </c>
      <c r="AE477" s="6"/>
      <c r="AF477" s="6" t="s">
        <v>68</v>
      </c>
      <c r="AG477" s="6"/>
      <c r="AH477" s="6" t="s">
        <v>58</v>
      </c>
      <c r="AI477" s="6"/>
      <c r="AJ477" s="11" t="s">
        <v>304</v>
      </c>
    </row>
    <row r="478" spans="1:36" ht="15.75" customHeight="1" x14ac:dyDescent="0.25">
      <c r="A478" s="7">
        <v>43418.796501817131</v>
      </c>
      <c r="B478" s="6" t="s">
        <v>60</v>
      </c>
      <c r="C478" s="6" t="s">
        <v>128</v>
      </c>
      <c r="D478" s="6" t="s">
        <v>138</v>
      </c>
      <c r="E478" s="6" t="s">
        <v>81</v>
      </c>
      <c r="G478" s="6" t="s">
        <v>48</v>
      </c>
      <c r="H478" s="6" t="s">
        <v>1619</v>
      </c>
      <c r="I478" s="6"/>
      <c r="J478" s="6" t="s">
        <v>92</v>
      </c>
      <c r="K478" s="6"/>
      <c r="L478" s="6" t="s">
        <v>1620</v>
      </c>
      <c r="M478" s="6"/>
      <c r="N478" s="6" t="s">
        <v>212</v>
      </c>
      <c r="O478" s="6"/>
      <c r="P478" s="6" t="s">
        <v>99</v>
      </c>
      <c r="Q478" s="6"/>
      <c r="AA478" s="6"/>
      <c r="AB478" s="6" t="s">
        <v>67</v>
      </c>
      <c r="AC478" s="6"/>
      <c r="AD478" s="6" t="s">
        <v>56</v>
      </c>
      <c r="AE478" s="6"/>
      <c r="AF478" s="6" t="s">
        <v>68</v>
      </c>
      <c r="AG478" s="6"/>
      <c r="AH478" s="6" t="s">
        <v>58</v>
      </c>
      <c r="AI478" s="6"/>
      <c r="AJ478" s="6" t="s">
        <v>115</v>
      </c>
    </row>
    <row r="479" spans="1:36" ht="15.75" customHeight="1" x14ac:dyDescent="0.25">
      <c r="A479" s="7">
        <v>43418.797545983798</v>
      </c>
      <c r="B479" s="6" t="s">
        <v>30</v>
      </c>
      <c r="C479" s="6" t="s">
        <v>79</v>
      </c>
      <c r="D479" s="6" t="s">
        <v>165</v>
      </c>
      <c r="E479" s="6" t="s">
        <v>81</v>
      </c>
      <c r="G479" s="6" t="s">
        <v>87</v>
      </c>
      <c r="H479" s="6" t="s">
        <v>1621</v>
      </c>
      <c r="I479" s="6"/>
      <c r="J479" s="6" t="s">
        <v>184</v>
      </c>
      <c r="K479" s="6"/>
      <c r="N479" s="6" t="s">
        <v>98</v>
      </c>
      <c r="O479" s="6"/>
      <c r="P479" s="6" t="s">
        <v>94</v>
      </c>
      <c r="Q479" s="6"/>
      <c r="R479" s="47" t="s">
        <v>2905</v>
      </c>
      <c r="S479" s="14" t="s">
        <v>5008</v>
      </c>
      <c r="T479" s="14" t="s">
        <v>5009</v>
      </c>
      <c r="U479" s="14" t="s">
        <v>5010</v>
      </c>
      <c r="V479" s="14" t="s">
        <v>5011</v>
      </c>
      <c r="AA479" s="6"/>
      <c r="AB479" s="6" t="s">
        <v>67</v>
      </c>
      <c r="AC479" s="6"/>
      <c r="AD479" s="6" t="s">
        <v>56</v>
      </c>
      <c r="AE479" s="6"/>
      <c r="AF479" s="6" t="s">
        <v>75</v>
      </c>
      <c r="AG479" s="6"/>
      <c r="AH479" s="6" t="s">
        <v>76</v>
      </c>
      <c r="AI479" s="6"/>
      <c r="AJ479" s="11" t="s">
        <v>256</v>
      </c>
    </row>
    <row r="480" spans="1:36" ht="15.75" customHeight="1" x14ac:dyDescent="0.25">
      <c r="A480" s="7">
        <v>43418.797818067134</v>
      </c>
      <c r="B480" s="6" t="s">
        <v>294</v>
      </c>
      <c r="C480" s="6" t="s">
        <v>656</v>
      </c>
      <c r="D480" s="6" t="s">
        <v>46</v>
      </c>
      <c r="E480" s="6" t="s">
        <v>48</v>
      </c>
      <c r="F480" s="6" t="s">
        <v>1623</v>
      </c>
      <c r="G480" s="6" t="s">
        <v>48</v>
      </c>
      <c r="H480" s="6" t="s">
        <v>1624</v>
      </c>
      <c r="I480" s="6"/>
      <c r="J480" s="6" t="s">
        <v>73</v>
      </c>
      <c r="K480" s="6"/>
      <c r="L480" s="6" t="s">
        <v>1625</v>
      </c>
      <c r="M480" s="6"/>
      <c r="N480" s="6" t="s">
        <v>98</v>
      </c>
      <c r="O480" s="6"/>
      <c r="P480" s="6" t="s">
        <v>131</v>
      </c>
      <c r="Q480" s="6"/>
      <c r="R480" s="47" t="s">
        <v>182</v>
      </c>
      <c r="S480" s="14" t="s">
        <v>4575</v>
      </c>
      <c r="T480" s="14" t="s">
        <v>4632</v>
      </c>
      <c r="U480" s="14" t="s">
        <v>4389</v>
      </c>
      <c r="V480" s="14" t="s">
        <v>5012</v>
      </c>
      <c r="W480" s="14" t="s">
        <v>5013</v>
      </c>
      <c r="X480" s="14" t="s">
        <v>5014</v>
      </c>
      <c r="Y480" s="14" t="s">
        <v>5015</v>
      </c>
      <c r="AA480" s="6"/>
      <c r="AB480" s="6" t="s">
        <v>55</v>
      </c>
      <c r="AC480" s="6"/>
      <c r="AD480" s="6" t="s">
        <v>56</v>
      </c>
      <c r="AE480" s="6"/>
      <c r="AF480" s="6" t="s">
        <v>68</v>
      </c>
      <c r="AG480" s="6"/>
      <c r="AH480" s="6" t="s">
        <v>58</v>
      </c>
      <c r="AI480" s="6"/>
      <c r="AJ480" s="11" t="s">
        <v>77</v>
      </c>
    </row>
    <row r="481" spans="1:36" ht="15.75" customHeight="1" x14ac:dyDescent="0.25">
      <c r="A481" s="7">
        <v>43418.800573206019</v>
      </c>
      <c r="B481" s="6" t="s">
        <v>30</v>
      </c>
      <c r="C481" s="6" t="s">
        <v>349</v>
      </c>
      <c r="D481" s="6" t="s">
        <v>510</v>
      </c>
      <c r="E481" s="6" t="s">
        <v>81</v>
      </c>
      <c r="G481" s="6" t="s">
        <v>48</v>
      </c>
      <c r="H481" s="6" t="s">
        <v>1628</v>
      </c>
      <c r="I481" s="6"/>
      <c r="J481" s="6" t="s">
        <v>158</v>
      </c>
      <c r="K481" s="6"/>
      <c r="L481" s="6" t="s">
        <v>1629</v>
      </c>
      <c r="M481" s="6"/>
      <c r="N481" s="6" t="s">
        <v>212</v>
      </c>
      <c r="O481" s="6"/>
      <c r="P481" s="6" t="s">
        <v>99</v>
      </c>
      <c r="Q481" s="6"/>
      <c r="R481" s="47" t="s">
        <v>1570</v>
      </c>
      <c r="AA481" s="6"/>
      <c r="AB481" s="6" t="s">
        <v>101</v>
      </c>
      <c r="AD481" s="6" t="s">
        <v>56</v>
      </c>
      <c r="AE481" s="6"/>
      <c r="AF481" s="6" t="s">
        <v>68</v>
      </c>
      <c r="AG481" s="6"/>
      <c r="AH481" s="6" t="s">
        <v>57</v>
      </c>
      <c r="AI481" s="6"/>
      <c r="AJ481" s="6" t="s">
        <v>115</v>
      </c>
    </row>
    <row r="482" spans="1:36" ht="15.75" customHeight="1" x14ac:dyDescent="0.25">
      <c r="A482" s="7">
        <v>43418.801322060186</v>
      </c>
      <c r="B482" s="6" t="s">
        <v>30</v>
      </c>
      <c r="C482" s="6" t="s">
        <v>306</v>
      </c>
      <c r="D482" s="6" t="s">
        <v>155</v>
      </c>
      <c r="E482" s="6" t="s">
        <v>81</v>
      </c>
      <c r="G482" s="6" t="s">
        <v>87</v>
      </c>
      <c r="H482" s="6" t="s">
        <v>1630</v>
      </c>
      <c r="I482" s="6"/>
      <c r="J482" s="6" t="s">
        <v>73</v>
      </c>
      <c r="K482" s="6"/>
      <c r="L482" s="6" t="s">
        <v>1631</v>
      </c>
      <c r="M482" s="6"/>
      <c r="N482" s="6" t="s">
        <v>181</v>
      </c>
      <c r="O482" s="6"/>
      <c r="P482" s="6" t="s">
        <v>131</v>
      </c>
      <c r="Q482" s="6"/>
      <c r="R482" s="47" t="s">
        <v>3851</v>
      </c>
      <c r="S482" s="14" t="s">
        <v>5016</v>
      </c>
      <c r="AA482" s="6"/>
      <c r="AB482" s="6" t="s">
        <v>67</v>
      </c>
      <c r="AC482" s="6"/>
      <c r="AD482" s="6" t="s">
        <v>56</v>
      </c>
      <c r="AE482" s="6"/>
      <c r="AF482" s="6" t="s">
        <v>68</v>
      </c>
      <c r="AG482" s="6"/>
      <c r="AH482" s="6" t="s">
        <v>126</v>
      </c>
      <c r="AI482" s="6"/>
      <c r="AJ482" s="6" t="s">
        <v>295</v>
      </c>
    </row>
    <row r="483" spans="1:36" ht="15.75" customHeight="1" x14ac:dyDescent="0.25">
      <c r="A483" s="7">
        <v>43418.801724502315</v>
      </c>
      <c r="B483" s="6" t="s">
        <v>30</v>
      </c>
      <c r="C483" s="6" t="s">
        <v>95</v>
      </c>
      <c r="D483" s="6" t="s">
        <v>46</v>
      </c>
      <c r="E483" s="6" t="s">
        <v>48</v>
      </c>
      <c r="F483" s="6" t="s">
        <v>277</v>
      </c>
      <c r="G483" s="6" t="s">
        <v>48</v>
      </c>
      <c r="H483" s="6" t="s">
        <v>1633</v>
      </c>
      <c r="I483" s="6"/>
      <c r="J483" s="6" t="s">
        <v>50</v>
      </c>
      <c r="K483" s="6"/>
      <c r="L483" s="6" t="s">
        <v>1634</v>
      </c>
      <c r="M483" s="6"/>
      <c r="N483" s="6" t="s">
        <v>181</v>
      </c>
      <c r="O483" s="6"/>
      <c r="P483" s="6" t="s">
        <v>131</v>
      </c>
      <c r="Q483" s="6"/>
      <c r="R483" s="47" t="s">
        <v>5017</v>
      </c>
      <c r="S483" s="14" t="s">
        <v>5018</v>
      </c>
      <c r="T483" s="14" t="s">
        <v>4425</v>
      </c>
      <c r="AA483" s="6"/>
      <c r="AB483" s="6" t="s">
        <v>67</v>
      </c>
      <c r="AC483" s="6"/>
      <c r="AD483" s="6" t="s">
        <v>56</v>
      </c>
      <c r="AE483" s="6"/>
      <c r="AF483" s="6" t="s">
        <v>68</v>
      </c>
      <c r="AG483" s="6"/>
      <c r="AH483" s="6" t="s">
        <v>58</v>
      </c>
      <c r="AI483" s="6"/>
      <c r="AJ483" s="6" t="s">
        <v>187</v>
      </c>
    </row>
    <row r="484" spans="1:36" ht="15.75" customHeight="1" x14ac:dyDescent="0.25">
      <c r="A484" s="7">
        <v>43418.802031921296</v>
      </c>
      <c r="B484" s="6" t="s">
        <v>30</v>
      </c>
      <c r="C484" s="6" t="s">
        <v>79</v>
      </c>
      <c r="D484" s="6" t="s">
        <v>46</v>
      </c>
      <c r="E484" s="6" t="s">
        <v>48</v>
      </c>
      <c r="F484" s="6" t="s">
        <v>1636</v>
      </c>
      <c r="G484" s="6" t="s">
        <v>81</v>
      </c>
      <c r="H484" s="6" t="s">
        <v>1637</v>
      </c>
      <c r="I484" s="6"/>
      <c r="J484" s="6" t="s">
        <v>73</v>
      </c>
      <c r="K484" s="6"/>
      <c r="L484" s="6" t="s">
        <v>1638</v>
      </c>
      <c r="M484" s="6"/>
      <c r="N484" s="6" t="s">
        <v>112</v>
      </c>
      <c r="O484" s="6"/>
      <c r="P484" s="6" t="s">
        <v>52</v>
      </c>
      <c r="Q484" s="6"/>
      <c r="R484" s="47" t="s">
        <v>5019</v>
      </c>
      <c r="S484" s="14" t="s">
        <v>5020</v>
      </c>
      <c r="AA484" s="6"/>
      <c r="AB484" s="6" t="s">
        <v>67</v>
      </c>
      <c r="AC484" s="6"/>
      <c r="AD484" s="6" t="s">
        <v>56</v>
      </c>
      <c r="AE484" s="6"/>
      <c r="AF484" s="6" t="s">
        <v>68</v>
      </c>
      <c r="AG484" s="6"/>
      <c r="AH484" s="6" t="s">
        <v>58</v>
      </c>
      <c r="AI484" s="6"/>
      <c r="AJ484" s="6" t="s">
        <v>115</v>
      </c>
    </row>
    <row r="485" spans="1:36" ht="15.75" customHeight="1" x14ac:dyDescent="0.25">
      <c r="A485" s="7">
        <v>43418.802184432869</v>
      </c>
      <c r="B485" s="6" t="s">
        <v>30</v>
      </c>
      <c r="C485" s="6" t="s">
        <v>1061</v>
      </c>
      <c r="D485" s="6" t="s">
        <v>91</v>
      </c>
      <c r="E485" s="6" t="s">
        <v>48</v>
      </c>
      <c r="G485" s="6" t="s">
        <v>48</v>
      </c>
      <c r="J485" s="6" t="s">
        <v>64</v>
      </c>
      <c r="K485" s="6"/>
      <c r="N485" s="6" t="s">
        <v>212</v>
      </c>
      <c r="O485" s="6"/>
      <c r="P485" s="6" t="s">
        <v>52</v>
      </c>
      <c r="Q485" s="6"/>
      <c r="R485" s="47" t="s">
        <v>5021</v>
      </c>
      <c r="S485" s="14" t="s">
        <v>5022</v>
      </c>
      <c r="T485" s="14" t="s">
        <v>5023</v>
      </c>
      <c r="AA485" s="6"/>
      <c r="AB485" s="6" t="s">
        <v>67</v>
      </c>
      <c r="AC485" s="6"/>
      <c r="AD485" s="6" t="s">
        <v>56</v>
      </c>
      <c r="AE485" s="6"/>
      <c r="AF485" s="6" t="s">
        <v>68</v>
      </c>
      <c r="AG485" s="6"/>
      <c r="AH485" s="6" t="s">
        <v>58</v>
      </c>
      <c r="AJ485" s="6" t="s">
        <v>57</v>
      </c>
    </row>
    <row r="486" spans="1:36" ht="15.75" customHeight="1" x14ac:dyDescent="0.25">
      <c r="A486" s="7">
        <v>43418.802319305556</v>
      </c>
      <c r="B486" s="6" t="s">
        <v>60</v>
      </c>
      <c r="C486" s="6" t="s">
        <v>128</v>
      </c>
      <c r="D486" s="6" t="s">
        <v>261</v>
      </c>
      <c r="E486" s="6" t="s">
        <v>81</v>
      </c>
      <c r="G486" s="6" t="s">
        <v>87</v>
      </c>
      <c r="J486" s="6" t="s">
        <v>64</v>
      </c>
      <c r="K486" s="6"/>
      <c r="L486" s="6" t="s">
        <v>1641</v>
      </c>
      <c r="M486" s="6"/>
      <c r="N486" s="6" t="s">
        <v>98</v>
      </c>
      <c r="O486" s="6"/>
      <c r="P486" s="6" t="s">
        <v>131</v>
      </c>
      <c r="Q486" s="6"/>
      <c r="R486" s="47" t="s">
        <v>5024</v>
      </c>
      <c r="S486" s="14" t="s">
        <v>4579</v>
      </c>
      <c r="AA486" s="6"/>
      <c r="AB486" s="6" t="s">
        <v>67</v>
      </c>
      <c r="AC486" s="6"/>
      <c r="AD486" s="6" t="s">
        <v>56</v>
      </c>
      <c r="AE486" s="6"/>
      <c r="AF486" s="6" t="s">
        <v>68</v>
      </c>
      <c r="AG486" s="6"/>
      <c r="AH486" s="6" t="s">
        <v>58</v>
      </c>
      <c r="AI486" s="6"/>
      <c r="AJ486" s="6" t="s">
        <v>383</v>
      </c>
    </row>
    <row r="487" spans="1:36" ht="15.75" customHeight="1" x14ac:dyDescent="0.25">
      <c r="A487" s="7">
        <v>43418.802863449077</v>
      </c>
      <c r="B487" s="6" t="s">
        <v>1643</v>
      </c>
      <c r="C487" s="6" t="s">
        <v>771</v>
      </c>
      <c r="D487" s="6" t="s">
        <v>163</v>
      </c>
      <c r="E487" s="6" t="s">
        <v>48</v>
      </c>
      <c r="F487" s="6" t="s">
        <v>1644</v>
      </c>
      <c r="G487" s="6" t="s">
        <v>48</v>
      </c>
      <c r="H487" s="6" t="s">
        <v>1645</v>
      </c>
      <c r="I487" s="6"/>
      <c r="J487" s="6" t="s">
        <v>106</v>
      </c>
      <c r="K487" s="6"/>
      <c r="L487" s="6" t="s">
        <v>1646</v>
      </c>
      <c r="M487" s="6"/>
      <c r="N487" s="6" t="s">
        <v>121</v>
      </c>
      <c r="O487" s="6"/>
      <c r="P487" s="6" t="s">
        <v>131</v>
      </c>
      <c r="Q487" s="6"/>
      <c r="R487" s="47" t="s">
        <v>2905</v>
      </c>
      <c r="S487" s="14" t="s">
        <v>4400</v>
      </c>
      <c r="T487" s="14" t="s">
        <v>4473</v>
      </c>
      <c r="U487" s="14" t="s">
        <v>5025</v>
      </c>
      <c r="AA487" s="6"/>
      <c r="AB487" s="6" t="s">
        <v>67</v>
      </c>
      <c r="AC487" s="6"/>
      <c r="AD487" s="6" t="s">
        <v>56</v>
      </c>
      <c r="AE487" s="6"/>
      <c r="AF487" s="6" t="s">
        <v>75</v>
      </c>
      <c r="AG487" s="6"/>
      <c r="AH487" s="6" t="s">
        <v>58</v>
      </c>
      <c r="AI487" s="6"/>
      <c r="AJ487" s="6" t="s">
        <v>77</v>
      </c>
    </row>
    <row r="488" spans="1:36" ht="15.75" customHeight="1" x14ac:dyDescent="0.25">
      <c r="A488" s="7">
        <v>43418.803504849537</v>
      </c>
      <c r="B488" s="6" t="s">
        <v>294</v>
      </c>
      <c r="C488" s="6" t="s">
        <v>749</v>
      </c>
      <c r="D488" s="6" t="s">
        <v>46</v>
      </c>
      <c r="E488" s="6" t="s">
        <v>48</v>
      </c>
      <c r="F488" s="6" t="s">
        <v>1190</v>
      </c>
      <c r="G488" s="6" t="s">
        <v>48</v>
      </c>
      <c r="H488" s="6" t="s">
        <v>1648</v>
      </c>
      <c r="I488" s="6"/>
      <c r="J488" s="6" t="s">
        <v>110</v>
      </c>
      <c r="K488" s="6"/>
      <c r="L488" s="6" t="s">
        <v>1649</v>
      </c>
      <c r="M488" s="6"/>
      <c r="N488" s="6" t="s">
        <v>112</v>
      </c>
      <c r="O488" s="6"/>
      <c r="P488" s="6" t="s">
        <v>99</v>
      </c>
      <c r="Q488" s="6"/>
      <c r="R488" s="47" t="s">
        <v>180</v>
      </c>
      <c r="S488" s="14" t="s">
        <v>4400</v>
      </c>
      <c r="T488" s="14" t="s">
        <v>5026</v>
      </c>
      <c r="U488" s="14" t="s">
        <v>4617</v>
      </c>
      <c r="V488" s="14" t="s">
        <v>5027</v>
      </c>
      <c r="AA488" s="6"/>
      <c r="AB488" s="6" t="s">
        <v>55</v>
      </c>
      <c r="AC488" s="6"/>
      <c r="AD488" s="6" t="s">
        <v>56</v>
      </c>
      <c r="AE488" s="6"/>
      <c r="AF488" s="6" t="s">
        <v>75</v>
      </c>
      <c r="AG488" s="6"/>
      <c r="AH488" s="6" t="s">
        <v>58</v>
      </c>
      <c r="AI488" s="6"/>
      <c r="AJ488" s="6" t="s">
        <v>77</v>
      </c>
    </row>
    <row r="489" spans="1:36" ht="15.75" customHeight="1" x14ac:dyDescent="0.25">
      <c r="A489" s="7">
        <v>43418.80570798611</v>
      </c>
      <c r="B489" s="6" t="s">
        <v>30</v>
      </c>
      <c r="C489" s="6" t="s">
        <v>45</v>
      </c>
      <c r="D489" s="6" t="s">
        <v>165</v>
      </c>
      <c r="E489" s="6" t="s">
        <v>81</v>
      </c>
      <c r="G489" s="6" t="s">
        <v>87</v>
      </c>
      <c r="H489" s="6" t="s">
        <v>1651</v>
      </c>
      <c r="I489" s="6"/>
      <c r="J489" s="6" t="s">
        <v>92</v>
      </c>
      <c r="K489" s="6"/>
      <c r="L489" s="6" t="s">
        <v>1652</v>
      </c>
      <c r="M489" s="6"/>
      <c r="N489" s="6" t="s">
        <v>248</v>
      </c>
      <c r="O489" s="6"/>
      <c r="P489" s="6" t="s">
        <v>168</v>
      </c>
      <c r="Q489" s="6"/>
      <c r="R489" s="47" t="s">
        <v>254</v>
      </c>
      <c r="S489" s="14" t="s">
        <v>4514</v>
      </c>
      <c r="T489" s="14" t="s">
        <v>5028</v>
      </c>
      <c r="U489" s="14" t="s">
        <v>3994</v>
      </c>
      <c r="AA489" s="6"/>
      <c r="AB489" s="6" t="s">
        <v>67</v>
      </c>
      <c r="AC489" s="6"/>
      <c r="AD489" s="6" t="s">
        <v>56</v>
      </c>
      <c r="AE489" s="6"/>
      <c r="AF489" s="6" t="s">
        <v>68</v>
      </c>
      <c r="AG489" s="6"/>
      <c r="AH489" s="6" t="s">
        <v>58</v>
      </c>
      <c r="AI489" s="6"/>
      <c r="AJ489" s="6" t="s">
        <v>132</v>
      </c>
    </row>
    <row r="490" spans="1:36" ht="15.75" customHeight="1" x14ac:dyDescent="0.25">
      <c r="A490" s="7">
        <v>43418.807487361111</v>
      </c>
      <c r="B490" s="6" t="s">
        <v>30</v>
      </c>
      <c r="C490" s="6" t="s">
        <v>85</v>
      </c>
      <c r="D490" s="6" t="s">
        <v>46</v>
      </c>
      <c r="E490" s="6" t="s">
        <v>48</v>
      </c>
      <c r="F490" s="6" t="s">
        <v>330</v>
      </c>
      <c r="G490" s="6" t="s">
        <v>48</v>
      </c>
      <c r="H490" s="6" t="s">
        <v>1654</v>
      </c>
      <c r="I490" s="6"/>
      <c r="J490" s="6" t="s">
        <v>64</v>
      </c>
      <c r="K490" s="6"/>
      <c r="L490" s="6" t="s">
        <v>1655</v>
      </c>
      <c r="M490" s="6"/>
      <c r="N490" s="6" t="s">
        <v>112</v>
      </c>
      <c r="O490" s="6"/>
      <c r="P490" s="6" t="s">
        <v>52</v>
      </c>
      <c r="Q490" s="6"/>
      <c r="R490" s="47" t="s">
        <v>5029</v>
      </c>
      <c r="S490" s="14" t="s">
        <v>5030</v>
      </c>
      <c r="T490" s="14" t="s">
        <v>5031</v>
      </c>
      <c r="U490" s="14" t="s">
        <v>5032</v>
      </c>
      <c r="AA490" s="6"/>
      <c r="AB490" s="6" t="s">
        <v>101</v>
      </c>
      <c r="AC490" s="6"/>
      <c r="AD490" s="6" t="s">
        <v>56</v>
      </c>
      <c r="AE490" s="6"/>
      <c r="AF490" s="6" t="s">
        <v>68</v>
      </c>
      <c r="AG490" s="6"/>
      <c r="AH490" s="6" t="s">
        <v>76</v>
      </c>
      <c r="AI490" s="6"/>
      <c r="AJ490" s="6" t="s">
        <v>293</v>
      </c>
    </row>
    <row r="491" spans="1:36" ht="15.75" customHeight="1" x14ac:dyDescent="0.25">
      <c r="A491" s="7">
        <v>43418.808996087959</v>
      </c>
      <c r="B491" s="6" t="s">
        <v>60</v>
      </c>
      <c r="C491" s="6" t="s">
        <v>756</v>
      </c>
      <c r="D491" s="6" t="s">
        <v>163</v>
      </c>
      <c r="E491" s="6" t="s">
        <v>81</v>
      </c>
      <c r="G491" s="6" t="s">
        <v>87</v>
      </c>
      <c r="H491" s="6" t="s">
        <v>1658</v>
      </c>
      <c r="I491" s="6"/>
      <c r="J491" s="6" t="s">
        <v>89</v>
      </c>
      <c r="K491" s="6"/>
      <c r="L491" s="6" t="s">
        <v>1659</v>
      </c>
      <c r="M491" s="6"/>
      <c r="N491" s="6" t="s">
        <v>51</v>
      </c>
      <c r="O491" s="6"/>
      <c r="P491" s="6" t="s">
        <v>65</v>
      </c>
      <c r="Q491" s="6"/>
      <c r="R491" s="47" t="s">
        <v>4033</v>
      </c>
      <c r="S491" s="14" t="s">
        <v>5033</v>
      </c>
      <c r="T491" s="14" t="s">
        <v>4443</v>
      </c>
      <c r="AA491" s="6"/>
      <c r="AB491" s="6" t="s">
        <v>101</v>
      </c>
      <c r="AC491" s="6"/>
      <c r="AD491" s="6" t="s">
        <v>56</v>
      </c>
      <c r="AE491" s="6"/>
      <c r="AF491" s="6" t="s">
        <v>68</v>
      </c>
      <c r="AG491" s="6"/>
      <c r="AH491" s="11" t="s">
        <v>126</v>
      </c>
      <c r="AI491" s="6"/>
      <c r="AJ491" s="11" t="s">
        <v>256</v>
      </c>
    </row>
    <row r="492" spans="1:36" ht="15.75" customHeight="1" x14ac:dyDescent="0.25">
      <c r="A492" s="7">
        <v>43418.810011851849</v>
      </c>
      <c r="B492" s="6" t="s">
        <v>305</v>
      </c>
      <c r="C492" s="6" t="s">
        <v>1661</v>
      </c>
      <c r="D492" s="6" t="s">
        <v>91</v>
      </c>
      <c r="E492" s="6" t="s">
        <v>48</v>
      </c>
      <c r="F492" s="6" t="s">
        <v>1662</v>
      </c>
      <c r="G492" s="6" t="s">
        <v>48</v>
      </c>
      <c r="H492" s="6" t="s">
        <v>1663</v>
      </c>
      <c r="I492" s="6"/>
      <c r="J492" s="6" t="s">
        <v>89</v>
      </c>
      <c r="K492" s="6"/>
      <c r="L492" s="6" t="s">
        <v>1664</v>
      </c>
      <c r="M492" s="6"/>
      <c r="N492" s="6" t="s">
        <v>112</v>
      </c>
      <c r="O492" s="6"/>
      <c r="P492" s="6" t="s">
        <v>52</v>
      </c>
      <c r="Q492" s="6"/>
      <c r="R492" s="47" t="s">
        <v>1665</v>
      </c>
      <c r="AA492" s="6"/>
      <c r="AB492" s="6" t="s">
        <v>101</v>
      </c>
      <c r="AC492" s="6"/>
      <c r="AD492" s="6" t="s">
        <v>109</v>
      </c>
      <c r="AE492" s="6"/>
      <c r="AF492" s="6" t="s">
        <v>68</v>
      </c>
      <c r="AG492" s="6"/>
      <c r="AH492" s="6" t="s">
        <v>58</v>
      </c>
      <c r="AI492" s="6"/>
      <c r="AJ492" s="6" t="s">
        <v>293</v>
      </c>
    </row>
    <row r="493" spans="1:36" ht="15.75" customHeight="1" x14ac:dyDescent="0.25">
      <c r="A493" s="7">
        <v>43418.81091753472</v>
      </c>
      <c r="B493" s="6" t="s">
        <v>60</v>
      </c>
      <c r="C493" s="6" t="s">
        <v>756</v>
      </c>
      <c r="D493" s="6" t="s">
        <v>91</v>
      </c>
      <c r="E493" s="6" t="s">
        <v>48</v>
      </c>
      <c r="F493" s="6" t="s">
        <v>1666</v>
      </c>
      <c r="G493" s="6" t="s">
        <v>48</v>
      </c>
      <c r="H493" s="6" t="s">
        <v>1667</v>
      </c>
      <c r="I493" s="6"/>
      <c r="J493" s="6" t="s">
        <v>110</v>
      </c>
      <c r="K493" s="6"/>
      <c r="L493" s="6" t="s">
        <v>1668</v>
      </c>
      <c r="M493" s="6"/>
      <c r="N493" s="6" t="s">
        <v>51</v>
      </c>
      <c r="O493" s="6"/>
      <c r="P493" s="6" t="s">
        <v>52</v>
      </c>
      <c r="Q493" s="6"/>
      <c r="R493" s="47" t="s">
        <v>182</v>
      </c>
      <c r="S493" s="14" t="s">
        <v>4567</v>
      </c>
      <c r="T493" s="14" t="s">
        <v>4707</v>
      </c>
      <c r="U493" s="14" t="s">
        <v>5034</v>
      </c>
      <c r="V493" s="14" t="s">
        <v>5035</v>
      </c>
      <c r="AA493" s="6"/>
      <c r="AB493" s="6" t="s">
        <v>67</v>
      </c>
      <c r="AC493" s="6"/>
      <c r="AD493" s="6" t="s">
        <v>56</v>
      </c>
      <c r="AE493" s="6"/>
      <c r="AF493" s="6" t="s">
        <v>205</v>
      </c>
      <c r="AG493" s="6"/>
      <c r="AH493" s="6" t="s">
        <v>126</v>
      </c>
      <c r="AI493" s="6"/>
      <c r="AJ493" s="6" t="s">
        <v>132</v>
      </c>
    </row>
    <row r="494" spans="1:36" ht="15.75" customHeight="1" x14ac:dyDescent="0.25">
      <c r="A494" s="7">
        <v>43418.81125643519</v>
      </c>
      <c r="B494" s="6" t="s">
        <v>60</v>
      </c>
      <c r="C494" s="6" t="s">
        <v>128</v>
      </c>
      <c r="D494" s="6" t="s">
        <v>163</v>
      </c>
      <c r="E494" s="6" t="s">
        <v>48</v>
      </c>
      <c r="F494" s="6" t="s">
        <v>183</v>
      </c>
      <c r="G494" s="6" t="s">
        <v>48</v>
      </c>
      <c r="H494" s="6" t="s">
        <v>1670</v>
      </c>
      <c r="I494" s="6"/>
      <c r="J494" s="6" t="s">
        <v>106</v>
      </c>
      <c r="K494" s="6"/>
      <c r="L494" s="6" t="s">
        <v>1671</v>
      </c>
      <c r="M494" s="6"/>
      <c r="N494" s="6" t="s">
        <v>98</v>
      </c>
      <c r="O494" s="6"/>
      <c r="P494" s="6" t="s">
        <v>94</v>
      </c>
      <c r="Q494" s="6"/>
      <c r="R494" s="47" t="s">
        <v>5036</v>
      </c>
      <c r="S494" s="14" t="s">
        <v>5037</v>
      </c>
      <c r="AA494" s="6"/>
      <c r="AB494" s="6" t="s">
        <v>67</v>
      </c>
      <c r="AC494" s="6"/>
      <c r="AD494" s="6" t="s">
        <v>56</v>
      </c>
      <c r="AE494" s="6"/>
      <c r="AF494" s="6" t="s">
        <v>75</v>
      </c>
      <c r="AG494" s="6"/>
      <c r="AH494" s="6" t="s">
        <v>58</v>
      </c>
      <c r="AI494" s="6"/>
      <c r="AJ494" s="6" t="s">
        <v>77</v>
      </c>
    </row>
    <row r="495" spans="1:36" ht="15.75" customHeight="1" x14ac:dyDescent="0.25">
      <c r="A495" s="7">
        <v>43418.811326377312</v>
      </c>
      <c r="B495" s="6" t="s">
        <v>60</v>
      </c>
      <c r="C495" s="6" t="s">
        <v>95</v>
      </c>
      <c r="D495" s="6" t="s">
        <v>46</v>
      </c>
      <c r="E495" s="6" t="s">
        <v>81</v>
      </c>
      <c r="G495" s="6" t="s">
        <v>87</v>
      </c>
      <c r="H495" s="6" t="s">
        <v>1673</v>
      </c>
      <c r="I495" s="6"/>
      <c r="J495" s="6" t="s">
        <v>89</v>
      </c>
      <c r="K495" s="6"/>
      <c r="L495" s="6" t="s">
        <v>1674</v>
      </c>
      <c r="M495" s="6"/>
      <c r="N495" s="6" t="s">
        <v>121</v>
      </c>
      <c r="O495" s="6"/>
      <c r="P495" s="6" t="s">
        <v>94</v>
      </c>
      <c r="Q495" s="6"/>
      <c r="R495" s="47" t="s">
        <v>2513</v>
      </c>
      <c r="S495" s="14" t="s">
        <v>5038</v>
      </c>
      <c r="T495" s="14" t="s">
        <v>4400</v>
      </c>
      <c r="U495" s="14" t="s">
        <v>4584</v>
      </c>
      <c r="V495" s="14" t="s">
        <v>5039</v>
      </c>
      <c r="AA495" s="6"/>
      <c r="AB495" s="6" t="s">
        <v>67</v>
      </c>
      <c r="AC495" s="6"/>
      <c r="AD495" s="6" t="s">
        <v>56</v>
      </c>
      <c r="AE495" s="6"/>
      <c r="AF495" s="6" t="s">
        <v>68</v>
      </c>
      <c r="AG495" s="6"/>
      <c r="AH495" s="11" t="s">
        <v>126</v>
      </c>
      <c r="AI495" s="6"/>
      <c r="AJ495" s="6" t="s">
        <v>77</v>
      </c>
    </row>
    <row r="496" spans="1:36" ht="15.75" customHeight="1" x14ac:dyDescent="0.25">
      <c r="A496" s="7">
        <v>43418.811466597224</v>
      </c>
      <c r="B496" s="6" t="s">
        <v>127</v>
      </c>
      <c r="C496" s="6" t="s">
        <v>128</v>
      </c>
      <c r="D496" s="6" t="s">
        <v>46</v>
      </c>
      <c r="E496" s="6" t="s">
        <v>81</v>
      </c>
      <c r="G496" s="6" t="s">
        <v>87</v>
      </c>
      <c r="H496" s="6" t="s">
        <v>1676</v>
      </c>
      <c r="I496" s="6"/>
      <c r="J496" s="6" t="s">
        <v>106</v>
      </c>
      <c r="K496" s="6"/>
      <c r="L496" s="6" t="s">
        <v>1677</v>
      </c>
      <c r="M496" s="6"/>
      <c r="N496" s="6" t="s">
        <v>98</v>
      </c>
      <c r="O496" s="6"/>
      <c r="P496" s="6" t="s">
        <v>131</v>
      </c>
      <c r="Q496" s="6"/>
      <c r="R496" s="47" t="s">
        <v>5040</v>
      </c>
      <c r="S496" s="14" t="s">
        <v>5041</v>
      </c>
      <c r="T496" s="14" t="s">
        <v>4425</v>
      </c>
      <c r="U496" s="14" t="s">
        <v>4393</v>
      </c>
      <c r="V496" s="14" t="s">
        <v>5042</v>
      </c>
      <c r="AA496" s="6"/>
      <c r="AB496" s="6" t="s">
        <v>67</v>
      </c>
      <c r="AC496" s="6"/>
      <c r="AD496" s="6" t="s">
        <v>56</v>
      </c>
      <c r="AE496" s="6"/>
      <c r="AF496" s="6" t="s">
        <v>75</v>
      </c>
      <c r="AG496" s="6"/>
      <c r="AH496" s="6" t="s">
        <v>76</v>
      </c>
      <c r="AI496" s="6"/>
      <c r="AJ496" s="11" t="s">
        <v>256</v>
      </c>
    </row>
    <row r="497" spans="1:36" ht="15.75" customHeight="1" x14ac:dyDescent="0.25">
      <c r="A497" s="7">
        <v>43418.813327905096</v>
      </c>
      <c r="B497" s="6" t="s">
        <v>127</v>
      </c>
      <c r="C497" s="6" t="s">
        <v>45</v>
      </c>
      <c r="D497" s="6" t="s">
        <v>165</v>
      </c>
      <c r="E497" s="6" t="s">
        <v>48</v>
      </c>
      <c r="F497" s="6" t="s">
        <v>1680</v>
      </c>
      <c r="G497" s="6" t="s">
        <v>48</v>
      </c>
      <c r="J497" s="6" t="s">
        <v>106</v>
      </c>
      <c r="K497" s="6"/>
      <c r="L497" s="6" t="s">
        <v>1681</v>
      </c>
      <c r="M497" s="6"/>
      <c r="N497" s="6" t="s">
        <v>112</v>
      </c>
      <c r="O497" s="6"/>
      <c r="P497" s="6" t="s">
        <v>99</v>
      </c>
      <c r="Q497" s="6"/>
      <c r="R497" s="47" t="s">
        <v>149</v>
      </c>
      <c r="S497" s="14" t="s">
        <v>4514</v>
      </c>
      <c r="T497" s="14" t="s">
        <v>4389</v>
      </c>
      <c r="U497" s="14" t="s">
        <v>5043</v>
      </c>
      <c r="AA497" s="6"/>
      <c r="AB497" s="6" t="s">
        <v>67</v>
      </c>
      <c r="AC497" s="6"/>
      <c r="AD497" s="6" t="s">
        <v>56</v>
      </c>
      <c r="AE497" s="6"/>
      <c r="AF497" s="6" t="s">
        <v>75</v>
      </c>
      <c r="AG497" s="6"/>
      <c r="AH497" s="6" t="s">
        <v>76</v>
      </c>
      <c r="AI497" s="6"/>
      <c r="AJ497" s="6" t="s">
        <v>77</v>
      </c>
    </row>
    <row r="498" spans="1:36" ht="15.75" customHeight="1" x14ac:dyDescent="0.25">
      <c r="A498" s="7">
        <v>43418.81417996528</v>
      </c>
      <c r="B498" s="6" t="s">
        <v>154</v>
      </c>
      <c r="C498" s="6" t="s">
        <v>282</v>
      </c>
      <c r="D498" s="6" t="s">
        <v>138</v>
      </c>
      <c r="E498" s="6" t="s">
        <v>81</v>
      </c>
      <c r="G498" s="6" t="s">
        <v>81</v>
      </c>
      <c r="J498" s="6" t="s">
        <v>106</v>
      </c>
      <c r="K498" s="6"/>
      <c r="P498" s="6" t="s">
        <v>94</v>
      </c>
      <c r="Q498" s="6"/>
      <c r="AA498" s="6"/>
      <c r="AB498" s="6" t="s">
        <v>101</v>
      </c>
      <c r="AC498" s="6"/>
      <c r="AD498" s="6" t="s">
        <v>56</v>
      </c>
      <c r="AE498" s="6"/>
      <c r="AF498" s="6" t="s">
        <v>68</v>
      </c>
      <c r="AG498" s="6"/>
      <c r="AH498" s="6" t="s">
        <v>126</v>
      </c>
      <c r="AI498" s="6"/>
      <c r="AJ498" s="11" t="s">
        <v>132</v>
      </c>
    </row>
    <row r="499" spans="1:36" ht="15.75" customHeight="1" x14ac:dyDescent="0.25">
      <c r="A499" s="7">
        <v>43418.815393668978</v>
      </c>
      <c r="B499" s="6" t="s">
        <v>30</v>
      </c>
      <c r="C499" s="6" t="s">
        <v>128</v>
      </c>
      <c r="D499" s="6" t="s">
        <v>190</v>
      </c>
      <c r="E499" s="6" t="s">
        <v>81</v>
      </c>
      <c r="J499" s="6" t="s">
        <v>89</v>
      </c>
      <c r="K499" s="6"/>
      <c r="L499" s="6" t="s">
        <v>1683</v>
      </c>
      <c r="M499" s="6"/>
      <c r="N499" s="6" t="s">
        <v>98</v>
      </c>
      <c r="O499" s="6"/>
      <c r="P499" s="6" t="s">
        <v>94</v>
      </c>
      <c r="Q499" s="6"/>
      <c r="R499" s="47" t="s">
        <v>5044</v>
      </c>
      <c r="S499" s="14" t="s">
        <v>5045</v>
      </c>
      <c r="T499" s="14" t="s">
        <v>5046</v>
      </c>
      <c r="U499" s="14" t="s">
        <v>4400</v>
      </c>
      <c r="V499" s="14" t="s">
        <v>5047</v>
      </c>
      <c r="W499" s="14" t="s">
        <v>5048</v>
      </c>
      <c r="X499" s="14" t="s">
        <v>5049</v>
      </c>
      <c r="AA499" s="6"/>
      <c r="AB499" s="6" t="s">
        <v>55</v>
      </c>
      <c r="AC499" s="6"/>
      <c r="AD499" s="6" t="s">
        <v>56</v>
      </c>
      <c r="AE499" s="6"/>
      <c r="AF499" s="6" t="s">
        <v>68</v>
      </c>
      <c r="AG499" s="6"/>
      <c r="AH499" s="6" t="s">
        <v>57</v>
      </c>
      <c r="AI499" s="6"/>
      <c r="AJ499" s="6" t="s">
        <v>77</v>
      </c>
    </row>
    <row r="500" spans="1:36" ht="15.75" customHeight="1" x14ac:dyDescent="0.25">
      <c r="A500" s="7">
        <v>43418.81798975695</v>
      </c>
      <c r="B500" s="6" t="s">
        <v>127</v>
      </c>
      <c r="C500" s="6" t="s">
        <v>1685</v>
      </c>
      <c r="D500" s="6" t="s">
        <v>46</v>
      </c>
      <c r="E500" s="6" t="s">
        <v>81</v>
      </c>
      <c r="G500" s="6" t="s">
        <v>87</v>
      </c>
      <c r="J500" s="6" t="s">
        <v>158</v>
      </c>
      <c r="K500" s="6"/>
      <c r="L500" s="6" t="s">
        <v>1686</v>
      </c>
      <c r="M500" s="6"/>
      <c r="N500" s="6" t="s">
        <v>121</v>
      </c>
      <c r="O500" s="6"/>
      <c r="P500" s="6" t="s">
        <v>131</v>
      </c>
      <c r="Q500" s="6"/>
      <c r="R500" s="47" t="s">
        <v>3401</v>
      </c>
      <c r="S500" s="14" t="s">
        <v>5050</v>
      </c>
      <c r="T500" s="14" t="s">
        <v>4573</v>
      </c>
      <c r="U500" s="14" t="s">
        <v>3994</v>
      </c>
      <c r="AA500" s="6"/>
      <c r="AB500" s="6" t="s">
        <v>67</v>
      </c>
      <c r="AC500" s="6"/>
      <c r="AD500" s="6" t="s">
        <v>56</v>
      </c>
      <c r="AE500" s="6"/>
      <c r="AF500" s="6" t="s">
        <v>75</v>
      </c>
      <c r="AG500" s="6"/>
      <c r="AH500" s="6" t="s">
        <v>126</v>
      </c>
      <c r="AI500" s="6"/>
      <c r="AJ500" s="6" t="s">
        <v>77</v>
      </c>
    </row>
    <row r="501" spans="1:36" ht="15.75" customHeight="1" x14ac:dyDescent="0.25">
      <c r="A501" s="7">
        <v>43418.819934166662</v>
      </c>
      <c r="B501" s="6" t="s">
        <v>30</v>
      </c>
      <c r="C501" s="6" t="s">
        <v>215</v>
      </c>
      <c r="D501" s="6" t="s">
        <v>46</v>
      </c>
      <c r="E501" s="6" t="s">
        <v>81</v>
      </c>
      <c r="G501" s="6" t="s">
        <v>87</v>
      </c>
      <c r="H501" s="6" t="s">
        <v>1458</v>
      </c>
      <c r="I501" s="6"/>
      <c r="J501" s="6" t="s">
        <v>50</v>
      </c>
      <c r="K501" s="6"/>
      <c r="N501" s="6" t="s">
        <v>112</v>
      </c>
      <c r="O501" s="6"/>
      <c r="P501" s="6" t="s">
        <v>52</v>
      </c>
      <c r="Q501" s="6"/>
      <c r="R501" s="47" t="s">
        <v>5051</v>
      </c>
      <c r="S501" s="14" t="s">
        <v>5052</v>
      </c>
      <c r="T501" s="14" t="s">
        <v>5053</v>
      </c>
      <c r="AA501" s="6"/>
      <c r="AB501" s="6" t="s">
        <v>101</v>
      </c>
      <c r="AC501" s="6"/>
      <c r="AD501" s="6" t="s">
        <v>57</v>
      </c>
      <c r="AE501" s="6"/>
      <c r="AF501" s="6" t="s">
        <v>68</v>
      </c>
      <c r="AG501" s="6"/>
      <c r="AH501" s="6" t="s">
        <v>58</v>
      </c>
      <c r="AI501" s="6"/>
      <c r="AJ501" s="11" t="s">
        <v>244</v>
      </c>
    </row>
    <row r="502" spans="1:36" ht="15.75" customHeight="1" x14ac:dyDescent="0.25">
      <c r="A502" s="7">
        <v>43418.820744722223</v>
      </c>
      <c r="B502" s="6" t="s">
        <v>30</v>
      </c>
      <c r="C502" s="6" t="s">
        <v>206</v>
      </c>
      <c r="D502" s="6" t="s">
        <v>163</v>
      </c>
      <c r="E502" s="6" t="s">
        <v>81</v>
      </c>
      <c r="G502" s="6" t="s">
        <v>48</v>
      </c>
      <c r="H502" s="6" t="s">
        <v>1689</v>
      </c>
      <c r="I502" s="6"/>
      <c r="J502" s="6" t="s">
        <v>110</v>
      </c>
      <c r="K502" s="6"/>
      <c r="L502" s="6" t="s">
        <v>1690</v>
      </c>
      <c r="M502" s="6"/>
      <c r="N502" s="6" t="s">
        <v>181</v>
      </c>
      <c r="O502" s="6"/>
      <c r="P502" s="6" t="s">
        <v>52</v>
      </c>
      <c r="Q502" s="6"/>
      <c r="R502" s="47" t="s">
        <v>5054</v>
      </c>
      <c r="S502" s="14" t="s">
        <v>4928</v>
      </c>
      <c r="T502" s="14" t="s">
        <v>4431</v>
      </c>
      <c r="U502" s="14" t="s">
        <v>5055</v>
      </c>
      <c r="AA502" s="6"/>
      <c r="AB502" s="6" t="s">
        <v>101</v>
      </c>
      <c r="AC502" s="6"/>
      <c r="AD502" s="6" t="s">
        <v>56</v>
      </c>
      <c r="AE502" s="6"/>
      <c r="AF502" s="6" t="s">
        <v>75</v>
      </c>
      <c r="AG502" s="6"/>
      <c r="AH502" s="6" t="s">
        <v>76</v>
      </c>
      <c r="AI502" s="6"/>
      <c r="AJ502" s="6" t="s">
        <v>259</v>
      </c>
    </row>
    <row r="503" spans="1:36" ht="15.75" customHeight="1" x14ac:dyDescent="0.25">
      <c r="A503" s="7">
        <v>43418.821037442132</v>
      </c>
      <c r="B503" s="6" t="s">
        <v>30</v>
      </c>
      <c r="C503" s="6" t="s">
        <v>1422</v>
      </c>
      <c r="D503" s="6" t="s">
        <v>510</v>
      </c>
      <c r="E503" s="6" t="s">
        <v>81</v>
      </c>
      <c r="F503" s="6" t="s">
        <v>1693</v>
      </c>
      <c r="G503" s="6" t="s">
        <v>48</v>
      </c>
      <c r="J503" s="6" t="s">
        <v>89</v>
      </c>
      <c r="K503" s="6"/>
      <c r="P503" s="6" t="s">
        <v>94</v>
      </c>
      <c r="Q503" s="6"/>
      <c r="AA503" s="6"/>
      <c r="AC503" s="6"/>
      <c r="AD503" s="6" t="s">
        <v>56</v>
      </c>
      <c r="AE503" s="6"/>
      <c r="AF503" s="6" t="s">
        <v>75</v>
      </c>
      <c r="AG503" s="6"/>
      <c r="AH503" s="6" t="s">
        <v>57</v>
      </c>
      <c r="AJ503" s="6" t="s">
        <v>57</v>
      </c>
    </row>
    <row r="504" spans="1:36" ht="15.75" customHeight="1" x14ac:dyDescent="0.25">
      <c r="A504" s="7">
        <v>43418.823378958332</v>
      </c>
      <c r="B504" s="6" t="s">
        <v>30</v>
      </c>
      <c r="C504" s="6" t="s">
        <v>79</v>
      </c>
      <c r="D504" s="6" t="s">
        <v>91</v>
      </c>
      <c r="E504" s="6" t="s">
        <v>81</v>
      </c>
      <c r="G504" s="6" t="s">
        <v>87</v>
      </c>
      <c r="H504" s="6" t="s">
        <v>1694</v>
      </c>
      <c r="I504" s="6"/>
      <c r="J504" s="6" t="s">
        <v>110</v>
      </c>
      <c r="K504" s="6"/>
      <c r="L504" s="6" t="s">
        <v>1695</v>
      </c>
      <c r="M504" s="6"/>
      <c r="N504" s="6" t="s">
        <v>212</v>
      </c>
      <c r="O504" s="6"/>
      <c r="P504" s="6" t="s">
        <v>131</v>
      </c>
      <c r="Q504" s="6"/>
      <c r="R504" s="47" t="s">
        <v>149</v>
      </c>
      <c r="S504" s="14" t="s">
        <v>4415</v>
      </c>
      <c r="T504" s="14" t="s">
        <v>5056</v>
      </c>
      <c r="U504" s="14" t="s">
        <v>4567</v>
      </c>
      <c r="V504" s="14" t="s">
        <v>5057</v>
      </c>
      <c r="AA504" s="6"/>
      <c r="AB504" s="6" t="s">
        <v>67</v>
      </c>
      <c r="AC504" s="6"/>
      <c r="AD504" s="6" t="s">
        <v>56</v>
      </c>
      <c r="AE504" s="6"/>
      <c r="AF504" s="6" t="s">
        <v>75</v>
      </c>
      <c r="AG504" s="6"/>
      <c r="AH504" s="6" t="s">
        <v>76</v>
      </c>
      <c r="AI504" s="6"/>
      <c r="AJ504" s="6" t="s">
        <v>77</v>
      </c>
    </row>
    <row r="505" spans="1:36" ht="15.75" customHeight="1" x14ac:dyDescent="0.25">
      <c r="A505" s="7">
        <v>43418.823518993056</v>
      </c>
      <c r="B505" s="6" t="s">
        <v>154</v>
      </c>
      <c r="C505" s="6" t="s">
        <v>477</v>
      </c>
      <c r="D505" s="6" t="s">
        <v>46</v>
      </c>
      <c r="E505" s="6" t="s">
        <v>48</v>
      </c>
      <c r="F505" s="6" t="s">
        <v>1697</v>
      </c>
      <c r="G505" s="6" t="s">
        <v>48</v>
      </c>
      <c r="J505" s="6" t="s">
        <v>64</v>
      </c>
      <c r="K505" s="6"/>
      <c r="L505" s="6" t="s">
        <v>1698</v>
      </c>
      <c r="M505" s="6"/>
      <c r="N505" s="6" t="s">
        <v>98</v>
      </c>
      <c r="O505" s="6"/>
      <c r="P505" s="6" t="s">
        <v>131</v>
      </c>
      <c r="Q505" s="6"/>
      <c r="AA505" s="6"/>
      <c r="AB505" s="6" t="s">
        <v>67</v>
      </c>
      <c r="AC505" s="6"/>
      <c r="AD505" s="6" t="s">
        <v>56</v>
      </c>
      <c r="AE505" s="6"/>
      <c r="AF505" s="6" t="s">
        <v>68</v>
      </c>
      <c r="AG505" s="6"/>
      <c r="AH505" s="6" t="s">
        <v>58</v>
      </c>
      <c r="AI505" s="6"/>
      <c r="AJ505" s="6" t="s">
        <v>115</v>
      </c>
    </row>
    <row r="506" spans="1:36" ht="15.75" customHeight="1" x14ac:dyDescent="0.25">
      <c r="A506" s="7">
        <v>43418.823537812495</v>
      </c>
      <c r="B506" s="6" t="s">
        <v>127</v>
      </c>
      <c r="C506" s="6" t="s">
        <v>756</v>
      </c>
      <c r="D506" s="6" t="s">
        <v>163</v>
      </c>
      <c r="E506" s="6" t="s">
        <v>81</v>
      </c>
      <c r="G506" s="6" t="s">
        <v>87</v>
      </c>
      <c r="J506" s="6" t="s">
        <v>106</v>
      </c>
      <c r="K506" s="6"/>
      <c r="L506" s="6" t="s">
        <v>1699</v>
      </c>
      <c r="M506" s="6"/>
      <c r="N506" s="6" t="s">
        <v>121</v>
      </c>
      <c r="O506" s="6"/>
      <c r="P506" s="6" t="s">
        <v>94</v>
      </c>
      <c r="Q506" s="6"/>
      <c r="R506" s="47" t="s">
        <v>149</v>
      </c>
      <c r="AA506" s="6"/>
      <c r="AB506" s="6" t="s">
        <v>67</v>
      </c>
      <c r="AC506" s="6"/>
      <c r="AD506" s="6" t="s">
        <v>56</v>
      </c>
      <c r="AE506" s="6"/>
      <c r="AF506" s="6" t="s">
        <v>161</v>
      </c>
      <c r="AG506" s="6"/>
      <c r="AH506" s="6" t="s">
        <v>76</v>
      </c>
      <c r="AI506" s="6"/>
      <c r="AJ506" s="6" t="s">
        <v>338</v>
      </c>
    </row>
    <row r="507" spans="1:36" ht="15.75" customHeight="1" x14ac:dyDescent="0.25">
      <c r="A507" s="7">
        <v>43418.825373888889</v>
      </c>
      <c r="B507" s="6" t="s">
        <v>103</v>
      </c>
      <c r="C507" s="6" t="s">
        <v>90</v>
      </c>
      <c r="D507" s="6" t="s">
        <v>165</v>
      </c>
      <c r="E507" s="6" t="s">
        <v>81</v>
      </c>
      <c r="G507" s="6" t="s">
        <v>48</v>
      </c>
      <c r="H507" s="6" t="s">
        <v>1700</v>
      </c>
      <c r="I507" s="6"/>
      <c r="J507" s="6" t="s">
        <v>64</v>
      </c>
      <c r="K507" s="6"/>
      <c r="L507" s="6" t="s">
        <v>1701</v>
      </c>
      <c r="M507" s="6"/>
      <c r="N507" s="6" t="s">
        <v>51</v>
      </c>
      <c r="O507" s="6"/>
      <c r="P507" s="6" t="s">
        <v>65</v>
      </c>
      <c r="Q507" s="6"/>
      <c r="R507" s="47" t="s">
        <v>1702</v>
      </c>
      <c r="AA507" s="6"/>
      <c r="AB507" s="6" t="s">
        <v>67</v>
      </c>
      <c r="AC507" s="6"/>
      <c r="AD507" s="6" t="s">
        <v>56</v>
      </c>
      <c r="AE507" s="6"/>
      <c r="AF507" s="6" t="s">
        <v>68</v>
      </c>
      <c r="AG507" s="6"/>
      <c r="AH507" s="11" t="s">
        <v>144</v>
      </c>
      <c r="AI507" s="6"/>
      <c r="AJ507" s="6" t="s">
        <v>77</v>
      </c>
    </row>
    <row r="508" spans="1:36" ht="15.75" customHeight="1" x14ac:dyDescent="0.25">
      <c r="A508" s="7">
        <v>43418.828084108798</v>
      </c>
      <c r="B508" s="6" t="s">
        <v>30</v>
      </c>
      <c r="C508" s="6" t="s">
        <v>673</v>
      </c>
      <c r="D508" s="6" t="s">
        <v>46</v>
      </c>
      <c r="E508" s="6" t="s">
        <v>81</v>
      </c>
      <c r="G508" s="6" t="s">
        <v>48</v>
      </c>
      <c r="H508" s="6" t="s">
        <v>1703</v>
      </c>
      <c r="I508" s="6"/>
      <c r="J508" s="6" t="s">
        <v>89</v>
      </c>
      <c r="K508" s="6"/>
      <c r="N508" s="6" t="s">
        <v>181</v>
      </c>
      <c r="O508" s="6"/>
      <c r="P508" s="6" t="s">
        <v>94</v>
      </c>
      <c r="Q508" s="6"/>
      <c r="AA508" s="6"/>
      <c r="AB508" s="6" t="s">
        <v>203</v>
      </c>
      <c r="AC508" s="6"/>
      <c r="AD508" s="6" t="s">
        <v>56</v>
      </c>
      <c r="AE508" s="6"/>
      <c r="AF508" s="6" t="s">
        <v>75</v>
      </c>
      <c r="AG508" s="6"/>
      <c r="AH508" s="6" t="s">
        <v>76</v>
      </c>
      <c r="AI508" s="6"/>
      <c r="AJ508" s="11" t="s">
        <v>347</v>
      </c>
    </row>
    <row r="509" spans="1:36" ht="15.75" customHeight="1" x14ac:dyDescent="0.25">
      <c r="A509" s="7">
        <v>43418.828682893523</v>
      </c>
      <c r="B509" s="6" t="s">
        <v>543</v>
      </c>
      <c r="C509" s="6" t="s">
        <v>90</v>
      </c>
      <c r="D509" s="6" t="s">
        <v>46</v>
      </c>
      <c r="E509" s="6" t="s">
        <v>48</v>
      </c>
      <c r="F509" s="6" t="s">
        <v>1496</v>
      </c>
      <c r="G509" s="6" t="s">
        <v>48</v>
      </c>
      <c r="H509" s="6" t="s">
        <v>1705</v>
      </c>
      <c r="I509" s="6"/>
      <c r="J509" s="6" t="s">
        <v>50</v>
      </c>
      <c r="K509" s="6"/>
      <c r="L509" s="6" t="s">
        <v>1706</v>
      </c>
      <c r="M509" s="6"/>
      <c r="N509" s="6" t="s">
        <v>121</v>
      </c>
      <c r="O509" s="6"/>
      <c r="P509" s="6" t="s">
        <v>94</v>
      </c>
      <c r="Q509" s="6"/>
      <c r="R509" s="47" t="s">
        <v>2513</v>
      </c>
      <c r="S509" s="14" t="s">
        <v>5058</v>
      </c>
      <c r="AA509" s="6"/>
      <c r="AB509" s="6" t="s">
        <v>55</v>
      </c>
      <c r="AC509" s="6"/>
      <c r="AD509" s="6" t="s">
        <v>56</v>
      </c>
      <c r="AE509" s="6"/>
      <c r="AF509" s="6" t="s">
        <v>68</v>
      </c>
      <c r="AG509" s="6"/>
      <c r="AH509" s="6" t="s">
        <v>58</v>
      </c>
      <c r="AI509" s="6"/>
      <c r="AJ509" s="6" t="s">
        <v>59</v>
      </c>
    </row>
    <row r="510" spans="1:36" ht="15.75" customHeight="1" x14ac:dyDescent="0.25">
      <c r="A510" s="7">
        <v>43418.828950821757</v>
      </c>
      <c r="B510" s="6" t="s">
        <v>30</v>
      </c>
      <c r="C510" s="6" t="s">
        <v>95</v>
      </c>
      <c r="D510" s="6" t="s">
        <v>91</v>
      </c>
      <c r="E510" s="6" t="s">
        <v>48</v>
      </c>
      <c r="F510" s="6" t="s">
        <v>183</v>
      </c>
      <c r="G510" s="6" t="s">
        <v>81</v>
      </c>
      <c r="H510" s="6" t="s">
        <v>1708</v>
      </c>
      <c r="I510" s="6"/>
      <c r="J510" s="6" t="s">
        <v>92</v>
      </c>
      <c r="K510" s="6"/>
      <c r="L510" s="6" t="s">
        <v>1709</v>
      </c>
      <c r="M510" s="6"/>
      <c r="N510" s="6" t="s">
        <v>121</v>
      </c>
      <c r="O510" s="6"/>
      <c r="P510" s="6" t="s">
        <v>94</v>
      </c>
      <c r="Q510" s="6"/>
      <c r="R510" s="47" t="s">
        <v>1710</v>
      </c>
      <c r="AA510" s="6"/>
      <c r="AB510" s="6" t="s">
        <v>101</v>
      </c>
      <c r="AC510" s="6"/>
      <c r="AD510" s="6" t="s">
        <v>56</v>
      </c>
      <c r="AE510" s="6"/>
      <c r="AF510" s="6" t="s">
        <v>75</v>
      </c>
      <c r="AG510" s="6"/>
      <c r="AH510" s="6" t="s">
        <v>58</v>
      </c>
      <c r="AI510" s="6"/>
      <c r="AJ510" s="6" t="s">
        <v>77</v>
      </c>
    </row>
    <row r="511" spans="1:36" ht="15.75" customHeight="1" x14ac:dyDescent="0.25">
      <c r="A511" s="7">
        <v>43418.829223703702</v>
      </c>
      <c r="B511" s="6" t="s">
        <v>305</v>
      </c>
      <c r="C511" s="6" t="s">
        <v>95</v>
      </c>
      <c r="D511" s="6" t="s">
        <v>163</v>
      </c>
      <c r="E511" s="6" t="s">
        <v>48</v>
      </c>
      <c r="F511" s="6" t="s">
        <v>1711</v>
      </c>
      <c r="G511" s="6" t="s">
        <v>48</v>
      </c>
      <c r="H511" s="6" t="s">
        <v>1712</v>
      </c>
      <c r="I511" s="6"/>
      <c r="J511" s="6" t="s">
        <v>73</v>
      </c>
      <c r="K511" s="6"/>
      <c r="L511" s="6" t="s">
        <v>953</v>
      </c>
      <c r="M511" s="6"/>
      <c r="N511" s="6" t="s">
        <v>98</v>
      </c>
      <c r="O511" s="6"/>
      <c r="P511" s="6" t="s">
        <v>131</v>
      </c>
      <c r="Q511" s="6"/>
      <c r="R511" s="47" t="s">
        <v>5059</v>
      </c>
      <c r="S511" s="14" t="s">
        <v>4583</v>
      </c>
      <c r="T511" s="14" t="s">
        <v>5060</v>
      </c>
      <c r="U511" s="14" t="s">
        <v>4456</v>
      </c>
      <c r="V511" s="14" t="s">
        <v>4393</v>
      </c>
      <c r="W511" s="14" t="s">
        <v>4404</v>
      </c>
      <c r="AA511" s="6"/>
      <c r="AB511" s="6" t="s">
        <v>55</v>
      </c>
      <c r="AC511" s="6"/>
      <c r="AD511" s="6" t="s">
        <v>56</v>
      </c>
      <c r="AE511" s="6"/>
      <c r="AF511" s="6" t="s">
        <v>68</v>
      </c>
      <c r="AG511" s="6"/>
      <c r="AH511" s="6" t="s">
        <v>144</v>
      </c>
      <c r="AI511" s="6"/>
      <c r="AJ511" s="6" t="s">
        <v>77</v>
      </c>
    </row>
    <row r="512" spans="1:36" ht="15.75" customHeight="1" x14ac:dyDescent="0.25">
      <c r="A512" s="7">
        <v>43418.829460243054</v>
      </c>
      <c r="B512" s="6" t="s">
        <v>30</v>
      </c>
      <c r="C512" s="6" t="s">
        <v>128</v>
      </c>
      <c r="D512" s="6" t="s">
        <v>165</v>
      </c>
      <c r="E512" s="6" t="s">
        <v>81</v>
      </c>
      <c r="G512" s="6" t="s">
        <v>87</v>
      </c>
      <c r="J512" s="6" t="s">
        <v>158</v>
      </c>
      <c r="K512" s="6"/>
      <c r="L512" s="6" t="s">
        <v>1715</v>
      </c>
      <c r="M512" s="6"/>
      <c r="N512" s="6" t="s">
        <v>181</v>
      </c>
      <c r="O512" s="6"/>
      <c r="P512" s="6" t="s">
        <v>94</v>
      </c>
      <c r="Q512" s="6"/>
      <c r="R512" s="47" t="s">
        <v>2513</v>
      </c>
      <c r="S512" s="14" t="s">
        <v>4640</v>
      </c>
      <c r="T512" s="14" t="s">
        <v>5061</v>
      </c>
      <c r="AA512" s="6"/>
      <c r="AB512" s="6" t="s">
        <v>67</v>
      </c>
      <c r="AC512" s="6"/>
      <c r="AD512" s="6" t="s">
        <v>56</v>
      </c>
      <c r="AE512" s="6"/>
      <c r="AF512" s="6" t="s">
        <v>75</v>
      </c>
      <c r="AG512" s="6"/>
      <c r="AH512" s="6" t="s">
        <v>58</v>
      </c>
      <c r="AI512" s="6"/>
      <c r="AJ512" s="6" t="s">
        <v>77</v>
      </c>
    </row>
    <row r="513" spans="1:36" ht="15.75" customHeight="1" x14ac:dyDescent="0.25">
      <c r="A513" s="7">
        <v>43418.830942256944</v>
      </c>
      <c r="B513" s="6" t="s">
        <v>60</v>
      </c>
      <c r="C513" s="6" t="s">
        <v>1717</v>
      </c>
      <c r="D513" s="6" t="s">
        <v>307</v>
      </c>
      <c r="E513" s="6" t="s">
        <v>81</v>
      </c>
      <c r="F513" s="6" t="s">
        <v>1192</v>
      </c>
      <c r="G513" s="6" t="s">
        <v>87</v>
      </c>
      <c r="H513" s="6" t="s">
        <v>1718</v>
      </c>
      <c r="I513" s="6"/>
      <c r="J513" s="6" t="s">
        <v>158</v>
      </c>
      <c r="K513" s="6"/>
      <c r="L513" s="6" t="s">
        <v>1719</v>
      </c>
      <c r="M513" s="6"/>
      <c r="N513" s="6" t="s">
        <v>98</v>
      </c>
      <c r="O513" s="6"/>
      <c r="P513" s="6" t="s">
        <v>131</v>
      </c>
      <c r="Q513" s="6"/>
      <c r="R513" s="47" t="s">
        <v>5062</v>
      </c>
      <c r="S513" s="14" t="s">
        <v>5063</v>
      </c>
      <c r="AA513" s="6"/>
      <c r="AB513" s="6" t="s">
        <v>55</v>
      </c>
      <c r="AC513" s="6"/>
      <c r="AD513" s="6" t="s">
        <v>56</v>
      </c>
      <c r="AE513" s="6"/>
      <c r="AF513" s="6" t="s">
        <v>161</v>
      </c>
      <c r="AG513" s="6"/>
      <c r="AH513" s="6" t="s">
        <v>126</v>
      </c>
      <c r="AI513" s="6"/>
      <c r="AJ513" s="6" t="s">
        <v>260</v>
      </c>
    </row>
    <row r="514" spans="1:36" ht="15.75" customHeight="1" x14ac:dyDescent="0.25">
      <c r="A514" s="7">
        <v>43418.832350138888</v>
      </c>
      <c r="B514" s="6" t="s">
        <v>543</v>
      </c>
      <c r="C514" s="6" t="s">
        <v>1422</v>
      </c>
      <c r="D514" s="6" t="s">
        <v>163</v>
      </c>
      <c r="E514" s="6" t="s">
        <v>48</v>
      </c>
      <c r="F514" s="6" t="s">
        <v>1721</v>
      </c>
      <c r="G514" s="6" t="s">
        <v>48</v>
      </c>
      <c r="J514" s="6" t="s">
        <v>106</v>
      </c>
      <c r="K514" s="6"/>
      <c r="L514" s="6" t="s">
        <v>1722</v>
      </c>
      <c r="M514" s="6"/>
      <c r="N514" s="6" t="s">
        <v>181</v>
      </c>
      <c r="O514" s="6"/>
      <c r="P514" s="6" t="s">
        <v>131</v>
      </c>
      <c r="Q514" s="6"/>
      <c r="R514" s="47" t="s">
        <v>1723</v>
      </c>
      <c r="AA514" s="6"/>
      <c r="AB514" s="6" t="s">
        <v>55</v>
      </c>
      <c r="AC514" s="6"/>
      <c r="AD514" s="6" t="s">
        <v>56</v>
      </c>
      <c r="AE514" s="6"/>
      <c r="AF514" s="6" t="s">
        <v>205</v>
      </c>
      <c r="AG514" s="6"/>
      <c r="AH514" s="6" t="s">
        <v>58</v>
      </c>
      <c r="AI514" s="6"/>
      <c r="AJ514" s="11" t="s">
        <v>288</v>
      </c>
    </row>
    <row r="515" spans="1:36" ht="15.75" customHeight="1" x14ac:dyDescent="0.25">
      <c r="A515" s="7">
        <v>43418.833283530097</v>
      </c>
      <c r="B515" s="6" t="s">
        <v>30</v>
      </c>
      <c r="C515" s="6" t="s">
        <v>971</v>
      </c>
      <c r="D515" s="6" t="s">
        <v>46</v>
      </c>
      <c r="E515" s="6" t="s">
        <v>48</v>
      </c>
      <c r="F515" s="6" t="s">
        <v>262</v>
      </c>
      <c r="G515" s="6" t="s">
        <v>48</v>
      </c>
      <c r="H515" s="6" t="s">
        <v>1724</v>
      </c>
      <c r="I515" s="6"/>
      <c r="J515" s="6" t="s">
        <v>106</v>
      </c>
      <c r="K515" s="6"/>
      <c r="L515" s="6" t="s">
        <v>1725</v>
      </c>
      <c r="M515" s="6"/>
      <c r="N515" s="6" t="s">
        <v>51</v>
      </c>
      <c r="O515" s="6"/>
      <c r="P515" s="6" t="s">
        <v>52</v>
      </c>
      <c r="Q515" s="6"/>
      <c r="R515" s="47" t="s">
        <v>5036</v>
      </c>
      <c r="S515" s="14" t="s">
        <v>4420</v>
      </c>
      <c r="T515" s="14" t="s">
        <v>5064</v>
      </c>
      <c r="AA515" s="6"/>
      <c r="AB515" s="6" t="s">
        <v>67</v>
      </c>
      <c r="AC515" s="6"/>
      <c r="AD515" s="6" t="s">
        <v>56</v>
      </c>
      <c r="AE515" s="6"/>
      <c r="AF515" s="6" t="s">
        <v>75</v>
      </c>
      <c r="AG515" s="6"/>
      <c r="AH515" s="6" t="s">
        <v>76</v>
      </c>
      <c r="AI515" s="6"/>
      <c r="AJ515" s="6" t="s">
        <v>77</v>
      </c>
    </row>
    <row r="516" spans="1:36" ht="15.75" customHeight="1" x14ac:dyDescent="0.25">
      <c r="A516" s="7">
        <v>43418.834173090276</v>
      </c>
      <c r="B516" s="6" t="s">
        <v>30</v>
      </c>
      <c r="C516" s="6" t="s">
        <v>1582</v>
      </c>
      <c r="D516" s="6" t="s">
        <v>91</v>
      </c>
      <c r="E516" s="6" t="s">
        <v>81</v>
      </c>
      <c r="G516" s="6" t="s">
        <v>87</v>
      </c>
      <c r="H516" s="6" t="s">
        <v>1727</v>
      </c>
      <c r="I516" s="6"/>
      <c r="J516" s="6" t="s">
        <v>106</v>
      </c>
      <c r="K516" s="6"/>
      <c r="L516" s="6" t="s">
        <v>1728</v>
      </c>
      <c r="M516" s="6"/>
      <c r="N516" s="6" t="s">
        <v>112</v>
      </c>
      <c r="O516" s="6"/>
      <c r="P516" s="6" t="s">
        <v>99</v>
      </c>
      <c r="Q516" s="6"/>
      <c r="AA516" s="6"/>
      <c r="AB516" s="6" t="s">
        <v>101</v>
      </c>
      <c r="AC516" s="6"/>
      <c r="AD516" s="6" t="s">
        <v>57</v>
      </c>
      <c r="AE516" s="6"/>
      <c r="AF516" s="6" t="s">
        <v>68</v>
      </c>
      <c r="AG516" s="6"/>
      <c r="AH516" s="6" t="s">
        <v>57</v>
      </c>
      <c r="AI516" s="6"/>
      <c r="AJ516" s="11" t="s">
        <v>348</v>
      </c>
    </row>
    <row r="517" spans="1:36" ht="15.75" customHeight="1" x14ac:dyDescent="0.25">
      <c r="A517" s="7">
        <v>43418.835501608795</v>
      </c>
      <c r="B517" s="6" t="s">
        <v>397</v>
      </c>
      <c r="C517" s="6" t="s">
        <v>306</v>
      </c>
      <c r="D517" s="6" t="s">
        <v>163</v>
      </c>
      <c r="E517" s="6" t="s">
        <v>48</v>
      </c>
      <c r="F517" s="6" t="s">
        <v>1729</v>
      </c>
      <c r="G517" s="6" t="s">
        <v>81</v>
      </c>
      <c r="H517" s="6" t="s">
        <v>1730</v>
      </c>
      <c r="I517" s="6"/>
      <c r="J517" s="6" t="s">
        <v>92</v>
      </c>
      <c r="K517" s="6"/>
      <c r="L517" s="6" t="s">
        <v>1731</v>
      </c>
      <c r="M517" s="6"/>
      <c r="N517" s="6" t="s">
        <v>98</v>
      </c>
      <c r="O517" s="6"/>
      <c r="P517" s="6" t="s">
        <v>131</v>
      </c>
      <c r="Q517" s="6"/>
      <c r="R517" s="47" t="s">
        <v>4729</v>
      </c>
      <c r="S517" s="14" t="s">
        <v>4579</v>
      </c>
      <c r="T517" s="14" t="s">
        <v>4573</v>
      </c>
      <c r="AA517" s="6"/>
      <c r="AB517" s="6" t="s">
        <v>67</v>
      </c>
      <c r="AC517" s="6"/>
      <c r="AD517" s="6" t="s">
        <v>56</v>
      </c>
      <c r="AE517" s="6"/>
      <c r="AF517" s="6" t="s">
        <v>75</v>
      </c>
      <c r="AG517" s="6"/>
      <c r="AH517" s="6" t="s">
        <v>58</v>
      </c>
      <c r="AI517" s="6"/>
      <c r="AJ517" s="6" t="s">
        <v>77</v>
      </c>
    </row>
    <row r="518" spans="1:36" ht="15.75" customHeight="1" x14ac:dyDescent="0.25">
      <c r="A518" s="7">
        <v>43418.836564247686</v>
      </c>
      <c r="B518" s="6" t="s">
        <v>30</v>
      </c>
      <c r="C518" s="6" t="s">
        <v>95</v>
      </c>
      <c r="D518" s="6" t="s">
        <v>46</v>
      </c>
      <c r="E518" s="6" t="s">
        <v>48</v>
      </c>
      <c r="F518" s="6" t="s">
        <v>1733</v>
      </c>
      <c r="G518" s="6" t="s">
        <v>48</v>
      </c>
      <c r="H518" s="6" t="s">
        <v>1734</v>
      </c>
      <c r="I518" s="6"/>
      <c r="J518" s="6" t="s">
        <v>89</v>
      </c>
      <c r="K518" s="6"/>
      <c r="L518" s="6" t="s">
        <v>1735</v>
      </c>
      <c r="M518" s="6"/>
      <c r="N518" s="6" t="s">
        <v>181</v>
      </c>
      <c r="O518" s="6"/>
      <c r="P518" s="6" t="s">
        <v>131</v>
      </c>
      <c r="Q518" s="6"/>
      <c r="R518" s="47" t="s">
        <v>143</v>
      </c>
      <c r="S518" s="14" t="s">
        <v>4407</v>
      </c>
      <c r="T518" s="14" t="s">
        <v>5065</v>
      </c>
      <c r="U518" s="14" t="s">
        <v>4419</v>
      </c>
      <c r="AA518" s="6"/>
      <c r="AB518" s="6" t="s">
        <v>101</v>
      </c>
      <c r="AC518" s="6"/>
      <c r="AD518" s="6" t="s">
        <v>56</v>
      </c>
      <c r="AE518" s="6"/>
      <c r="AF518" s="6" t="s">
        <v>75</v>
      </c>
      <c r="AG518" s="6"/>
      <c r="AH518" s="6" t="s">
        <v>58</v>
      </c>
      <c r="AI518" s="6"/>
      <c r="AJ518" s="6" t="s">
        <v>244</v>
      </c>
    </row>
    <row r="519" spans="1:36" ht="15.75" customHeight="1" x14ac:dyDescent="0.25">
      <c r="A519" s="7">
        <v>43418.836740682869</v>
      </c>
      <c r="B519" s="6" t="s">
        <v>1737</v>
      </c>
      <c r="C519" s="6" t="s">
        <v>794</v>
      </c>
      <c r="D519" s="6" t="s">
        <v>261</v>
      </c>
      <c r="E519" s="6" t="s">
        <v>81</v>
      </c>
      <c r="G519" s="6" t="s">
        <v>87</v>
      </c>
      <c r="H519" s="6" t="s">
        <v>1738</v>
      </c>
      <c r="I519" s="6"/>
      <c r="J519" s="6" t="s">
        <v>73</v>
      </c>
      <c r="K519" s="6"/>
      <c r="L519" s="6" t="s">
        <v>1739</v>
      </c>
      <c r="M519" s="6"/>
      <c r="N519" s="6" t="s">
        <v>51</v>
      </c>
      <c r="O519" s="6"/>
      <c r="P519" s="6" t="s">
        <v>52</v>
      </c>
      <c r="Q519" s="6"/>
      <c r="R519" s="47" t="s">
        <v>2808</v>
      </c>
      <c r="S519" s="14" t="s">
        <v>5066</v>
      </c>
      <c r="T519" s="14" t="s">
        <v>4461</v>
      </c>
      <c r="U519" s="14" t="s">
        <v>5067</v>
      </c>
      <c r="AA519" s="6"/>
      <c r="AB519" s="6" t="s">
        <v>55</v>
      </c>
      <c r="AC519" s="6"/>
      <c r="AD519" s="6" t="s">
        <v>56</v>
      </c>
      <c r="AE519" s="6"/>
      <c r="AF519" s="6" t="s">
        <v>68</v>
      </c>
      <c r="AG519" s="6"/>
      <c r="AH519" s="6" t="s">
        <v>126</v>
      </c>
      <c r="AI519" s="6"/>
      <c r="AJ519" s="6" t="s">
        <v>77</v>
      </c>
    </row>
    <row r="520" spans="1:36" ht="15.75" customHeight="1" x14ac:dyDescent="0.25">
      <c r="A520" s="7">
        <v>43418.837149907413</v>
      </c>
      <c r="B520" s="6" t="s">
        <v>154</v>
      </c>
      <c r="C520" s="6" t="s">
        <v>771</v>
      </c>
      <c r="D520" s="6" t="s">
        <v>46</v>
      </c>
      <c r="E520" s="6" t="s">
        <v>81</v>
      </c>
      <c r="G520" s="6" t="s">
        <v>87</v>
      </c>
      <c r="J520" s="6" t="s">
        <v>92</v>
      </c>
      <c r="K520" s="6"/>
      <c r="L520" s="6" t="s">
        <v>1741</v>
      </c>
      <c r="M520" s="6"/>
      <c r="N520" s="6" t="s">
        <v>121</v>
      </c>
      <c r="O520" s="6"/>
      <c r="P520" s="6" t="s">
        <v>94</v>
      </c>
      <c r="Q520" s="6"/>
      <c r="R520" s="47" t="s">
        <v>182</v>
      </c>
      <c r="S520" s="14" t="s">
        <v>5068</v>
      </c>
      <c r="T520" s="14" t="s">
        <v>4617</v>
      </c>
      <c r="U520" s="14" t="s">
        <v>4415</v>
      </c>
      <c r="V520" s="14" t="s">
        <v>5069</v>
      </c>
      <c r="AA520" s="6"/>
      <c r="AB520" s="6" t="s">
        <v>67</v>
      </c>
      <c r="AC520" s="6"/>
      <c r="AD520" s="6" t="s">
        <v>56</v>
      </c>
      <c r="AE520" s="6"/>
      <c r="AF520" s="6" t="s">
        <v>75</v>
      </c>
      <c r="AG520" s="6"/>
      <c r="AH520" s="6" t="s">
        <v>76</v>
      </c>
      <c r="AI520" s="6"/>
      <c r="AJ520" s="6" t="s">
        <v>293</v>
      </c>
    </row>
    <row r="521" spans="1:36" ht="15.75" customHeight="1" x14ac:dyDescent="0.25">
      <c r="A521" s="7">
        <v>43418.837821458335</v>
      </c>
      <c r="B521" s="6" t="s">
        <v>30</v>
      </c>
      <c r="C521" s="6" t="s">
        <v>95</v>
      </c>
      <c r="D521" s="6" t="s">
        <v>46</v>
      </c>
      <c r="E521" s="6" t="s">
        <v>48</v>
      </c>
      <c r="F521" s="6" t="s">
        <v>1743</v>
      </c>
      <c r="G521" s="6" t="s">
        <v>48</v>
      </c>
      <c r="H521" s="6" t="s">
        <v>1744</v>
      </c>
      <c r="I521" s="6"/>
      <c r="J521" s="6" t="s">
        <v>89</v>
      </c>
      <c r="K521" s="6"/>
      <c r="L521" s="6" t="s">
        <v>1745</v>
      </c>
      <c r="M521" s="6"/>
      <c r="N521" s="6" t="s">
        <v>51</v>
      </c>
      <c r="O521" s="6"/>
      <c r="P521" s="6" t="s">
        <v>99</v>
      </c>
      <c r="Q521" s="6"/>
      <c r="R521" s="47" t="s">
        <v>201</v>
      </c>
      <c r="S521" s="14" t="s">
        <v>5070</v>
      </c>
      <c r="T521" s="14" t="s">
        <v>5071</v>
      </c>
      <c r="AA521" s="6"/>
      <c r="AB521" s="6" t="s">
        <v>67</v>
      </c>
      <c r="AC521" s="6"/>
      <c r="AD521" s="6" t="s">
        <v>56</v>
      </c>
      <c r="AE521" s="6"/>
      <c r="AF521" s="6" t="s">
        <v>68</v>
      </c>
      <c r="AG521" s="6"/>
      <c r="AH521" s="6" t="s">
        <v>58</v>
      </c>
      <c r="AI521" s="6"/>
      <c r="AJ521" s="6" t="s">
        <v>77</v>
      </c>
    </row>
    <row r="522" spans="1:36" ht="15.75" customHeight="1" x14ac:dyDescent="0.25">
      <c r="A522" s="7">
        <v>43418.841204131946</v>
      </c>
      <c r="B522" s="6" t="s">
        <v>30</v>
      </c>
      <c r="C522" s="6" t="s">
        <v>287</v>
      </c>
      <c r="E522" s="6" t="s">
        <v>81</v>
      </c>
      <c r="G522" s="6" t="s">
        <v>87</v>
      </c>
      <c r="H522" s="6" t="s">
        <v>1747</v>
      </c>
      <c r="I522" s="6"/>
      <c r="J522" s="6" t="s">
        <v>73</v>
      </c>
      <c r="K522" s="6"/>
      <c r="L522" s="6" t="s">
        <v>1748</v>
      </c>
      <c r="M522" s="6"/>
      <c r="N522" s="6" t="s">
        <v>112</v>
      </c>
      <c r="O522" s="6"/>
      <c r="P522" s="6" t="s">
        <v>131</v>
      </c>
      <c r="Q522" s="6"/>
      <c r="R522" s="47" t="s">
        <v>1749</v>
      </c>
      <c r="AA522" s="6"/>
      <c r="AB522" s="6" t="s">
        <v>67</v>
      </c>
      <c r="AC522" s="6"/>
      <c r="AD522" s="6" t="s">
        <v>56</v>
      </c>
      <c r="AE522" s="6"/>
      <c r="AF522" s="6" t="s">
        <v>75</v>
      </c>
      <c r="AG522" s="6"/>
      <c r="AH522" s="6" t="s">
        <v>126</v>
      </c>
      <c r="AI522" s="6"/>
      <c r="AJ522" s="6" t="s">
        <v>57</v>
      </c>
    </row>
    <row r="523" spans="1:36" ht="15.75" customHeight="1" x14ac:dyDescent="0.25">
      <c r="A523" s="7">
        <v>43418.842225069442</v>
      </c>
      <c r="B523" s="6" t="s">
        <v>103</v>
      </c>
      <c r="C523" s="6" t="s">
        <v>45</v>
      </c>
      <c r="D523" s="6" t="s">
        <v>846</v>
      </c>
      <c r="E523" s="6" t="s">
        <v>81</v>
      </c>
      <c r="G523" s="6" t="s">
        <v>87</v>
      </c>
      <c r="H523" s="6" t="s">
        <v>1753</v>
      </c>
      <c r="I523" s="6"/>
      <c r="J523" s="6" t="s">
        <v>184</v>
      </c>
      <c r="K523" s="6"/>
      <c r="L523" s="6" t="s">
        <v>1754</v>
      </c>
      <c r="M523" s="6"/>
      <c r="N523" s="6" t="s">
        <v>51</v>
      </c>
      <c r="O523" s="6"/>
      <c r="P523" s="6" t="s">
        <v>65</v>
      </c>
      <c r="Q523" s="6"/>
      <c r="R523" s="47" t="s">
        <v>149</v>
      </c>
      <c r="S523" s="14" t="s">
        <v>5072</v>
      </c>
      <c r="AA523" s="6"/>
      <c r="AB523" s="6" t="s">
        <v>67</v>
      </c>
      <c r="AC523" s="6"/>
      <c r="AD523" s="6" t="s">
        <v>56</v>
      </c>
      <c r="AE523" s="6"/>
      <c r="AF523" s="6" t="s">
        <v>161</v>
      </c>
      <c r="AG523" s="6"/>
      <c r="AH523" s="6" t="s">
        <v>76</v>
      </c>
      <c r="AI523" s="6"/>
      <c r="AJ523" s="6" t="s">
        <v>115</v>
      </c>
    </row>
    <row r="524" spans="1:36" ht="15.75" customHeight="1" x14ac:dyDescent="0.25">
      <c r="A524" s="7">
        <v>43418.842787569447</v>
      </c>
      <c r="B524" s="6" t="s">
        <v>1756</v>
      </c>
      <c r="C524" s="6" t="s">
        <v>656</v>
      </c>
      <c r="D524" s="6" t="s">
        <v>165</v>
      </c>
      <c r="E524" s="6" t="s">
        <v>48</v>
      </c>
      <c r="F524" s="6" t="s">
        <v>1757</v>
      </c>
      <c r="G524" s="6" t="s">
        <v>48</v>
      </c>
      <c r="J524" s="6" t="s">
        <v>110</v>
      </c>
      <c r="K524" s="6"/>
      <c r="L524" s="6" t="s">
        <v>1758</v>
      </c>
      <c r="M524" s="6"/>
      <c r="N524" s="6" t="s">
        <v>212</v>
      </c>
      <c r="O524" s="6"/>
      <c r="P524" s="6" t="s">
        <v>99</v>
      </c>
      <c r="Q524" s="6"/>
      <c r="R524" s="47" t="s">
        <v>1759</v>
      </c>
      <c r="AA524" s="6"/>
      <c r="AB524" s="6" t="s">
        <v>67</v>
      </c>
      <c r="AC524" s="6"/>
      <c r="AD524" s="6" t="s">
        <v>56</v>
      </c>
      <c r="AE524" s="6"/>
      <c r="AF524" s="6" t="s">
        <v>75</v>
      </c>
      <c r="AG524" s="6"/>
      <c r="AH524" s="6" t="s">
        <v>58</v>
      </c>
      <c r="AI524" s="6"/>
      <c r="AJ524" s="6" t="s">
        <v>244</v>
      </c>
    </row>
    <row r="525" spans="1:36" ht="15.75" customHeight="1" x14ac:dyDescent="0.25">
      <c r="A525" s="7">
        <v>43418.847530069441</v>
      </c>
      <c r="B525" s="6" t="s">
        <v>770</v>
      </c>
      <c r="C525" s="6" t="s">
        <v>917</v>
      </c>
      <c r="D525" s="6" t="s">
        <v>163</v>
      </c>
      <c r="E525" s="6" t="s">
        <v>81</v>
      </c>
      <c r="G525" s="6" t="s">
        <v>87</v>
      </c>
      <c r="H525" s="6" t="s">
        <v>1760</v>
      </c>
      <c r="I525" s="6"/>
      <c r="J525" s="6" t="s">
        <v>92</v>
      </c>
      <c r="K525" s="6"/>
      <c r="N525" s="6" t="s">
        <v>51</v>
      </c>
      <c r="O525" s="6"/>
      <c r="P525" s="6" t="s">
        <v>52</v>
      </c>
      <c r="Q525" s="6"/>
      <c r="R525" s="47" t="s">
        <v>1761</v>
      </c>
      <c r="AA525" s="6"/>
      <c r="AB525" s="6" t="s">
        <v>55</v>
      </c>
      <c r="AC525" s="6"/>
      <c r="AD525" s="6" t="s">
        <v>56</v>
      </c>
      <c r="AE525" s="6"/>
      <c r="AF525" s="6" t="s">
        <v>68</v>
      </c>
      <c r="AG525" s="6"/>
      <c r="AH525" s="6" t="s">
        <v>126</v>
      </c>
      <c r="AI525" s="6"/>
      <c r="AJ525" s="6" t="s">
        <v>244</v>
      </c>
    </row>
    <row r="526" spans="1:36" ht="15.75" customHeight="1" x14ac:dyDescent="0.25">
      <c r="A526" s="7">
        <v>43418.84921237269</v>
      </c>
      <c r="B526" s="6" t="s">
        <v>294</v>
      </c>
      <c r="C526" s="6" t="s">
        <v>79</v>
      </c>
      <c r="D526" s="6" t="s">
        <v>129</v>
      </c>
      <c r="E526" s="6" t="s">
        <v>81</v>
      </c>
      <c r="G526" s="6" t="s">
        <v>87</v>
      </c>
      <c r="H526" s="6" t="s">
        <v>1762</v>
      </c>
      <c r="I526" s="6"/>
      <c r="J526" s="6" t="s">
        <v>73</v>
      </c>
      <c r="K526" s="6"/>
      <c r="L526" s="6" t="s">
        <v>1763</v>
      </c>
      <c r="M526" s="6"/>
      <c r="N526" s="6" t="s">
        <v>212</v>
      </c>
      <c r="O526" s="6"/>
      <c r="P526" s="6" t="s">
        <v>99</v>
      </c>
      <c r="Q526" s="6"/>
      <c r="R526" s="47" t="s">
        <v>1764</v>
      </c>
      <c r="AA526" s="6"/>
      <c r="AB526" s="6" t="s">
        <v>101</v>
      </c>
      <c r="AC526" s="6"/>
      <c r="AD526" s="6" t="s">
        <v>56</v>
      </c>
      <c r="AE526" s="6"/>
      <c r="AF526" s="6" t="s">
        <v>68</v>
      </c>
      <c r="AG526" s="6"/>
      <c r="AH526" s="6" t="s">
        <v>57</v>
      </c>
      <c r="AI526" s="6"/>
      <c r="AJ526" s="6" t="s">
        <v>293</v>
      </c>
    </row>
    <row r="527" spans="1:36" ht="15.75" customHeight="1" x14ac:dyDescent="0.25">
      <c r="A527" s="7">
        <v>43418.851168587964</v>
      </c>
      <c r="B527" s="6" t="s">
        <v>30</v>
      </c>
      <c r="C527" s="6" t="s">
        <v>128</v>
      </c>
      <c r="E527" s="6" t="s">
        <v>81</v>
      </c>
      <c r="G527" s="6" t="s">
        <v>87</v>
      </c>
      <c r="J527" s="6" t="s">
        <v>106</v>
      </c>
      <c r="K527" s="6"/>
      <c r="L527" s="6" t="s">
        <v>1766</v>
      </c>
      <c r="M527" s="6"/>
      <c r="N527" s="6" t="s">
        <v>98</v>
      </c>
      <c r="O527" s="6"/>
      <c r="P527" s="6" t="s">
        <v>131</v>
      </c>
      <c r="Q527" s="6"/>
      <c r="R527" s="47" t="s">
        <v>1767</v>
      </c>
      <c r="AA527" s="6"/>
      <c r="AB527" s="6" t="s">
        <v>101</v>
      </c>
      <c r="AC527" s="6"/>
      <c r="AD527" s="6" t="s">
        <v>57</v>
      </c>
      <c r="AE527" s="6"/>
      <c r="AF527" s="6" t="s">
        <v>68</v>
      </c>
      <c r="AG527" s="6"/>
      <c r="AH527" s="6" t="s">
        <v>57</v>
      </c>
      <c r="AJ527" s="6" t="s">
        <v>57</v>
      </c>
    </row>
    <row r="528" spans="1:36" ht="15.75" customHeight="1" x14ac:dyDescent="0.25">
      <c r="A528" s="7">
        <v>43418.854442187498</v>
      </c>
      <c r="B528" s="6" t="s">
        <v>26</v>
      </c>
      <c r="C528" s="6" t="s">
        <v>215</v>
      </c>
      <c r="D528" s="6" t="s">
        <v>165</v>
      </c>
      <c r="E528" s="6" t="s">
        <v>48</v>
      </c>
      <c r="F528" s="6" t="s">
        <v>1768</v>
      </c>
      <c r="G528" s="6" t="s">
        <v>48</v>
      </c>
      <c r="H528" s="6" t="s">
        <v>1769</v>
      </c>
      <c r="I528" s="6"/>
      <c r="J528" s="6" t="s">
        <v>92</v>
      </c>
      <c r="K528" s="6"/>
      <c r="L528" s="6" t="s">
        <v>1770</v>
      </c>
      <c r="M528" s="6"/>
      <c r="N528" s="6" t="s">
        <v>212</v>
      </c>
      <c r="O528" s="6"/>
      <c r="P528" s="6" t="s">
        <v>131</v>
      </c>
      <c r="Q528" s="6"/>
      <c r="R528" s="47" t="s">
        <v>5073</v>
      </c>
      <c r="S528" s="14" t="s">
        <v>4514</v>
      </c>
      <c r="AA528" s="6"/>
      <c r="AB528" s="6" t="s">
        <v>101</v>
      </c>
      <c r="AC528" s="6"/>
      <c r="AD528" s="6" t="s">
        <v>56</v>
      </c>
      <c r="AE528" s="6"/>
      <c r="AF528" s="6" t="s">
        <v>205</v>
      </c>
      <c r="AG528" s="6"/>
      <c r="AH528" s="6" t="s">
        <v>57</v>
      </c>
      <c r="AI528" s="6"/>
      <c r="AJ528" s="6" t="s">
        <v>59</v>
      </c>
    </row>
    <row r="529" spans="1:36" ht="15.75" customHeight="1" x14ac:dyDescent="0.25">
      <c r="A529" s="7">
        <v>43418.855447557871</v>
      </c>
      <c r="B529" s="6" t="s">
        <v>60</v>
      </c>
      <c r="C529" s="6" t="s">
        <v>1717</v>
      </c>
      <c r="D529" s="6" t="s">
        <v>138</v>
      </c>
      <c r="E529" s="6" t="s">
        <v>81</v>
      </c>
      <c r="G529" s="6" t="s">
        <v>87</v>
      </c>
      <c r="J529" s="6" t="s">
        <v>110</v>
      </c>
      <c r="K529" s="6"/>
      <c r="N529" s="6" t="s">
        <v>121</v>
      </c>
      <c r="O529" s="6"/>
      <c r="P529" s="6" t="s">
        <v>94</v>
      </c>
      <c r="Q529" s="6"/>
      <c r="AA529" s="6"/>
      <c r="AB529" s="6" t="s">
        <v>101</v>
      </c>
      <c r="AC529" s="6"/>
      <c r="AD529" s="6" t="s">
        <v>56</v>
      </c>
      <c r="AE529" s="6"/>
      <c r="AF529" s="6" t="s">
        <v>205</v>
      </c>
      <c r="AG529" s="6"/>
      <c r="AH529" s="6" t="s">
        <v>58</v>
      </c>
      <c r="AI529" s="6"/>
      <c r="AJ529" s="6" t="s">
        <v>288</v>
      </c>
    </row>
    <row r="530" spans="1:36" ht="15.75" customHeight="1" x14ac:dyDescent="0.25">
      <c r="A530" s="7">
        <v>43418.856722453704</v>
      </c>
      <c r="B530" s="6" t="s">
        <v>154</v>
      </c>
      <c r="C530" s="6" t="s">
        <v>756</v>
      </c>
      <c r="D530" s="6" t="s">
        <v>163</v>
      </c>
      <c r="E530" s="6" t="s">
        <v>48</v>
      </c>
      <c r="F530" s="6" t="s">
        <v>1772</v>
      </c>
      <c r="G530" s="6" t="s">
        <v>48</v>
      </c>
      <c r="H530" s="6" t="s">
        <v>1773</v>
      </c>
      <c r="I530" s="6"/>
      <c r="J530" s="6" t="s">
        <v>106</v>
      </c>
      <c r="K530" s="6"/>
      <c r="L530" s="6" t="s">
        <v>1774</v>
      </c>
      <c r="M530" s="6"/>
      <c r="N530" s="6" t="s">
        <v>112</v>
      </c>
      <c r="O530" s="6"/>
      <c r="P530" s="6" t="s">
        <v>99</v>
      </c>
      <c r="Q530" s="6"/>
      <c r="R530" s="47" t="s">
        <v>4253</v>
      </c>
      <c r="S530" s="14" t="s">
        <v>5038</v>
      </c>
      <c r="T530" s="14" t="s">
        <v>5074</v>
      </c>
      <c r="U530" s="14" t="s">
        <v>4518</v>
      </c>
      <c r="V530" s="14" t="s">
        <v>5075</v>
      </c>
      <c r="W530" s="14" t="s">
        <v>5076</v>
      </c>
      <c r="X530" s="14" t="s">
        <v>5077</v>
      </c>
      <c r="AA530" s="6"/>
      <c r="AB530" s="6" t="s">
        <v>67</v>
      </c>
      <c r="AC530" s="6"/>
      <c r="AD530" s="6" t="s">
        <v>56</v>
      </c>
      <c r="AE530" s="6"/>
      <c r="AF530" s="6" t="s">
        <v>75</v>
      </c>
      <c r="AG530" s="6"/>
      <c r="AH530" s="6" t="s">
        <v>58</v>
      </c>
      <c r="AI530" s="6"/>
      <c r="AJ530" s="11" t="s">
        <v>381</v>
      </c>
    </row>
    <row r="531" spans="1:36" ht="15.75" customHeight="1" x14ac:dyDescent="0.25">
      <c r="A531" s="7">
        <v>43418.857244791667</v>
      </c>
      <c r="B531" s="6" t="s">
        <v>60</v>
      </c>
      <c r="C531" s="6" t="s">
        <v>104</v>
      </c>
      <c r="D531" s="6" t="s">
        <v>129</v>
      </c>
      <c r="E531" s="6" t="s">
        <v>48</v>
      </c>
      <c r="F531" s="6" t="s">
        <v>1776</v>
      </c>
      <c r="G531" s="6" t="s">
        <v>48</v>
      </c>
      <c r="H531" s="6" t="s">
        <v>1777</v>
      </c>
      <c r="I531" s="6"/>
      <c r="J531" s="6" t="s">
        <v>106</v>
      </c>
      <c r="K531" s="6"/>
      <c r="L531" s="6" t="s">
        <v>1779</v>
      </c>
      <c r="M531" s="6"/>
      <c r="N531" s="6" t="s">
        <v>51</v>
      </c>
      <c r="O531" s="6"/>
      <c r="P531" s="6" t="s">
        <v>52</v>
      </c>
      <c r="Q531" s="6"/>
      <c r="R531" s="47" t="s">
        <v>2346</v>
      </c>
      <c r="S531" s="14" t="s">
        <v>4425</v>
      </c>
      <c r="T531" s="14" t="s">
        <v>4400</v>
      </c>
      <c r="U531" s="14" t="s">
        <v>4389</v>
      </c>
      <c r="V531" s="14" t="s">
        <v>5078</v>
      </c>
      <c r="AA531" s="6"/>
      <c r="AB531" s="6" t="s">
        <v>67</v>
      </c>
      <c r="AC531" s="6"/>
      <c r="AD531" s="6" t="s">
        <v>56</v>
      </c>
      <c r="AE531" s="6"/>
      <c r="AF531" s="6" t="s">
        <v>68</v>
      </c>
      <c r="AG531" s="6"/>
      <c r="AH531" s="6" t="s">
        <v>126</v>
      </c>
      <c r="AI531" s="6"/>
      <c r="AJ531" s="6" t="s">
        <v>187</v>
      </c>
    </row>
    <row r="532" spans="1:36" ht="15.75" customHeight="1" x14ac:dyDescent="0.25">
      <c r="A532" s="7">
        <v>43418.858075185184</v>
      </c>
      <c r="B532" s="6" t="s">
        <v>60</v>
      </c>
      <c r="C532" s="6" t="s">
        <v>282</v>
      </c>
      <c r="D532" s="6" t="s">
        <v>163</v>
      </c>
      <c r="E532" s="6" t="s">
        <v>48</v>
      </c>
      <c r="F532" s="6" t="s">
        <v>1781</v>
      </c>
      <c r="G532" s="6" t="s">
        <v>81</v>
      </c>
      <c r="J532" s="6" t="s">
        <v>110</v>
      </c>
      <c r="K532" s="6"/>
      <c r="L532" s="6" t="s">
        <v>1782</v>
      </c>
      <c r="M532" s="6"/>
      <c r="N532" s="6" t="s">
        <v>112</v>
      </c>
      <c r="O532" s="6"/>
      <c r="P532" s="6" t="s">
        <v>65</v>
      </c>
      <c r="Q532" s="6"/>
      <c r="R532" s="47" t="s">
        <v>1783</v>
      </c>
      <c r="AA532" s="6"/>
      <c r="AB532" s="6" t="s">
        <v>67</v>
      </c>
      <c r="AC532" s="6"/>
      <c r="AD532" s="6" t="s">
        <v>56</v>
      </c>
      <c r="AE532" s="6"/>
      <c r="AF532" s="6" t="s">
        <v>205</v>
      </c>
      <c r="AG532" s="6"/>
      <c r="AH532" s="6" t="s">
        <v>58</v>
      </c>
      <c r="AI532" s="6"/>
      <c r="AJ532" s="11" t="s">
        <v>174</v>
      </c>
    </row>
    <row r="533" spans="1:36" ht="15.75" customHeight="1" x14ac:dyDescent="0.25">
      <c r="A533" s="7">
        <v>43418.859043460645</v>
      </c>
      <c r="B533" s="6" t="s">
        <v>294</v>
      </c>
      <c r="C533" s="6" t="s">
        <v>45</v>
      </c>
      <c r="D533" s="6" t="s">
        <v>163</v>
      </c>
      <c r="E533" s="6" t="s">
        <v>48</v>
      </c>
      <c r="F533" s="6" t="s">
        <v>993</v>
      </c>
      <c r="G533" s="6" t="s">
        <v>48</v>
      </c>
      <c r="H533" s="6" t="s">
        <v>1784</v>
      </c>
      <c r="I533" s="6"/>
      <c r="J533" s="6" t="s">
        <v>92</v>
      </c>
      <c r="K533" s="6"/>
      <c r="L533" s="6" t="s">
        <v>1785</v>
      </c>
      <c r="M533" s="6"/>
      <c r="N533" s="6" t="s">
        <v>167</v>
      </c>
      <c r="O533" s="6"/>
      <c r="P533" s="6" t="s">
        <v>168</v>
      </c>
      <c r="Q533" s="6"/>
      <c r="R533" s="47" t="s">
        <v>5079</v>
      </c>
      <c r="S533" s="14" t="s">
        <v>4459</v>
      </c>
      <c r="T533" s="14" t="s">
        <v>5080</v>
      </c>
      <c r="AA533" s="6"/>
      <c r="AB533" s="6" t="s">
        <v>67</v>
      </c>
      <c r="AC533" s="6"/>
      <c r="AD533" s="6" t="s">
        <v>56</v>
      </c>
      <c r="AE533" s="6"/>
      <c r="AF533" s="6" t="s">
        <v>68</v>
      </c>
      <c r="AG533" s="6"/>
      <c r="AH533" s="6" t="s">
        <v>58</v>
      </c>
      <c r="AI533" s="6"/>
      <c r="AJ533" s="6" t="s">
        <v>318</v>
      </c>
    </row>
    <row r="534" spans="1:36" ht="15.75" customHeight="1" x14ac:dyDescent="0.25">
      <c r="A534" s="7">
        <v>43418.860612280092</v>
      </c>
      <c r="B534" s="6" t="s">
        <v>28</v>
      </c>
      <c r="C534" s="6" t="s">
        <v>79</v>
      </c>
      <c r="E534" s="6" t="s">
        <v>81</v>
      </c>
      <c r="G534" s="6" t="s">
        <v>87</v>
      </c>
      <c r="H534" s="6" t="s">
        <v>1787</v>
      </c>
      <c r="I534" s="6"/>
      <c r="J534" s="6" t="s">
        <v>110</v>
      </c>
      <c r="K534" s="6"/>
      <c r="L534" s="6" t="s">
        <v>1788</v>
      </c>
      <c r="M534" s="6"/>
      <c r="N534" s="6" t="s">
        <v>112</v>
      </c>
      <c r="O534" s="6"/>
      <c r="P534" s="6" t="s">
        <v>131</v>
      </c>
      <c r="Q534" s="6"/>
      <c r="R534" s="47" t="s">
        <v>3366</v>
      </c>
      <c r="S534" s="14" t="s">
        <v>4404</v>
      </c>
      <c r="T534" s="14" t="s">
        <v>4400</v>
      </c>
      <c r="U534" s="14" t="s">
        <v>5081</v>
      </c>
      <c r="AA534" s="6"/>
      <c r="AB534" s="6" t="s">
        <v>67</v>
      </c>
      <c r="AC534" s="6"/>
      <c r="AD534" s="6" t="s">
        <v>56</v>
      </c>
      <c r="AE534" s="6"/>
      <c r="AF534" s="6" t="s">
        <v>75</v>
      </c>
      <c r="AG534" s="6"/>
      <c r="AH534" s="11" t="s">
        <v>58</v>
      </c>
      <c r="AI534" s="6"/>
      <c r="AJ534" s="6" t="s">
        <v>314</v>
      </c>
    </row>
    <row r="535" spans="1:36" ht="15.75" customHeight="1" x14ac:dyDescent="0.25">
      <c r="A535" s="7">
        <v>43418.860711990739</v>
      </c>
      <c r="B535" s="6" t="s">
        <v>30</v>
      </c>
      <c r="C535" s="6" t="s">
        <v>215</v>
      </c>
      <c r="D535" s="6" t="s">
        <v>133</v>
      </c>
      <c r="E535" s="6" t="s">
        <v>81</v>
      </c>
      <c r="G535" s="6" t="s">
        <v>87</v>
      </c>
      <c r="H535" s="6" t="s">
        <v>1791</v>
      </c>
      <c r="I535" s="6"/>
      <c r="J535" s="6" t="s">
        <v>73</v>
      </c>
      <c r="K535" s="6"/>
      <c r="L535" s="6" t="s">
        <v>1792</v>
      </c>
      <c r="M535" s="6"/>
      <c r="N535" s="6" t="s">
        <v>98</v>
      </c>
      <c r="O535" s="6"/>
      <c r="P535" s="6" t="s">
        <v>168</v>
      </c>
      <c r="Q535" s="6"/>
      <c r="R535" s="47" t="s">
        <v>201</v>
      </c>
      <c r="S535" s="14" t="s">
        <v>5082</v>
      </c>
      <c r="T535" s="14" t="s">
        <v>5083</v>
      </c>
      <c r="AA535" s="6"/>
      <c r="AB535" s="6" t="s">
        <v>67</v>
      </c>
      <c r="AC535" s="6"/>
      <c r="AD535" s="6" t="s">
        <v>56</v>
      </c>
      <c r="AE535" s="6"/>
      <c r="AF535" s="6" t="s">
        <v>75</v>
      </c>
      <c r="AG535" s="6"/>
      <c r="AH535" s="6" t="s">
        <v>57</v>
      </c>
      <c r="AI535" s="6"/>
      <c r="AJ535" s="11" t="s">
        <v>77</v>
      </c>
    </row>
    <row r="536" spans="1:36" ht="15.75" customHeight="1" x14ac:dyDescent="0.25">
      <c r="A536" s="7">
        <v>43418.86084927083</v>
      </c>
      <c r="B536" s="6" t="s">
        <v>30</v>
      </c>
      <c r="C536" s="6" t="s">
        <v>95</v>
      </c>
      <c r="D536" s="6" t="s">
        <v>165</v>
      </c>
      <c r="E536" s="6" t="s">
        <v>81</v>
      </c>
      <c r="G536" s="6" t="s">
        <v>87</v>
      </c>
      <c r="H536" s="6" t="s">
        <v>1795</v>
      </c>
      <c r="I536" s="6"/>
      <c r="J536" s="6" t="s">
        <v>110</v>
      </c>
      <c r="K536" s="6"/>
      <c r="L536" s="6" t="s">
        <v>1796</v>
      </c>
      <c r="M536" s="6"/>
      <c r="N536" s="6" t="s">
        <v>112</v>
      </c>
      <c r="O536" s="6"/>
      <c r="P536" s="6" t="s">
        <v>131</v>
      </c>
      <c r="Q536" s="6"/>
      <c r="R536" s="47" t="s">
        <v>1797</v>
      </c>
      <c r="AA536" s="6"/>
      <c r="AB536" s="6" t="s">
        <v>101</v>
      </c>
      <c r="AC536" s="6"/>
      <c r="AD536" s="6" t="s">
        <v>56</v>
      </c>
      <c r="AE536" s="6"/>
      <c r="AF536" s="6" t="s">
        <v>68</v>
      </c>
      <c r="AG536" s="6"/>
      <c r="AH536" s="6" t="s">
        <v>58</v>
      </c>
      <c r="AI536" s="6"/>
      <c r="AJ536" s="6" t="s">
        <v>59</v>
      </c>
    </row>
    <row r="537" spans="1:36" ht="15.75" customHeight="1" x14ac:dyDescent="0.25">
      <c r="A537" s="7">
        <v>43418.862172557871</v>
      </c>
      <c r="B537" s="6" t="s">
        <v>1798</v>
      </c>
      <c r="C537" s="6" t="s">
        <v>287</v>
      </c>
      <c r="D537" s="6" t="s">
        <v>46</v>
      </c>
      <c r="E537" s="6" t="s">
        <v>81</v>
      </c>
      <c r="G537" s="6" t="s">
        <v>87</v>
      </c>
      <c r="H537" s="6" t="s">
        <v>1799</v>
      </c>
      <c r="I537" s="6"/>
      <c r="J537" s="6" t="s">
        <v>106</v>
      </c>
      <c r="K537" s="6"/>
      <c r="L537" s="6" t="s">
        <v>1800</v>
      </c>
      <c r="M537" s="6"/>
      <c r="N537" s="6" t="s">
        <v>121</v>
      </c>
      <c r="O537" s="6"/>
      <c r="P537" s="6" t="s">
        <v>94</v>
      </c>
      <c r="Q537" s="6"/>
      <c r="R537" s="47" t="s">
        <v>5084</v>
      </c>
      <c r="S537" s="14" t="s">
        <v>5085</v>
      </c>
      <c r="T537" s="14" t="s">
        <v>5086</v>
      </c>
      <c r="U537" s="14" t="s">
        <v>5087</v>
      </c>
      <c r="AA537" s="6"/>
      <c r="AB537" s="6" t="s">
        <v>101</v>
      </c>
      <c r="AC537" s="6"/>
      <c r="AD537" s="6" t="s">
        <v>56</v>
      </c>
      <c r="AE537" s="6"/>
      <c r="AF537" s="6" t="s">
        <v>75</v>
      </c>
      <c r="AG537" s="6"/>
      <c r="AH537" s="6" t="s">
        <v>58</v>
      </c>
      <c r="AI537" s="6"/>
      <c r="AJ537" s="6" t="s">
        <v>259</v>
      </c>
    </row>
    <row r="538" spans="1:36" ht="15.75" customHeight="1" x14ac:dyDescent="0.25">
      <c r="A538" s="7">
        <v>43418.862919664352</v>
      </c>
      <c r="B538" s="6" t="s">
        <v>154</v>
      </c>
      <c r="C538" s="6" t="s">
        <v>434</v>
      </c>
      <c r="D538" s="6" t="s">
        <v>163</v>
      </c>
      <c r="E538" s="6" t="s">
        <v>48</v>
      </c>
      <c r="F538" s="6" t="s">
        <v>183</v>
      </c>
      <c r="G538" s="6" t="s">
        <v>81</v>
      </c>
      <c r="H538" s="6" t="s">
        <v>1802</v>
      </c>
      <c r="I538" s="6"/>
      <c r="J538" s="6" t="s">
        <v>92</v>
      </c>
      <c r="K538" s="6"/>
      <c r="L538" s="6" t="s">
        <v>1803</v>
      </c>
      <c r="M538" s="6"/>
      <c r="N538" s="6" t="s">
        <v>121</v>
      </c>
      <c r="O538" s="6"/>
      <c r="P538" s="6" t="s">
        <v>94</v>
      </c>
      <c r="Q538" s="6"/>
      <c r="R538" s="47" t="s">
        <v>1804</v>
      </c>
      <c r="AA538" s="6"/>
      <c r="AB538" s="6" t="s">
        <v>67</v>
      </c>
      <c r="AC538" s="6"/>
      <c r="AD538" s="6" t="s">
        <v>109</v>
      </c>
      <c r="AE538" s="6"/>
      <c r="AF538" s="6" t="s">
        <v>75</v>
      </c>
      <c r="AG538" s="6"/>
      <c r="AH538" s="6" t="s">
        <v>58</v>
      </c>
      <c r="AI538" s="6"/>
      <c r="AJ538" s="6" t="s">
        <v>77</v>
      </c>
    </row>
    <row r="539" spans="1:36" ht="15.75" customHeight="1" x14ac:dyDescent="0.25">
      <c r="A539" s="7">
        <v>43418.86671559028</v>
      </c>
      <c r="B539" s="6" t="s">
        <v>60</v>
      </c>
      <c r="C539" s="6" t="s">
        <v>306</v>
      </c>
      <c r="D539" s="6" t="s">
        <v>165</v>
      </c>
      <c r="E539" s="6" t="s">
        <v>48</v>
      </c>
      <c r="F539" s="6" t="s">
        <v>1805</v>
      </c>
      <c r="G539" s="6" t="s">
        <v>48</v>
      </c>
      <c r="H539" s="6" t="s">
        <v>1806</v>
      </c>
      <c r="I539" s="6"/>
      <c r="J539" s="6" t="s">
        <v>50</v>
      </c>
      <c r="K539" s="6"/>
      <c r="L539" s="6" t="s">
        <v>1807</v>
      </c>
      <c r="M539" s="6"/>
      <c r="N539" s="6" t="s">
        <v>112</v>
      </c>
      <c r="O539" s="6"/>
      <c r="P539" s="6" t="s">
        <v>99</v>
      </c>
      <c r="Q539" s="6"/>
      <c r="R539" s="47" t="s">
        <v>4170</v>
      </c>
      <c r="S539" s="14" t="s">
        <v>5088</v>
      </c>
      <c r="T539" s="14" t="s">
        <v>5089</v>
      </c>
      <c r="AA539" s="6"/>
      <c r="AB539" s="6" t="s">
        <v>67</v>
      </c>
      <c r="AC539" s="6"/>
      <c r="AD539" s="6" t="s">
        <v>56</v>
      </c>
      <c r="AE539" s="6"/>
      <c r="AF539" s="6" t="s">
        <v>75</v>
      </c>
      <c r="AG539" s="6"/>
      <c r="AH539" s="6" t="s">
        <v>76</v>
      </c>
      <c r="AI539" s="6"/>
      <c r="AJ539" s="6" t="s">
        <v>187</v>
      </c>
    </row>
    <row r="540" spans="1:36" ht="15.75" customHeight="1" x14ac:dyDescent="0.25">
      <c r="A540" s="7">
        <v>43418.867329340283</v>
      </c>
      <c r="B540" s="6" t="s">
        <v>30</v>
      </c>
      <c r="C540" s="6" t="s">
        <v>79</v>
      </c>
      <c r="D540" s="6" t="s">
        <v>46</v>
      </c>
      <c r="E540" s="6" t="s">
        <v>81</v>
      </c>
      <c r="G540" s="6" t="s">
        <v>87</v>
      </c>
      <c r="H540" s="6" t="s">
        <v>1809</v>
      </c>
      <c r="I540" s="6"/>
      <c r="J540" s="6" t="s">
        <v>158</v>
      </c>
      <c r="K540" s="6"/>
      <c r="L540" s="6" t="s">
        <v>1810</v>
      </c>
      <c r="M540" s="6"/>
      <c r="N540" s="6" t="s">
        <v>181</v>
      </c>
      <c r="O540" s="6"/>
      <c r="P540" s="6" t="s">
        <v>131</v>
      </c>
      <c r="Q540" s="6"/>
      <c r="R540" s="47" t="s">
        <v>1811</v>
      </c>
      <c r="AA540" s="6"/>
      <c r="AB540" s="6" t="s">
        <v>67</v>
      </c>
      <c r="AC540" s="6"/>
      <c r="AD540" s="6" t="s">
        <v>56</v>
      </c>
      <c r="AE540" s="6"/>
      <c r="AF540" s="6" t="s">
        <v>68</v>
      </c>
      <c r="AG540" s="6"/>
      <c r="AH540" s="6" t="s">
        <v>58</v>
      </c>
      <c r="AI540" s="6"/>
      <c r="AJ540" s="11" t="s">
        <v>288</v>
      </c>
    </row>
    <row r="541" spans="1:36" ht="15.75" customHeight="1" x14ac:dyDescent="0.25">
      <c r="A541" s="7">
        <v>43418.871718912036</v>
      </c>
      <c r="B541" s="6" t="s">
        <v>60</v>
      </c>
      <c r="C541" s="6" t="s">
        <v>696</v>
      </c>
      <c r="D541" s="6" t="s">
        <v>46</v>
      </c>
      <c r="E541" s="6" t="s">
        <v>81</v>
      </c>
      <c r="G541" s="6" t="s">
        <v>87</v>
      </c>
      <c r="H541" s="6" t="s">
        <v>1812</v>
      </c>
      <c r="I541" s="6"/>
      <c r="J541" s="6" t="s">
        <v>50</v>
      </c>
      <c r="K541" s="6"/>
      <c r="L541" s="6" t="s">
        <v>1813</v>
      </c>
      <c r="M541" s="6"/>
      <c r="N541" s="6" t="s">
        <v>121</v>
      </c>
      <c r="O541" s="6"/>
      <c r="P541" s="6" t="s">
        <v>94</v>
      </c>
      <c r="Q541" s="6"/>
      <c r="R541" s="47" t="s">
        <v>5090</v>
      </c>
      <c r="S541" s="14" t="s">
        <v>4842</v>
      </c>
      <c r="T541" s="14" t="s">
        <v>5091</v>
      </c>
      <c r="U541" s="14" t="s">
        <v>5092</v>
      </c>
      <c r="AA541" s="6"/>
      <c r="AB541" s="6" t="s">
        <v>101</v>
      </c>
      <c r="AC541" s="6"/>
      <c r="AD541" s="6" t="s">
        <v>56</v>
      </c>
      <c r="AE541" s="6"/>
      <c r="AF541" s="6" t="s">
        <v>161</v>
      </c>
      <c r="AG541" s="6"/>
      <c r="AH541" s="6" t="s">
        <v>76</v>
      </c>
      <c r="AI541" s="6"/>
      <c r="AJ541" s="6" t="s">
        <v>77</v>
      </c>
    </row>
    <row r="542" spans="1:36" ht="15.75" customHeight="1" x14ac:dyDescent="0.25">
      <c r="A542" s="7">
        <v>43418.872512928239</v>
      </c>
      <c r="B542" s="6" t="s">
        <v>26</v>
      </c>
      <c r="C542" s="6" t="s">
        <v>1816</v>
      </c>
      <c r="D542" s="6" t="s">
        <v>165</v>
      </c>
      <c r="E542" s="6" t="s">
        <v>81</v>
      </c>
      <c r="G542" s="6" t="s">
        <v>87</v>
      </c>
      <c r="J542" s="6" t="s">
        <v>73</v>
      </c>
      <c r="K542" s="6"/>
      <c r="L542" s="6" t="s">
        <v>1817</v>
      </c>
      <c r="M542" s="6"/>
      <c r="N542" s="6" t="s">
        <v>112</v>
      </c>
      <c r="O542" s="6"/>
      <c r="P542" s="6" t="s">
        <v>52</v>
      </c>
      <c r="Q542" s="6"/>
      <c r="R542" s="47" t="s">
        <v>5093</v>
      </c>
      <c r="S542" s="14" t="s">
        <v>5094</v>
      </c>
      <c r="AA542" s="6"/>
      <c r="AB542" s="6" t="s">
        <v>55</v>
      </c>
      <c r="AC542" s="6"/>
      <c r="AD542" s="6" t="s">
        <v>56</v>
      </c>
      <c r="AE542" s="6"/>
      <c r="AF542" s="6" t="s">
        <v>205</v>
      </c>
      <c r="AG542" s="6"/>
      <c r="AH542" s="6" t="s">
        <v>58</v>
      </c>
      <c r="AI542" s="6"/>
      <c r="AJ542" s="6" t="s">
        <v>77</v>
      </c>
    </row>
    <row r="543" spans="1:36" ht="15.75" customHeight="1" x14ac:dyDescent="0.25">
      <c r="A543" s="7">
        <v>43418.873152060187</v>
      </c>
      <c r="B543" s="6" t="s">
        <v>26</v>
      </c>
      <c r="C543" s="6" t="s">
        <v>322</v>
      </c>
      <c r="D543" s="6" t="s">
        <v>91</v>
      </c>
      <c r="E543" s="6" t="s">
        <v>81</v>
      </c>
      <c r="G543" s="6" t="s">
        <v>87</v>
      </c>
      <c r="H543" s="6" t="s">
        <v>1819</v>
      </c>
      <c r="I543" s="6"/>
      <c r="J543" s="6" t="s">
        <v>73</v>
      </c>
      <c r="K543" s="6"/>
      <c r="L543" s="6" t="s">
        <v>1820</v>
      </c>
      <c r="M543" s="6"/>
      <c r="N543" s="6" t="s">
        <v>112</v>
      </c>
      <c r="O543" s="6"/>
      <c r="P543" s="6" t="s">
        <v>131</v>
      </c>
      <c r="Q543" s="6"/>
      <c r="R543" s="47" t="s">
        <v>4265</v>
      </c>
      <c r="S543" s="14" t="s">
        <v>5095</v>
      </c>
      <c r="T543" s="14" t="s">
        <v>5096</v>
      </c>
      <c r="U543" s="14" t="s">
        <v>5072</v>
      </c>
      <c r="V543" s="14" t="s">
        <v>5097</v>
      </c>
      <c r="W543" s="14" t="s">
        <v>5098</v>
      </c>
      <c r="AA543" s="6"/>
      <c r="AB543" s="6" t="s">
        <v>101</v>
      </c>
      <c r="AC543" s="6"/>
      <c r="AD543" s="6" t="s">
        <v>56</v>
      </c>
      <c r="AE543" s="6"/>
      <c r="AF543" s="6" t="s">
        <v>75</v>
      </c>
      <c r="AG543" s="6"/>
      <c r="AH543" s="6" t="s">
        <v>126</v>
      </c>
      <c r="AI543" s="6"/>
      <c r="AJ543" s="6" t="s">
        <v>77</v>
      </c>
    </row>
    <row r="544" spans="1:36" ht="15.75" customHeight="1" x14ac:dyDescent="0.25">
      <c r="A544" s="7">
        <v>43418.876531064816</v>
      </c>
      <c r="B544" s="6" t="s">
        <v>30</v>
      </c>
      <c r="C544" s="6" t="s">
        <v>45</v>
      </c>
      <c r="D544" s="6" t="s">
        <v>163</v>
      </c>
      <c r="E544" s="6" t="s">
        <v>81</v>
      </c>
      <c r="G544" s="6" t="s">
        <v>87</v>
      </c>
      <c r="H544" s="6" t="s">
        <v>1822</v>
      </c>
      <c r="I544" s="6"/>
      <c r="J544" s="6" t="s">
        <v>92</v>
      </c>
      <c r="K544" s="6"/>
      <c r="L544" s="6" t="s">
        <v>1823</v>
      </c>
      <c r="M544" s="6"/>
      <c r="N544" s="6" t="s">
        <v>93</v>
      </c>
      <c r="O544" s="6"/>
      <c r="P544" s="6" t="s">
        <v>94</v>
      </c>
      <c r="Q544" s="6"/>
      <c r="R544" s="47" t="s">
        <v>5099</v>
      </c>
      <c r="S544" s="14" t="s">
        <v>5100</v>
      </c>
      <c r="T544" s="14" t="s">
        <v>4472</v>
      </c>
      <c r="U544" s="14" t="s">
        <v>5101</v>
      </c>
      <c r="V544" s="14" t="s">
        <v>5102</v>
      </c>
      <c r="AA544" s="6"/>
      <c r="AB544" s="6" t="s">
        <v>55</v>
      </c>
      <c r="AC544" s="6"/>
      <c r="AD544" s="6" t="s">
        <v>56</v>
      </c>
      <c r="AE544" s="6"/>
      <c r="AF544" s="6" t="s">
        <v>161</v>
      </c>
      <c r="AG544" s="6"/>
      <c r="AH544" s="6" t="s">
        <v>76</v>
      </c>
      <c r="AI544" s="6"/>
      <c r="AJ544" s="6" t="s">
        <v>77</v>
      </c>
    </row>
    <row r="545" spans="1:36" ht="15.75" customHeight="1" x14ac:dyDescent="0.25">
      <c r="A545" s="7">
        <v>43418.877835115738</v>
      </c>
      <c r="B545" s="6" t="s">
        <v>1598</v>
      </c>
      <c r="C545" s="6" t="s">
        <v>749</v>
      </c>
      <c r="D545" s="6" t="s">
        <v>163</v>
      </c>
      <c r="E545" s="6" t="s">
        <v>48</v>
      </c>
      <c r="F545" s="6" t="s">
        <v>1825</v>
      </c>
      <c r="G545" s="6" t="s">
        <v>48</v>
      </c>
      <c r="H545" s="6" t="s">
        <v>1826</v>
      </c>
      <c r="I545" s="6"/>
      <c r="J545" s="6" t="s">
        <v>106</v>
      </c>
      <c r="K545" s="6"/>
      <c r="L545" s="6" t="s">
        <v>1827</v>
      </c>
      <c r="M545" s="6"/>
      <c r="N545" s="6" t="s">
        <v>212</v>
      </c>
      <c r="O545" s="6"/>
      <c r="P545" s="6" t="s">
        <v>99</v>
      </c>
      <c r="Q545" s="6"/>
      <c r="R545" s="47" t="s">
        <v>5103</v>
      </c>
      <c r="S545" s="14" t="s">
        <v>5104</v>
      </c>
      <c r="T545" s="14" t="s">
        <v>4425</v>
      </c>
      <c r="U545" s="14" t="s">
        <v>4431</v>
      </c>
      <c r="V545" s="14" t="s">
        <v>4903</v>
      </c>
      <c r="AA545" s="6"/>
      <c r="AB545" s="6" t="s">
        <v>101</v>
      </c>
      <c r="AC545" s="6"/>
      <c r="AD545" s="6" t="s">
        <v>57</v>
      </c>
      <c r="AE545" s="6"/>
      <c r="AF545" s="6" t="s">
        <v>75</v>
      </c>
      <c r="AG545" s="6"/>
      <c r="AH545" s="6" t="s">
        <v>76</v>
      </c>
      <c r="AI545" s="6"/>
      <c r="AJ545" s="6" t="s">
        <v>77</v>
      </c>
    </row>
    <row r="546" spans="1:36" ht="15.75" customHeight="1" x14ac:dyDescent="0.25">
      <c r="A546" s="7">
        <v>43418.879499039351</v>
      </c>
      <c r="B546" s="6" t="s">
        <v>543</v>
      </c>
      <c r="C546" s="6" t="s">
        <v>756</v>
      </c>
      <c r="D546" s="6" t="s">
        <v>163</v>
      </c>
      <c r="E546" s="6" t="s">
        <v>81</v>
      </c>
      <c r="G546" s="6" t="s">
        <v>87</v>
      </c>
      <c r="H546" s="6" t="s">
        <v>1830</v>
      </c>
      <c r="I546" s="6"/>
      <c r="J546" s="6" t="s">
        <v>92</v>
      </c>
      <c r="K546" s="6"/>
      <c r="L546" s="6" t="s">
        <v>1831</v>
      </c>
      <c r="M546" s="6"/>
      <c r="N546" s="6" t="s">
        <v>98</v>
      </c>
      <c r="O546" s="6"/>
      <c r="P546" s="6" t="s">
        <v>168</v>
      </c>
      <c r="Q546" s="6"/>
      <c r="R546" s="47" t="s">
        <v>3221</v>
      </c>
      <c r="S546" s="14" t="s">
        <v>4393</v>
      </c>
      <c r="T546" s="14" t="s">
        <v>4472</v>
      </c>
      <c r="U546" s="14" t="s">
        <v>4660</v>
      </c>
      <c r="V546" s="14" t="s">
        <v>4514</v>
      </c>
      <c r="W546" s="14" t="s">
        <v>3994</v>
      </c>
      <c r="AA546" s="6"/>
      <c r="AB546" s="6" t="s">
        <v>67</v>
      </c>
      <c r="AC546" s="6"/>
      <c r="AD546" s="6" t="s">
        <v>56</v>
      </c>
      <c r="AE546" s="6"/>
      <c r="AF546" s="6" t="s">
        <v>161</v>
      </c>
      <c r="AG546" s="6"/>
      <c r="AH546" s="6" t="s">
        <v>76</v>
      </c>
      <c r="AI546" s="6"/>
      <c r="AJ546" s="6" t="s">
        <v>77</v>
      </c>
    </row>
    <row r="547" spans="1:36" ht="15.75" customHeight="1" x14ac:dyDescent="0.25">
      <c r="A547" s="7">
        <v>43418.880630659725</v>
      </c>
      <c r="B547" s="6" t="s">
        <v>60</v>
      </c>
      <c r="C547" s="6" t="s">
        <v>1044</v>
      </c>
      <c r="D547" s="6" t="s">
        <v>163</v>
      </c>
      <c r="E547" s="6" t="s">
        <v>48</v>
      </c>
      <c r="F547" s="6" t="s">
        <v>1833</v>
      </c>
      <c r="G547" s="6" t="s">
        <v>48</v>
      </c>
      <c r="H547" s="6" t="s">
        <v>1834</v>
      </c>
      <c r="I547" s="6"/>
      <c r="J547" s="6" t="s">
        <v>110</v>
      </c>
      <c r="K547" s="6"/>
      <c r="L547" s="6" t="s">
        <v>1835</v>
      </c>
      <c r="M547" s="6"/>
      <c r="N547" s="6" t="s">
        <v>121</v>
      </c>
      <c r="O547" s="6"/>
      <c r="P547" s="6" t="s">
        <v>94</v>
      </c>
      <c r="Q547" s="6"/>
      <c r="R547" s="47" t="s">
        <v>2905</v>
      </c>
      <c r="S547" s="14" t="s">
        <v>4647</v>
      </c>
      <c r="T547" s="14" t="s">
        <v>4573</v>
      </c>
      <c r="AA547" s="6"/>
      <c r="AB547" s="6" t="s">
        <v>101</v>
      </c>
      <c r="AC547" s="6"/>
      <c r="AD547" s="6" t="s">
        <v>56</v>
      </c>
      <c r="AE547" s="6"/>
      <c r="AF547" s="6" t="s">
        <v>161</v>
      </c>
      <c r="AG547" s="6"/>
      <c r="AH547" s="6" t="s">
        <v>76</v>
      </c>
      <c r="AI547" s="6"/>
      <c r="AJ547" s="6" t="s">
        <v>115</v>
      </c>
    </row>
    <row r="548" spans="1:36" ht="15.75" customHeight="1" x14ac:dyDescent="0.25">
      <c r="A548" s="7">
        <v>43418.881312013888</v>
      </c>
      <c r="B548" s="6" t="s">
        <v>30</v>
      </c>
      <c r="C548" s="6" t="s">
        <v>45</v>
      </c>
      <c r="D548" s="6" t="s">
        <v>133</v>
      </c>
      <c r="E548" s="6" t="s">
        <v>81</v>
      </c>
      <c r="G548" s="6" t="s">
        <v>48</v>
      </c>
      <c r="H548" s="6" t="s">
        <v>1837</v>
      </c>
      <c r="I548" s="6"/>
      <c r="J548" s="6" t="s">
        <v>92</v>
      </c>
      <c r="K548" s="6"/>
      <c r="N548" s="6" t="s">
        <v>248</v>
      </c>
      <c r="O548" s="6"/>
      <c r="P548" s="6" t="s">
        <v>168</v>
      </c>
      <c r="Q548" s="6"/>
      <c r="R548" s="47" t="s">
        <v>1838</v>
      </c>
      <c r="AA548" s="6"/>
      <c r="AB548" s="6" t="s">
        <v>101</v>
      </c>
      <c r="AC548" s="6"/>
      <c r="AD548" s="6" t="s">
        <v>56</v>
      </c>
      <c r="AE548" s="6"/>
      <c r="AF548" s="6" t="s">
        <v>205</v>
      </c>
      <c r="AG548" s="6"/>
      <c r="AH548" s="6" t="s">
        <v>126</v>
      </c>
      <c r="AI548" s="6"/>
      <c r="AJ548" s="6" t="s">
        <v>77</v>
      </c>
    </row>
    <row r="549" spans="1:36" ht="15.75" customHeight="1" x14ac:dyDescent="0.25">
      <c r="A549" s="7">
        <v>43418.883732465278</v>
      </c>
      <c r="B549" s="6" t="s">
        <v>30</v>
      </c>
      <c r="C549" s="6" t="s">
        <v>45</v>
      </c>
      <c r="D549" s="6" t="s">
        <v>46</v>
      </c>
      <c r="E549" s="6" t="s">
        <v>81</v>
      </c>
      <c r="H549" s="6" t="s">
        <v>1839</v>
      </c>
      <c r="I549" s="6"/>
      <c r="J549" s="6" t="s">
        <v>92</v>
      </c>
      <c r="K549" s="6"/>
      <c r="L549" s="6" t="s">
        <v>1840</v>
      </c>
      <c r="M549" s="6"/>
      <c r="N549" s="6" t="s">
        <v>112</v>
      </c>
      <c r="O549" s="6"/>
      <c r="P549" s="6" t="s">
        <v>99</v>
      </c>
      <c r="Q549" s="6"/>
      <c r="R549" s="47" t="s">
        <v>507</v>
      </c>
      <c r="S549" s="14" t="s">
        <v>4393</v>
      </c>
      <c r="AA549" s="6"/>
      <c r="AB549" s="6" t="s">
        <v>55</v>
      </c>
      <c r="AC549" s="6"/>
      <c r="AD549" s="6" t="s">
        <v>56</v>
      </c>
      <c r="AE549" s="6"/>
      <c r="AF549" s="6" t="s">
        <v>75</v>
      </c>
      <c r="AG549" s="6"/>
      <c r="AH549" s="6" t="s">
        <v>126</v>
      </c>
      <c r="AI549" s="6"/>
      <c r="AJ549" s="6" t="s">
        <v>77</v>
      </c>
    </row>
    <row r="550" spans="1:36" ht="15.75" customHeight="1" x14ac:dyDescent="0.25">
      <c r="A550" s="7">
        <v>43418.885478807875</v>
      </c>
      <c r="B550" s="6" t="s">
        <v>30</v>
      </c>
      <c r="C550" s="6" t="s">
        <v>128</v>
      </c>
      <c r="D550" s="6" t="s">
        <v>165</v>
      </c>
      <c r="E550" s="6" t="s">
        <v>81</v>
      </c>
      <c r="G550" s="6" t="s">
        <v>87</v>
      </c>
      <c r="H550" s="6" t="s">
        <v>1842</v>
      </c>
      <c r="I550" s="6"/>
      <c r="J550" s="6" t="s">
        <v>106</v>
      </c>
      <c r="K550" s="6"/>
      <c r="L550" s="6" t="s">
        <v>1843</v>
      </c>
      <c r="M550" s="6"/>
      <c r="N550" s="6" t="s">
        <v>112</v>
      </c>
      <c r="O550" s="6"/>
      <c r="P550" s="6" t="s">
        <v>131</v>
      </c>
      <c r="Q550" s="6"/>
      <c r="R550" s="47" t="s">
        <v>3324</v>
      </c>
      <c r="S550" s="14" t="s">
        <v>4721</v>
      </c>
      <c r="T550" s="14" t="s">
        <v>5105</v>
      </c>
      <c r="AA550" s="6"/>
      <c r="AB550" s="6" t="s">
        <v>67</v>
      </c>
      <c r="AC550" s="6"/>
      <c r="AD550" s="6" t="s">
        <v>56</v>
      </c>
      <c r="AE550" s="6"/>
      <c r="AF550" s="6" t="s">
        <v>75</v>
      </c>
      <c r="AG550" s="6"/>
      <c r="AH550" s="6" t="s">
        <v>126</v>
      </c>
      <c r="AI550" s="6"/>
      <c r="AJ550" s="6" t="s">
        <v>233</v>
      </c>
    </row>
    <row r="551" spans="1:36" ht="15.75" customHeight="1" x14ac:dyDescent="0.25">
      <c r="A551" s="7">
        <v>43418.886565092587</v>
      </c>
      <c r="B551" s="6" t="s">
        <v>1847</v>
      </c>
      <c r="C551" s="6" t="s">
        <v>349</v>
      </c>
      <c r="D551" s="6" t="s">
        <v>163</v>
      </c>
      <c r="E551" s="6" t="s">
        <v>81</v>
      </c>
      <c r="G551" s="6" t="s">
        <v>87</v>
      </c>
      <c r="H551" s="6" t="s">
        <v>1848</v>
      </c>
      <c r="I551" s="6"/>
      <c r="J551" s="6" t="s">
        <v>106</v>
      </c>
      <c r="K551" s="6"/>
      <c r="L551" s="6" t="s">
        <v>1849</v>
      </c>
      <c r="M551" s="6"/>
      <c r="N551" s="6" t="s">
        <v>98</v>
      </c>
      <c r="O551" s="6"/>
      <c r="P551" s="6" t="s">
        <v>94</v>
      </c>
      <c r="Q551" s="6"/>
      <c r="R551" s="47" t="s">
        <v>3327</v>
      </c>
      <c r="AA551" s="6"/>
      <c r="AB551" s="6" t="s">
        <v>67</v>
      </c>
      <c r="AC551" s="6"/>
      <c r="AD551" s="6" t="s">
        <v>56</v>
      </c>
      <c r="AE551" s="6"/>
      <c r="AF551" s="6" t="s">
        <v>68</v>
      </c>
      <c r="AG551" s="6"/>
      <c r="AH551" s="6" t="s">
        <v>76</v>
      </c>
      <c r="AI551" s="6"/>
      <c r="AJ551" s="6" t="s">
        <v>187</v>
      </c>
    </row>
    <row r="552" spans="1:36" ht="15.75" customHeight="1" x14ac:dyDescent="0.25">
      <c r="A552" s="7">
        <v>43418.886748136574</v>
      </c>
      <c r="B552" s="6" t="s">
        <v>60</v>
      </c>
      <c r="C552" s="6" t="s">
        <v>116</v>
      </c>
      <c r="D552" s="6" t="s">
        <v>46</v>
      </c>
      <c r="E552" s="6" t="s">
        <v>81</v>
      </c>
      <c r="G552" s="6" t="s">
        <v>87</v>
      </c>
      <c r="H552" s="6" t="s">
        <v>1851</v>
      </c>
      <c r="I552" s="6"/>
      <c r="J552" s="6" t="s">
        <v>64</v>
      </c>
      <c r="K552" s="6"/>
      <c r="L552" s="6" t="s">
        <v>1852</v>
      </c>
      <c r="M552" s="6"/>
      <c r="N552" s="6" t="s">
        <v>121</v>
      </c>
      <c r="O552" s="6"/>
      <c r="P552" s="6" t="s">
        <v>94</v>
      </c>
      <c r="Q552" s="6"/>
      <c r="R552" s="47" t="s">
        <v>3313</v>
      </c>
      <c r="S552" s="14" t="s">
        <v>5106</v>
      </c>
      <c r="T552" s="14" t="s">
        <v>5107</v>
      </c>
      <c r="AA552" s="6"/>
      <c r="AB552" s="6" t="s">
        <v>67</v>
      </c>
      <c r="AC552" s="6"/>
      <c r="AD552" s="6" t="s">
        <v>56</v>
      </c>
      <c r="AE552" s="6"/>
      <c r="AF552" s="6" t="s">
        <v>161</v>
      </c>
      <c r="AG552" s="6"/>
      <c r="AH552" s="6" t="s">
        <v>76</v>
      </c>
      <c r="AI552" s="6"/>
      <c r="AJ552" s="6" t="s">
        <v>77</v>
      </c>
    </row>
    <row r="553" spans="1:36" ht="15.75" customHeight="1" x14ac:dyDescent="0.25">
      <c r="A553" s="7">
        <v>43418.88681491898</v>
      </c>
      <c r="B553" s="6" t="s">
        <v>30</v>
      </c>
      <c r="C553" s="6" t="s">
        <v>45</v>
      </c>
      <c r="D553" s="6" t="s">
        <v>165</v>
      </c>
      <c r="E553" s="6" t="s">
        <v>81</v>
      </c>
      <c r="G553" s="6" t="s">
        <v>87</v>
      </c>
      <c r="H553" s="6" t="s">
        <v>1854</v>
      </c>
      <c r="I553" s="6"/>
      <c r="J553" s="6" t="s">
        <v>110</v>
      </c>
      <c r="K553" s="6"/>
      <c r="L553" s="6" t="s">
        <v>1855</v>
      </c>
      <c r="M553" s="6"/>
      <c r="N553" s="6" t="s">
        <v>93</v>
      </c>
      <c r="O553" s="6"/>
      <c r="P553" s="6" t="s">
        <v>168</v>
      </c>
      <c r="Q553" s="6"/>
      <c r="R553" s="47" t="s">
        <v>1857</v>
      </c>
      <c r="AA553" s="6"/>
      <c r="AB553" s="6" t="s">
        <v>101</v>
      </c>
      <c r="AC553" s="6"/>
      <c r="AD553" s="6" t="s">
        <v>56</v>
      </c>
      <c r="AE553" s="6"/>
      <c r="AF553" s="6" t="s">
        <v>161</v>
      </c>
      <c r="AG553" s="6"/>
      <c r="AH553" s="6" t="s">
        <v>76</v>
      </c>
      <c r="AI553" s="6"/>
      <c r="AJ553" s="6" t="s">
        <v>77</v>
      </c>
    </row>
    <row r="554" spans="1:36" ht="15.75" customHeight="1" x14ac:dyDescent="0.25">
      <c r="A554" s="7">
        <v>43418.888846643516</v>
      </c>
      <c r="B554" s="6" t="s">
        <v>30</v>
      </c>
      <c r="C554" s="6" t="s">
        <v>971</v>
      </c>
      <c r="D554" s="6" t="s">
        <v>165</v>
      </c>
      <c r="E554" s="6" t="s">
        <v>81</v>
      </c>
      <c r="G554" s="6" t="s">
        <v>87</v>
      </c>
      <c r="H554" s="6" t="s">
        <v>1858</v>
      </c>
      <c r="I554" s="6"/>
      <c r="J554" s="6" t="s">
        <v>89</v>
      </c>
      <c r="K554" s="6"/>
      <c r="L554" s="6" t="s">
        <v>1859</v>
      </c>
      <c r="M554" s="6"/>
      <c r="N554" s="6" t="s">
        <v>98</v>
      </c>
      <c r="O554" s="6"/>
      <c r="P554" s="6" t="s">
        <v>131</v>
      </c>
      <c r="Q554" s="6"/>
      <c r="R554" s="47" t="s">
        <v>1971</v>
      </c>
      <c r="S554" s="14" t="s">
        <v>4465</v>
      </c>
      <c r="T554" s="14" t="s">
        <v>4696</v>
      </c>
      <c r="AA554" s="6"/>
      <c r="AB554" s="6" t="s">
        <v>67</v>
      </c>
      <c r="AC554" s="6"/>
      <c r="AD554" s="6" t="s">
        <v>56</v>
      </c>
      <c r="AE554" s="6"/>
      <c r="AF554" s="6" t="s">
        <v>68</v>
      </c>
      <c r="AG554" s="6"/>
      <c r="AH554" s="6" t="s">
        <v>76</v>
      </c>
      <c r="AI554" s="6"/>
      <c r="AJ554" s="6" t="s">
        <v>233</v>
      </c>
    </row>
    <row r="555" spans="1:36" ht="15.75" customHeight="1" x14ac:dyDescent="0.25">
      <c r="A555" s="7">
        <v>43418.88966350694</v>
      </c>
      <c r="B555" s="6" t="s">
        <v>30</v>
      </c>
      <c r="C555" s="6" t="s">
        <v>79</v>
      </c>
      <c r="E555" s="6" t="s">
        <v>48</v>
      </c>
      <c r="F555" s="6" t="s">
        <v>665</v>
      </c>
      <c r="G555" s="6" t="s">
        <v>48</v>
      </c>
      <c r="J555" s="6" t="s">
        <v>50</v>
      </c>
      <c r="K555" s="6"/>
      <c r="L555" s="6" t="s">
        <v>1861</v>
      </c>
      <c r="M555" s="6"/>
      <c r="N555" s="6" t="s">
        <v>181</v>
      </c>
      <c r="O555" s="6"/>
      <c r="P555" s="6" t="s">
        <v>131</v>
      </c>
      <c r="Q555" s="6"/>
      <c r="R555" s="47" t="s">
        <v>1862</v>
      </c>
      <c r="AA555" s="6"/>
      <c r="AB555" s="6" t="s">
        <v>55</v>
      </c>
      <c r="AC555" s="6"/>
      <c r="AD555" s="6" t="s">
        <v>56</v>
      </c>
      <c r="AE555" s="6"/>
      <c r="AF555" s="6" t="s">
        <v>75</v>
      </c>
      <c r="AG555" s="6"/>
      <c r="AH555" s="6" t="s">
        <v>58</v>
      </c>
      <c r="AI555" s="6"/>
      <c r="AJ555" s="11" t="s">
        <v>77</v>
      </c>
    </row>
    <row r="556" spans="1:36" ht="15.75" customHeight="1" x14ac:dyDescent="0.25">
      <c r="A556" s="7">
        <v>43418.890151504631</v>
      </c>
      <c r="B556" s="6" t="s">
        <v>1863</v>
      </c>
      <c r="C556" s="6" t="s">
        <v>1864</v>
      </c>
      <c r="D556" s="6" t="s">
        <v>163</v>
      </c>
      <c r="E556" s="6" t="s">
        <v>48</v>
      </c>
      <c r="F556" s="6" t="s">
        <v>1865</v>
      </c>
      <c r="G556" s="6" t="s">
        <v>48</v>
      </c>
      <c r="H556" s="6" t="s">
        <v>1866</v>
      </c>
      <c r="I556" s="6"/>
      <c r="J556" s="6" t="s">
        <v>50</v>
      </c>
      <c r="K556" s="6"/>
      <c r="L556" s="6" t="s">
        <v>1867</v>
      </c>
      <c r="M556" s="6"/>
      <c r="N556" s="6" t="s">
        <v>51</v>
      </c>
      <c r="O556" s="6"/>
      <c r="P556" s="6" t="s">
        <v>52</v>
      </c>
      <c r="Q556" s="6"/>
      <c r="R556" s="47" t="s">
        <v>4212</v>
      </c>
      <c r="S556" s="14" t="s">
        <v>5108</v>
      </c>
      <c r="AA556" s="6"/>
      <c r="AB556" s="6" t="s">
        <v>101</v>
      </c>
      <c r="AD556" s="6" t="s">
        <v>57</v>
      </c>
      <c r="AE556" s="6"/>
      <c r="AF556" s="6" t="s">
        <v>68</v>
      </c>
      <c r="AG556" s="6"/>
      <c r="AH556" s="6" t="s">
        <v>57</v>
      </c>
      <c r="AJ556" s="12" t="s">
        <v>57</v>
      </c>
    </row>
    <row r="557" spans="1:36" ht="15.75" customHeight="1" x14ac:dyDescent="0.25">
      <c r="A557" s="7">
        <v>43418.891523865736</v>
      </c>
      <c r="B557" s="6" t="s">
        <v>26</v>
      </c>
      <c r="C557" s="6" t="s">
        <v>116</v>
      </c>
      <c r="D557" s="6" t="s">
        <v>133</v>
      </c>
      <c r="E557" s="6" t="s">
        <v>48</v>
      </c>
      <c r="G557" s="6" t="s">
        <v>48</v>
      </c>
      <c r="H557" s="6" t="s">
        <v>1869</v>
      </c>
      <c r="I557" s="6"/>
      <c r="J557" s="6" t="s">
        <v>73</v>
      </c>
      <c r="K557" s="6"/>
      <c r="L557" s="6" t="s">
        <v>1870</v>
      </c>
      <c r="M557" s="6"/>
      <c r="N557" s="6" t="s">
        <v>121</v>
      </c>
      <c r="O557" s="6"/>
      <c r="P557" s="6" t="s">
        <v>94</v>
      </c>
      <c r="Q557" s="6"/>
      <c r="R557" s="47" t="s">
        <v>5109</v>
      </c>
      <c r="S557" s="14" t="s">
        <v>5110</v>
      </c>
      <c r="AA557" s="6"/>
      <c r="AB557" s="6" t="s">
        <v>101</v>
      </c>
      <c r="AC557" s="6"/>
      <c r="AD557" s="6" t="s">
        <v>56</v>
      </c>
      <c r="AE557" s="6"/>
      <c r="AF557" s="6" t="s">
        <v>68</v>
      </c>
      <c r="AG557" s="6"/>
      <c r="AH557" s="6" t="s">
        <v>58</v>
      </c>
      <c r="AI557" s="6"/>
      <c r="AJ557" s="11" t="s">
        <v>132</v>
      </c>
    </row>
    <row r="558" spans="1:36" ht="15.75" customHeight="1" x14ac:dyDescent="0.25">
      <c r="A558" s="7">
        <v>43418.897580648147</v>
      </c>
      <c r="B558" s="6" t="s">
        <v>1873</v>
      </c>
      <c r="C558" s="6" t="s">
        <v>944</v>
      </c>
      <c r="D558" s="6" t="s">
        <v>129</v>
      </c>
      <c r="E558" s="6" t="s">
        <v>48</v>
      </c>
      <c r="F558" s="6" t="s">
        <v>1874</v>
      </c>
      <c r="G558" s="6" t="s">
        <v>48</v>
      </c>
      <c r="H558" s="6" t="s">
        <v>1875</v>
      </c>
      <c r="I558" s="6"/>
      <c r="J558" s="6" t="s">
        <v>73</v>
      </c>
      <c r="K558" s="6"/>
      <c r="L558" s="6" t="s">
        <v>1876</v>
      </c>
      <c r="M558" s="6"/>
      <c r="N558" s="6" t="s">
        <v>212</v>
      </c>
      <c r="O558" s="6"/>
      <c r="P558" s="6" t="s">
        <v>94</v>
      </c>
      <c r="Q558" s="6"/>
      <c r="AA558" s="6"/>
      <c r="AB558" s="6" t="s">
        <v>67</v>
      </c>
      <c r="AC558" s="6"/>
      <c r="AD558" s="6" t="s">
        <v>56</v>
      </c>
      <c r="AE558" s="6"/>
      <c r="AF558" s="6" t="s">
        <v>75</v>
      </c>
      <c r="AG558" s="6"/>
      <c r="AH558" s="6" t="s">
        <v>126</v>
      </c>
      <c r="AI558" s="6"/>
      <c r="AJ558" s="11" t="s">
        <v>187</v>
      </c>
    </row>
    <row r="559" spans="1:36" ht="15.75" customHeight="1" x14ac:dyDescent="0.25">
      <c r="A559" s="7">
        <v>43418.898139733792</v>
      </c>
      <c r="B559" s="6" t="s">
        <v>30</v>
      </c>
      <c r="C559" s="6" t="s">
        <v>215</v>
      </c>
      <c r="D559" s="6" t="s">
        <v>261</v>
      </c>
      <c r="E559" s="6" t="s">
        <v>48</v>
      </c>
      <c r="F559" s="6" t="s">
        <v>1877</v>
      </c>
      <c r="G559" s="6" t="s">
        <v>81</v>
      </c>
      <c r="H559" s="6" t="s">
        <v>1878</v>
      </c>
      <c r="I559" s="6"/>
      <c r="J559" s="6" t="s">
        <v>110</v>
      </c>
      <c r="K559" s="6"/>
      <c r="L559" s="6" t="s">
        <v>1879</v>
      </c>
      <c r="M559" s="6"/>
      <c r="N559" s="6" t="s">
        <v>51</v>
      </c>
      <c r="O559" s="6"/>
      <c r="P559" s="6" t="s">
        <v>52</v>
      </c>
      <c r="Q559" s="6"/>
      <c r="R559" s="47" t="s">
        <v>4555</v>
      </c>
      <c r="S559" s="14" t="s">
        <v>5111</v>
      </c>
      <c r="T559" s="14" t="s">
        <v>4632</v>
      </c>
      <c r="AA559" s="6"/>
      <c r="AB559" s="6" t="s">
        <v>67</v>
      </c>
      <c r="AC559" s="6"/>
      <c r="AD559" s="6" t="s">
        <v>56</v>
      </c>
      <c r="AE559" s="6"/>
      <c r="AF559" s="6" t="s">
        <v>68</v>
      </c>
      <c r="AG559" s="6"/>
      <c r="AH559" s="6" t="s">
        <v>57</v>
      </c>
      <c r="AI559" s="6"/>
      <c r="AJ559" s="6" t="s">
        <v>187</v>
      </c>
    </row>
    <row r="560" spans="1:36" ht="15.75" customHeight="1" x14ac:dyDescent="0.25">
      <c r="A560" s="7">
        <v>43418.8988908912</v>
      </c>
      <c r="B560" s="6" t="s">
        <v>833</v>
      </c>
      <c r="C560" s="6" t="s">
        <v>1061</v>
      </c>
      <c r="D560" s="6" t="s">
        <v>46</v>
      </c>
      <c r="E560" s="6" t="s">
        <v>81</v>
      </c>
      <c r="G560" s="6" t="s">
        <v>87</v>
      </c>
      <c r="H560" s="6" t="s">
        <v>1881</v>
      </c>
      <c r="I560" s="6"/>
      <c r="J560" s="6" t="s">
        <v>184</v>
      </c>
      <c r="K560" s="6"/>
      <c r="L560" s="6" t="s">
        <v>1882</v>
      </c>
      <c r="M560" s="6"/>
      <c r="N560" s="6" t="s">
        <v>121</v>
      </c>
      <c r="O560" s="6"/>
      <c r="P560" s="6" t="s">
        <v>94</v>
      </c>
      <c r="Q560" s="6"/>
      <c r="R560" s="47" t="s">
        <v>5112</v>
      </c>
      <c r="S560" s="14" t="s">
        <v>4640</v>
      </c>
      <c r="T560" s="14" t="s">
        <v>5113</v>
      </c>
      <c r="U560" s="14" t="s">
        <v>4527</v>
      </c>
      <c r="V560" s="14" t="s">
        <v>4518</v>
      </c>
      <c r="W560" s="14" t="s">
        <v>5114</v>
      </c>
      <c r="X560" s="14" t="s">
        <v>4766</v>
      </c>
      <c r="AA560" s="6"/>
      <c r="AB560" s="6" t="s">
        <v>101</v>
      </c>
      <c r="AC560" s="6"/>
      <c r="AD560" s="6" t="s">
        <v>56</v>
      </c>
      <c r="AE560" s="6"/>
      <c r="AF560" s="6" t="s">
        <v>57</v>
      </c>
      <c r="AG560" s="6"/>
      <c r="AH560" s="6" t="s">
        <v>57</v>
      </c>
      <c r="AI560" s="6"/>
      <c r="AJ560" s="11" t="s">
        <v>77</v>
      </c>
    </row>
    <row r="561" spans="1:36" ht="15.75" customHeight="1" x14ac:dyDescent="0.25">
      <c r="A561" s="7">
        <v>43418.902362349538</v>
      </c>
      <c r="B561" s="6" t="s">
        <v>28</v>
      </c>
      <c r="C561" s="6" t="s">
        <v>287</v>
      </c>
      <c r="D561" s="6" t="s">
        <v>46</v>
      </c>
      <c r="E561" s="6" t="s">
        <v>81</v>
      </c>
      <c r="G561" s="6" t="s">
        <v>87</v>
      </c>
      <c r="J561" s="6" t="s">
        <v>89</v>
      </c>
      <c r="K561" s="6"/>
      <c r="L561" s="6" t="s">
        <v>1884</v>
      </c>
      <c r="M561" s="6"/>
      <c r="N561" s="6" t="s">
        <v>181</v>
      </c>
      <c r="O561" s="6"/>
      <c r="P561" s="6" t="s">
        <v>52</v>
      </c>
      <c r="Q561" s="6"/>
      <c r="AA561" s="6"/>
      <c r="AB561" s="6" t="s">
        <v>101</v>
      </c>
      <c r="AC561" s="6"/>
      <c r="AD561" s="6" t="s">
        <v>56</v>
      </c>
      <c r="AE561" s="6"/>
      <c r="AF561" s="6" t="s">
        <v>205</v>
      </c>
      <c r="AG561" s="6"/>
      <c r="AH561" s="6" t="s">
        <v>58</v>
      </c>
      <c r="AI561" s="6"/>
      <c r="AJ561" s="11" t="s">
        <v>320</v>
      </c>
    </row>
    <row r="562" spans="1:36" ht="15.75" customHeight="1" x14ac:dyDescent="0.25">
      <c r="A562" s="7">
        <v>43418.902369745367</v>
      </c>
      <c r="B562" s="6" t="s">
        <v>60</v>
      </c>
      <c r="C562" s="6" t="s">
        <v>128</v>
      </c>
      <c r="D562" s="6" t="s">
        <v>163</v>
      </c>
      <c r="E562" s="6" t="s">
        <v>81</v>
      </c>
      <c r="F562" s="6" t="s">
        <v>1885</v>
      </c>
      <c r="G562" s="6" t="s">
        <v>48</v>
      </c>
      <c r="H562" s="6" t="s">
        <v>1886</v>
      </c>
      <c r="I562" s="6"/>
      <c r="J562" s="6" t="s">
        <v>158</v>
      </c>
      <c r="K562" s="6"/>
      <c r="L562" s="6" t="s">
        <v>1887</v>
      </c>
      <c r="M562" s="6"/>
      <c r="N562" s="6" t="s">
        <v>121</v>
      </c>
      <c r="O562" s="6"/>
      <c r="P562" s="6" t="s">
        <v>131</v>
      </c>
      <c r="Q562" s="6"/>
      <c r="R562" s="47" t="s">
        <v>4455</v>
      </c>
      <c r="S562" s="14" t="s">
        <v>5115</v>
      </c>
      <c r="T562" s="14" t="s">
        <v>4400</v>
      </c>
      <c r="U562" s="14" t="s">
        <v>5116</v>
      </c>
      <c r="AA562" s="6"/>
      <c r="AB562" s="6" t="s">
        <v>101</v>
      </c>
      <c r="AC562" s="6"/>
      <c r="AD562" s="6" t="s">
        <v>56</v>
      </c>
      <c r="AE562" s="6"/>
      <c r="AF562" s="6" t="s">
        <v>75</v>
      </c>
      <c r="AG562" s="6"/>
      <c r="AH562" s="6" t="s">
        <v>76</v>
      </c>
      <c r="AI562" s="6"/>
      <c r="AJ562" s="6" t="s">
        <v>321</v>
      </c>
    </row>
    <row r="563" spans="1:36" ht="15.75" customHeight="1" x14ac:dyDescent="0.25">
      <c r="A563" s="7">
        <v>43418.902669861112</v>
      </c>
      <c r="B563" s="6" t="s">
        <v>60</v>
      </c>
      <c r="C563" s="6" t="s">
        <v>116</v>
      </c>
      <c r="D563" s="6" t="s">
        <v>165</v>
      </c>
      <c r="E563" s="6" t="s">
        <v>81</v>
      </c>
      <c r="G563" s="6" t="s">
        <v>87</v>
      </c>
      <c r="H563" s="6" t="s">
        <v>1889</v>
      </c>
      <c r="I563" s="6"/>
      <c r="J563" s="6" t="s">
        <v>92</v>
      </c>
      <c r="K563" s="6"/>
      <c r="L563" s="6" t="s">
        <v>1890</v>
      </c>
      <c r="M563" s="6"/>
      <c r="N563" s="6" t="s">
        <v>121</v>
      </c>
      <c r="O563" s="6"/>
      <c r="P563" s="6" t="s">
        <v>94</v>
      </c>
      <c r="Q563" s="6"/>
      <c r="R563" s="47" t="s">
        <v>3757</v>
      </c>
      <c r="S563" s="14" t="s">
        <v>4471</v>
      </c>
      <c r="T563" s="14" t="s">
        <v>4393</v>
      </c>
      <c r="U563" s="14" t="s">
        <v>5117</v>
      </c>
      <c r="AA563" s="6"/>
      <c r="AB563" s="6" t="s">
        <v>67</v>
      </c>
      <c r="AC563" s="6"/>
      <c r="AD563" s="6" t="s">
        <v>56</v>
      </c>
      <c r="AE563" s="6"/>
      <c r="AF563" s="6" t="s">
        <v>68</v>
      </c>
      <c r="AG563" s="6"/>
      <c r="AH563" s="6" t="s">
        <v>126</v>
      </c>
      <c r="AI563" s="6"/>
      <c r="AJ563" s="6" t="s">
        <v>187</v>
      </c>
    </row>
    <row r="564" spans="1:36" ht="15.75" customHeight="1" x14ac:dyDescent="0.25">
      <c r="A564" s="7">
        <v>43418.90407956019</v>
      </c>
      <c r="B564" s="6" t="s">
        <v>30</v>
      </c>
      <c r="C564" s="6" t="s">
        <v>95</v>
      </c>
      <c r="D564" s="6" t="s">
        <v>46</v>
      </c>
      <c r="E564" s="6" t="s">
        <v>81</v>
      </c>
      <c r="G564" s="6" t="s">
        <v>87</v>
      </c>
      <c r="J564" s="6" t="s">
        <v>92</v>
      </c>
      <c r="K564" s="6"/>
      <c r="N564" s="6" t="s">
        <v>51</v>
      </c>
      <c r="O564" s="6"/>
      <c r="P564" s="6" t="s">
        <v>131</v>
      </c>
      <c r="Q564" s="6"/>
      <c r="R564" s="47" t="s">
        <v>1811</v>
      </c>
      <c r="S564" s="14" t="s">
        <v>4573</v>
      </c>
      <c r="T564" s="14" t="s">
        <v>4579</v>
      </c>
      <c r="U564" s="14" t="s">
        <v>5118</v>
      </c>
      <c r="AA564" s="6"/>
      <c r="AB564" s="6" t="s">
        <v>101</v>
      </c>
      <c r="AC564" s="6"/>
      <c r="AD564" s="6" t="s">
        <v>56</v>
      </c>
      <c r="AE564" s="6"/>
      <c r="AF564" s="6" t="s">
        <v>68</v>
      </c>
      <c r="AG564" s="6"/>
      <c r="AH564" s="6" t="s">
        <v>58</v>
      </c>
      <c r="AI564" s="6"/>
      <c r="AJ564" s="6" t="s">
        <v>174</v>
      </c>
    </row>
    <row r="565" spans="1:36" ht="15.75" customHeight="1" x14ac:dyDescent="0.25">
      <c r="A565" s="7">
        <v>43418.904149456022</v>
      </c>
      <c r="B565" s="6" t="s">
        <v>127</v>
      </c>
      <c r="C565" s="6" t="s">
        <v>923</v>
      </c>
      <c r="D565" s="6" t="s">
        <v>163</v>
      </c>
      <c r="E565" s="6" t="s">
        <v>81</v>
      </c>
      <c r="G565" s="6" t="s">
        <v>87</v>
      </c>
      <c r="H565" s="6" t="s">
        <v>1893</v>
      </c>
      <c r="I565" s="6"/>
      <c r="J565" s="6" t="s">
        <v>50</v>
      </c>
      <c r="K565" s="6"/>
      <c r="L565" s="6" t="s">
        <v>1894</v>
      </c>
      <c r="M565" s="6"/>
      <c r="N565" s="6" t="s">
        <v>98</v>
      </c>
      <c r="O565" s="6"/>
      <c r="P565" s="6" t="s">
        <v>131</v>
      </c>
      <c r="Q565" s="6"/>
      <c r="AA565" s="6"/>
      <c r="AB565" s="6" t="s">
        <v>67</v>
      </c>
      <c r="AC565" s="6"/>
      <c r="AD565" s="6" t="s">
        <v>109</v>
      </c>
      <c r="AE565" s="6"/>
      <c r="AF565" s="6" t="s">
        <v>161</v>
      </c>
      <c r="AG565" s="6"/>
      <c r="AH565" s="6" t="s">
        <v>76</v>
      </c>
      <c r="AI565" s="6"/>
      <c r="AJ565" s="11" t="s">
        <v>77</v>
      </c>
    </row>
    <row r="566" spans="1:36" ht="15.75" customHeight="1" x14ac:dyDescent="0.25">
      <c r="A566" s="7">
        <v>43418.905011712966</v>
      </c>
      <c r="B566" s="6" t="s">
        <v>60</v>
      </c>
      <c r="C566" s="6" t="s">
        <v>237</v>
      </c>
      <c r="D566" s="6" t="s">
        <v>163</v>
      </c>
      <c r="E566" s="6" t="s">
        <v>81</v>
      </c>
      <c r="G566" s="6" t="s">
        <v>87</v>
      </c>
      <c r="J566" s="6" t="s">
        <v>92</v>
      </c>
      <c r="K566" s="6"/>
      <c r="N566" s="6" t="s">
        <v>167</v>
      </c>
      <c r="O566" s="6"/>
      <c r="P566" s="6" t="s">
        <v>168</v>
      </c>
      <c r="Q566" s="6"/>
      <c r="AA566" s="6"/>
      <c r="AB566" s="6" t="s">
        <v>67</v>
      </c>
      <c r="AC566" s="6"/>
      <c r="AD566" s="6" t="s">
        <v>56</v>
      </c>
      <c r="AE566" s="6"/>
      <c r="AF566" s="6" t="s">
        <v>205</v>
      </c>
      <c r="AG566" s="6"/>
      <c r="AH566" s="6" t="s">
        <v>58</v>
      </c>
      <c r="AJ566" s="12" t="s">
        <v>57</v>
      </c>
    </row>
    <row r="567" spans="1:36" ht="15.75" customHeight="1" x14ac:dyDescent="0.25">
      <c r="A567" s="7">
        <v>43418.905928414351</v>
      </c>
      <c r="B567" s="6" t="s">
        <v>127</v>
      </c>
      <c r="C567" s="6" t="s">
        <v>90</v>
      </c>
      <c r="D567" s="6" t="s">
        <v>163</v>
      </c>
      <c r="E567" s="6" t="s">
        <v>48</v>
      </c>
      <c r="F567" s="6" t="s">
        <v>1895</v>
      </c>
      <c r="G567" s="6" t="s">
        <v>48</v>
      </c>
      <c r="H567" s="6" t="s">
        <v>1896</v>
      </c>
      <c r="I567" s="6"/>
      <c r="J567" s="6" t="s">
        <v>92</v>
      </c>
      <c r="K567" s="6"/>
      <c r="L567" s="6" t="s">
        <v>1897</v>
      </c>
      <c r="M567" s="6"/>
      <c r="N567" s="6" t="s">
        <v>51</v>
      </c>
      <c r="O567" s="6"/>
      <c r="P567" s="6" t="s">
        <v>52</v>
      </c>
      <c r="Q567" s="6"/>
      <c r="R567" s="47" t="s">
        <v>201</v>
      </c>
      <c r="S567" s="14" t="s">
        <v>4400</v>
      </c>
      <c r="T567" s="14" t="s">
        <v>5119</v>
      </c>
      <c r="U567" s="14" t="s">
        <v>5120</v>
      </c>
      <c r="AA567" s="6"/>
      <c r="AB567" s="6" t="s">
        <v>67</v>
      </c>
      <c r="AC567" s="6"/>
      <c r="AD567" s="6" t="s">
        <v>56</v>
      </c>
      <c r="AE567" s="6"/>
      <c r="AF567" s="6" t="s">
        <v>68</v>
      </c>
      <c r="AG567" s="6"/>
      <c r="AH567" s="6" t="s">
        <v>126</v>
      </c>
      <c r="AI567" s="6"/>
      <c r="AJ567" s="11" t="s">
        <v>77</v>
      </c>
    </row>
    <row r="568" spans="1:36" ht="15.75" customHeight="1" x14ac:dyDescent="0.25">
      <c r="A568" s="7">
        <v>43418.907301087966</v>
      </c>
      <c r="B568" s="6" t="s">
        <v>1899</v>
      </c>
      <c r="C568" s="6" t="s">
        <v>95</v>
      </c>
      <c r="D568" s="6" t="s">
        <v>772</v>
      </c>
      <c r="E568" s="6" t="s">
        <v>81</v>
      </c>
      <c r="G568" s="6" t="s">
        <v>87</v>
      </c>
      <c r="H568" s="6" t="s">
        <v>1900</v>
      </c>
      <c r="I568" s="6"/>
      <c r="J568" s="6" t="s">
        <v>106</v>
      </c>
      <c r="K568" s="6"/>
      <c r="L568" s="6" t="s">
        <v>1901</v>
      </c>
      <c r="M568" s="6"/>
      <c r="N568" s="6" t="s">
        <v>121</v>
      </c>
      <c r="O568" s="6"/>
      <c r="P568" s="6" t="s">
        <v>94</v>
      </c>
      <c r="Q568" s="6"/>
      <c r="R568" s="47" t="s">
        <v>5121</v>
      </c>
      <c r="S568" s="14" t="s">
        <v>4425</v>
      </c>
      <c r="T568" s="14" t="s">
        <v>5122</v>
      </c>
      <c r="U568" s="14" t="s">
        <v>4527</v>
      </c>
      <c r="V568" s="14" t="s">
        <v>4393</v>
      </c>
      <c r="AA568" s="6"/>
      <c r="AB568" s="6" t="s">
        <v>101</v>
      </c>
      <c r="AC568" s="6"/>
      <c r="AD568" s="6" t="s">
        <v>109</v>
      </c>
      <c r="AE568" s="6"/>
      <c r="AF568" s="6" t="s">
        <v>68</v>
      </c>
      <c r="AG568" s="6"/>
      <c r="AH568" s="6" t="s">
        <v>57</v>
      </c>
      <c r="AI568" s="6"/>
      <c r="AJ568" s="11" t="s">
        <v>77</v>
      </c>
    </row>
    <row r="569" spans="1:36" ht="15.75" customHeight="1" x14ac:dyDescent="0.25">
      <c r="A569" s="7">
        <v>43418.90878085648</v>
      </c>
      <c r="B569" s="6" t="s">
        <v>28</v>
      </c>
      <c r="C569" s="6" t="s">
        <v>128</v>
      </c>
      <c r="D569" s="6" t="s">
        <v>91</v>
      </c>
      <c r="E569" s="6" t="s">
        <v>81</v>
      </c>
      <c r="G569" s="6" t="s">
        <v>87</v>
      </c>
      <c r="H569" s="6" t="s">
        <v>1903</v>
      </c>
      <c r="I569" s="6"/>
      <c r="J569" s="6" t="s">
        <v>89</v>
      </c>
      <c r="K569" s="6"/>
      <c r="L569" s="6" t="s">
        <v>1904</v>
      </c>
      <c r="M569" s="6"/>
      <c r="N569" s="6" t="s">
        <v>51</v>
      </c>
      <c r="O569" s="6"/>
      <c r="P569" s="6" t="s">
        <v>131</v>
      </c>
      <c r="Q569" s="6"/>
      <c r="R569" s="47" t="s">
        <v>182</v>
      </c>
      <c r="S569" s="14" t="s">
        <v>5123</v>
      </c>
      <c r="T569" s="14" t="s">
        <v>4432</v>
      </c>
      <c r="U569" s="14" t="s">
        <v>5124</v>
      </c>
      <c r="V569" s="14" t="s">
        <v>4407</v>
      </c>
      <c r="W569" s="14" t="s">
        <v>5125</v>
      </c>
      <c r="AA569" s="6"/>
      <c r="AB569" s="6" t="s">
        <v>55</v>
      </c>
      <c r="AC569" s="6"/>
      <c r="AD569" s="6" t="s">
        <v>56</v>
      </c>
      <c r="AE569" s="6"/>
      <c r="AF569" s="6" t="s">
        <v>68</v>
      </c>
      <c r="AG569" s="6"/>
      <c r="AH569" s="6" t="s">
        <v>58</v>
      </c>
      <c r="AI569" s="6"/>
      <c r="AJ569" s="11" t="s">
        <v>77</v>
      </c>
    </row>
    <row r="570" spans="1:36" ht="15.75" customHeight="1" x14ac:dyDescent="0.25">
      <c r="A570" s="7">
        <v>43418.908975486112</v>
      </c>
      <c r="B570" s="6" t="s">
        <v>60</v>
      </c>
      <c r="C570" s="6" t="s">
        <v>128</v>
      </c>
      <c r="D570" s="6" t="s">
        <v>138</v>
      </c>
      <c r="E570" s="6" t="s">
        <v>81</v>
      </c>
      <c r="G570" s="6" t="s">
        <v>87</v>
      </c>
      <c r="H570" s="6" t="s">
        <v>1906</v>
      </c>
      <c r="I570" s="6"/>
      <c r="J570" s="6" t="s">
        <v>158</v>
      </c>
      <c r="K570" s="6"/>
      <c r="L570" s="6" t="s">
        <v>1907</v>
      </c>
      <c r="M570" s="6"/>
      <c r="N570" s="6" t="s">
        <v>121</v>
      </c>
      <c r="O570" s="6"/>
      <c r="P570" s="6" t="s">
        <v>131</v>
      </c>
      <c r="Q570" s="6"/>
      <c r="R570" s="47" t="s">
        <v>5126</v>
      </c>
      <c r="S570" s="14" t="s">
        <v>5127</v>
      </c>
      <c r="T570" s="14" t="s">
        <v>5128</v>
      </c>
      <c r="U570" s="14" t="s">
        <v>5129</v>
      </c>
      <c r="AA570" s="6"/>
      <c r="AB570" s="6" t="s">
        <v>55</v>
      </c>
      <c r="AC570" s="6"/>
      <c r="AD570" s="6" t="s">
        <v>56</v>
      </c>
      <c r="AE570" s="6"/>
      <c r="AF570" s="6" t="s">
        <v>161</v>
      </c>
      <c r="AG570" s="6"/>
      <c r="AH570" s="6" t="s">
        <v>76</v>
      </c>
      <c r="AI570" s="6"/>
      <c r="AJ570" s="11" t="s">
        <v>77</v>
      </c>
    </row>
    <row r="571" spans="1:36" ht="15.75" customHeight="1" x14ac:dyDescent="0.25">
      <c r="A571" s="7">
        <v>43418.911047071757</v>
      </c>
      <c r="B571" s="6" t="s">
        <v>30</v>
      </c>
      <c r="C571" s="6" t="s">
        <v>45</v>
      </c>
      <c r="D571" s="6" t="s">
        <v>133</v>
      </c>
      <c r="E571" s="6" t="s">
        <v>81</v>
      </c>
      <c r="G571" s="6" t="s">
        <v>87</v>
      </c>
      <c r="J571" s="6" t="s">
        <v>73</v>
      </c>
      <c r="K571" s="6"/>
      <c r="L571" s="6" t="s">
        <v>1911</v>
      </c>
      <c r="M571" s="6"/>
      <c r="N571" s="6" t="s">
        <v>248</v>
      </c>
      <c r="O571" s="6"/>
      <c r="P571" s="6" t="s">
        <v>168</v>
      </c>
      <c r="Q571" s="6"/>
      <c r="R571" s="47" t="s">
        <v>507</v>
      </c>
      <c r="S571" s="14" t="s">
        <v>5130</v>
      </c>
      <c r="T571" s="14" t="s">
        <v>4518</v>
      </c>
      <c r="U571" s="14" t="s">
        <v>5131</v>
      </c>
      <c r="AA571" s="6"/>
      <c r="AB571" s="6" t="s">
        <v>67</v>
      </c>
      <c r="AC571" s="6"/>
      <c r="AD571" s="6" t="s">
        <v>56</v>
      </c>
      <c r="AE571" s="6"/>
      <c r="AF571" s="6" t="s">
        <v>57</v>
      </c>
      <c r="AG571" s="6"/>
      <c r="AH571" s="6" t="s">
        <v>76</v>
      </c>
      <c r="AI571" s="6"/>
      <c r="AJ571" s="6" t="s">
        <v>77</v>
      </c>
    </row>
    <row r="572" spans="1:36" ht="15.75" customHeight="1" x14ac:dyDescent="0.25">
      <c r="A572" s="7">
        <v>43418.912512974537</v>
      </c>
      <c r="B572" s="6" t="s">
        <v>30</v>
      </c>
      <c r="C572" s="6" t="s">
        <v>95</v>
      </c>
      <c r="D572" s="6" t="s">
        <v>46</v>
      </c>
      <c r="E572" s="6" t="s">
        <v>48</v>
      </c>
      <c r="F572" s="6" t="s">
        <v>1913</v>
      </c>
      <c r="G572" s="6" t="s">
        <v>48</v>
      </c>
      <c r="J572" s="6" t="s">
        <v>158</v>
      </c>
      <c r="K572" s="6"/>
      <c r="L572" s="6" t="s">
        <v>1914</v>
      </c>
      <c r="M572" s="6"/>
      <c r="N572" s="6" t="s">
        <v>98</v>
      </c>
      <c r="O572" s="6"/>
      <c r="P572" s="6" t="s">
        <v>94</v>
      </c>
      <c r="Q572" s="6"/>
      <c r="R572" s="47" t="s">
        <v>2905</v>
      </c>
      <c r="S572" s="14" t="s">
        <v>5132</v>
      </c>
      <c r="T572" s="14" t="s">
        <v>5133</v>
      </c>
      <c r="U572" s="14" t="s">
        <v>5134</v>
      </c>
      <c r="V572" s="14" t="s">
        <v>5135</v>
      </c>
      <c r="AA572" s="6"/>
      <c r="AB572" s="6" t="s">
        <v>101</v>
      </c>
      <c r="AC572" s="6"/>
      <c r="AD572" s="6" t="s">
        <v>56</v>
      </c>
      <c r="AE572" s="6"/>
      <c r="AF572" s="6" t="s">
        <v>161</v>
      </c>
      <c r="AG572" s="6"/>
      <c r="AH572" s="6" t="s">
        <v>76</v>
      </c>
      <c r="AI572" s="6"/>
      <c r="AJ572" s="11" t="s">
        <v>77</v>
      </c>
    </row>
    <row r="573" spans="1:36" ht="15.75" customHeight="1" x14ac:dyDescent="0.25">
      <c r="A573" s="7">
        <v>43418.912615138892</v>
      </c>
      <c r="B573" s="6" t="s">
        <v>29</v>
      </c>
      <c r="C573" s="6" t="s">
        <v>195</v>
      </c>
      <c r="D573" s="6" t="s">
        <v>46</v>
      </c>
      <c r="E573" s="6" t="s">
        <v>81</v>
      </c>
      <c r="G573" s="6" t="s">
        <v>87</v>
      </c>
      <c r="H573" s="6" t="s">
        <v>1916</v>
      </c>
      <c r="I573" s="6"/>
      <c r="J573" s="6" t="s">
        <v>50</v>
      </c>
      <c r="K573" s="6"/>
      <c r="L573" s="6" t="s">
        <v>1917</v>
      </c>
      <c r="M573" s="6"/>
      <c r="N573" s="6" t="s">
        <v>121</v>
      </c>
      <c r="O573" s="6"/>
      <c r="P573" s="6" t="s">
        <v>131</v>
      </c>
      <c r="Q573" s="6"/>
      <c r="R573" s="47" t="s">
        <v>169</v>
      </c>
      <c r="S573" s="14" t="s">
        <v>5136</v>
      </c>
      <c r="AA573" s="6"/>
      <c r="AB573" s="6" t="s">
        <v>67</v>
      </c>
      <c r="AC573" s="6"/>
      <c r="AD573" s="6" t="s">
        <v>56</v>
      </c>
      <c r="AE573" s="6"/>
      <c r="AF573" s="6" t="s">
        <v>161</v>
      </c>
      <c r="AG573" s="6"/>
      <c r="AH573" s="6" t="s">
        <v>76</v>
      </c>
      <c r="AI573" s="6"/>
      <c r="AJ573" s="6" t="s">
        <v>329</v>
      </c>
    </row>
    <row r="574" spans="1:36" ht="15.75" customHeight="1" x14ac:dyDescent="0.25">
      <c r="A574" s="7">
        <v>43418.913658148143</v>
      </c>
      <c r="B574" s="6" t="s">
        <v>31</v>
      </c>
      <c r="C574" s="6" t="s">
        <v>116</v>
      </c>
      <c r="D574" s="6" t="s">
        <v>133</v>
      </c>
      <c r="E574" s="6" t="s">
        <v>48</v>
      </c>
      <c r="F574" s="6" t="s">
        <v>1919</v>
      </c>
      <c r="G574" s="6" t="s">
        <v>81</v>
      </c>
      <c r="J574" s="6" t="s">
        <v>106</v>
      </c>
      <c r="K574" s="6"/>
      <c r="L574" s="6" t="s">
        <v>1920</v>
      </c>
      <c r="M574" s="6"/>
      <c r="N574" s="6" t="s">
        <v>98</v>
      </c>
      <c r="O574" s="6"/>
      <c r="P574" s="6" t="s">
        <v>94</v>
      </c>
      <c r="Q574" s="6"/>
      <c r="R574" s="47" t="s">
        <v>5137</v>
      </c>
      <c r="S574" s="14" t="s">
        <v>4581</v>
      </c>
      <c r="T574" s="14" t="s">
        <v>5138</v>
      </c>
      <c r="U574" s="14" t="s">
        <v>5139</v>
      </c>
      <c r="V574" s="14" t="s">
        <v>5140</v>
      </c>
      <c r="W574" s="14" t="s">
        <v>4396</v>
      </c>
      <c r="AA574" s="6"/>
      <c r="AB574" s="6" t="s">
        <v>101</v>
      </c>
      <c r="AC574" s="6"/>
      <c r="AD574" s="6" t="s">
        <v>56</v>
      </c>
      <c r="AE574" s="6"/>
      <c r="AF574" s="6" t="s">
        <v>75</v>
      </c>
      <c r="AG574" s="6"/>
      <c r="AH574" s="11" t="s">
        <v>76</v>
      </c>
      <c r="AI574" s="6"/>
      <c r="AJ574" s="6" t="s">
        <v>115</v>
      </c>
    </row>
    <row r="575" spans="1:36" ht="15.75" customHeight="1" x14ac:dyDescent="0.25">
      <c r="A575" s="7">
        <v>43418.9141809375</v>
      </c>
      <c r="B575" s="6" t="s">
        <v>30</v>
      </c>
      <c r="C575" s="6" t="s">
        <v>90</v>
      </c>
      <c r="D575" s="6" t="s">
        <v>46</v>
      </c>
      <c r="E575" s="6" t="s">
        <v>81</v>
      </c>
      <c r="G575" s="6" t="s">
        <v>87</v>
      </c>
      <c r="J575" s="6" t="s">
        <v>92</v>
      </c>
      <c r="K575" s="6"/>
      <c r="L575" s="6" t="s">
        <v>1923</v>
      </c>
      <c r="M575" s="6"/>
      <c r="N575" s="6" t="s">
        <v>121</v>
      </c>
      <c r="O575" s="6"/>
      <c r="P575" s="6" t="s">
        <v>94</v>
      </c>
      <c r="Q575" s="6"/>
      <c r="R575" s="47" t="s">
        <v>182</v>
      </c>
      <c r="S575" s="14" t="s">
        <v>4647</v>
      </c>
      <c r="T575" s="14" t="s">
        <v>4635</v>
      </c>
      <c r="U575" s="14" t="s">
        <v>5141</v>
      </c>
      <c r="AA575" s="6"/>
      <c r="AB575" s="6" t="s">
        <v>67</v>
      </c>
      <c r="AC575" s="6"/>
      <c r="AD575" s="6" t="s">
        <v>56</v>
      </c>
      <c r="AE575" s="6"/>
      <c r="AF575" s="6" t="s">
        <v>75</v>
      </c>
      <c r="AG575" s="6"/>
      <c r="AH575" s="6" t="s">
        <v>126</v>
      </c>
      <c r="AI575" s="6"/>
      <c r="AJ575" s="11" t="s">
        <v>77</v>
      </c>
    </row>
    <row r="576" spans="1:36" ht="15.75" customHeight="1" x14ac:dyDescent="0.25">
      <c r="A576" s="7">
        <v>43418.914419699075</v>
      </c>
      <c r="B576" s="6" t="s">
        <v>30</v>
      </c>
      <c r="C576" s="6" t="s">
        <v>378</v>
      </c>
      <c r="D576" s="6" t="s">
        <v>46</v>
      </c>
      <c r="E576" s="6" t="s">
        <v>48</v>
      </c>
      <c r="F576" s="6" t="s">
        <v>1925</v>
      </c>
      <c r="G576" s="6" t="s">
        <v>48</v>
      </c>
      <c r="H576" s="6" t="s">
        <v>1926</v>
      </c>
      <c r="I576" s="6"/>
      <c r="J576" s="6" t="s">
        <v>89</v>
      </c>
      <c r="K576" s="6"/>
      <c r="L576" s="6" t="s">
        <v>1927</v>
      </c>
      <c r="M576" s="6"/>
      <c r="N576" s="6" t="s">
        <v>212</v>
      </c>
      <c r="O576" s="6"/>
      <c r="P576" s="6" t="s">
        <v>99</v>
      </c>
      <c r="Q576" s="6"/>
      <c r="R576" s="47" t="s">
        <v>1767</v>
      </c>
      <c r="S576" s="14" t="s">
        <v>5142</v>
      </c>
      <c r="AA576" s="6"/>
      <c r="AB576" s="6" t="s">
        <v>67</v>
      </c>
      <c r="AC576" s="6"/>
      <c r="AD576" s="6" t="s">
        <v>56</v>
      </c>
      <c r="AE576" s="6"/>
      <c r="AF576" s="6" t="s">
        <v>68</v>
      </c>
      <c r="AG576" s="6"/>
      <c r="AH576" s="6" t="s">
        <v>58</v>
      </c>
      <c r="AI576" s="6"/>
      <c r="AJ576" s="6" t="s">
        <v>77</v>
      </c>
    </row>
    <row r="577" spans="1:36" ht="15.75" customHeight="1" x14ac:dyDescent="0.25">
      <c r="A577" s="7">
        <v>43418.915386006949</v>
      </c>
      <c r="B577" s="6" t="s">
        <v>294</v>
      </c>
      <c r="C577" s="6" t="s">
        <v>90</v>
      </c>
      <c r="D577" s="6" t="s">
        <v>46</v>
      </c>
      <c r="E577" s="6" t="s">
        <v>81</v>
      </c>
      <c r="F577" s="6" t="s">
        <v>1929</v>
      </c>
      <c r="G577" s="6" t="s">
        <v>87</v>
      </c>
      <c r="J577" s="6" t="s">
        <v>92</v>
      </c>
      <c r="K577" s="6"/>
      <c r="N577" s="6" t="s">
        <v>121</v>
      </c>
      <c r="O577" s="6"/>
      <c r="P577" s="6" t="s">
        <v>94</v>
      </c>
      <c r="Q577" s="6"/>
      <c r="R577" s="47" t="s">
        <v>5143</v>
      </c>
      <c r="S577" s="14" t="s">
        <v>4967</v>
      </c>
      <c r="T577" s="14" t="s">
        <v>5144</v>
      </c>
      <c r="AA577" s="6"/>
      <c r="AB577" s="6" t="s">
        <v>101</v>
      </c>
      <c r="AC577" s="6"/>
      <c r="AD577" s="6" t="s">
        <v>56</v>
      </c>
      <c r="AE577" s="6"/>
      <c r="AF577" s="6" t="s">
        <v>205</v>
      </c>
      <c r="AG577" s="6"/>
      <c r="AH577" s="6" t="s">
        <v>58</v>
      </c>
      <c r="AI577" s="6"/>
      <c r="AJ577" s="6" t="s">
        <v>115</v>
      </c>
    </row>
    <row r="578" spans="1:36" ht="15.75" customHeight="1" x14ac:dyDescent="0.25">
      <c r="A578" s="7">
        <v>43418.916049490741</v>
      </c>
      <c r="B578" s="6" t="s">
        <v>60</v>
      </c>
      <c r="C578" s="6" t="s">
        <v>45</v>
      </c>
      <c r="E578" s="6" t="s">
        <v>48</v>
      </c>
      <c r="G578" s="6" t="s">
        <v>48</v>
      </c>
      <c r="J578" s="6" t="s">
        <v>73</v>
      </c>
      <c r="K578" s="6"/>
      <c r="N578" s="6" t="s">
        <v>112</v>
      </c>
      <c r="O578" s="6"/>
      <c r="P578" s="6" t="s">
        <v>99</v>
      </c>
      <c r="Q578" s="6"/>
      <c r="AA578" s="6"/>
      <c r="AB578" s="6" t="s">
        <v>101</v>
      </c>
      <c r="AC578" s="6"/>
      <c r="AD578" s="6" t="s">
        <v>56</v>
      </c>
      <c r="AE578" s="6"/>
      <c r="AF578" s="6" t="s">
        <v>68</v>
      </c>
      <c r="AG578" s="6"/>
      <c r="AH578" s="6" t="s">
        <v>58</v>
      </c>
      <c r="AI578" s="6"/>
      <c r="AJ578" s="6" t="s">
        <v>77</v>
      </c>
    </row>
    <row r="579" spans="1:36" ht="15.75" customHeight="1" x14ac:dyDescent="0.25">
      <c r="A579" s="7">
        <v>43418.916588506945</v>
      </c>
      <c r="B579" s="6" t="s">
        <v>30</v>
      </c>
      <c r="C579" s="6" t="s">
        <v>1933</v>
      </c>
      <c r="D579" s="6" t="s">
        <v>165</v>
      </c>
      <c r="E579" s="6" t="s">
        <v>81</v>
      </c>
      <c r="G579" s="6" t="s">
        <v>87</v>
      </c>
      <c r="H579" s="6" t="s">
        <v>1934</v>
      </c>
      <c r="I579" s="6"/>
      <c r="J579" s="6" t="s">
        <v>50</v>
      </c>
      <c r="K579" s="6"/>
      <c r="L579" s="6" t="s">
        <v>1935</v>
      </c>
      <c r="M579" s="6"/>
      <c r="N579" s="6" t="s">
        <v>212</v>
      </c>
      <c r="O579" s="6"/>
      <c r="P579" s="6" t="s">
        <v>94</v>
      </c>
      <c r="Q579" s="6"/>
      <c r="R579" s="47" t="s">
        <v>1936</v>
      </c>
      <c r="AA579" s="6"/>
      <c r="AB579" s="6" t="s">
        <v>101</v>
      </c>
      <c r="AC579" s="6"/>
      <c r="AD579" s="6" t="s">
        <v>56</v>
      </c>
      <c r="AE579" s="6"/>
      <c r="AF579" s="6" t="s">
        <v>75</v>
      </c>
      <c r="AG579" s="6"/>
      <c r="AH579" s="6" t="s">
        <v>58</v>
      </c>
      <c r="AI579" s="6"/>
      <c r="AJ579" s="11" t="s">
        <v>115</v>
      </c>
    </row>
    <row r="580" spans="1:36" ht="15.75" customHeight="1" x14ac:dyDescent="0.25">
      <c r="A580" s="7">
        <v>43418.916676875</v>
      </c>
      <c r="B580" s="6" t="s">
        <v>397</v>
      </c>
      <c r="C580" s="6" t="s">
        <v>90</v>
      </c>
      <c r="D580" s="6" t="s">
        <v>129</v>
      </c>
      <c r="E580" s="6" t="s">
        <v>48</v>
      </c>
      <c r="F580" s="6" t="s">
        <v>1937</v>
      </c>
      <c r="G580" s="6" t="s">
        <v>48</v>
      </c>
      <c r="H580" s="6" t="s">
        <v>1938</v>
      </c>
      <c r="I580" s="6"/>
      <c r="J580" s="6" t="s">
        <v>73</v>
      </c>
      <c r="K580" s="6"/>
      <c r="L580" s="6" t="s">
        <v>1939</v>
      </c>
      <c r="M580" s="6"/>
      <c r="N580" s="6" t="s">
        <v>112</v>
      </c>
      <c r="O580" s="6"/>
      <c r="P580" s="6" t="s">
        <v>131</v>
      </c>
      <c r="Q580" s="6"/>
      <c r="R580" s="47" t="s">
        <v>5145</v>
      </c>
      <c r="S580" s="14" t="s">
        <v>4517</v>
      </c>
      <c r="T580" s="14" t="s">
        <v>5146</v>
      </c>
      <c r="U580" s="14" t="s">
        <v>5147</v>
      </c>
      <c r="AA580" s="6"/>
      <c r="AB580" s="6" t="s">
        <v>67</v>
      </c>
      <c r="AC580" s="6"/>
      <c r="AD580" s="6" t="s">
        <v>56</v>
      </c>
      <c r="AE580" s="6"/>
      <c r="AF580" s="6" t="s">
        <v>75</v>
      </c>
      <c r="AG580" s="6"/>
      <c r="AH580" s="6" t="s">
        <v>76</v>
      </c>
      <c r="AI580" s="6"/>
      <c r="AJ580" s="6" t="s">
        <v>115</v>
      </c>
    </row>
    <row r="581" spans="1:36" ht="15.75" customHeight="1" x14ac:dyDescent="0.25">
      <c r="A581" s="7">
        <v>43418.916827442124</v>
      </c>
      <c r="B581" s="6" t="s">
        <v>26</v>
      </c>
      <c r="C581" s="6" t="s">
        <v>206</v>
      </c>
      <c r="D581" s="6" t="s">
        <v>163</v>
      </c>
      <c r="E581" s="6" t="s">
        <v>81</v>
      </c>
      <c r="G581" s="6" t="s">
        <v>87</v>
      </c>
      <c r="H581" s="6" t="s">
        <v>1943</v>
      </c>
      <c r="I581" s="6"/>
      <c r="J581" s="6" t="s">
        <v>158</v>
      </c>
      <c r="K581" s="6"/>
      <c r="L581" s="6" t="s">
        <v>1944</v>
      </c>
      <c r="M581" s="6"/>
      <c r="N581" s="6" t="s">
        <v>98</v>
      </c>
      <c r="O581" s="6"/>
      <c r="P581" s="6" t="s">
        <v>94</v>
      </c>
      <c r="Q581" s="6"/>
      <c r="R581" s="47" t="s">
        <v>3225</v>
      </c>
      <c r="S581" s="14" t="s">
        <v>4842</v>
      </c>
      <c r="AA581" s="6"/>
      <c r="AB581" s="6" t="s">
        <v>101</v>
      </c>
      <c r="AC581" s="6"/>
      <c r="AD581" s="6" t="s">
        <v>56</v>
      </c>
      <c r="AE581" s="6"/>
      <c r="AF581" s="6" t="s">
        <v>161</v>
      </c>
      <c r="AG581" s="6"/>
      <c r="AH581" s="6" t="s">
        <v>76</v>
      </c>
      <c r="AI581" s="6"/>
      <c r="AJ581" s="6" t="s">
        <v>69</v>
      </c>
    </row>
    <row r="582" spans="1:36" ht="15.75" customHeight="1" x14ac:dyDescent="0.25">
      <c r="A582" s="7">
        <v>43418.92031512731</v>
      </c>
      <c r="B582" s="6" t="s">
        <v>634</v>
      </c>
      <c r="C582" s="6" t="s">
        <v>1945</v>
      </c>
      <c r="D582" s="6" t="s">
        <v>165</v>
      </c>
      <c r="E582" s="6" t="s">
        <v>81</v>
      </c>
      <c r="G582" s="6" t="s">
        <v>87</v>
      </c>
      <c r="H582" s="6" t="s">
        <v>1946</v>
      </c>
      <c r="I582" s="6"/>
      <c r="J582" s="6" t="s">
        <v>110</v>
      </c>
      <c r="K582" s="6"/>
      <c r="L582" s="6" t="s">
        <v>1947</v>
      </c>
      <c r="M582" s="6"/>
      <c r="N582" s="6" t="s">
        <v>212</v>
      </c>
      <c r="O582" s="6"/>
      <c r="P582" s="6" t="s">
        <v>131</v>
      </c>
      <c r="Q582" s="6"/>
      <c r="R582" s="47" t="s">
        <v>1948</v>
      </c>
      <c r="AA582" s="6"/>
      <c r="AB582" s="6" t="s">
        <v>67</v>
      </c>
      <c r="AC582" s="6"/>
      <c r="AD582" s="6" t="s">
        <v>56</v>
      </c>
      <c r="AE582" s="6"/>
      <c r="AF582" s="6" t="s">
        <v>161</v>
      </c>
      <c r="AG582" s="6"/>
      <c r="AH582" s="6" t="s">
        <v>76</v>
      </c>
      <c r="AI582" s="6"/>
      <c r="AJ582" s="11" t="s">
        <v>77</v>
      </c>
    </row>
    <row r="583" spans="1:36" ht="15.75" customHeight="1" x14ac:dyDescent="0.25">
      <c r="A583" s="7">
        <v>43418.920477407402</v>
      </c>
      <c r="B583" s="6" t="s">
        <v>30</v>
      </c>
      <c r="C583" s="6" t="s">
        <v>116</v>
      </c>
      <c r="D583" s="6" t="s">
        <v>165</v>
      </c>
      <c r="E583" s="6" t="s">
        <v>81</v>
      </c>
      <c r="G583" s="6" t="s">
        <v>87</v>
      </c>
      <c r="H583" s="6" t="s">
        <v>1949</v>
      </c>
      <c r="I583" s="6"/>
      <c r="J583" s="6" t="s">
        <v>106</v>
      </c>
      <c r="K583" s="6"/>
      <c r="L583" s="6" t="s">
        <v>1950</v>
      </c>
      <c r="M583" s="6"/>
      <c r="N583" s="6" t="s">
        <v>112</v>
      </c>
      <c r="O583" s="6"/>
      <c r="P583" s="6" t="s">
        <v>131</v>
      </c>
      <c r="Q583" s="6"/>
      <c r="R583" s="47" t="s">
        <v>1261</v>
      </c>
      <c r="S583" s="14" t="s">
        <v>5148</v>
      </c>
      <c r="T583" s="14" t="s">
        <v>5149</v>
      </c>
      <c r="AA583" s="6"/>
      <c r="AB583" s="6" t="s">
        <v>101</v>
      </c>
      <c r="AC583" s="6"/>
      <c r="AD583" s="6" t="s">
        <v>56</v>
      </c>
      <c r="AE583" s="6"/>
      <c r="AF583" s="6" t="s">
        <v>68</v>
      </c>
      <c r="AG583" s="6"/>
      <c r="AH583" s="6" t="s">
        <v>57</v>
      </c>
      <c r="AI583" s="6"/>
      <c r="AJ583" s="11" t="s">
        <v>174</v>
      </c>
    </row>
    <row r="584" spans="1:36" ht="15.75" customHeight="1" x14ac:dyDescent="0.25">
      <c r="A584" s="7">
        <v>43418.921716562501</v>
      </c>
      <c r="B584" s="6" t="s">
        <v>30</v>
      </c>
      <c r="D584" s="6" t="s">
        <v>46</v>
      </c>
      <c r="E584" s="6" t="s">
        <v>81</v>
      </c>
      <c r="G584" s="6" t="s">
        <v>87</v>
      </c>
      <c r="J584" s="6" t="s">
        <v>92</v>
      </c>
      <c r="K584" s="6"/>
      <c r="L584" s="6" t="s">
        <v>1955</v>
      </c>
      <c r="M584" s="6"/>
      <c r="N584" s="6" t="s">
        <v>93</v>
      </c>
      <c r="O584" s="6"/>
      <c r="P584" s="6" t="s">
        <v>94</v>
      </c>
      <c r="Q584" s="6"/>
      <c r="R584" s="47" t="s">
        <v>4455</v>
      </c>
      <c r="S584" s="14" t="s">
        <v>4427</v>
      </c>
      <c r="T584" s="14" t="s">
        <v>5150</v>
      </c>
      <c r="AA584" s="6"/>
      <c r="AB584" s="6" t="s">
        <v>67</v>
      </c>
      <c r="AC584" s="6"/>
      <c r="AD584" s="6" t="s">
        <v>56</v>
      </c>
      <c r="AE584" s="6"/>
      <c r="AF584" s="6" t="s">
        <v>68</v>
      </c>
      <c r="AG584" s="6"/>
      <c r="AH584" s="6" t="s">
        <v>58</v>
      </c>
      <c r="AI584" s="6"/>
      <c r="AJ584" s="11" t="s">
        <v>77</v>
      </c>
    </row>
    <row r="585" spans="1:36" ht="15.75" customHeight="1" x14ac:dyDescent="0.25">
      <c r="A585" s="7">
        <v>43418.922468819444</v>
      </c>
      <c r="B585" s="6" t="s">
        <v>127</v>
      </c>
      <c r="C585" s="6" t="s">
        <v>45</v>
      </c>
      <c r="D585" s="6" t="s">
        <v>163</v>
      </c>
      <c r="E585" s="6" t="s">
        <v>48</v>
      </c>
      <c r="F585" s="6" t="s">
        <v>1957</v>
      </c>
      <c r="G585" s="6" t="s">
        <v>48</v>
      </c>
      <c r="H585" s="6" t="s">
        <v>1958</v>
      </c>
      <c r="I585" s="6"/>
      <c r="J585" s="6" t="s">
        <v>73</v>
      </c>
      <c r="K585" s="6"/>
      <c r="L585" s="6" t="s">
        <v>1959</v>
      </c>
      <c r="M585" s="6"/>
      <c r="N585" s="6" t="s">
        <v>181</v>
      </c>
      <c r="O585" s="6"/>
      <c r="P585" s="6" t="s">
        <v>131</v>
      </c>
      <c r="Q585" s="6"/>
      <c r="R585" s="47" t="s">
        <v>5017</v>
      </c>
      <c r="S585" s="14" t="s">
        <v>4407</v>
      </c>
      <c r="T585" s="14" t="s">
        <v>4925</v>
      </c>
      <c r="U585" s="14" t="s">
        <v>5151</v>
      </c>
      <c r="V585" s="14" t="s">
        <v>4432</v>
      </c>
      <c r="W585" s="14" t="s">
        <v>5152</v>
      </c>
      <c r="X585" s="14" t="s">
        <v>5153</v>
      </c>
      <c r="AA585" s="6"/>
      <c r="AB585" s="6" t="s">
        <v>67</v>
      </c>
      <c r="AC585" s="6"/>
      <c r="AD585" s="6" t="s">
        <v>56</v>
      </c>
      <c r="AE585" s="6"/>
      <c r="AF585" s="6" t="s">
        <v>75</v>
      </c>
      <c r="AG585" s="6"/>
      <c r="AH585" s="6" t="s">
        <v>76</v>
      </c>
      <c r="AI585" s="6"/>
      <c r="AJ585" s="11" t="s">
        <v>77</v>
      </c>
    </row>
    <row r="586" spans="1:36" ht="15.75" customHeight="1" x14ac:dyDescent="0.25">
      <c r="A586" s="7">
        <v>43418.92333200232</v>
      </c>
      <c r="B586" s="6" t="s">
        <v>30</v>
      </c>
      <c r="C586" s="6" t="s">
        <v>128</v>
      </c>
      <c r="D586" s="6" t="s">
        <v>46</v>
      </c>
      <c r="E586" s="6" t="s">
        <v>48</v>
      </c>
      <c r="F586" s="6" t="s">
        <v>1961</v>
      </c>
      <c r="G586" s="6" t="s">
        <v>48</v>
      </c>
      <c r="J586" s="6" t="s">
        <v>110</v>
      </c>
      <c r="K586" s="6"/>
      <c r="L586" s="6" t="s">
        <v>1962</v>
      </c>
      <c r="M586" s="6"/>
      <c r="N586" s="6" t="s">
        <v>181</v>
      </c>
      <c r="O586" s="6"/>
      <c r="P586" s="6" t="s">
        <v>131</v>
      </c>
      <c r="Q586" s="6"/>
      <c r="AA586" s="6"/>
      <c r="AB586" s="6" t="s">
        <v>101</v>
      </c>
      <c r="AC586" s="6"/>
      <c r="AD586" s="6" t="s">
        <v>56</v>
      </c>
      <c r="AE586" s="6"/>
      <c r="AF586" s="6" t="s">
        <v>68</v>
      </c>
      <c r="AG586" s="6"/>
      <c r="AH586" s="6" t="s">
        <v>58</v>
      </c>
      <c r="AI586" s="6"/>
      <c r="AJ586" s="11" t="s">
        <v>132</v>
      </c>
    </row>
    <row r="587" spans="1:36" ht="15.75" customHeight="1" x14ac:dyDescent="0.25">
      <c r="A587" s="7">
        <v>43418.926463587966</v>
      </c>
      <c r="B587" s="6" t="s">
        <v>30</v>
      </c>
      <c r="C587" s="6" t="s">
        <v>79</v>
      </c>
      <c r="D587" s="6" t="s">
        <v>129</v>
      </c>
      <c r="E587" s="6" t="s">
        <v>48</v>
      </c>
      <c r="F587" s="6" t="s">
        <v>1963</v>
      </c>
      <c r="G587" s="6" t="s">
        <v>48</v>
      </c>
      <c r="J587" s="6" t="s">
        <v>89</v>
      </c>
      <c r="K587" s="6"/>
      <c r="L587" s="6" t="s">
        <v>1964</v>
      </c>
      <c r="M587" s="6"/>
      <c r="N587" s="6" t="s">
        <v>112</v>
      </c>
      <c r="O587" s="6"/>
      <c r="P587" s="6" t="s">
        <v>52</v>
      </c>
      <c r="Q587" s="6"/>
      <c r="AA587" s="6"/>
      <c r="AB587" s="6" t="s">
        <v>67</v>
      </c>
      <c r="AC587" s="6"/>
      <c r="AD587" s="6" t="s">
        <v>56</v>
      </c>
      <c r="AE587" s="6"/>
      <c r="AF587" s="6" t="s">
        <v>205</v>
      </c>
      <c r="AG587" s="6"/>
      <c r="AH587" s="6" t="s">
        <v>58</v>
      </c>
      <c r="AI587" s="6"/>
      <c r="AJ587" s="11" t="s">
        <v>77</v>
      </c>
    </row>
    <row r="588" spans="1:36" ht="15.75" customHeight="1" x14ac:dyDescent="0.25">
      <c r="A588" s="7">
        <v>43418.92663887731</v>
      </c>
      <c r="B588" s="6" t="s">
        <v>543</v>
      </c>
      <c r="C588" s="6" t="s">
        <v>128</v>
      </c>
      <c r="D588" s="6" t="s">
        <v>46</v>
      </c>
      <c r="E588" s="6" t="s">
        <v>48</v>
      </c>
      <c r="F588" s="6" t="s">
        <v>1966</v>
      </c>
      <c r="G588" s="6" t="s">
        <v>48</v>
      </c>
      <c r="H588" s="6" t="s">
        <v>1967</v>
      </c>
      <c r="I588" s="6"/>
      <c r="J588" s="6" t="s">
        <v>73</v>
      </c>
      <c r="K588" s="6"/>
      <c r="L588" s="6" t="s">
        <v>1968</v>
      </c>
      <c r="M588" s="6"/>
      <c r="N588" s="6" t="s">
        <v>181</v>
      </c>
      <c r="O588" s="6"/>
      <c r="P588" s="6" t="s">
        <v>131</v>
      </c>
      <c r="Q588" s="6"/>
      <c r="R588" s="47" t="s">
        <v>3800</v>
      </c>
      <c r="S588" s="14" t="s">
        <v>5154</v>
      </c>
      <c r="AA588" s="6"/>
      <c r="AB588" s="6" t="s">
        <v>101</v>
      </c>
      <c r="AC588" s="6"/>
      <c r="AD588" s="6" t="s">
        <v>56</v>
      </c>
      <c r="AE588" s="6"/>
      <c r="AF588" s="6" t="s">
        <v>161</v>
      </c>
      <c r="AG588" s="6"/>
      <c r="AH588" s="6" t="s">
        <v>76</v>
      </c>
      <c r="AI588" s="6"/>
      <c r="AJ588" s="11" t="s">
        <v>77</v>
      </c>
    </row>
    <row r="589" spans="1:36" ht="15.75" customHeight="1" x14ac:dyDescent="0.25">
      <c r="A589" s="7">
        <v>43418.928018194449</v>
      </c>
      <c r="B589" s="6" t="s">
        <v>30</v>
      </c>
      <c r="C589" s="6" t="s">
        <v>45</v>
      </c>
      <c r="D589" s="6" t="s">
        <v>190</v>
      </c>
      <c r="E589" s="6" t="s">
        <v>81</v>
      </c>
      <c r="G589" s="6" t="s">
        <v>87</v>
      </c>
      <c r="J589" s="6" t="s">
        <v>92</v>
      </c>
      <c r="K589" s="6"/>
      <c r="L589" s="6" t="s">
        <v>1970</v>
      </c>
      <c r="M589" s="6"/>
      <c r="N589" s="6" t="s">
        <v>181</v>
      </c>
      <c r="O589" s="6"/>
      <c r="P589" s="6" t="s">
        <v>131</v>
      </c>
      <c r="Q589" s="6"/>
      <c r="AA589" s="6"/>
      <c r="AB589" s="6" t="s">
        <v>203</v>
      </c>
      <c r="AC589" s="6"/>
      <c r="AD589" s="6" t="s">
        <v>56</v>
      </c>
      <c r="AE589" s="6"/>
      <c r="AF589" s="6" t="s">
        <v>161</v>
      </c>
      <c r="AG589" s="6"/>
      <c r="AH589" s="6" t="s">
        <v>76</v>
      </c>
      <c r="AI589" s="6"/>
      <c r="AJ589" s="6" t="s">
        <v>115</v>
      </c>
    </row>
    <row r="590" spans="1:36" ht="15.75" customHeight="1" x14ac:dyDescent="0.25">
      <c r="A590" s="7">
        <v>43418.928457696762</v>
      </c>
      <c r="B590" s="6" t="s">
        <v>103</v>
      </c>
      <c r="C590" s="6" t="s">
        <v>287</v>
      </c>
      <c r="D590" s="6" t="s">
        <v>307</v>
      </c>
      <c r="E590" s="6" t="s">
        <v>81</v>
      </c>
      <c r="G590" s="6" t="s">
        <v>87</v>
      </c>
      <c r="J590" s="6" t="s">
        <v>92</v>
      </c>
      <c r="K590" s="6"/>
      <c r="N590" s="6" t="s">
        <v>167</v>
      </c>
      <c r="O590" s="6"/>
      <c r="P590" s="6" t="s">
        <v>168</v>
      </c>
      <c r="Q590" s="6"/>
      <c r="R590" s="47" t="s">
        <v>1971</v>
      </c>
      <c r="AA590" s="6"/>
      <c r="AB590" s="6" t="s">
        <v>101</v>
      </c>
      <c r="AC590" s="6"/>
      <c r="AD590" s="6" t="s">
        <v>56</v>
      </c>
      <c r="AE590" s="6"/>
      <c r="AF590" s="6" t="s">
        <v>75</v>
      </c>
      <c r="AG590" s="6"/>
      <c r="AH590" s="6" t="s">
        <v>58</v>
      </c>
      <c r="AI590" s="6"/>
      <c r="AJ590" s="11" t="s">
        <v>77</v>
      </c>
    </row>
    <row r="591" spans="1:36" ht="15.75" customHeight="1" x14ac:dyDescent="0.25">
      <c r="A591" s="7">
        <v>43418.930867048606</v>
      </c>
      <c r="B591" s="6" t="s">
        <v>30</v>
      </c>
      <c r="C591" s="6" t="s">
        <v>378</v>
      </c>
      <c r="D591" s="6" t="s">
        <v>163</v>
      </c>
      <c r="E591" s="6" t="s">
        <v>81</v>
      </c>
      <c r="G591" s="6" t="s">
        <v>48</v>
      </c>
      <c r="H591" s="6" t="s">
        <v>1972</v>
      </c>
      <c r="I591" s="6"/>
      <c r="J591" s="6" t="s">
        <v>110</v>
      </c>
      <c r="K591" s="6"/>
      <c r="L591" s="6" t="s">
        <v>430</v>
      </c>
      <c r="M591" s="6"/>
      <c r="N591" s="6" t="s">
        <v>98</v>
      </c>
      <c r="O591" s="6"/>
      <c r="P591" s="6" t="s">
        <v>131</v>
      </c>
      <c r="Q591" s="6"/>
      <c r="R591" s="47" t="s">
        <v>192</v>
      </c>
      <c r="S591" s="14" t="s">
        <v>5155</v>
      </c>
      <c r="T591" s="14" t="s">
        <v>4911</v>
      </c>
      <c r="AA591" s="6"/>
      <c r="AB591" s="6" t="s">
        <v>67</v>
      </c>
      <c r="AC591" s="6"/>
      <c r="AD591" s="6" t="s">
        <v>109</v>
      </c>
      <c r="AE591" s="6"/>
      <c r="AF591" s="6" t="s">
        <v>68</v>
      </c>
      <c r="AG591" s="6"/>
      <c r="AH591" s="6" t="s">
        <v>57</v>
      </c>
      <c r="AI591" s="6"/>
      <c r="AJ591" s="11" t="s">
        <v>77</v>
      </c>
    </row>
    <row r="592" spans="1:36" ht="15.75" customHeight="1" x14ac:dyDescent="0.25">
      <c r="A592" s="7">
        <v>43418.932919733794</v>
      </c>
      <c r="B592" s="6" t="s">
        <v>397</v>
      </c>
      <c r="C592" s="6" t="s">
        <v>128</v>
      </c>
      <c r="D592" s="6" t="s">
        <v>261</v>
      </c>
      <c r="E592" s="6" t="s">
        <v>48</v>
      </c>
      <c r="F592" s="6" t="s">
        <v>1977</v>
      </c>
      <c r="G592" s="6" t="s">
        <v>48</v>
      </c>
      <c r="H592" s="6" t="s">
        <v>1978</v>
      </c>
      <c r="I592" s="6"/>
      <c r="J592" s="6" t="s">
        <v>110</v>
      </c>
      <c r="K592" s="6"/>
      <c r="L592" s="6" t="s">
        <v>1979</v>
      </c>
      <c r="M592" s="6"/>
      <c r="N592" s="6" t="s">
        <v>51</v>
      </c>
      <c r="O592" s="6"/>
      <c r="P592" s="6" t="s">
        <v>52</v>
      </c>
      <c r="Q592" s="6"/>
      <c r="R592" s="47" t="s">
        <v>1981</v>
      </c>
      <c r="AA592" s="6"/>
      <c r="AB592" s="6" t="s">
        <v>67</v>
      </c>
      <c r="AC592" s="6"/>
      <c r="AD592" s="6" t="s">
        <v>56</v>
      </c>
      <c r="AE592" s="6"/>
      <c r="AF592" s="6" t="s">
        <v>68</v>
      </c>
      <c r="AG592" s="6"/>
      <c r="AH592" s="6" t="s">
        <v>58</v>
      </c>
      <c r="AI592" s="6"/>
      <c r="AJ592" s="6" t="s">
        <v>77</v>
      </c>
    </row>
    <row r="593" spans="1:36" ht="15.75" customHeight="1" x14ac:dyDescent="0.25">
      <c r="A593" s="7">
        <v>43418.933804085653</v>
      </c>
      <c r="B593" s="6" t="s">
        <v>305</v>
      </c>
      <c r="C593" s="6" t="s">
        <v>1422</v>
      </c>
      <c r="D593" s="6" t="s">
        <v>155</v>
      </c>
      <c r="E593" s="6" t="s">
        <v>48</v>
      </c>
      <c r="F593" s="6" t="s">
        <v>993</v>
      </c>
      <c r="G593" s="6" t="s">
        <v>48</v>
      </c>
      <c r="H593" s="6" t="s">
        <v>1983</v>
      </c>
      <c r="I593" s="6"/>
      <c r="J593" s="6" t="s">
        <v>64</v>
      </c>
      <c r="K593" s="6"/>
      <c r="L593" s="6" t="s">
        <v>1984</v>
      </c>
      <c r="M593" s="6"/>
      <c r="N593" s="6" t="s">
        <v>98</v>
      </c>
      <c r="O593" s="6"/>
      <c r="P593" s="6" t="s">
        <v>94</v>
      </c>
      <c r="Q593" s="6"/>
      <c r="R593" s="47" t="s">
        <v>5156</v>
      </c>
      <c r="S593" s="14" t="s">
        <v>5157</v>
      </c>
      <c r="T593" s="14" t="s">
        <v>5158</v>
      </c>
      <c r="AA593" s="6"/>
      <c r="AB593" s="6" t="s">
        <v>67</v>
      </c>
      <c r="AC593" s="6"/>
      <c r="AD593" s="6" t="s">
        <v>56</v>
      </c>
      <c r="AE593" s="6"/>
      <c r="AF593" s="6" t="s">
        <v>161</v>
      </c>
      <c r="AG593" s="6"/>
      <c r="AH593" s="6" t="s">
        <v>58</v>
      </c>
      <c r="AI593" s="6"/>
      <c r="AJ593" s="11" t="s">
        <v>77</v>
      </c>
    </row>
    <row r="594" spans="1:36" ht="15.75" customHeight="1" x14ac:dyDescent="0.25">
      <c r="A594" s="7">
        <v>43418.935068923616</v>
      </c>
      <c r="B594" s="6" t="s">
        <v>30</v>
      </c>
      <c r="C594" s="6" t="s">
        <v>378</v>
      </c>
      <c r="D594" s="6" t="s">
        <v>129</v>
      </c>
      <c r="E594" s="6" t="s">
        <v>48</v>
      </c>
      <c r="F594" s="6" t="s">
        <v>569</v>
      </c>
      <c r="G594" s="6" t="s">
        <v>48</v>
      </c>
      <c r="H594" s="6" t="s">
        <v>1988</v>
      </c>
      <c r="I594" s="6"/>
      <c r="J594" s="6" t="s">
        <v>110</v>
      </c>
      <c r="K594" s="6"/>
      <c r="L594" s="6" t="s">
        <v>1989</v>
      </c>
      <c r="M594" s="6"/>
      <c r="N594" s="6" t="s">
        <v>51</v>
      </c>
      <c r="O594" s="6"/>
      <c r="P594" s="6" t="s">
        <v>52</v>
      </c>
      <c r="Q594" s="6"/>
      <c r="R594" s="47" t="s">
        <v>3319</v>
      </c>
      <c r="S594" s="14" t="s">
        <v>5159</v>
      </c>
      <c r="T594" s="14" t="s">
        <v>5160</v>
      </c>
      <c r="AA594" s="6"/>
      <c r="AB594" s="6" t="s">
        <v>67</v>
      </c>
      <c r="AC594" s="6"/>
      <c r="AD594" s="6" t="s">
        <v>56</v>
      </c>
      <c r="AE594" s="6"/>
      <c r="AF594" s="6" t="s">
        <v>68</v>
      </c>
      <c r="AG594" s="6"/>
      <c r="AH594" s="6" t="s">
        <v>58</v>
      </c>
      <c r="AI594" s="6"/>
      <c r="AJ594" s="6" t="s">
        <v>77</v>
      </c>
    </row>
    <row r="595" spans="1:36" ht="15.75" customHeight="1" x14ac:dyDescent="0.25">
      <c r="A595" s="7">
        <v>43418.935914629634</v>
      </c>
      <c r="C595" s="6" t="s">
        <v>116</v>
      </c>
      <c r="D595" s="6" t="s">
        <v>46</v>
      </c>
      <c r="E595" s="6" t="s">
        <v>48</v>
      </c>
      <c r="F595" s="6" t="s">
        <v>1992</v>
      </c>
      <c r="G595" s="6" t="s">
        <v>48</v>
      </c>
      <c r="H595" s="6" t="s">
        <v>1993</v>
      </c>
      <c r="I595" s="6"/>
      <c r="J595" s="6" t="s">
        <v>158</v>
      </c>
      <c r="K595" s="6"/>
      <c r="L595" s="6" t="s">
        <v>1994</v>
      </c>
      <c r="M595" s="6"/>
      <c r="N595" s="6" t="s">
        <v>212</v>
      </c>
      <c r="O595" s="6"/>
      <c r="P595" s="6" t="s">
        <v>131</v>
      </c>
      <c r="Q595" s="6"/>
      <c r="R595" s="47" t="s">
        <v>2905</v>
      </c>
      <c r="S595" s="14" t="s">
        <v>4400</v>
      </c>
      <c r="T595" s="14" t="s">
        <v>4586</v>
      </c>
      <c r="U595" s="14" t="s">
        <v>4494</v>
      </c>
      <c r="AA595" s="6"/>
      <c r="AB595" s="6" t="s">
        <v>203</v>
      </c>
      <c r="AC595" s="6"/>
      <c r="AD595" s="6" t="s">
        <v>56</v>
      </c>
      <c r="AE595" s="6"/>
      <c r="AF595" s="6" t="s">
        <v>68</v>
      </c>
      <c r="AG595" s="6"/>
      <c r="AH595" s="11" t="s">
        <v>144</v>
      </c>
      <c r="AI595" s="6"/>
      <c r="AJ595" s="6" t="s">
        <v>295</v>
      </c>
    </row>
    <row r="596" spans="1:36" ht="15.75" customHeight="1" x14ac:dyDescent="0.25">
      <c r="A596" s="7">
        <v>43418.937770300923</v>
      </c>
      <c r="B596" s="6" t="s">
        <v>103</v>
      </c>
      <c r="C596" s="6" t="s">
        <v>971</v>
      </c>
      <c r="D596" s="6" t="s">
        <v>46</v>
      </c>
      <c r="E596" s="6" t="s">
        <v>48</v>
      </c>
      <c r="F596" s="6" t="s">
        <v>1996</v>
      </c>
      <c r="G596" s="6" t="s">
        <v>48</v>
      </c>
      <c r="H596" s="6" t="s">
        <v>1997</v>
      </c>
      <c r="I596" s="6"/>
      <c r="J596" s="6" t="s">
        <v>73</v>
      </c>
      <c r="K596" s="6"/>
      <c r="L596" s="6" t="s">
        <v>1999</v>
      </c>
      <c r="M596" s="6"/>
      <c r="N596" s="6" t="s">
        <v>51</v>
      </c>
      <c r="O596" s="6"/>
      <c r="P596" s="6" t="s">
        <v>99</v>
      </c>
      <c r="Q596" s="6"/>
      <c r="AA596" s="6"/>
      <c r="AB596" s="6" t="s">
        <v>67</v>
      </c>
      <c r="AC596" s="6"/>
      <c r="AD596" s="6" t="s">
        <v>56</v>
      </c>
      <c r="AE596" s="6"/>
      <c r="AF596" s="6" t="s">
        <v>161</v>
      </c>
      <c r="AG596" s="6"/>
      <c r="AH596" s="6" t="s">
        <v>76</v>
      </c>
      <c r="AI596" s="6"/>
      <c r="AJ596" s="11" t="s">
        <v>77</v>
      </c>
    </row>
    <row r="597" spans="1:36" ht="15.75" customHeight="1" x14ac:dyDescent="0.25">
      <c r="A597" s="7">
        <v>43418.942774861112</v>
      </c>
      <c r="B597" s="6" t="s">
        <v>1598</v>
      </c>
      <c r="C597" s="6" t="s">
        <v>477</v>
      </c>
      <c r="D597" s="6" t="s">
        <v>165</v>
      </c>
      <c r="E597" s="6" t="s">
        <v>48</v>
      </c>
      <c r="F597" s="6" t="s">
        <v>2002</v>
      </c>
      <c r="G597" s="6" t="s">
        <v>48</v>
      </c>
      <c r="H597" s="6" t="s">
        <v>2003</v>
      </c>
      <c r="I597" s="6"/>
      <c r="J597" s="6" t="s">
        <v>158</v>
      </c>
      <c r="K597" s="6"/>
      <c r="L597" s="6" t="s">
        <v>2004</v>
      </c>
      <c r="M597" s="6"/>
      <c r="N597" s="6" t="s">
        <v>51</v>
      </c>
      <c r="O597" s="6"/>
      <c r="P597" s="6" t="s">
        <v>99</v>
      </c>
      <c r="Q597" s="6"/>
      <c r="R597" s="47" t="s">
        <v>2006</v>
      </c>
      <c r="AA597" s="6"/>
      <c r="AB597" s="6" t="s">
        <v>55</v>
      </c>
      <c r="AC597" s="6"/>
      <c r="AD597" s="6" t="s">
        <v>57</v>
      </c>
      <c r="AE597" s="6"/>
      <c r="AF597" s="6" t="s">
        <v>75</v>
      </c>
      <c r="AG597" s="6"/>
      <c r="AH597" s="6" t="s">
        <v>57</v>
      </c>
      <c r="AI597" s="6"/>
      <c r="AJ597" s="6" t="s">
        <v>115</v>
      </c>
    </row>
    <row r="598" spans="1:36" ht="15.75" customHeight="1" x14ac:dyDescent="0.25">
      <c r="A598" s="7">
        <v>43418.943482280098</v>
      </c>
      <c r="B598" s="6" t="s">
        <v>127</v>
      </c>
      <c r="C598" s="6" t="s">
        <v>2008</v>
      </c>
      <c r="D598" s="6" t="s">
        <v>46</v>
      </c>
      <c r="E598" s="6" t="s">
        <v>48</v>
      </c>
      <c r="F598" s="6" t="s">
        <v>2010</v>
      </c>
      <c r="G598" s="6" t="s">
        <v>48</v>
      </c>
      <c r="H598" s="6" t="s">
        <v>2011</v>
      </c>
      <c r="I598" s="6"/>
      <c r="J598" s="6" t="s">
        <v>92</v>
      </c>
      <c r="K598" s="6"/>
      <c r="L598" s="6" t="s">
        <v>2012</v>
      </c>
      <c r="M598" s="6"/>
      <c r="N598" s="6" t="s">
        <v>181</v>
      </c>
      <c r="O598" s="6"/>
      <c r="P598" s="6" t="s">
        <v>94</v>
      </c>
      <c r="Q598" s="6"/>
      <c r="R598" s="47" t="s">
        <v>254</v>
      </c>
      <c r="S598" s="14" t="s">
        <v>5161</v>
      </c>
      <c r="T598" s="14" t="s">
        <v>4472</v>
      </c>
      <c r="AA598" s="6"/>
      <c r="AB598" s="6" t="s">
        <v>67</v>
      </c>
      <c r="AC598" s="6"/>
      <c r="AD598" s="6" t="s">
        <v>56</v>
      </c>
      <c r="AE598" s="6"/>
      <c r="AF598" s="6" t="s">
        <v>68</v>
      </c>
      <c r="AG598" s="6"/>
      <c r="AH598" s="6" t="s">
        <v>57</v>
      </c>
      <c r="AI598" s="6"/>
      <c r="AJ598" s="6" t="s">
        <v>115</v>
      </c>
    </row>
    <row r="599" spans="1:36" ht="15.75" customHeight="1" x14ac:dyDescent="0.25">
      <c r="A599" s="7">
        <v>43418.944552303241</v>
      </c>
      <c r="B599" s="6" t="s">
        <v>1598</v>
      </c>
      <c r="C599" s="6" t="s">
        <v>477</v>
      </c>
      <c r="D599" s="6" t="s">
        <v>163</v>
      </c>
      <c r="E599" s="6" t="s">
        <v>48</v>
      </c>
      <c r="F599" s="6" t="s">
        <v>2014</v>
      </c>
      <c r="G599" s="6" t="s">
        <v>48</v>
      </c>
      <c r="H599" s="6" t="s">
        <v>2015</v>
      </c>
      <c r="I599" s="6"/>
      <c r="J599" s="6" t="s">
        <v>64</v>
      </c>
      <c r="K599" s="6"/>
      <c r="L599" s="6" t="s">
        <v>2017</v>
      </c>
      <c r="M599" s="6"/>
      <c r="N599" s="6" t="s">
        <v>212</v>
      </c>
      <c r="O599" s="6"/>
      <c r="P599" s="6" t="s">
        <v>99</v>
      </c>
      <c r="Q599" s="6"/>
      <c r="R599" s="47" t="s">
        <v>5162</v>
      </c>
      <c r="S599" s="14" t="s">
        <v>5163</v>
      </c>
      <c r="T599" s="14" t="s">
        <v>5164</v>
      </c>
      <c r="U599" s="14" t="s">
        <v>5165</v>
      </c>
      <c r="AA599" s="6"/>
      <c r="AB599" s="6" t="s">
        <v>101</v>
      </c>
      <c r="AC599" s="6"/>
      <c r="AD599" s="6" t="s">
        <v>57</v>
      </c>
      <c r="AE599" s="6"/>
      <c r="AF599" s="6" t="s">
        <v>75</v>
      </c>
      <c r="AG599" s="6"/>
      <c r="AH599" s="6" t="s">
        <v>58</v>
      </c>
      <c r="AI599" s="6"/>
      <c r="AJ599" s="6" t="s">
        <v>115</v>
      </c>
    </row>
    <row r="600" spans="1:36" ht="15.75" customHeight="1" x14ac:dyDescent="0.25">
      <c r="A600" s="7">
        <v>43418.946839479162</v>
      </c>
      <c r="B600" s="6" t="s">
        <v>30</v>
      </c>
      <c r="C600" s="6" t="s">
        <v>1174</v>
      </c>
      <c r="E600" s="6" t="s">
        <v>48</v>
      </c>
      <c r="F600" s="6" t="s">
        <v>2020</v>
      </c>
      <c r="G600" s="6" t="s">
        <v>48</v>
      </c>
      <c r="J600" s="6" t="s">
        <v>106</v>
      </c>
      <c r="K600" s="6"/>
      <c r="L600" s="6" t="s">
        <v>2022</v>
      </c>
      <c r="M600" s="6"/>
      <c r="N600" s="6" t="s">
        <v>181</v>
      </c>
      <c r="O600" s="6"/>
      <c r="P600" s="6" t="s">
        <v>94</v>
      </c>
      <c r="Q600" s="6"/>
      <c r="R600" s="47" t="s">
        <v>5166</v>
      </c>
      <c r="S600" s="14" t="s">
        <v>5167</v>
      </c>
      <c r="T600" s="14" t="s">
        <v>5168</v>
      </c>
      <c r="AA600" s="6"/>
      <c r="AB600" s="6" t="s">
        <v>67</v>
      </c>
      <c r="AC600" s="6"/>
      <c r="AD600" s="6" t="s">
        <v>56</v>
      </c>
      <c r="AE600" s="6"/>
      <c r="AF600" s="6" t="s">
        <v>68</v>
      </c>
      <c r="AG600" s="6"/>
      <c r="AH600" s="6" t="s">
        <v>58</v>
      </c>
      <c r="AI600" s="6"/>
      <c r="AJ600" s="11" t="s">
        <v>77</v>
      </c>
    </row>
    <row r="601" spans="1:36" ht="15.75" customHeight="1" x14ac:dyDescent="0.25">
      <c r="A601" s="7">
        <v>43418.948538946759</v>
      </c>
      <c r="B601" s="6" t="s">
        <v>127</v>
      </c>
      <c r="C601" s="6" t="s">
        <v>79</v>
      </c>
      <c r="D601" s="6" t="s">
        <v>46</v>
      </c>
      <c r="E601" s="6" t="s">
        <v>81</v>
      </c>
      <c r="G601" s="6" t="s">
        <v>87</v>
      </c>
      <c r="H601" s="6" t="s">
        <v>2026</v>
      </c>
      <c r="I601" s="6"/>
      <c r="J601" s="6" t="s">
        <v>89</v>
      </c>
      <c r="K601" s="6"/>
      <c r="L601" s="6" t="s">
        <v>2027</v>
      </c>
      <c r="M601" s="6"/>
      <c r="N601" s="6" t="s">
        <v>98</v>
      </c>
      <c r="O601" s="6"/>
      <c r="P601" s="6" t="s">
        <v>94</v>
      </c>
      <c r="Q601" s="6"/>
      <c r="R601" s="47" t="s">
        <v>3481</v>
      </c>
      <c r="S601" s="14" t="s">
        <v>5169</v>
      </c>
      <c r="T601" s="14" t="s">
        <v>5170</v>
      </c>
      <c r="U601" s="14" t="s">
        <v>5171</v>
      </c>
      <c r="AA601" s="6"/>
      <c r="AB601" s="6" t="s">
        <v>101</v>
      </c>
      <c r="AC601" s="6"/>
      <c r="AD601" s="6" t="s">
        <v>109</v>
      </c>
      <c r="AE601" s="6"/>
      <c r="AF601" s="6" t="s">
        <v>75</v>
      </c>
      <c r="AG601" s="6"/>
      <c r="AH601" s="6" t="s">
        <v>76</v>
      </c>
      <c r="AI601" s="6"/>
      <c r="AJ601" s="11" t="s">
        <v>77</v>
      </c>
    </row>
    <row r="602" spans="1:36" ht="15.75" customHeight="1" x14ac:dyDescent="0.25">
      <c r="A602" s="7">
        <v>43418.949104201391</v>
      </c>
      <c r="B602" s="6" t="s">
        <v>127</v>
      </c>
      <c r="C602" s="6" t="s">
        <v>1717</v>
      </c>
      <c r="D602" s="6" t="s">
        <v>163</v>
      </c>
      <c r="E602" s="6" t="s">
        <v>81</v>
      </c>
      <c r="G602" s="6" t="s">
        <v>87</v>
      </c>
      <c r="H602" s="6" t="s">
        <v>2032</v>
      </c>
      <c r="I602" s="6"/>
      <c r="J602" s="6" t="s">
        <v>110</v>
      </c>
      <c r="K602" s="6"/>
      <c r="L602" s="6" t="s">
        <v>2033</v>
      </c>
      <c r="M602" s="6"/>
      <c r="N602" s="6" t="s">
        <v>98</v>
      </c>
      <c r="O602" s="6"/>
      <c r="P602" s="6" t="s">
        <v>131</v>
      </c>
      <c r="Q602" s="6"/>
      <c r="R602" s="47" t="s">
        <v>201</v>
      </c>
      <c r="S602" s="14" t="s">
        <v>4556</v>
      </c>
      <c r="T602" s="14" t="s">
        <v>5172</v>
      </c>
      <c r="U602" s="14" t="s">
        <v>4601</v>
      </c>
      <c r="V602" s="14" t="s">
        <v>4473</v>
      </c>
      <c r="W602" s="14" t="s">
        <v>5173</v>
      </c>
      <c r="X602" s="14" t="s">
        <v>4753</v>
      </c>
      <c r="Y602" s="14" t="s">
        <v>4514</v>
      </c>
      <c r="AA602" s="6"/>
      <c r="AB602" s="6" t="s">
        <v>67</v>
      </c>
      <c r="AC602" s="6"/>
      <c r="AD602" s="6" t="s">
        <v>56</v>
      </c>
      <c r="AE602" s="6"/>
      <c r="AF602" s="6" t="s">
        <v>75</v>
      </c>
      <c r="AG602" s="6"/>
      <c r="AH602" s="11" t="s">
        <v>126</v>
      </c>
      <c r="AI602" s="6"/>
      <c r="AJ602" s="6" t="s">
        <v>59</v>
      </c>
    </row>
    <row r="603" spans="1:36" ht="15.75" customHeight="1" x14ac:dyDescent="0.25">
      <c r="A603" s="7">
        <v>43418.949267476855</v>
      </c>
      <c r="B603" s="6" t="s">
        <v>30</v>
      </c>
      <c r="C603" s="6" t="s">
        <v>776</v>
      </c>
      <c r="D603" s="6" t="s">
        <v>163</v>
      </c>
      <c r="E603" s="6" t="s">
        <v>81</v>
      </c>
      <c r="G603" s="6" t="s">
        <v>48</v>
      </c>
      <c r="H603" s="6" t="s">
        <v>2036</v>
      </c>
      <c r="I603" s="6"/>
      <c r="J603" s="6" t="s">
        <v>73</v>
      </c>
      <c r="K603" s="6"/>
      <c r="N603" s="6" t="s">
        <v>112</v>
      </c>
      <c r="O603" s="6"/>
      <c r="P603" s="6" t="s">
        <v>52</v>
      </c>
      <c r="Q603" s="6"/>
      <c r="R603" s="47" t="s">
        <v>254</v>
      </c>
      <c r="AA603" s="6"/>
      <c r="AB603" s="6" t="s">
        <v>101</v>
      </c>
      <c r="AC603" s="6"/>
      <c r="AD603" s="6" t="s">
        <v>57</v>
      </c>
      <c r="AE603" s="6"/>
      <c r="AF603" s="6" t="s">
        <v>75</v>
      </c>
      <c r="AG603" s="6"/>
      <c r="AH603" s="6" t="s">
        <v>76</v>
      </c>
      <c r="AI603" s="6"/>
      <c r="AJ603" s="6" t="s">
        <v>115</v>
      </c>
    </row>
    <row r="604" spans="1:36" ht="15.75" customHeight="1" x14ac:dyDescent="0.25">
      <c r="A604" s="7">
        <v>43418.950333125002</v>
      </c>
      <c r="B604" s="6" t="s">
        <v>30</v>
      </c>
      <c r="C604" s="6" t="s">
        <v>116</v>
      </c>
      <c r="D604" s="6" t="s">
        <v>165</v>
      </c>
      <c r="E604" s="6" t="s">
        <v>48</v>
      </c>
      <c r="F604" s="6" t="s">
        <v>569</v>
      </c>
      <c r="G604" s="6" t="s">
        <v>48</v>
      </c>
      <c r="J604" s="6" t="s">
        <v>92</v>
      </c>
      <c r="K604" s="6"/>
      <c r="N604" s="6" t="s">
        <v>98</v>
      </c>
      <c r="O604" s="6"/>
      <c r="P604" s="6" t="s">
        <v>94</v>
      </c>
      <c r="Q604" s="6"/>
      <c r="AA604" s="6"/>
      <c r="AB604" s="6" t="s">
        <v>101</v>
      </c>
      <c r="AC604" s="6"/>
      <c r="AD604" s="6" t="s">
        <v>57</v>
      </c>
      <c r="AE604" s="6"/>
      <c r="AF604" s="6" t="s">
        <v>75</v>
      </c>
      <c r="AG604" s="6"/>
      <c r="AH604" s="6" t="s">
        <v>76</v>
      </c>
      <c r="AJ604" s="12" t="s">
        <v>57</v>
      </c>
    </row>
    <row r="605" spans="1:36" ht="15.75" customHeight="1" x14ac:dyDescent="0.25">
      <c r="A605" s="7">
        <v>43418.952204166664</v>
      </c>
      <c r="B605" s="6" t="s">
        <v>2039</v>
      </c>
      <c r="C605" s="6" t="s">
        <v>482</v>
      </c>
      <c r="E605" s="6" t="s">
        <v>48</v>
      </c>
      <c r="F605" s="6" t="s">
        <v>2041</v>
      </c>
      <c r="G605" s="6" t="s">
        <v>48</v>
      </c>
      <c r="H605" s="6" t="s">
        <v>2042</v>
      </c>
      <c r="I605" s="6"/>
      <c r="J605" s="6" t="s">
        <v>92</v>
      </c>
      <c r="K605" s="6"/>
      <c r="L605" s="6" t="s">
        <v>2043</v>
      </c>
      <c r="M605" s="6"/>
      <c r="N605" s="6" t="s">
        <v>51</v>
      </c>
      <c r="O605" s="6"/>
      <c r="P605" s="6" t="s">
        <v>52</v>
      </c>
      <c r="Q605" s="6"/>
      <c r="R605" s="47" t="s">
        <v>2044</v>
      </c>
      <c r="AA605" s="6"/>
      <c r="AB605" s="6" t="s">
        <v>55</v>
      </c>
      <c r="AC605" s="6"/>
      <c r="AD605" s="6" t="s">
        <v>56</v>
      </c>
      <c r="AE605" s="6"/>
      <c r="AF605" s="6" t="s">
        <v>68</v>
      </c>
      <c r="AG605" s="6"/>
      <c r="AH605" s="11" t="s">
        <v>144</v>
      </c>
      <c r="AI605" s="6"/>
      <c r="AJ605" s="6" t="s">
        <v>115</v>
      </c>
    </row>
    <row r="606" spans="1:36" ht="15.75" customHeight="1" x14ac:dyDescent="0.25">
      <c r="A606" s="7">
        <v>43418.953342187495</v>
      </c>
      <c r="B606" s="6" t="s">
        <v>30</v>
      </c>
      <c r="C606" s="6" t="s">
        <v>79</v>
      </c>
      <c r="D606" s="6" t="s">
        <v>91</v>
      </c>
      <c r="E606" s="6" t="s">
        <v>48</v>
      </c>
      <c r="F606" s="6" t="s">
        <v>586</v>
      </c>
      <c r="G606" s="6" t="s">
        <v>48</v>
      </c>
      <c r="H606" s="6" t="s">
        <v>2047</v>
      </c>
      <c r="I606" s="6"/>
      <c r="J606" s="6" t="s">
        <v>89</v>
      </c>
      <c r="K606" s="6"/>
      <c r="L606" s="6" t="s">
        <v>2048</v>
      </c>
      <c r="M606" s="6"/>
      <c r="N606" s="6" t="s">
        <v>212</v>
      </c>
      <c r="O606" s="6"/>
      <c r="P606" s="6" t="s">
        <v>131</v>
      </c>
      <c r="Q606" s="6"/>
      <c r="R606" s="47" t="s">
        <v>1143</v>
      </c>
      <c r="S606" s="14" t="s">
        <v>4911</v>
      </c>
      <c r="T606" s="14" t="s">
        <v>4647</v>
      </c>
      <c r="U606" s="14" t="s">
        <v>4650</v>
      </c>
      <c r="AA606" s="6"/>
      <c r="AB606" s="6" t="s">
        <v>67</v>
      </c>
      <c r="AC606" s="6"/>
      <c r="AD606" s="6" t="s">
        <v>56</v>
      </c>
      <c r="AE606" s="6"/>
      <c r="AF606" s="6" t="s">
        <v>68</v>
      </c>
      <c r="AG606" s="6"/>
      <c r="AH606" s="6" t="s">
        <v>58</v>
      </c>
      <c r="AI606" s="6"/>
      <c r="AJ606" s="6" t="s">
        <v>77</v>
      </c>
    </row>
    <row r="607" spans="1:36" ht="15.75" customHeight="1" x14ac:dyDescent="0.25">
      <c r="A607" s="7">
        <v>43418.954008553235</v>
      </c>
      <c r="B607" s="6" t="s">
        <v>2051</v>
      </c>
      <c r="C607" s="6" t="s">
        <v>128</v>
      </c>
      <c r="D607" s="6" t="s">
        <v>163</v>
      </c>
      <c r="E607" s="6" t="s">
        <v>48</v>
      </c>
      <c r="F607" s="6" t="s">
        <v>2054</v>
      </c>
      <c r="G607" s="6" t="s">
        <v>48</v>
      </c>
      <c r="H607" s="6" t="s">
        <v>2055</v>
      </c>
      <c r="I607" s="6"/>
      <c r="J607" s="6" t="s">
        <v>106</v>
      </c>
      <c r="K607" s="6"/>
      <c r="L607" s="6" t="s">
        <v>2056</v>
      </c>
      <c r="M607" s="6"/>
      <c r="N607" s="6" t="s">
        <v>98</v>
      </c>
      <c r="O607" s="6"/>
      <c r="P607" s="6" t="s">
        <v>131</v>
      </c>
      <c r="Q607" s="6"/>
      <c r="R607" s="47" t="s">
        <v>149</v>
      </c>
      <c r="S607" s="14" t="s">
        <v>5174</v>
      </c>
      <c r="T607" s="14" t="s">
        <v>5175</v>
      </c>
      <c r="U607" s="14" t="s">
        <v>5176</v>
      </c>
      <c r="AA607" s="6"/>
      <c r="AB607" s="6" t="s">
        <v>101</v>
      </c>
      <c r="AC607" s="6"/>
      <c r="AD607" s="6" t="s">
        <v>56</v>
      </c>
      <c r="AE607" s="6"/>
      <c r="AF607" s="6" t="s">
        <v>75</v>
      </c>
      <c r="AG607" s="6"/>
      <c r="AH607" s="11" t="s">
        <v>76</v>
      </c>
      <c r="AI607" s="6"/>
      <c r="AJ607" s="6" t="s">
        <v>187</v>
      </c>
    </row>
    <row r="608" spans="1:36" ht="15.75" customHeight="1" x14ac:dyDescent="0.25">
      <c r="A608" s="7">
        <v>43418.954181273148</v>
      </c>
      <c r="B608" s="6" t="s">
        <v>294</v>
      </c>
      <c r="C608" s="6" t="s">
        <v>116</v>
      </c>
      <c r="D608" s="6" t="s">
        <v>165</v>
      </c>
      <c r="E608" s="6" t="s">
        <v>81</v>
      </c>
      <c r="G608" s="6" t="s">
        <v>87</v>
      </c>
      <c r="J608" s="6" t="s">
        <v>92</v>
      </c>
      <c r="K608" s="6"/>
      <c r="N608" s="6" t="s">
        <v>121</v>
      </c>
      <c r="O608" s="6"/>
      <c r="P608" s="6" t="s">
        <v>168</v>
      </c>
      <c r="Q608" s="6"/>
      <c r="R608" s="47" t="s">
        <v>1811</v>
      </c>
      <c r="AA608" s="6"/>
      <c r="AB608" s="6" t="s">
        <v>55</v>
      </c>
      <c r="AC608" s="6"/>
      <c r="AD608" s="6" t="s">
        <v>56</v>
      </c>
      <c r="AE608" s="6"/>
      <c r="AF608" s="6" t="s">
        <v>68</v>
      </c>
      <c r="AG608" s="6"/>
      <c r="AH608" s="6" t="s">
        <v>58</v>
      </c>
      <c r="AJ608" s="12" t="s">
        <v>57</v>
      </c>
    </row>
    <row r="609" spans="1:36" ht="15.75" customHeight="1" x14ac:dyDescent="0.25">
      <c r="A609" s="7">
        <v>43418.95424762732</v>
      </c>
      <c r="B609" s="6" t="s">
        <v>30</v>
      </c>
      <c r="C609" s="6" t="s">
        <v>116</v>
      </c>
      <c r="D609" s="6" t="s">
        <v>46</v>
      </c>
      <c r="E609" s="6" t="s">
        <v>81</v>
      </c>
      <c r="G609" s="6" t="s">
        <v>87</v>
      </c>
      <c r="J609" s="6" t="s">
        <v>92</v>
      </c>
      <c r="K609" s="6"/>
      <c r="N609" s="6" t="s">
        <v>121</v>
      </c>
      <c r="O609" s="6"/>
      <c r="P609" s="6" t="s">
        <v>168</v>
      </c>
      <c r="Q609" s="6"/>
      <c r="AA609" s="6"/>
      <c r="AB609" s="6" t="s">
        <v>67</v>
      </c>
      <c r="AC609" s="6"/>
      <c r="AD609" s="6" t="s">
        <v>56</v>
      </c>
      <c r="AE609" s="6"/>
      <c r="AF609" s="6" t="s">
        <v>68</v>
      </c>
      <c r="AG609" s="6"/>
      <c r="AH609" s="6" t="s">
        <v>58</v>
      </c>
      <c r="AI609" s="6"/>
      <c r="AJ609" s="11" t="s">
        <v>174</v>
      </c>
    </row>
    <row r="610" spans="1:36" ht="15.75" customHeight="1" x14ac:dyDescent="0.25">
      <c r="A610" s="7">
        <v>43418.954554305557</v>
      </c>
      <c r="B610" s="6" t="s">
        <v>294</v>
      </c>
      <c r="C610" s="6" t="s">
        <v>116</v>
      </c>
      <c r="D610" s="6" t="s">
        <v>133</v>
      </c>
      <c r="E610" s="6" t="s">
        <v>81</v>
      </c>
      <c r="G610" s="6" t="s">
        <v>87</v>
      </c>
      <c r="J610" s="6" t="s">
        <v>92</v>
      </c>
      <c r="K610" s="6"/>
      <c r="L610" s="6" t="s">
        <v>2066</v>
      </c>
      <c r="M610" s="6"/>
      <c r="N610" s="6" t="s">
        <v>167</v>
      </c>
      <c r="O610" s="6"/>
      <c r="P610" s="6" t="s">
        <v>168</v>
      </c>
      <c r="Q610" s="6"/>
      <c r="R610" s="47" t="s">
        <v>2068</v>
      </c>
      <c r="AA610" s="6"/>
      <c r="AB610" s="6" t="s">
        <v>67</v>
      </c>
      <c r="AC610" s="6"/>
      <c r="AD610" s="6" t="s">
        <v>57</v>
      </c>
      <c r="AE610" s="6"/>
      <c r="AF610" s="6" t="s">
        <v>57</v>
      </c>
      <c r="AG610" s="6"/>
      <c r="AH610" s="6" t="s">
        <v>76</v>
      </c>
      <c r="AI610" s="6"/>
      <c r="AJ610" s="6" t="s">
        <v>77</v>
      </c>
    </row>
    <row r="611" spans="1:36" ht="15.75" customHeight="1" x14ac:dyDescent="0.25">
      <c r="A611" s="7">
        <v>43418.958135381945</v>
      </c>
      <c r="B611" s="6" t="s">
        <v>30</v>
      </c>
      <c r="C611" s="6" t="s">
        <v>116</v>
      </c>
      <c r="D611" s="6" t="s">
        <v>46</v>
      </c>
      <c r="E611" s="6" t="s">
        <v>81</v>
      </c>
      <c r="G611" s="6" t="s">
        <v>87</v>
      </c>
      <c r="J611" s="6" t="s">
        <v>89</v>
      </c>
      <c r="K611" s="6"/>
      <c r="L611" s="6" t="s">
        <v>2069</v>
      </c>
      <c r="M611" s="6"/>
      <c r="N611" s="6" t="s">
        <v>93</v>
      </c>
      <c r="O611" s="6"/>
      <c r="P611" s="6" t="s">
        <v>94</v>
      </c>
      <c r="Q611" s="6"/>
      <c r="R611" s="47" t="s">
        <v>507</v>
      </c>
      <c r="AA611" s="6"/>
      <c r="AB611" s="6" t="s">
        <v>67</v>
      </c>
      <c r="AC611" s="6"/>
      <c r="AD611" s="6" t="s">
        <v>56</v>
      </c>
      <c r="AE611" s="6"/>
      <c r="AF611" s="6" t="s">
        <v>161</v>
      </c>
      <c r="AG611" s="6"/>
      <c r="AH611" s="6" t="s">
        <v>76</v>
      </c>
      <c r="AI611" s="6"/>
      <c r="AJ611" s="6" t="s">
        <v>187</v>
      </c>
    </row>
    <row r="612" spans="1:36" ht="15.75" customHeight="1" x14ac:dyDescent="0.25">
      <c r="A612" s="7">
        <v>43418.963474074073</v>
      </c>
      <c r="B612" s="6" t="s">
        <v>30</v>
      </c>
      <c r="C612" s="6" t="s">
        <v>45</v>
      </c>
      <c r="D612" s="6" t="s">
        <v>165</v>
      </c>
      <c r="E612" s="6" t="s">
        <v>81</v>
      </c>
      <c r="G612" s="6" t="s">
        <v>87</v>
      </c>
      <c r="H612" s="6" t="s">
        <v>2072</v>
      </c>
      <c r="I612" s="6"/>
      <c r="J612" s="6" t="s">
        <v>110</v>
      </c>
      <c r="K612" s="6"/>
      <c r="L612" s="6" t="s">
        <v>2073</v>
      </c>
      <c r="M612" s="6"/>
      <c r="N612" s="6" t="s">
        <v>212</v>
      </c>
      <c r="O612" s="6"/>
      <c r="P612" s="6" t="s">
        <v>94</v>
      </c>
      <c r="Q612" s="6"/>
      <c r="R612" s="47" t="s">
        <v>5177</v>
      </c>
      <c r="S612" s="14" t="s">
        <v>5178</v>
      </c>
      <c r="T612" s="14" t="s">
        <v>5179</v>
      </c>
      <c r="AA612" s="6"/>
      <c r="AB612" s="6" t="s">
        <v>101</v>
      </c>
      <c r="AC612" s="6"/>
      <c r="AD612" s="6" t="s">
        <v>56</v>
      </c>
      <c r="AE612" s="6"/>
      <c r="AF612" s="6" t="s">
        <v>75</v>
      </c>
      <c r="AG612" s="6"/>
      <c r="AH612" s="6" t="s">
        <v>58</v>
      </c>
      <c r="AI612" s="6"/>
      <c r="AJ612" s="6" t="s">
        <v>69</v>
      </c>
    </row>
    <row r="613" spans="1:36" ht="15.75" customHeight="1" x14ac:dyDescent="0.25">
      <c r="A613" s="7">
        <v>43418.963759942126</v>
      </c>
      <c r="B613" s="6" t="s">
        <v>127</v>
      </c>
      <c r="C613" s="6" t="s">
        <v>116</v>
      </c>
      <c r="D613" s="6" t="s">
        <v>133</v>
      </c>
      <c r="E613" s="6" t="s">
        <v>48</v>
      </c>
      <c r="F613" s="6" t="s">
        <v>36</v>
      </c>
      <c r="G613" s="6" t="s">
        <v>48</v>
      </c>
      <c r="H613" s="6" t="s">
        <v>2077</v>
      </c>
      <c r="I613" s="6"/>
      <c r="J613" s="6" t="s">
        <v>92</v>
      </c>
      <c r="K613" s="6"/>
      <c r="L613" s="6" t="s">
        <v>2079</v>
      </c>
      <c r="M613" s="6"/>
      <c r="N613" s="6" t="s">
        <v>98</v>
      </c>
      <c r="O613" s="6"/>
      <c r="P613" s="6" t="s">
        <v>131</v>
      </c>
      <c r="Q613" s="6"/>
      <c r="R613" s="47" t="s">
        <v>2080</v>
      </c>
      <c r="AA613" s="6"/>
      <c r="AB613" s="6" t="s">
        <v>101</v>
      </c>
      <c r="AC613" s="6"/>
      <c r="AD613" s="6" t="s">
        <v>56</v>
      </c>
      <c r="AE613" s="6"/>
      <c r="AF613" s="6" t="s">
        <v>75</v>
      </c>
      <c r="AG613" s="6"/>
      <c r="AH613" s="6" t="s">
        <v>57</v>
      </c>
      <c r="AI613" s="6"/>
      <c r="AJ613" s="6" t="s">
        <v>77</v>
      </c>
    </row>
    <row r="614" spans="1:36" ht="15.75" customHeight="1" x14ac:dyDescent="0.25">
      <c r="A614" s="7">
        <v>43418.965512766204</v>
      </c>
      <c r="B614" s="6" t="s">
        <v>26</v>
      </c>
      <c r="C614" s="6" t="s">
        <v>95</v>
      </c>
      <c r="E614" s="6" t="s">
        <v>48</v>
      </c>
      <c r="F614" s="6" t="s">
        <v>2083</v>
      </c>
      <c r="G614" s="6" t="s">
        <v>48</v>
      </c>
      <c r="H614" s="6" t="s">
        <v>2086</v>
      </c>
      <c r="I614" s="6"/>
      <c r="J614" s="6" t="s">
        <v>110</v>
      </c>
      <c r="K614" s="6"/>
      <c r="L614" s="6" t="s">
        <v>2087</v>
      </c>
      <c r="M614" s="6"/>
      <c r="N614" s="6" t="s">
        <v>181</v>
      </c>
      <c r="O614" s="6"/>
      <c r="P614" s="6" t="s">
        <v>94</v>
      </c>
      <c r="Q614" s="6"/>
      <c r="AA614" s="6"/>
      <c r="AB614" s="6" t="s">
        <v>55</v>
      </c>
      <c r="AC614" s="6"/>
      <c r="AD614" s="6" t="s">
        <v>56</v>
      </c>
      <c r="AE614" s="6"/>
      <c r="AF614" s="6" t="s">
        <v>68</v>
      </c>
      <c r="AG614" s="6"/>
      <c r="AH614" s="6" t="s">
        <v>57</v>
      </c>
      <c r="AI614" s="6"/>
      <c r="AJ614" s="11" t="s">
        <v>115</v>
      </c>
    </row>
    <row r="615" spans="1:36" ht="15.75" customHeight="1" x14ac:dyDescent="0.25">
      <c r="A615" s="7">
        <v>43418.966205543984</v>
      </c>
      <c r="B615" s="6" t="s">
        <v>26</v>
      </c>
      <c r="C615" s="6" t="s">
        <v>116</v>
      </c>
      <c r="D615" s="6" t="s">
        <v>165</v>
      </c>
      <c r="E615" s="6" t="s">
        <v>81</v>
      </c>
      <c r="G615" s="6" t="s">
        <v>87</v>
      </c>
      <c r="J615" s="6" t="s">
        <v>106</v>
      </c>
      <c r="K615" s="6"/>
      <c r="L615" s="6" t="s">
        <v>2090</v>
      </c>
      <c r="M615" s="6"/>
      <c r="N615" s="6" t="s">
        <v>98</v>
      </c>
      <c r="O615" s="6"/>
      <c r="P615" s="6" t="s">
        <v>131</v>
      </c>
      <c r="Q615" s="6"/>
      <c r="R615" s="47" t="s">
        <v>2091</v>
      </c>
      <c r="AA615" s="6"/>
      <c r="AB615" s="6" t="s">
        <v>67</v>
      </c>
      <c r="AC615" s="6"/>
      <c r="AD615" s="6" t="s">
        <v>56</v>
      </c>
      <c r="AE615" s="6"/>
      <c r="AF615" s="6" t="s">
        <v>75</v>
      </c>
      <c r="AG615" s="6"/>
      <c r="AH615" s="6" t="s">
        <v>57</v>
      </c>
      <c r="AI615" s="6"/>
      <c r="AJ615" s="6" t="s">
        <v>77</v>
      </c>
    </row>
    <row r="616" spans="1:36" ht="15.75" customHeight="1" x14ac:dyDescent="0.25">
      <c r="A616" s="7">
        <v>43418.969215925928</v>
      </c>
      <c r="B616" s="6" t="s">
        <v>26</v>
      </c>
      <c r="C616" s="6" t="s">
        <v>95</v>
      </c>
      <c r="D616" s="6" t="s">
        <v>46</v>
      </c>
      <c r="E616" s="6" t="s">
        <v>81</v>
      </c>
      <c r="G616" s="6" t="s">
        <v>87</v>
      </c>
      <c r="J616" s="6" t="s">
        <v>158</v>
      </c>
      <c r="K616" s="6"/>
      <c r="L616" s="6" t="s">
        <v>2095</v>
      </c>
      <c r="M616" s="6"/>
      <c r="N616" s="6" t="s">
        <v>121</v>
      </c>
      <c r="O616" s="6"/>
      <c r="P616" s="6" t="s">
        <v>94</v>
      </c>
      <c r="Q616" s="6"/>
      <c r="R616" s="47" t="s">
        <v>3248</v>
      </c>
      <c r="S616" s="14" t="s">
        <v>5180</v>
      </c>
      <c r="T616" s="14" t="s">
        <v>4593</v>
      </c>
      <c r="U616" s="14" t="s">
        <v>4766</v>
      </c>
      <c r="V616" s="14" t="s">
        <v>5181</v>
      </c>
      <c r="AA616" s="6"/>
      <c r="AB616" s="6" t="s">
        <v>67</v>
      </c>
      <c r="AC616" s="6"/>
      <c r="AD616" s="6" t="s">
        <v>56</v>
      </c>
      <c r="AE616" s="6"/>
      <c r="AF616" s="6" t="s">
        <v>161</v>
      </c>
      <c r="AG616" s="6"/>
      <c r="AH616" s="6" t="s">
        <v>76</v>
      </c>
      <c r="AI616" s="6"/>
      <c r="AJ616" s="6" t="s">
        <v>77</v>
      </c>
    </row>
    <row r="617" spans="1:36" ht="15.75" customHeight="1" x14ac:dyDescent="0.25">
      <c r="A617" s="7">
        <v>43418.969223356486</v>
      </c>
      <c r="B617" s="6" t="s">
        <v>154</v>
      </c>
      <c r="C617" s="6" t="s">
        <v>237</v>
      </c>
      <c r="D617" s="6" t="s">
        <v>46</v>
      </c>
      <c r="E617" s="6" t="s">
        <v>81</v>
      </c>
      <c r="G617" s="6" t="s">
        <v>87</v>
      </c>
      <c r="J617" s="6" t="s">
        <v>110</v>
      </c>
      <c r="K617" s="6"/>
      <c r="L617" s="6" t="s">
        <v>2098</v>
      </c>
      <c r="M617" s="6"/>
      <c r="N617" s="6" t="s">
        <v>167</v>
      </c>
      <c r="O617" s="6"/>
      <c r="P617" s="6" t="s">
        <v>168</v>
      </c>
      <c r="Q617" s="6"/>
      <c r="R617" s="47" t="s">
        <v>2099</v>
      </c>
      <c r="AA617" s="6"/>
      <c r="AB617" s="6" t="s">
        <v>67</v>
      </c>
      <c r="AC617" s="6"/>
      <c r="AD617" s="6" t="s">
        <v>109</v>
      </c>
      <c r="AE617" s="6"/>
      <c r="AF617" s="6" t="s">
        <v>161</v>
      </c>
      <c r="AG617" s="6"/>
      <c r="AH617" s="6" t="s">
        <v>76</v>
      </c>
      <c r="AI617" s="6"/>
      <c r="AJ617" s="6" t="s">
        <v>77</v>
      </c>
    </row>
    <row r="618" spans="1:36" ht="15.75" customHeight="1" x14ac:dyDescent="0.25">
      <c r="A618" s="7">
        <v>43418.969700868052</v>
      </c>
      <c r="B618" s="6" t="s">
        <v>30</v>
      </c>
      <c r="C618" s="6" t="s">
        <v>116</v>
      </c>
      <c r="E618" s="6" t="s">
        <v>48</v>
      </c>
      <c r="F618" s="6" t="s">
        <v>36</v>
      </c>
      <c r="G618" s="6" t="s">
        <v>48</v>
      </c>
      <c r="H618" s="6" t="s">
        <v>2102</v>
      </c>
      <c r="I618" s="6"/>
      <c r="J618" s="6" t="s">
        <v>89</v>
      </c>
      <c r="K618" s="6"/>
      <c r="L618" s="6" t="s">
        <v>430</v>
      </c>
      <c r="M618" s="6"/>
      <c r="N618" s="6" t="s">
        <v>121</v>
      </c>
      <c r="O618" s="6"/>
      <c r="P618" s="6" t="s">
        <v>94</v>
      </c>
      <c r="Q618" s="6"/>
      <c r="R618" s="47" t="s">
        <v>2103</v>
      </c>
      <c r="AA618" s="6"/>
      <c r="AB618" s="6" t="s">
        <v>67</v>
      </c>
      <c r="AC618" s="6"/>
      <c r="AD618" s="6" t="s">
        <v>56</v>
      </c>
      <c r="AE618" s="6"/>
      <c r="AF618" s="6" t="s">
        <v>68</v>
      </c>
      <c r="AG618" s="6"/>
      <c r="AH618" s="6" t="s">
        <v>58</v>
      </c>
      <c r="AI618" s="6"/>
      <c r="AJ618" s="6" t="s">
        <v>77</v>
      </c>
    </row>
    <row r="619" spans="1:36" ht="15.75" customHeight="1" x14ac:dyDescent="0.25">
      <c r="A619" s="7">
        <v>43418.971840509257</v>
      </c>
      <c r="B619" s="6" t="s">
        <v>30</v>
      </c>
      <c r="C619" s="6" t="s">
        <v>116</v>
      </c>
      <c r="D619" s="6" t="s">
        <v>133</v>
      </c>
      <c r="E619" s="6" t="s">
        <v>81</v>
      </c>
      <c r="G619" s="6" t="s">
        <v>87</v>
      </c>
      <c r="J619" s="6" t="s">
        <v>184</v>
      </c>
      <c r="K619" s="6"/>
      <c r="L619" s="6" t="s">
        <v>2107</v>
      </c>
      <c r="M619" s="6"/>
      <c r="N619" s="6" t="s">
        <v>121</v>
      </c>
      <c r="O619" s="6"/>
      <c r="P619" s="6" t="s">
        <v>94</v>
      </c>
      <c r="Q619" s="6"/>
      <c r="R619" s="47" t="s">
        <v>2108</v>
      </c>
      <c r="AA619" s="6"/>
      <c r="AB619" s="6" t="s">
        <v>67</v>
      </c>
      <c r="AC619" s="6"/>
      <c r="AD619" s="6" t="s">
        <v>109</v>
      </c>
      <c r="AE619" s="6"/>
      <c r="AF619" s="6" t="s">
        <v>68</v>
      </c>
      <c r="AG619" s="6"/>
      <c r="AH619" s="6" t="s">
        <v>57</v>
      </c>
      <c r="AI619" s="6"/>
      <c r="AJ619" s="6" t="s">
        <v>187</v>
      </c>
    </row>
    <row r="620" spans="1:36" ht="15.75" customHeight="1" x14ac:dyDescent="0.25">
      <c r="A620" s="7">
        <v>43418.975652847221</v>
      </c>
      <c r="B620" s="6" t="s">
        <v>60</v>
      </c>
      <c r="C620" s="6" t="s">
        <v>1180</v>
      </c>
      <c r="D620" s="6" t="s">
        <v>46</v>
      </c>
      <c r="E620" s="6" t="s">
        <v>81</v>
      </c>
      <c r="G620" s="6" t="s">
        <v>87</v>
      </c>
      <c r="H620" s="6" t="s">
        <v>1441</v>
      </c>
      <c r="I620" s="6"/>
      <c r="J620" s="6" t="s">
        <v>106</v>
      </c>
      <c r="K620" s="6"/>
      <c r="L620" s="6" t="s">
        <v>2111</v>
      </c>
      <c r="M620" s="6"/>
      <c r="N620" s="6" t="s">
        <v>181</v>
      </c>
      <c r="O620" s="6"/>
      <c r="P620" s="6" t="s">
        <v>99</v>
      </c>
      <c r="Q620" s="6"/>
      <c r="R620" s="47" t="s">
        <v>242</v>
      </c>
      <c r="AA620" s="6"/>
      <c r="AB620" s="6" t="s">
        <v>101</v>
      </c>
      <c r="AC620" s="6"/>
      <c r="AD620" s="6" t="s">
        <v>56</v>
      </c>
      <c r="AE620" s="6"/>
      <c r="AF620" s="6" t="s">
        <v>68</v>
      </c>
      <c r="AG620" s="6"/>
      <c r="AH620" s="6" t="s">
        <v>57</v>
      </c>
      <c r="AJ620" s="12" t="s">
        <v>57</v>
      </c>
    </row>
    <row r="621" spans="1:36" ht="15.75" customHeight="1" x14ac:dyDescent="0.25">
      <c r="A621" s="7">
        <v>43418.977816331018</v>
      </c>
      <c r="B621" s="6" t="s">
        <v>154</v>
      </c>
      <c r="C621" s="6" t="s">
        <v>215</v>
      </c>
      <c r="D621" s="6" t="s">
        <v>165</v>
      </c>
      <c r="E621" s="6" t="s">
        <v>81</v>
      </c>
      <c r="G621" s="6" t="s">
        <v>87</v>
      </c>
      <c r="J621" s="6" t="s">
        <v>158</v>
      </c>
      <c r="K621" s="6"/>
      <c r="N621" s="6" t="s">
        <v>121</v>
      </c>
      <c r="O621" s="6"/>
      <c r="P621" s="6" t="s">
        <v>94</v>
      </c>
      <c r="Q621" s="6"/>
      <c r="R621" s="47" t="s">
        <v>3310</v>
      </c>
      <c r="S621" s="14" t="s">
        <v>5182</v>
      </c>
      <c r="AA621" s="6"/>
      <c r="AB621" s="6" t="s">
        <v>67</v>
      </c>
      <c r="AC621" s="6"/>
      <c r="AD621" s="6" t="s">
        <v>56</v>
      </c>
      <c r="AE621" s="6"/>
      <c r="AF621" s="6" t="s">
        <v>161</v>
      </c>
      <c r="AG621" s="6"/>
      <c r="AH621" s="6" t="s">
        <v>76</v>
      </c>
      <c r="AI621" s="6"/>
      <c r="AJ621" s="11" t="s">
        <v>309</v>
      </c>
    </row>
    <row r="622" spans="1:36" ht="15.75" customHeight="1" x14ac:dyDescent="0.25">
      <c r="A622" s="7">
        <v>43418.978715659723</v>
      </c>
      <c r="B622" s="6" t="s">
        <v>60</v>
      </c>
      <c r="C622" s="6" t="s">
        <v>2116</v>
      </c>
      <c r="D622" s="6" t="s">
        <v>46</v>
      </c>
      <c r="E622" s="6" t="s">
        <v>48</v>
      </c>
      <c r="F622" s="6" t="s">
        <v>2117</v>
      </c>
      <c r="G622" s="6" t="s">
        <v>48</v>
      </c>
      <c r="H622" s="6" t="s">
        <v>2118</v>
      </c>
      <c r="I622" s="6"/>
      <c r="J622" s="6" t="s">
        <v>92</v>
      </c>
      <c r="K622" s="6"/>
      <c r="L622" s="6" t="s">
        <v>2120</v>
      </c>
      <c r="M622" s="6"/>
      <c r="N622" s="6" t="s">
        <v>98</v>
      </c>
      <c r="O622" s="6"/>
      <c r="P622" s="6" t="s">
        <v>99</v>
      </c>
      <c r="Q622" s="6"/>
      <c r="R622" s="47" t="s">
        <v>2121</v>
      </c>
      <c r="AA622" s="6"/>
      <c r="AB622" s="6" t="s">
        <v>203</v>
      </c>
      <c r="AC622" s="6"/>
      <c r="AD622" s="6" t="s">
        <v>56</v>
      </c>
      <c r="AE622" s="6"/>
      <c r="AF622" s="6" t="s">
        <v>68</v>
      </c>
      <c r="AG622" s="6"/>
      <c r="AH622" s="6" t="s">
        <v>58</v>
      </c>
      <c r="AI622" s="6"/>
      <c r="AJ622" s="6" t="s">
        <v>286</v>
      </c>
    </row>
    <row r="623" spans="1:36" ht="15.75" customHeight="1" x14ac:dyDescent="0.25">
      <c r="A623" s="7">
        <v>43418.980116574079</v>
      </c>
      <c r="B623" s="6" t="s">
        <v>60</v>
      </c>
      <c r="C623" s="6" t="s">
        <v>90</v>
      </c>
      <c r="E623" s="6" t="s">
        <v>81</v>
      </c>
      <c r="G623" s="6" t="s">
        <v>87</v>
      </c>
      <c r="H623" s="6" t="s">
        <v>2123</v>
      </c>
      <c r="I623" s="6"/>
      <c r="J623" s="6" t="s">
        <v>64</v>
      </c>
      <c r="K623" s="6"/>
      <c r="L623" s="6" t="s">
        <v>2125</v>
      </c>
      <c r="M623" s="6"/>
      <c r="N623" s="6" t="s">
        <v>181</v>
      </c>
      <c r="O623" s="6"/>
      <c r="P623" s="6" t="s">
        <v>131</v>
      </c>
      <c r="Q623" s="6"/>
      <c r="R623" s="47" t="s">
        <v>1971</v>
      </c>
      <c r="S623" s="14" t="s">
        <v>4435</v>
      </c>
      <c r="T623" s="14" t="s">
        <v>4431</v>
      </c>
      <c r="U623" s="14" t="s">
        <v>5183</v>
      </c>
      <c r="V623" s="14" t="s">
        <v>4806</v>
      </c>
      <c r="W623" s="14" t="s">
        <v>5060</v>
      </c>
      <c r="X623" s="14" t="s">
        <v>4601</v>
      </c>
      <c r="Y623" s="14" t="s">
        <v>5184</v>
      </c>
      <c r="Z623" s="14" t="s">
        <v>5185</v>
      </c>
      <c r="AA623" s="6"/>
      <c r="AB623" s="6" t="s">
        <v>55</v>
      </c>
      <c r="AC623" s="6"/>
      <c r="AD623" s="6" t="s">
        <v>56</v>
      </c>
      <c r="AE623" s="6"/>
      <c r="AF623" s="6" t="s">
        <v>75</v>
      </c>
      <c r="AG623" s="6"/>
      <c r="AH623" s="6" t="s">
        <v>58</v>
      </c>
      <c r="AI623" s="6"/>
      <c r="AJ623" s="6" t="s">
        <v>115</v>
      </c>
    </row>
    <row r="624" spans="1:36" ht="15.75" customHeight="1" x14ac:dyDescent="0.25">
      <c r="A624" s="7">
        <v>43418.982049328704</v>
      </c>
      <c r="B624" s="6" t="s">
        <v>60</v>
      </c>
      <c r="C624" s="6" t="s">
        <v>1102</v>
      </c>
      <c r="D624" s="6" t="s">
        <v>155</v>
      </c>
      <c r="E624" s="6" t="s">
        <v>81</v>
      </c>
      <c r="G624" s="6" t="s">
        <v>87</v>
      </c>
      <c r="H624" s="6" t="s">
        <v>2128</v>
      </c>
      <c r="I624" s="6"/>
      <c r="J624" s="6" t="s">
        <v>184</v>
      </c>
      <c r="K624" s="6"/>
      <c r="L624" s="6" t="s">
        <v>2129</v>
      </c>
      <c r="M624" s="6"/>
      <c r="N624" s="6" t="s">
        <v>98</v>
      </c>
      <c r="O624" s="6"/>
      <c r="P624" s="6" t="s">
        <v>94</v>
      </c>
      <c r="Q624" s="6"/>
      <c r="AA624" s="6"/>
      <c r="AB624" s="6" t="s">
        <v>101</v>
      </c>
      <c r="AC624" s="6"/>
      <c r="AD624" s="6" t="s">
        <v>56</v>
      </c>
      <c r="AE624" s="6"/>
      <c r="AF624" s="6" t="s">
        <v>68</v>
      </c>
      <c r="AG624" s="6"/>
      <c r="AH624" s="6" t="s">
        <v>58</v>
      </c>
      <c r="AI624" s="6"/>
      <c r="AJ624" s="6" t="s">
        <v>77</v>
      </c>
    </row>
    <row r="625" spans="1:36" ht="15.75" customHeight="1" x14ac:dyDescent="0.25">
      <c r="A625" s="7">
        <v>43418.991940196764</v>
      </c>
      <c r="B625" s="6" t="s">
        <v>305</v>
      </c>
      <c r="C625" s="6" t="s">
        <v>90</v>
      </c>
      <c r="D625" s="6" t="s">
        <v>510</v>
      </c>
      <c r="E625" s="6" t="s">
        <v>81</v>
      </c>
      <c r="G625" s="6" t="s">
        <v>87</v>
      </c>
      <c r="H625" s="6" t="s">
        <v>2131</v>
      </c>
      <c r="I625" s="6"/>
      <c r="J625" s="6" t="s">
        <v>110</v>
      </c>
      <c r="K625" s="6"/>
      <c r="L625" s="6" t="s">
        <v>2132</v>
      </c>
      <c r="M625" s="6"/>
      <c r="N625" s="6" t="s">
        <v>121</v>
      </c>
      <c r="O625" s="6"/>
      <c r="P625" s="6" t="s">
        <v>94</v>
      </c>
      <c r="Q625" s="6"/>
      <c r="R625" s="47" t="s">
        <v>2133</v>
      </c>
      <c r="AA625" s="6"/>
      <c r="AB625" s="6" t="s">
        <v>55</v>
      </c>
      <c r="AC625" s="6"/>
      <c r="AD625" s="6" t="s">
        <v>56</v>
      </c>
      <c r="AE625" s="6"/>
      <c r="AF625" s="6" t="s">
        <v>161</v>
      </c>
      <c r="AG625" s="6"/>
      <c r="AH625" s="6" t="s">
        <v>76</v>
      </c>
      <c r="AI625" s="6"/>
      <c r="AJ625" s="6" t="s">
        <v>77</v>
      </c>
    </row>
    <row r="626" spans="1:36" ht="15.75" customHeight="1" x14ac:dyDescent="0.25">
      <c r="A626" s="7">
        <v>43418.99253920139</v>
      </c>
      <c r="B626" s="6" t="s">
        <v>1533</v>
      </c>
      <c r="C626" s="6" t="s">
        <v>306</v>
      </c>
      <c r="D626" s="6" t="s">
        <v>46</v>
      </c>
      <c r="E626" s="6" t="s">
        <v>81</v>
      </c>
      <c r="G626" s="6" t="s">
        <v>87</v>
      </c>
      <c r="J626" s="6" t="s">
        <v>184</v>
      </c>
      <c r="K626" s="6"/>
      <c r="N626" s="6" t="s">
        <v>98</v>
      </c>
      <c r="O626" s="6"/>
      <c r="P626" s="6" t="s">
        <v>168</v>
      </c>
      <c r="Q626" s="6"/>
      <c r="R626" s="47" t="s">
        <v>182</v>
      </c>
      <c r="S626" s="14" t="s">
        <v>5186</v>
      </c>
      <c r="AA626" s="6"/>
      <c r="AB626" s="6" t="s">
        <v>101</v>
      </c>
      <c r="AC626" s="6"/>
      <c r="AD626" s="6" t="s">
        <v>56</v>
      </c>
      <c r="AE626" s="6"/>
      <c r="AF626" s="6" t="s">
        <v>68</v>
      </c>
      <c r="AG626" s="6"/>
      <c r="AH626" s="6" t="s">
        <v>76</v>
      </c>
      <c r="AI626" s="6"/>
      <c r="AJ626" s="6" t="s">
        <v>309</v>
      </c>
    </row>
    <row r="627" spans="1:36" ht="15.75" customHeight="1" x14ac:dyDescent="0.25">
      <c r="A627" s="7">
        <v>43418.99342186343</v>
      </c>
      <c r="B627" s="6" t="s">
        <v>26</v>
      </c>
      <c r="C627" s="6" t="s">
        <v>237</v>
      </c>
      <c r="D627" s="6" t="s">
        <v>133</v>
      </c>
      <c r="E627" s="6" t="s">
        <v>81</v>
      </c>
      <c r="G627" s="6" t="s">
        <v>87</v>
      </c>
      <c r="N627" s="6" t="s">
        <v>93</v>
      </c>
      <c r="O627" s="6"/>
      <c r="P627" s="6" t="s">
        <v>168</v>
      </c>
      <c r="Q627" s="6"/>
      <c r="R627" s="47" t="s">
        <v>2136</v>
      </c>
      <c r="AA627" s="6"/>
      <c r="AB627" s="6" t="s">
        <v>67</v>
      </c>
      <c r="AC627" s="6"/>
      <c r="AD627" s="6" t="s">
        <v>109</v>
      </c>
      <c r="AE627" s="6"/>
      <c r="AF627" s="6" t="s">
        <v>68</v>
      </c>
      <c r="AG627" s="6"/>
      <c r="AH627" s="6" t="s">
        <v>58</v>
      </c>
      <c r="AJ627" s="12" t="s">
        <v>57</v>
      </c>
    </row>
    <row r="628" spans="1:36" ht="15.75" customHeight="1" x14ac:dyDescent="0.25">
      <c r="A628" s="7">
        <v>43418.997702719906</v>
      </c>
      <c r="B628" s="6" t="s">
        <v>154</v>
      </c>
      <c r="C628" s="6" t="s">
        <v>116</v>
      </c>
      <c r="D628" s="6" t="s">
        <v>190</v>
      </c>
      <c r="E628" s="6" t="s">
        <v>48</v>
      </c>
      <c r="F628" s="6" t="s">
        <v>1772</v>
      </c>
      <c r="G628" s="6" t="s">
        <v>48</v>
      </c>
      <c r="H628" s="6" t="s">
        <v>2138</v>
      </c>
      <c r="I628" s="6"/>
      <c r="J628" s="6" t="s">
        <v>89</v>
      </c>
      <c r="K628" s="6"/>
      <c r="L628" s="6" t="s">
        <v>2139</v>
      </c>
      <c r="M628" s="6"/>
      <c r="N628" s="6" t="s">
        <v>181</v>
      </c>
      <c r="O628" s="6"/>
      <c r="P628" s="6" t="s">
        <v>131</v>
      </c>
      <c r="Q628" s="6"/>
      <c r="R628" s="47" t="s">
        <v>2140</v>
      </c>
      <c r="AA628" s="6"/>
      <c r="AB628" s="6" t="s">
        <v>67</v>
      </c>
      <c r="AC628" s="6"/>
      <c r="AD628" s="6" t="s">
        <v>56</v>
      </c>
      <c r="AE628" s="6"/>
      <c r="AF628" s="6" t="s">
        <v>68</v>
      </c>
      <c r="AG628" s="6"/>
      <c r="AH628" s="6" t="s">
        <v>58</v>
      </c>
      <c r="AI628" s="6"/>
      <c r="AJ628" s="6" t="s">
        <v>77</v>
      </c>
    </row>
    <row r="629" spans="1:36" ht="15.75" customHeight="1" x14ac:dyDescent="0.25">
      <c r="A629" s="7">
        <v>43418.998255613427</v>
      </c>
      <c r="B629" s="6" t="s">
        <v>463</v>
      </c>
      <c r="C629" s="6" t="s">
        <v>419</v>
      </c>
      <c r="D629" s="6" t="s">
        <v>165</v>
      </c>
      <c r="E629" s="6" t="s">
        <v>81</v>
      </c>
      <c r="G629" s="6" t="s">
        <v>87</v>
      </c>
      <c r="H629" s="6" t="s">
        <v>2143</v>
      </c>
      <c r="I629" s="6"/>
      <c r="J629" s="6" t="s">
        <v>158</v>
      </c>
      <c r="K629" s="6"/>
      <c r="L629" s="6" t="s">
        <v>2144</v>
      </c>
      <c r="M629" s="6"/>
      <c r="N629" s="6" t="s">
        <v>181</v>
      </c>
      <c r="O629" s="6"/>
      <c r="P629" s="6" t="s">
        <v>99</v>
      </c>
      <c r="Q629" s="6"/>
      <c r="R629" s="47" t="s">
        <v>2146</v>
      </c>
      <c r="AA629" s="6"/>
      <c r="AB629" s="6" t="s">
        <v>101</v>
      </c>
      <c r="AC629" s="6"/>
      <c r="AD629" s="6" t="s">
        <v>56</v>
      </c>
      <c r="AE629" s="6"/>
      <c r="AF629" s="6" t="s">
        <v>68</v>
      </c>
      <c r="AG629" s="6"/>
      <c r="AH629" s="6" t="s">
        <v>58</v>
      </c>
      <c r="AI629" s="6"/>
      <c r="AJ629" s="6" t="s">
        <v>77</v>
      </c>
    </row>
    <row r="630" spans="1:36" ht="15.75" customHeight="1" x14ac:dyDescent="0.25">
      <c r="A630" s="7">
        <v>43418.999502847219</v>
      </c>
      <c r="B630" s="6" t="s">
        <v>154</v>
      </c>
      <c r="C630" s="6" t="s">
        <v>90</v>
      </c>
      <c r="D630" s="6" t="s">
        <v>46</v>
      </c>
      <c r="E630" s="6" t="s">
        <v>81</v>
      </c>
      <c r="F630" s="6" t="s">
        <v>86</v>
      </c>
      <c r="G630" s="6" t="s">
        <v>87</v>
      </c>
      <c r="H630" s="6" t="s">
        <v>86</v>
      </c>
      <c r="I630" s="6"/>
      <c r="J630" s="6" t="s">
        <v>184</v>
      </c>
      <c r="K630" s="6"/>
      <c r="L630" s="6" t="s">
        <v>2147</v>
      </c>
      <c r="M630" s="6"/>
      <c r="N630" s="6" t="s">
        <v>248</v>
      </c>
      <c r="O630" s="6"/>
      <c r="P630" s="6" t="s">
        <v>168</v>
      </c>
      <c r="Q630" s="6"/>
      <c r="R630" s="47" t="s">
        <v>2148</v>
      </c>
      <c r="AA630" s="6"/>
      <c r="AB630" s="6" t="s">
        <v>55</v>
      </c>
      <c r="AC630" s="6"/>
      <c r="AD630" s="6" t="s">
        <v>57</v>
      </c>
      <c r="AE630" s="6"/>
      <c r="AF630" s="6" t="s">
        <v>161</v>
      </c>
      <c r="AG630" s="6"/>
      <c r="AH630" s="6" t="s">
        <v>76</v>
      </c>
      <c r="AI630" s="6"/>
      <c r="AJ630" s="12" t="s">
        <v>57</v>
      </c>
    </row>
    <row r="631" spans="1:36" ht="15.75" customHeight="1" x14ac:dyDescent="0.25">
      <c r="A631" s="7">
        <v>43418.999596168986</v>
      </c>
      <c r="B631" s="6" t="s">
        <v>60</v>
      </c>
      <c r="C631" s="6" t="s">
        <v>215</v>
      </c>
      <c r="D631" s="6" t="s">
        <v>163</v>
      </c>
      <c r="E631" s="6" t="s">
        <v>81</v>
      </c>
      <c r="G631" s="6" t="s">
        <v>87</v>
      </c>
      <c r="H631" s="6" t="s">
        <v>2150</v>
      </c>
      <c r="I631" s="6"/>
      <c r="J631" s="6" t="s">
        <v>110</v>
      </c>
      <c r="K631" s="6"/>
      <c r="L631" s="6" t="s">
        <v>2151</v>
      </c>
      <c r="M631" s="6"/>
      <c r="N631" s="6" t="s">
        <v>98</v>
      </c>
      <c r="O631" s="6"/>
      <c r="P631" s="6" t="s">
        <v>94</v>
      </c>
      <c r="Q631" s="6"/>
      <c r="R631" s="47" t="s">
        <v>192</v>
      </c>
      <c r="S631" s="14" t="s">
        <v>5187</v>
      </c>
      <c r="T631" s="14" t="s">
        <v>4438</v>
      </c>
      <c r="U631" s="14" t="s">
        <v>5188</v>
      </c>
      <c r="AA631" s="6"/>
      <c r="AB631" s="6" t="s">
        <v>67</v>
      </c>
      <c r="AC631" s="6"/>
      <c r="AD631" s="6" t="s">
        <v>56</v>
      </c>
      <c r="AE631" s="6"/>
      <c r="AF631" s="6" t="s">
        <v>75</v>
      </c>
      <c r="AG631" s="6"/>
      <c r="AH631" s="6" t="s">
        <v>76</v>
      </c>
      <c r="AI631" s="6"/>
      <c r="AJ631" s="6" t="s">
        <v>187</v>
      </c>
    </row>
    <row r="632" spans="1:36" ht="15.75" customHeight="1" x14ac:dyDescent="0.25">
      <c r="A632" s="7">
        <v>43419.002428020831</v>
      </c>
      <c r="B632" s="6" t="s">
        <v>60</v>
      </c>
      <c r="C632" s="6" t="s">
        <v>95</v>
      </c>
      <c r="D632" s="6" t="s">
        <v>46</v>
      </c>
      <c r="E632" s="6" t="s">
        <v>81</v>
      </c>
      <c r="G632" s="6" t="s">
        <v>87</v>
      </c>
      <c r="H632" s="6" t="s">
        <v>2155</v>
      </c>
      <c r="I632" s="6"/>
      <c r="J632" s="6" t="s">
        <v>158</v>
      </c>
      <c r="K632" s="6"/>
      <c r="L632" s="6" t="s">
        <v>2156</v>
      </c>
      <c r="M632" s="6"/>
      <c r="N632" s="6" t="s">
        <v>98</v>
      </c>
      <c r="O632" s="6"/>
      <c r="P632" s="6" t="s">
        <v>131</v>
      </c>
      <c r="Q632" s="6"/>
      <c r="R632" s="47" t="s">
        <v>4659</v>
      </c>
      <c r="S632" s="14" t="s">
        <v>5189</v>
      </c>
      <c r="T632" s="14" t="s">
        <v>5190</v>
      </c>
      <c r="U632" s="14" t="s">
        <v>5191</v>
      </c>
      <c r="AA632" s="6"/>
      <c r="AB632" s="6" t="s">
        <v>67</v>
      </c>
      <c r="AC632" s="6"/>
      <c r="AD632" s="6" t="s">
        <v>56</v>
      </c>
      <c r="AE632" s="6"/>
      <c r="AF632" s="6" t="s">
        <v>68</v>
      </c>
      <c r="AG632" s="6"/>
      <c r="AH632" s="6" t="s">
        <v>76</v>
      </c>
      <c r="AI632" s="6"/>
      <c r="AJ632" s="6" t="s">
        <v>403</v>
      </c>
    </row>
    <row r="633" spans="1:36" ht="15.75" customHeight="1" x14ac:dyDescent="0.25">
      <c r="A633" s="7">
        <v>43419.002989560184</v>
      </c>
      <c r="B633" s="6" t="s">
        <v>30</v>
      </c>
      <c r="C633" s="6" t="s">
        <v>95</v>
      </c>
      <c r="D633" s="6" t="s">
        <v>46</v>
      </c>
      <c r="E633" s="6" t="s">
        <v>48</v>
      </c>
      <c r="F633" s="6" t="s">
        <v>993</v>
      </c>
      <c r="G633" s="6" t="s">
        <v>48</v>
      </c>
      <c r="H633" s="6" t="s">
        <v>2160</v>
      </c>
      <c r="I633" s="6"/>
      <c r="J633" s="6" t="s">
        <v>92</v>
      </c>
      <c r="K633" s="6"/>
      <c r="L633" s="6" t="s">
        <v>2161</v>
      </c>
      <c r="M633" s="6"/>
      <c r="N633" s="6" t="s">
        <v>181</v>
      </c>
      <c r="O633" s="6"/>
      <c r="P633" s="6" t="s">
        <v>94</v>
      </c>
      <c r="Q633" s="6"/>
      <c r="R633" s="47" t="s">
        <v>4729</v>
      </c>
      <c r="S633" s="14" t="s">
        <v>5192</v>
      </c>
      <c r="AA633" s="6"/>
      <c r="AB633" s="6" t="s">
        <v>67</v>
      </c>
      <c r="AC633" s="6"/>
      <c r="AD633" s="6" t="s">
        <v>56</v>
      </c>
      <c r="AE633" s="6"/>
      <c r="AF633" s="6" t="s">
        <v>161</v>
      </c>
      <c r="AG633" s="6"/>
      <c r="AH633" s="6" t="s">
        <v>76</v>
      </c>
      <c r="AI633" s="6"/>
      <c r="AJ633" s="6" t="s">
        <v>77</v>
      </c>
    </row>
    <row r="634" spans="1:36" ht="15.75" customHeight="1" x14ac:dyDescent="0.25">
      <c r="A634" s="7">
        <v>43419.003449479162</v>
      </c>
      <c r="B634" s="6" t="s">
        <v>30</v>
      </c>
      <c r="C634" s="6" t="s">
        <v>90</v>
      </c>
      <c r="D634" s="6" t="s">
        <v>46</v>
      </c>
      <c r="E634" s="6" t="s">
        <v>48</v>
      </c>
      <c r="F634" s="6" t="s">
        <v>2163</v>
      </c>
      <c r="G634" s="6" t="s">
        <v>48</v>
      </c>
      <c r="J634" s="6" t="s">
        <v>92</v>
      </c>
      <c r="K634" s="6"/>
      <c r="L634" s="6" t="s">
        <v>2164</v>
      </c>
      <c r="M634" s="6"/>
      <c r="N634" s="6" t="s">
        <v>112</v>
      </c>
      <c r="O634" s="6"/>
      <c r="P634" s="6" t="s">
        <v>168</v>
      </c>
      <c r="Q634" s="6"/>
      <c r="AA634" s="6"/>
      <c r="AB634" s="6" t="s">
        <v>67</v>
      </c>
      <c r="AC634" s="6"/>
      <c r="AD634" s="6" t="s">
        <v>56</v>
      </c>
      <c r="AE634" s="6"/>
      <c r="AF634" s="6" t="s">
        <v>75</v>
      </c>
      <c r="AG634" s="6"/>
      <c r="AH634" s="6" t="s">
        <v>57</v>
      </c>
      <c r="AI634" s="6"/>
      <c r="AJ634" s="11" t="s">
        <v>353</v>
      </c>
    </row>
    <row r="635" spans="1:36" ht="15.75" customHeight="1" x14ac:dyDescent="0.25">
      <c r="A635" s="7">
        <v>43419.010318472225</v>
      </c>
      <c r="B635" s="6" t="s">
        <v>30</v>
      </c>
      <c r="C635" s="6" t="s">
        <v>2165</v>
      </c>
      <c r="D635" s="6" t="s">
        <v>91</v>
      </c>
      <c r="E635" s="6" t="s">
        <v>81</v>
      </c>
      <c r="G635" s="6" t="s">
        <v>87</v>
      </c>
      <c r="H635" s="6" t="s">
        <v>48</v>
      </c>
      <c r="I635" s="6"/>
      <c r="J635" s="6" t="s">
        <v>110</v>
      </c>
      <c r="K635" s="6"/>
      <c r="L635" s="6" t="s">
        <v>2167</v>
      </c>
      <c r="M635" s="6"/>
      <c r="N635" s="6" t="s">
        <v>212</v>
      </c>
      <c r="O635" s="6"/>
      <c r="P635" s="6" t="s">
        <v>131</v>
      </c>
      <c r="Q635" s="6"/>
      <c r="R635" s="47" t="s">
        <v>182</v>
      </c>
      <c r="S635" s="14" t="s">
        <v>4393</v>
      </c>
      <c r="AA635" s="6"/>
      <c r="AB635" s="6" t="s">
        <v>101</v>
      </c>
      <c r="AC635" s="6"/>
      <c r="AD635" s="6" t="s">
        <v>56</v>
      </c>
      <c r="AE635" s="6"/>
      <c r="AF635" s="6" t="s">
        <v>68</v>
      </c>
      <c r="AG635" s="6"/>
      <c r="AH635" s="6" t="s">
        <v>58</v>
      </c>
      <c r="AI635" s="6"/>
      <c r="AJ635" s="6" t="s">
        <v>309</v>
      </c>
    </row>
    <row r="636" spans="1:36" ht="15.75" customHeight="1" x14ac:dyDescent="0.25">
      <c r="A636" s="7">
        <v>43419.010325601848</v>
      </c>
      <c r="B636" s="6" t="s">
        <v>30</v>
      </c>
      <c r="C636" s="6" t="s">
        <v>95</v>
      </c>
      <c r="D636" s="6" t="s">
        <v>46</v>
      </c>
      <c r="E636" s="6" t="s">
        <v>48</v>
      </c>
      <c r="F636" s="6" t="s">
        <v>2172</v>
      </c>
      <c r="G636" s="6" t="s">
        <v>48</v>
      </c>
      <c r="J636" s="6" t="s">
        <v>106</v>
      </c>
      <c r="K636" s="6"/>
      <c r="L636" s="6" t="s">
        <v>2174</v>
      </c>
      <c r="M636" s="6"/>
      <c r="N636" s="6" t="s">
        <v>121</v>
      </c>
      <c r="O636" s="6"/>
      <c r="P636" s="6" t="s">
        <v>131</v>
      </c>
      <c r="Q636" s="6"/>
      <c r="AA636" s="6"/>
      <c r="AB636" s="6" t="s">
        <v>67</v>
      </c>
      <c r="AC636" s="6"/>
      <c r="AD636" s="6" t="s">
        <v>56</v>
      </c>
      <c r="AE636" s="6"/>
      <c r="AF636" s="6" t="s">
        <v>161</v>
      </c>
      <c r="AG636" s="6"/>
      <c r="AH636" s="6" t="s">
        <v>76</v>
      </c>
      <c r="AI636" s="6"/>
      <c r="AJ636" s="6" t="s">
        <v>187</v>
      </c>
    </row>
    <row r="637" spans="1:36" ht="15.75" customHeight="1" x14ac:dyDescent="0.25">
      <c r="A637" s="7">
        <v>43419.016875902773</v>
      </c>
      <c r="B637" s="6" t="s">
        <v>634</v>
      </c>
      <c r="C637" s="6" t="s">
        <v>215</v>
      </c>
      <c r="D637" s="6" t="s">
        <v>165</v>
      </c>
      <c r="E637" s="6" t="s">
        <v>81</v>
      </c>
      <c r="G637" s="6" t="s">
        <v>87</v>
      </c>
      <c r="J637" s="6" t="s">
        <v>89</v>
      </c>
      <c r="K637" s="6"/>
      <c r="L637" s="6" t="s">
        <v>2178</v>
      </c>
      <c r="M637" s="6"/>
      <c r="N637" s="6" t="s">
        <v>212</v>
      </c>
      <c r="O637" s="6"/>
      <c r="P637" s="6" t="s">
        <v>131</v>
      </c>
      <c r="Q637" s="6"/>
      <c r="AA637" s="6"/>
      <c r="AB637" s="6" t="s">
        <v>101</v>
      </c>
      <c r="AC637" s="6"/>
      <c r="AD637" s="6" t="s">
        <v>56</v>
      </c>
      <c r="AE637" s="6"/>
      <c r="AF637" s="6" t="s">
        <v>68</v>
      </c>
      <c r="AG637" s="6"/>
      <c r="AH637" s="6" t="s">
        <v>58</v>
      </c>
      <c r="AI637" s="6"/>
      <c r="AJ637" s="6" t="s">
        <v>187</v>
      </c>
    </row>
    <row r="638" spans="1:36" ht="15.75" customHeight="1" x14ac:dyDescent="0.25">
      <c r="A638" s="7">
        <v>43419.022100740738</v>
      </c>
      <c r="B638" s="6" t="s">
        <v>28</v>
      </c>
      <c r="C638" s="6" t="s">
        <v>306</v>
      </c>
      <c r="D638" s="6" t="s">
        <v>133</v>
      </c>
      <c r="E638" s="6" t="s">
        <v>81</v>
      </c>
      <c r="G638" s="6" t="s">
        <v>87</v>
      </c>
      <c r="J638" s="6" t="s">
        <v>92</v>
      </c>
      <c r="K638" s="6"/>
      <c r="L638" s="6" t="s">
        <v>2181</v>
      </c>
      <c r="M638" s="6"/>
      <c r="N638" s="6" t="s">
        <v>181</v>
      </c>
      <c r="O638" s="6"/>
      <c r="P638" s="6" t="s">
        <v>131</v>
      </c>
      <c r="Q638" s="6"/>
      <c r="R638" s="47" t="s">
        <v>2183</v>
      </c>
      <c r="AA638" s="6"/>
      <c r="AB638" s="6" t="s">
        <v>67</v>
      </c>
      <c r="AC638" s="6"/>
      <c r="AD638" s="6" t="s">
        <v>56</v>
      </c>
      <c r="AE638" s="6"/>
      <c r="AF638" s="6" t="s">
        <v>205</v>
      </c>
      <c r="AG638" s="6"/>
      <c r="AH638" s="6" t="s">
        <v>58</v>
      </c>
      <c r="AI638" s="6"/>
      <c r="AJ638" s="6" t="s">
        <v>77</v>
      </c>
    </row>
    <row r="639" spans="1:36" ht="15.75" customHeight="1" x14ac:dyDescent="0.25">
      <c r="A639" s="7">
        <v>43419.022970659724</v>
      </c>
      <c r="B639" s="6" t="s">
        <v>30</v>
      </c>
      <c r="C639" s="6" t="s">
        <v>482</v>
      </c>
      <c r="D639" s="6" t="s">
        <v>91</v>
      </c>
      <c r="E639" s="6" t="s">
        <v>48</v>
      </c>
      <c r="F639" s="6" t="s">
        <v>2185</v>
      </c>
      <c r="G639" s="6" t="s">
        <v>48</v>
      </c>
      <c r="H639" s="6" t="s">
        <v>2186</v>
      </c>
      <c r="I639" s="6"/>
      <c r="J639" s="6" t="s">
        <v>92</v>
      </c>
      <c r="K639" s="6"/>
      <c r="L639" s="6" t="s">
        <v>2187</v>
      </c>
      <c r="M639" s="6"/>
      <c r="N639" s="6" t="s">
        <v>181</v>
      </c>
      <c r="O639" s="6"/>
      <c r="P639" s="6" t="s">
        <v>131</v>
      </c>
      <c r="Q639" s="6"/>
      <c r="AA639" s="6"/>
      <c r="AB639" s="6" t="s">
        <v>101</v>
      </c>
      <c r="AC639" s="6"/>
      <c r="AD639" s="6" t="s">
        <v>56</v>
      </c>
      <c r="AE639" s="6"/>
      <c r="AF639" s="6" t="s">
        <v>68</v>
      </c>
      <c r="AG639" s="6"/>
      <c r="AH639" s="6" t="s">
        <v>76</v>
      </c>
      <c r="AI639" s="6"/>
      <c r="AJ639" s="6" t="s">
        <v>77</v>
      </c>
    </row>
    <row r="640" spans="1:36" ht="15.75" customHeight="1" x14ac:dyDescent="0.25">
      <c r="A640" s="7">
        <v>43419.026247025467</v>
      </c>
      <c r="B640" s="6" t="s">
        <v>30</v>
      </c>
      <c r="C640" s="6" t="s">
        <v>923</v>
      </c>
      <c r="D640" s="6" t="s">
        <v>155</v>
      </c>
      <c r="E640" s="6" t="s">
        <v>81</v>
      </c>
      <c r="G640" s="6" t="s">
        <v>87</v>
      </c>
      <c r="J640" s="6" t="s">
        <v>89</v>
      </c>
      <c r="K640" s="6"/>
      <c r="L640" s="6" t="s">
        <v>2189</v>
      </c>
      <c r="M640" s="6"/>
      <c r="N640" s="6" t="s">
        <v>212</v>
      </c>
      <c r="O640" s="6"/>
      <c r="P640" s="6" t="s">
        <v>131</v>
      </c>
      <c r="Q640" s="6"/>
      <c r="R640" s="47" t="s">
        <v>1261</v>
      </c>
      <c r="S640" s="14" t="s">
        <v>4579</v>
      </c>
      <c r="AA640" s="6"/>
      <c r="AB640" s="6" t="s">
        <v>67</v>
      </c>
      <c r="AC640" s="6"/>
      <c r="AD640" s="6" t="s">
        <v>56</v>
      </c>
      <c r="AE640" s="6"/>
      <c r="AF640" s="6" t="s">
        <v>75</v>
      </c>
      <c r="AG640" s="6"/>
      <c r="AH640" s="6" t="s">
        <v>76</v>
      </c>
      <c r="AI640" s="6"/>
      <c r="AJ640" s="11" t="s">
        <v>293</v>
      </c>
    </row>
    <row r="641" spans="1:36" ht="15.75" customHeight="1" x14ac:dyDescent="0.25">
      <c r="A641" s="7">
        <v>43419.027596064814</v>
      </c>
      <c r="B641" s="6" t="s">
        <v>543</v>
      </c>
      <c r="C641" s="6" t="s">
        <v>1487</v>
      </c>
      <c r="D641" s="6" t="s">
        <v>129</v>
      </c>
      <c r="E641" s="6" t="s">
        <v>81</v>
      </c>
      <c r="G641" s="6" t="s">
        <v>87</v>
      </c>
      <c r="H641" s="6" t="s">
        <v>2192</v>
      </c>
      <c r="I641" s="6"/>
      <c r="J641" s="6" t="s">
        <v>184</v>
      </c>
      <c r="K641" s="6"/>
      <c r="L641" s="6" t="s">
        <v>2193</v>
      </c>
      <c r="M641" s="6"/>
      <c r="N641" s="6" t="s">
        <v>51</v>
      </c>
      <c r="O641" s="6"/>
      <c r="P641" s="6" t="s">
        <v>131</v>
      </c>
      <c r="Q641" s="6"/>
      <c r="R641" s="47" t="s">
        <v>3719</v>
      </c>
      <c r="S641" s="14" t="s">
        <v>4623</v>
      </c>
      <c r="T641" s="14" t="s">
        <v>5193</v>
      </c>
      <c r="U641" s="14" t="s">
        <v>5194</v>
      </c>
      <c r="V641" s="14" t="s">
        <v>5195</v>
      </c>
      <c r="AA641" s="6"/>
      <c r="AB641" s="6" t="s">
        <v>55</v>
      </c>
      <c r="AC641" s="6"/>
      <c r="AD641" s="6" t="s">
        <v>56</v>
      </c>
      <c r="AE641" s="6"/>
      <c r="AF641" s="6" t="s">
        <v>75</v>
      </c>
      <c r="AG641" s="6"/>
      <c r="AH641" s="11" t="s">
        <v>76</v>
      </c>
      <c r="AI641" s="6"/>
      <c r="AJ641" s="6" t="s">
        <v>77</v>
      </c>
    </row>
    <row r="642" spans="1:36" ht="15.75" customHeight="1" x14ac:dyDescent="0.25">
      <c r="A642" s="7">
        <v>43419.032326342596</v>
      </c>
      <c r="B642" s="6" t="s">
        <v>60</v>
      </c>
      <c r="C642" s="6" t="s">
        <v>45</v>
      </c>
      <c r="E642" s="6" t="s">
        <v>48</v>
      </c>
      <c r="F642" s="6" t="s">
        <v>2197</v>
      </c>
      <c r="G642" s="6" t="s">
        <v>48</v>
      </c>
      <c r="J642" s="6" t="s">
        <v>110</v>
      </c>
      <c r="K642" s="6"/>
      <c r="N642" s="6" t="s">
        <v>112</v>
      </c>
      <c r="O642" s="6"/>
      <c r="P642" s="6" t="s">
        <v>52</v>
      </c>
      <c r="Q642" s="6"/>
      <c r="AA642" s="6"/>
      <c r="AB642" s="6" t="s">
        <v>101</v>
      </c>
      <c r="AC642" s="6"/>
      <c r="AD642" s="6" t="s">
        <v>56</v>
      </c>
      <c r="AE642" s="6"/>
      <c r="AF642" s="6" t="s">
        <v>205</v>
      </c>
      <c r="AG642" s="6"/>
      <c r="AH642" s="11" t="s">
        <v>144</v>
      </c>
      <c r="AI642" s="6"/>
      <c r="AJ642" s="6" t="s">
        <v>115</v>
      </c>
    </row>
    <row r="643" spans="1:36" ht="15.75" customHeight="1" x14ac:dyDescent="0.25">
      <c r="A643" s="7">
        <v>43419.032524409718</v>
      </c>
      <c r="B643" s="6" t="s">
        <v>294</v>
      </c>
      <c r="C643" s="6" t="s">
        <v>90</v>
      </c>
      <c r="D643" s="6" t="s">
        <v>138</v>
      </c>
      <c r="E643" s="6" t="s">
        <v>48</v>
      </c>
      <c r="F643" s="6" t="s">
        <v>2200</v>
      </c>
      <c r="G643" s="6" t="s">
        <v>81</v>
      </c>
      <c r="H643" s="6" t="s">
        <v>2201</v>
      </c>
      <c r="I643" s="6"/>
      <c r="J643" s="6" t="s">
        <v>89</v>
      </c>
      <c r="K643" s="6"/>
      <c r="L643" s="6" t="s">
        <v>2202</v>
      </c>
      <c r="M643" s="6"/>
      <c r="N643" s="6" t="s">
        <v>51</v>
      </c>
      <c r="O643" s="6"/>
      <c r="P643" s="6" t="s">
        <v>52</v>
      </c>
      <c r="Q643" s="6"/>
      <c r="R643" s="47" t="s">
        <v>5196</v>
      </c>
      <c r="S643" s="14" t="s">
        <v>5197</v>
      </c>
      <c r="T643" s="14" t="s">
        <v>5037</v>
      </c>
      <c r="U643" s="14" t="s">
        <v>5198</v>
      </c>
      <c r="V643" s="14" t="s">
        <v>5199</v>
      </c>
      <c r="W643" s="14" t="s">
        <v>4421</v>
      </c>
      <c r="AA643" s="6"/>
      <c r="AB643" s="6" t="s">
        <v>55</v>
      </c>
      <c r="AC643" s="6"/>
      <c r="AD643" s="6" t="s">
        <v>56</v>
      </c>
      <c r="AE643" s="6"/>
      <c r="AF643" s="6" t="s">
        <v>68</v>
      </c>
      <c r="AG643" s="6"/>
      <c r="AH643" s="6" t="s">
        <v>126</v>
      </c>
      <c r="AI643" s="6"/>
      <c r="AJ643" s="6" t="s">
        <v>313</v>
      </c>
    </row>
    <row r="644" spans="1:36" ht="15.75" customHeight="1" x14ac:dyDescent="0.25">
      <c r="A644" s="7">
        <v>43419.033360810186</v>
      </c>
      <c r="B644" s="6" t="s">
        <v>154</v>
      </c>
      <c r="C644" s="6" t="s">
        <v>477</v>
      </c>
      <c r="D644" s="6" t="s">
        <v>165</v>
      </c>
      <c r="E644" s="6" t="s">
        <v>81</v>
      </c>
      <c r="G644" s="6" t="s">
        <v>87</v>
      </c>
      <c r="H644" s="6" t="s">
        <v>2205</v>
      </c>
      <c r="I644" s="6"/>
      <c r="J644" s="6" t="s">
        <v>89</v>
      </c>
      <c r="K644" s="6"/>
      <c r="L644" s="6" t="s">
        <v>2206</v>
      </c>
      <c r="M644" s="6"/>
      <c r="N644" s="6" t="s">
        <v>98</v>
      </c>
      <c r="O644" s="6"/>
      <c r="P644" s="6" t="s">
        <v>94</v>
      </c>
      <c r="Q644" s="6"/>
      <c r="R644" s="47" t="s">
        <v>5200</v>
      </c>
      <c r="S644" s="14" t="s">
        <v>5201</v>
      </c>
      <c r="T644" s="14" t="s">
        <v>5202</v>
      </c>
      <c r="U644" s="14" t="s">
        <v>5203</v>
      </c>
      <c r="AA644" s="6"/>
      <c r="AB644" s="6" t="s">
        <v>67</v>
      </c>
      <c r="AC644" s="6"/>
      <c r="AD644" s="6" t="s">
        <v>56</v>
      </c>
      <c r="AE644" s="6"/>
      <c r="AF644" s="6" t="s">
        <v>75</v>
      </c>
      <c r="AG644" s="6"/>
      <c r="AH644" s="6" t="s">
        <v>76</v>
      </c>
      <c r="AI644" s="6"/>
      <c r="AJ644" s="6" t="s">
        <v>293</v>
      </c>
    </row>
    <row r="645" spans="1:36" ht="15.75" customHeight="1" x14ac:dyDescent="0.25">
      <c r="A645" s="7">
        <v>43419.034151747685</v>
      </c>
      <c r="B645" s="6" t="s">
        <v>30</v>
      </c>
      <c r="C645" s="6" t="s">
        <v>95</v>
      </c>
      <c r="E645" s="6" t="s">
        <v>81</v>
      </c>
      <c r="G645" s="6" t="s">
        <v>87</v>
      </c>
      <c r="J645" s="6" t="s">
        <v>92</v>
      </c>
      <c r="K645" s="6"/>
      <c r="N645" s="6" t="s">
        <v>98</v>
      </c>
      <c r="O645" s="6"/>
      <c r="P645" s="6" t="s">
        <v>94</v>
      </c>
      <c r="Q645" s="6"/>
      <c r="AA645" s="6"/>
      <c r="AB645" s="11" t="s">
        <v>67</v>
      </c>
      <c r="AC645" s="6"/>
      <c r="AD645" s="6" t="s">
        <v>56</v>
      </c>
      <c r="AE645" s="6"/>
      <c r="AF645" s="6" t="s">
        <v>161</v>
      </c>
      <c r="AG645" s="6"/>
      <c r="AH645" s="6" t="s">
        <v>76</v>
      </c>
      <c r="AJ645" s="12" t="s">
        <v>57</v>
      </c>
    </row>
    <row r="646" spans="1:36" ht="15.75" customHeight="1" x14ac:dyDescent="0.25">
      <c r="A646" s="7">
        <v>43419.034265856477</v>
      </c>
      <c r="B646" s="6" t="s">
        <v>103</v>
      </c>
      <c r="C646" s="6" t="s">
        <v>749</v>
      </c>
      <c r="D646" s="6" t="s">
        <v>129</v>
      </c>
      <c r="E646" s="6" t="s">
        <v>48</v>
      </c>
      <c r="F646" s="6" t="s">
        <v>2208</v>
      </c>
      <c r="G646" s="6" t="s">
        <v>48</v>
      </c>
      <c r="H646" s="6" t="s">
        <v>2210</v>
      </c>
      <c r="I646" s="6"/>
      <c r="J646" s="6" t="s">
        <v>106</v>
      </c>
      <c r="K646" s="6"/>
      <c r="L646" s="6" t="s">
        <v>2211</v>
      </c>
      <c r="M646" s="6"/>
      <c r="N646" s="6" t="s">
        <v>51</v>
      </c>
      <c r="O646" s="6"/>
      <c r="P646" s="6" t="s">
        <v>99</v>
      </c>
      <c r="Q646" s="6"/>
      <c r="R646" s="47" t="s">
        <v>5204</v>
      </c>
      <c r="S646" s="14" t="s">
        <v>5072</v>
      </c>
      <c r="T646" s="14" t="s">
        <v>4472</v>
      </c>
      <c r="AA646" s="6"/>
      <c r="AB646" s="6" t="s">
        <v>55</v>
      </c>
      <c r="AC646" s="6"/>
      <c r="AD646" s="6" t="s">
        <v>57</v>
      </c>
      <c r="AE646" s="6"/>
      <c r="AF646" s="6" t="s">
        <v>68</v>
      </c>
      <c r="AG646" s="6"/>
      <c r="AH646" s="11" t="s">
        <v>144</v>
      </c>
      <c r="AI646" s="6"/>
      <c r="AJ646" s="6" t="s">
        <v>77</v>
      </c>
    </row>
    <row r="647" spans="1:36" ht="15.75" customHeight="1" x14ac:dyDescent="0.25">
      <c r="A647" s="7">
        <v>43419.034806967597</v>
      </c>
      <c r="B647" s="6" t="s">
        <v>154</v>
      </c>
      <c r="C647" s="6" t="s">
        <v>749</v>
      </c>
      <c r="D647" s="6" t="s">
        <v>165</v>
      </c>
      <c r="E647" s="6" t="s">
        <v>48</v>
      </c>
      <c r="F647" s="6" t="s">
        <v>2214</v>
      </c>
      <c r="G647" s="6" t="s">
        <v>48</v>
      </c>
      <c r="H647" s="6" t="s">
        <v>2215</v>
      </c>
      <c r="I647" s="6"/>
      <c r="J647" s="6" t="s">
        <v>92</v>
      </c>
      <c r="K647" s="6"/>
      <c r="L647" s="6" t="s">
        <v>2217</v>
      </c>
      <c r="M647" s="6"/>
      <c r="N647" s="6" t="s">
        <v>212</v>
      </c>
      <c r="O647" s="6"/>
      <c r="P647" s="6" t="s">
        <v>131</v>
      </c>
      <c r="Q647" s="6"/>
      <c r="R647" s="47" t="s">
        <v>5205</v>
      </c>
      <c r="S647" s="14" t="s">
        <v>5206</v>
      </c>
      <c r="T647" s="14" t="s">
        <v>5207</v>
      </c>
      <c r="U647" s="14" t="s">
        <v>4970</v>
      </c>
      <c r="V647" s="14" t="s">
        <v>5208</v>
      </c>
      <c r="AA647" s="6"/>
      <c r="AB647" s="6" t="s">
        <v>67</v>
      </c>
      <c r="AC647" s="6"/>
      <c r="AD647" s="6" t="s">
        <v>56</v>
      </c>
      <c r="AE647" s="6"/>
      <c r="AF647" s="6" t="s">
        <v>75</v>
      </c>
      <c r="AG647" s="6"/>
      <c r="AH647" s="6" t="s">
        <v>76</v>
      </c>
      <c r="AI647" s="6"/>
      <c r="AJ647" s="6" t="s">
        <v>132</v>
      </c>
    </row>
    <row r="648" spans="1:36" ht="15.75" customHeight="1" x14ac:dyDescent="0.25">
      <c r="A648" s="7">
        <v>43419.039094108797</v>
      </c>
      <c r="B648" s="6" t="s">
        <v>60</v>
      </c>
      <c r="C648" s="6" t="s">
        <v>705</v>
      </c>
      <c r="D648" s="6" t="s">
        <v>261</v>
      </c>
      <c r="E648" s="6" t="s">
        <v>81</v>
      </c>
      <c r="G648" s="6" t="s">
        <v>87</v>
      </c>
      <c r="J648" s="6" t="s">
        <v>92</v>
      </c>
      <c r="K648" s="6"/>
      <c r="L648" s="6" t="s">
        <v>2219</v>
      </c>
      <c r="M648" s="6"/>
      <c r="N648" s="6" t="s">
        <v>121</v>
      </c>
      <c r="O648" s="6"/>
      <c r="P648" s="6" t="s">
        <v>94</v>
      </c>
      <c r="Q648" s="6"/>
      <c r="R648" s="47" t="s">
        <v>2438</v>
      </c>
      <c r="S648" s="14" t="s">
        <v>4640</v>
      </c>
      <c r="T648" s="14" t="s">
        <v>4400</v>
      </c>
      <c r="AA648" s="6"/>
      <c r="AB648" s="6" t="s">
        <v>67</v>
      </c>
      <c r="AC648" s="6"/>
      <c r="AD648" s="6" t="s">
        <v>56</v>
      </c>
      <c r="AE648" s="6"/>
      <c r="AF648" s="6" t="s">
        <v>75</v>
      </c>
      <c r="AG648" s="6"/>
      <c r="AH648" s="6" t="s">
        <v>76</v>
      </c>
      <c r="AI648" s="6"/>
      <c r="AJ648" s="6" t="s">
        <v>77</v>
      </c>
    </row>
    <row r="649" spans="1:36" ht="15.75" customHeight="1" x14ac:dyDescent="0.25">
      <c r="A649" s="7">
        <v>43419.040556238426</v>
      </c>
      <c r="B649" s="6" t="s">
        <v>30</v>
      </c>
      <c r="C649" s="6" t="s">
        <v>90</v>
      </c>
      <c r="D649" s="6" t="s">
        <v>165</v>
      </c>
      <c r="E649" s="6" t="s">
        <v>81</v>
      </c>
      <c r="G649" s="6" t="s">
        <v>87</v>
      </c>
      <c r="J649" s="6" t="s">
        <v>89</v>
      </c>
      <c r="K649" s="6"/>
      <c r="L649" s="6" t="s">
        <v>2222</v>
      </c>
      <c r="M649" s="6"/>
      <c r="N649" s="6" t="s">
        <v>98</v>
      </c>
      <c r="O649" s="6"/>
      <c r="P649" s="6" t="s">
        <v>94</v>
      </c>
      <c r="Q649" s="6"/>
      <c r="AA649" s="6"/>
      <c r="AB649" s="6" t="s">
        <v>101</v>
      </c>
      <c r="AC649" s="6"/>
      <c r="AD649" s="6" t="s">
        <v>56</v>
      </c>
      <c r="AE649" s="6"/>
      <c r="AF649" s="6" t="s">
        <v>161</v>
      </c>
      <c r="AG649" s="6"/>
      <c r="AH649" s="6" t="s">
        <v>76</v>
      </c>
      <c r="AI649" s="6"/>
      <c r="AJ649" s="6" t="s">
        <v>260</v>
      </c>
    </row>
    <row r="650" spans="1:36" ht="15.75" customHeight="1" x14ac:dyDescent="0.25">
      <c r="A650" s="7">
        <v>43419.040994791663</v>
      </c>
      <c r="B650" s="6" t="s">
        <v>30</v>
      </c>
      <c r="C650" s="6" t="s">
        <v>434</v>
      </c>
      <c r="E650" s="6" t="s">
        <v>48</v>
      </c>
      <c r="F650" s="6" t="s">
        <v>2224</v>
      </c>
      <c r="G650" s="6" t="s">
        <v>48</v>
      </c>
      <c r="H650" s="6" t="s">
        <v>2225</v>
      </c>
      <c r="I650" s="6"/>
      <c r="J650" s="6" t="s">
        <v>64</v>
      </c>
      <c r="K650" s="6"/>
      <c r="L650" s="6" t="s">
        <v>2226</v>
      </c>
      <c r="M650" s="6"/>
      <c r="N650" s="6" t="s">
        <v>98</v>
      </c>
      <c r="O650" s="6"/>
      <c r="P650" s="6" t="s">
        <v>131</v>
      </c>
      <c r="Q650" s="6"/>
      <c r="R650" s="47" t="s">
        <v>2227</v>
      </c>
      <c r="AA650" s="6"/>
      <c r="AB650" s="6" t="s">
        <v>101</v>
      </c>
      <c r="AC650" s="6"/>
      <c r="AD650" s="6" t="s">
        <v>56</v>
      </c>
      <c r="AE650" s="6"/>
      <c r="AF650" s="6" t="s">
        <v>68</v>
      </c>
      <c r="AG650" s="6"/>
      <c r="AH650" s="6" t="s">
        <v>58</v>
      </c>
      <c r="AI650" s="6"/>
      <c r="AJ650" s="6" t="s">
        <v>77</v>
      </c>
    </row>
    <row r="651" spans="1:36" ht="15.75" customHeight="1" x14ac:dyDescent="0.25">
      <c r="A651" s="7">
        <v>43419.041210162039</v>
      </c>
      <c r="B651" s="6" t="s">
        <v>127</v>
      </c>
      <c r="C651" s="6" t="s">
        <v>90</v>
      </c>
      <c r="D651" s="6" t="s">
        <v>163</v>
      </c>
      <c r="E651" s="6" t="s">
        <v>48</v>
      </c>
      <c r="F651" s="6" t="s">
        <v>36</v>
      </c>
      <c r="G651" s="6" t="s">
        <v>48</v>
      </c>
      <c r="H651" s="6" t="s">
        <v>2229</v>
      </c>
      <c r="I651" s="6"/>
      <c r="J651" s="6" t="s">
        <v>158</v>
      </c>
      <c r="K651" s="6"/>
      <c r="L651" s="6" t="s">
        <v>2230</v>
      </c>
      <c r="M651" s="6"/>
      <c r="N651" s="6" t="s">
        <v>98</v>
      </c>
      <c r="O651" s="6"/>
      <c r="P651" s="6" t="s">
        <v>131</v>
      </c>
      <c r="Q651" s="6"/>
      <c r="R651" s="47" t="s">
        <v>651</v>
      </c>
      <c r="S651" s="14" t="s">
        <v>5209</v>
      </c>
      <c r="T651" s="14" t="s">
        <v>5210</v>
      </c>
      <c r="U651" s="14" t="s">
        <v>5211</v>
      </c>
      <c r="V651" s="14" t="s">
        <v>5212</v>
      </c>
      <c r="W651" s="14" t="s">
        <v>5213</v>
      </c>
      <c r="X651" s="14" t="s">
        <v>5214</v>
      </c>
      <c r="AA651" s="6"/>
      <c r="AB651" s="6" t="s">
        <v>67</v>
      </c>
      <c r="AC651" s="6"/>
      <c r="AD651" s="6" t="s">
        <v>56</v>
      </c>
      <c r="AE651" s="6"/>
      <c r="AF651" s="6" t="s">
        <v>75</v>
      </c>
      <c r="AG651" s="6"/>
      <c r="AH651" s="6" t="s">
        <v>76</v>
      </c>
      <c r="AI651" s="6"/>
      <c r="AJ651" s="6" t="s">
        <v>77</v>
      </c>
    </row>
    <row r="652" spans="1:36" ht="15.75" customHeight="1" x14ac:dyDescent="0.25">
      <c r="A652" s="7">
        <v>43419.042282164351</v>
      </c>
      <c r="B652" s="6" t="s">
        <v>26</v>
      </c>
      <c r="C652" s="6" t="s">
        <v>128</v>
      </c>
      <c r="E652" s="6" t="s">
        <v>48</v>
      </c>
      <c r="F652" s="6" t="s">
        <v>2232</v>
      </c>
      <c r="G652" s="6" t="s">
        <v>81</v>
      </c>
      <c r="J652" s="6" t="s">
        <v>50</v>
      </c>
      <c r="K652" s="6"/>
      <c r="L652" s="6" t="s">
        <v>2233</v>
      </c>
      <c r="M652" s="6"/>
      <c r="N652" s="6" t="s">
        <v>98</v>
      </c>
      <c r="O652" s="6"/>
      <c r="P652" s="6" t="s">
        <v>131</v>
      </c>
      <c r="Q652" s="6"/>
      <c r="AA652" s="6"/>
      <c r="AB652" s="6" t="s">
        <v>101</v>
      </c>
      <c r="AC652" s="6"/>
      <c r="AD652" s="6" t="s">
        <v>56</v>
      </c>
      <c r="AE652" s="6"/>
      <c r="AF652" s="6" t="s">
        <v>57</v>
      </c>
      <c r="AG652" s="6"/>
      <c r="AH652" s="6" t="s">
        <v>58</v>
      </c>
      <c r="AI652" s="6"/>
      <c r="AJ652" s="6" t="s">
        <v>77</v>
      </c>
    </row>
    <row r="653" spans="1:36" ht="15.75" customHeight="1" x14ac:dyDescent="0.25">
      <c r="A653" s="7">
        <v>43419.044312337966</v>
      </c>
      <c r="B653" s="6" t="s">
        <v>30</v>
      </c>
      <c r="C653" s="6" t="s">
        <v>79</v>
      </c>
      <c r="D653" s="6" t="s">
        <v>46</v>
      </c>
      <c r="E653" s="6" t="s">
        <v>48</v>
      </c>
      <c r="F653" s="6" t="s">
        <v>2235</v>
      </c>
      <c r="G653" s="6" t="s">
        <v>48</v>
      </c>
      <c r="H653" s="6" t="s">
        <v>2236</v>
      </c>
      <c r="I653" s="6"/>
      <c r="J653" s="6" t="s">
        <v>110</v>
      </c>
      <c r="K653" s="6"/>
      <c r="L653" s="6" t="s">
        <v>2237</v>
      </c>
      <c r="M653" s="6"/>
      <c r="N653" s="6" t="s">
        <v>112</v>
      </c>
      <c r="O653" s="6"/>
      <c r="P653" s="6" t="s">
        <v>131</v>
      </c>
      <c r="Q653" s="6"/>
      <c r="R653" s="47" t="s">
        <v>4190</v>
      </c>
      <c r="S653" s="14" t="s">
        <v>4640</v>
      </c>
      <c r="T653" s="14" t="s">
        <v>4414</v>
      </c>
      <c r="AA653" s="6"/>
      <c r="AB653" s="6" t="s">
        <v>101</v>
      </c>
      <c r="AC653" s="6"/>
      <c r="AD653" s="6" t="s">
        <v>56</v>
      </c>
      <c r="AE653" s="6"/>
      <c r="AF653" s="6" t="s">
        <v>68</v>
      </c>
      <c r="AG653" s="6"/>
      <c r="AH653" s="6" t="s">
        <v>76</v>
      </c>
      <c r="AI653" s="6"/>
      <c r="AJ653" s="11" t="s">
        <v>256</v>
      </c>
    </row>
    <row r="654" spans="1:36" ht="15.75" customHeight="1" x14ac:dyDescent="0.25">
      <c r="A654" s="7">
        <v>43419.044687615737</v>
      </c>
      <c r="B654" s="6" t="s">
        <v>305</v>
      </c>
      <c r="C654" s="6" t="s">
        <v>850</v>
      </c>
      <c r="D654" s="6" t="s">
        <v>247</v>
      </c>
      <c r="E654" s="6" t="s">
        <v>81</v>
      </c>
      <c r="G654" s="6" t="s">
        <v>87</v>
      </c>
      <c r="H654" s="6" t="s">
        <v>2240</v>
      </c>
      <c r="I654" s="6"/>
      <c r="J654" s="6" t="s">
        <v>50</v>
      </c>
      <c r="K654" s="6"/>
      <c r="L654" s="6" t="s">
        <v>2241</v>
      </c>
      <c r="M654" s="6"/>
      <c r="N654" s="6" t="s">
        <v>167</v>
      </c>
      <c r="O654" s="6"/>
      <c r="P654" s="6" t="s">
        <v>94</v>
      </c>
      <c r="Q654" s="6"/>
      <c r="R654" s="47" t="s">
        <v>2242</v>
      </c>
      <c r="AA654" s="6"/>
      <c r="AB654" s="6" t="s">
        <v>101</v>
      </c>
      <c r="AC654" s="6"/>
      <c r="AD654" s="6" t="s">
        <v>56</v>
      </c>
      <c r="AE654" s="6"/>
      <c r="AF654" s="6" t="s">
        <v>161</v>
      </c>
      <c r="AG654" s="6"/>
      <c r="AH654" s="6" t="s">
        <v>76</v>
      </c>
      <c r="AI654" s="6"/>
      <c r="AJ654" s="6" t="s">
        <v>77</v>
      </c>
    </row>
    <row r="655" spans="1:36" ht="15.75" customHeight="1" x14ac:dyDescent="0.25">
      <c r="A655" s="7">
        <v>43419.045418310183</v>
      </c>
      <c r="B655" s="6" t="s">
        <v>30</v>
      </c>
      <c r="C655" s="6" t="s">
        <v>195</v>
      </c>
      <c r="D655" s="6" t="s">
        <v>46</v>
      </c>
      <c r="E655" s="6" t="s">
        <v>81</v>
      </c>
      <c r="G655" s="6" t="s">
        <v>87</v>
      </c>
      <c r="H655" s="6" t="s">
        <v>2244</v>
      </c>
      <c r="I655" s="6"/>
      <c r="J655" s="6" t="s">
        <v>106</v>
      </c>
      <c r="K655" s="6"/>
      <c r="L655" s="6" t="s">
        <v>2246</v>
      </c>
      <c r="M655" s="6"/>
      <c r="N655" s="6" t="s">
        <v>93</v>
      </c>
      <c r="O655" s="6"/>
      <c r="P655" s="6" t="s">
        <v>94</v>
      </c>
      <c r="Q655" s="6"/>
      <c r="R655" s="47" t="s">
        <v>789</v>
      </c>
      <c r="AA655" s="6"/>
      <c r="AB655" s="6" t="s">
        <v>101</v>
      </c>
      <c r="AC655" s="6"/>
      <c r="AD655" s="6" t="s">
        <v>56</v>
      </c>
      <c r="AE655" s="6"/>
      <c r="AF655" s="6" t="s">
        <v>75</v>
      </c>
      <c r="AG655" s="6"/>
      <c r="AH655" s="6" t="s">
        <v>58</v>
      </c>
      <c r="AI655" s="6"/>
      <c r="AJ655" s="6" t="s">
        <v>77</v>
      </c>
    </row>
    <row r="656" spans="1:36" ht="15.75" customHeight="1" x14ac:dyDescent="0.25">
      <c r="A656" s="7">
        <v>43419.04918887731</v>
      </c>
      <c r="B656" s="6" t="s">
        <v>305</v>
      </c>
      <c r="C656" s="6" t="s">
        <v>282</v>
      </c>
      <c r="D656" s="6" t="s">
        <v>510</v>
      </c>
      <c r="E656" s="6" t="s">
        <v>81</v>
      </c>
      <c r="G656" s="6" t="s">
        <v>87</v>
      </c>
      <c r="H656" s="6" t="s">
        <v>2249</v>
      </c>
      <c r="I656" s="6"/>
      <c r="J656" s="6" t="s">
        <v>92</v>
      </c>
      <c r="K656" s="6"/>
      <c r="L656" s="6" t="s">
        <v>2250</v>
      </c>
      <c r="M656" s="6"/>
      <c r="N656" s="6" t="s">
        <v>248</v>
      </c>
      <c r="O656" s="6"/>
      <c r="P656" s="6" t="s">
        <v>168</v>
      </c>
      <c r="Q656" s="6"/>
      <c r="R656" s="47" t="s">
        <v>2251</v>
      </c>
      <c r="AA656" s="6"/>
      <c r="AB656" s="6" t="s">
        <v>67</v>
      </c>
      <c r="AC656" s="6"/>
      <c r="AD656" s="6" t="s">
        <v>56</v>
      </c>
      <c r="AE656" s="6"/>
      <c r="AF656" s="6" t="s">
        <v>68</v>
      </c>
      <c r="AG656" s="6"/>
      <c r="AH656" s="6" t="s">
        <v>57</v>
      </c>
      <c r="AI656" s="6"/>
      <c r="AJ656" s="6" t="s">
        <v>408</v>
      </c>
    </row>
    <row r="657" spans="1:36" ht="15.75" customHeight="1" x14ac:dyDescent="0.25">
      <c r="A657" s="7">
        <v>43419.056558124998</v>
      </c>
      <c r="B657" s="6" t="s">
        <v>30</v>
      </c>
      <c r="C657" s="6" t="s">
        <v>128</v>
      </c>
      <c r="D657" s="6" t="s">
        <v>46</v>
      </c>
      <c r="E657" s="6" t="s">
        <v>48</v>
      </c>
      <c r="F657" s="6" t="s">
        <v>2252</v>
      </c>
      <c r="G657" s="6" t="s">
        <v>48</v>
      </c>
      <c r="H657" s="6" t="s">
        <v>2253</v>
      </c>
      <c r="I657" s="6"/>
      <c r="J657" s="6" t="s">
        <v>73</v>
      </c>
      <c r="K657" s="6"/>
      <c r="L657" s="6" t="s">
        <v>2254</v>
      </c>
      <c r="M657" s="6"/>
      <c r="N657" s="6" t="s">
        <v>121</v>
      </c>
      <c r="O657" s="6"/>
      <c r="P657" s="6" t="s">
        <v>131</v>
      </c>
      <c r="Q657" s="6"/>
      <c r="R657" s="47" t="s">
        <v>2255</v>
      </c>
      <c r="AA657" s="6"/>
      <c r="AB657" s="6" t="s">
        <v>101</v>
      </c>
      <c r="AC657" s="6"/>
      <c r="AD657" s="6" t="s">
        <v>56</v>
      </c>
      <c r="AE657" s="6"/>
      <c r="AF657" s="6" t="s">
        <v>68</v>
      </c>
      <c r="AG657" s="6"/>
      <c r="AH657" s="6" t="s">
        <v>76</v>
      </c>
      <c r="AI657" s="6"/>
      <c r="AJ657" s="6" t="s">
        <v>77</v>
      </c>
    </row>
    <row r="658" spans="1:36" ht="15.75" customHeight="1" x14ac:dyDescent="0.25">
      <c r="A658" s="7">
        <v>43419.058314247683</v>
      </c>
      <c r="B658" s="6" t="s">
        <v>103</v>
      </c>
      <c r="C658" s="6" t="s">
        <v>378</v>
      </c>
      <c r="D658" s="6" t="s">
        <v>46</v>
      </c>
      <c r="E658" s="6" t="s">
        <v>48</v>
      </c>
      <c r="F658" s="6" t="s">
        <v>36</v>
      </c>
      <c r="G658" s="6" t="s">
        <v>48</v>
      </c>
      <c r="H658" s="6" t="s">
        <v>2256</v>
      </c>
      <c r="I658" s="6"/>
      <c r="J658" s="6" t="s">
        <v>92</v>
      </c>
      <c r="K658" s="6"/>
      <c r="N658" s="6" t="s">
        <v>181</v>
      </c>
      <c r="O658" s="6"/>
      <c r="P658" s="6" t="s">
        <v>131</v>
      </c>
      <c r="Q658" s="6"/>
      <c r="AA658" s="6"/>
      <c r="AB658" s="6" t="s">
        <v>101</v>
      </c>
      <c r="AC658" s="6"/>
      <c r="AD658" s="6" t="s">
        <v>56</v>
      </c>
      <c r="AE658" s="6"/>
      <c r="AF658" s="6" t="s">
        <v>205</v>
      </c>
      <c r="AG658" s="6"/>
      <c r="AH658" s="6" t="s">
        <v>58</v>
      </c>
      <c r="AI658" s="6"/>
      <c r="AJ658" s="11" t="s">
        <v>304</v>
      </c>
    </row>
    <row r="659" spans="1:36" ht="15.75" customHeight="1" x14ac:dyDescent="0.25">
      <c r="A659" s="7">
        <v>43419.059049664356</v>
      </c>
      <c r="B659" s="6" t="s">
        <v>30</v>
      </c>
      <c r="C659" s="6" t="s">
        <v>195</v>
      </c>
      <c r="D659" s="6" t="s">
        <v>165</v>
      </c>
      <c r="E659" s="6" t="s">
        <v>81</v>
      </c>
      <c r="G659" s="6" t="s">
        <v>87</v>
      </c>
      <c r="H659" s="6" t="s">
        <v>2260</v>
      </c>
      <c r="I659" s="6"/>
      <c r="J659" s="6" t="s">
        <v>92</v>
      </c>
      <c r="K659" s="6"/>
      <c r="L659" s="6" t="s">
        <v>2262</v>
      </c>
      <c r="M659" s="6"/>
      <c r="N659" s="6" t="s">
        <v>93</v>
      </c>
      <c r="O659" s="6"/>
      <c r="P659" s="6" t="s">
        <v>94</v>
      </c>
      <c r="Q659" s="6"/>
      <c r="R659" s="47" t="s">
        <v>5215</v>
      </c>
      <c r="S659" s="14" t="s">
        <v>5216</v>
      </c>
      <c r="T659" s="14" t="s">
        <v>5217</v>
      </c>
      <c r="U659" s="14" t="s">
        <v>5218</v>
      </c>
      <c r="V659" s="14" t="s">
        <v>5219</v>
      </c>
      <c r="W659" s="14" t="s">
        <v>4562</v>
      </c>
      <c r="X659" s="14" t="s">
        <v>4716</v>
      </c>
      <c r="Y659" s="14" t="s">
        <v>5220</v>
      </c>
      <c r="AA659" s="6"/>
      <c r="AB659" s="6" t="s">
        <v>101</v>
      </c>
      <c r="AC659" s="6"/>
      <c r="AD659" s="6" t="s">
        <v>56</v>
      </c>
      <c r="AE659" s="6"/>
      <c r="AF659" s="6" t="s">
        <v>205</v>
      </c>
      <c r="AG659" s="6"/>
      <c r="AH659" s="11" t="s">
        <v>144</v>
      </c>
      <c r="AI659" s="6"/>
      <c r="AJ659" s="6" t="s">
        <v>291</v>
      </c>
    </row>
    <row r="660" spans="1:36" ht="15.75" customHeight="1" x14ac:dyDescent="0.25">
      <c r="A660" s="7">
        <v>43419.060648379629</v>
      </c>
      <c r="B660" s="6" t="s">
        <v>543</v>
      </c>
      <c r="C660" s="6" t="s">
        <v>128</v>
      </c>
      <c r="D660" s="6" t="s">
        <v>190</v>
      </c>
      <c r="E660" s="6" t="s">
        <v>48</v>
      </c>
      <c r="F660" s="6" t="s">
        <v>2269</v>
      </c>
      <c r="G660" s="6" t="s">
        <v>48</v>
      </c>
      <c r="H660" s="6" t="s">
        <v>2270</v>
      </c>
      <c r="I660" s="6"/>
      <c r="J660" s="6" t="s">
        <v>92</v>
      </c>
      <c r="K660" s="6"/>
      <c r="L660" s="6" t="s">
        <v>550</v>
      </c>
      <c r="M660" s="6"/>
      <c r="N660" s="6" t="s">
        <v>212</v>
      </c>
      <c r="O660" s="6"/>
      <c r="P660" s="6" t="s">
        <v>131</v>
      </c>
      <c r="Q660" s="6"/>
      <c r="R660" s="47" t="s">
        <v>2273</v>
      </c>
      <c r="AA660" s="6"/>
      <c r="AB660" s="6" t="s">
        <v>67</v>
      </c>
      <c r="AC660" s="6"/>
      <c r="AD660" s="6" t="s">
        <v>56</v>
      </c>
      <c r="AE660" s="6"/>
      <c r="AF660" s="6" t="s">
        <v>68</v>
      </c>
      <c r="AG660" s="6"/>
      <c r="AH660" s="6" t="s">
        <v>58</v>
      </c>
      <c r="AI660" s="6"/>
      <c r="AJ660" s="11" t="s">
        <v>255</v>
      </c>
    </row>
    <row r="661" spans="1:36" ht="15.75" customHeight="1" x14ac:dyDescent="0.25">
      <c r="A661" s="7">
        <v>43419.06117774306</v>
      </c>
      <c r="B661" s="6" t="s">
        <v>2278</v>
      </c>
      <c r="C661" s="6" t="s">
        <v>287</v>
      </c>
      <c r="D661" s="6" t="s">
        <v>163</v>
      </c>
      <c r="E661" s="6" t="s">
        <v>81</v>
      </c>
      <c r="G661" s="6" t="s">
        <v>87</v>
      </c>
      <c r="J661" s="6" t="s">
        <v>50</v>
      </c>
      <c r="K661" s="6"/>
      <c r="L661" s="6" t="s">
        <v>2281</v>
      </c>
      <c r="M661" s="6"/>
      <c r="N661" s="6" t="s">
        <v>121</v>
      </c>
      <c r="O661" s="6"/>
      <c r="P661" s="6" t="s">
        <v>94</v>
      </c>
      <c r="Q661" s="6"/>
      <c r="R661" s="47" t="s">
        <v>2282</v>
      </c>
      <c r="AA661" s="6"/>
      <c r="AB661" s="6" t="s">
        <v>101</v>
      </c>
      <c r="AC661" s="6"/>
      <c r="AD661" s="6" t="s">
        <v>56</v>
      </c>
      <c r="AE661" s="6"/>
      <c r="AF661" s="6" t="s">
        <v>57</v>
      </c>
      <c r="AG661" s="6"/>
      <c r="AH661" s="6" t="s">
        <v>76</v>
      </c>
      <c r="AI661" s="6"/>
      <c r="AJ661" s="6" t="s">
        <v>77</v>
      </c>
    </row>
    <row r="662" spans="1:36" ht="15.75" customHeight="1" x14ac:dyDescent="0.25">
      <c r="A662" s="7">
        <v>43419.069593807872</v>
      </c>
      <c r="B662" s="6" t="s">
        <v>2286</v>
      </c>
      <c r="C662" s="6" t="s">
        <v>2288</v>
      </c>
      <c r="D662" s="6" t="s">
        <v>46</v>
      </c>
      <c r="E662" s="6" t="s">
        <v>48</v>
      </c>
      <c r="F662" s="6" t="s">
        <v>2291</v>
      </c>
      <c r="G662" s="6" t="s">
        <v>48</v>
      </c>
      <c r="H662" s="6" t="s">
        <v>2292</v>
      </c>
      <c r="I662" s="6"/>
      <c r="N662" s="6" t="s">
        <v>112</v>
      </c>
      <c r="O662" s="6"/>
      <c r="P662" s="6" t="s">
        <v>52</v>
      </c>
      <c r="Q662" s="6"/>
      <c r="R662" s="47" t="s">
        <v>1971</v>
      </c>
      <c r="AA662" s="6"/>
      <c r="AB662" s="6" t="s">
        <v>67</v>
      </c>
      <c r="AC662" s="6"/>
      <c r="AD662" s="6" t="s">
        <v>56</v>
      </c>
      <c r="AE662" s="6"/>
      <c r="AF662" s="6" t="s">
        <v>205</v>
      </c>
      <c r="AG662" s="6"/>
      <c r="AH662" s="6" t="s">
        <v>58</v>
      </c>
      <c r="AI662" s="6"/>
      <c r="AJ662" s="6" t="s">
        <v>77</v>
      </c>
    </row>
    <row r="663" spans="1:36" ht="15.75" customHeight="1" x14ac:dyDescent="0.25">
      <c r="A663" s="7">
        <v>43419.071339386574</v>
      </c>
      <c r="B663" s="6" t="s">
        <v>154</v>
      </c>
      <c r="C663" s="6" t="s">
        <v>287</v>
      </c>
      <c r="D663" s="6" t="s">
        <v>307</v>
      </c>
      <c r="E663" s="6" t="s">
        <v>81</v>
      </c>
      <c r="G663" s="6" t="s">
        <v>87</v>
      </c>
      <c r="H663" s="6" t="s">
        <v>2299</v>
      </c>
      <c r="I663" s="6"/>
      <c r="J663" s="6" t="s">
        <v>158</v>
      </c>
      <c r="K663" s="6"/>
      <c r="L663" s="6" t="s">
        <v>2300</v>
      </c>
      <c r="M663" s="6"/>
      <c r="N663" s="6" t="s">
        <v>121</v>
      </c>
      <c r="O663" s="6"/>
      <c r="P663" s="6" t="s">
        <v>131</v>
      </c>
      <c r="Q663" s="6"/>
      <c r="R663" s="47" t="s">
        <v>5221</v>
      </c>
      <c r="S663" s="14" t="s">
        <v>4911</v>
      </c>
      <c r="T663" s="14" t="s">
        <v>5222</v>
      </c>
      <c r="U663" s="14" t="s">
        <v>5223</v>
      </c>
      <c r="AA663" s="6"/>
      <c r="AB663" s="6" t="s">
        <v>101</v>
      </c>
      <c r="AC663" s="6"/>
      <c r="AD663" s="6" t="s">
        <v>109</v>
      </c>
      <c r="AE663" s="6"/>
      <c r="AF663" s="6" t="s">
        <v>68</v>
      </c>
      <c r="AG663" s="6"/>
      <c r="AH663" s="11" t="s">
        <v>144</v>
      </c>
      <c r="AI663" s="6"/>
      <c r="AJ663" s="6" t="s">
        <v>77</v>
      </c>
    </row>
    <row r="664" spans="1:36" ht="15.75" customHeight="1" x14ac:dyDescent="0.25">
      <c r="A664" s="7">
        <v>43419.083790092591</v>
      </c>
      <c r="B664" s="6" t="s">
        <v>30</v>
      </c>
      <c r="C664" s="6" t="s">
        <v>45</v>
      </c>
      <c r="D664" s="6" t="s">
        <v>46</v>
      </c>
      <c r="E664" s="6" t="s">
        <v>48</v>
      </c>
      <c r="F664" s="6" t="s">
        <v>2304</v>
      </c>
      <c r="G664" s="6" t="s">
        <v>48</v>
      </c>
      <c r="H664" s="6" t="s">
        <v>2305</v>
      </c>
      <c r="I664" s="6"/>
      <c r="J664" s="6" t="s">
        <v>89</v>
      </c>
      <c r="K664" s="6"/>
      <c r="L664" s="6" t="s">
        <v>2307</v>
      </c>
      <c r="M664" s="6"/>
      <c r="N664" s="6" t="s">
        <v>212</v>
      </c>
      <c r="O664" s="6"/>
      <c r="P664" s="6" t="s">
        <v>99</v>
      </c>
      <c r="Q664" s="6"/>
      <c r="R664" s="47" t="s">
        <v>201</v>
      </c>
      <c r="AA664" s="6"/>
      <c r="AB664" s="6" t="s">
        <v>101</v>
      </c>
      <c r="AC664" s="6"/>
      <c r="AD664" s="6" t="s">
        <v>56</v>
      </c>
      <c r="AE664" s="6"/>
      <c r="AF664" s="6" t="s">
        <v>205</v>
      </c>
      <c r="AG664" s="6"/>
      <c r="AH664" s="6" t="s">
        <v>58</v>
      </c>
      <c r="AI664" s="6"/>
      <c r="AJ664" s="6" t="s">
        <v>77</v>
      </c>
    </row>
    <row r="665" spans="1:36" ht="15.75" customHeight="1" x14ac:dyDescent="0.25">
      <c r="A665" s="7">
        <v>43419.084683449073</v>
      </c>
      <c r="B665" s="6" t="s">
        <v>30</v>
      </c>
      <c r="C665" s="6" t="s">
        <v>227</v>
      </c>
      <c r="D665" s="6" t="s">
        <v>46</v>
      </c>
      <c r="E665" s="6" t="s">
        <v>48</v>
      </c>
      <c r="F665" s="6" t="s">
        <v>2311</v>
      </c>
      <c r="AA665" s="6"/>
      <c r="AB665" s="6" t="s">
        <v>67</v>
      </c>
      <c r="AD665" s="6" t="s">
        <v>56</v>
      </c>
      <c r="AE665" s="6"/>
      <c r="AF665" s="6" t="s">
        <v>68</v>
      </c>
      <c r="AG665" s="6"/>
      <c r="AH665" s="6" t="s">
        <v>57</v>
      </c>
      <c r="AJ665" s="12" t="s">
        <v>57</v>
      </c>
    </row>
    <row r="666" spans="1:36" ht="15.75" customHeight="1" x14ac:dyDescent="0.25">
      <c r="A666" s="7">
        <v>43419.084747962959</v>
      </c>
      <c r="B666" s="6" t="s">
        <v>30</v>
      </c>
      <c r="C666" s="6" t="s">
        <v>95</v>
      </c>
      <c r="D666" s="6" t="s">
        <v>46</v>
      </c>
      <c r="E666" s="6" t="s">
        <v>81</v>
      </c>
      <c r="G666" s="6" t="s">
        <v>87</v>
      </c>
      <c r="H666" s="6" t="s">
        <v>2312</v>
      </c>
      <c r="I666" s="6"/>
      <c r="J666" s="6" t="s">
        <v>92</v>
      </c>
      <c r="K666" s="6"/>
      <c r="L666" s="6" t="s">
        <v>2313</v>
      </c>
      <c r="M666" s="6"/>
      <c r="N666" s="6" t="s">
        <v>121</v>
      </c>
      <c r="O666" s="6"/>
      <c r="P666" s="6" t="s">
        <v>168</v>
      </c>
      <c r="Q666" s="6"/>
      <c r="R666" s="47" t="s">
        <v>1143</v>
      </c>
      <c r="S666" s="14" t="s">
        <v>4647</v>
      </c>
      <c r="T666" s="14" t="s">
        <v>5224</v>
      </c>
      <c r="AA666" s="6"/>
      <c r="AB666" s="6" t="s">
        <v>101</v>
      </c>
      <c r="AC666" s="6"/>
      <c r="AD666" s="6" t="s">
        <v>56</v>
      </c>
      <c r="AE666" s="6"/>
      <c r="AF666" s="6" t="s">
        <v>57</v>
      </c>
      <c r="AG666" s="6"/>
      <c r="AH666" s="6" t="s">
        <v>76</v>
      </c>
      <c r="AI666" s="6"/>
      <c r="AJ666" s="6" t="s">
        <v>77</v>
      </c>
    </row>
    <row r="667" spans="1:36" ht="15.75" customHeight="1" x14ac:dyDescent="0.25">
      <c r="A667" s="7">
        <v>43419.086679965279</v>
      </c>
      <c r="B667" s="6" t="s">
        <v>30</v>
      </c>
      <c r="C667" s="6" t="s">
        <v>95</v>
      </c>
      <c r="D667" s="6" t="s">
        <v>165</v>
      </c>
      <c r="E667" s="6" t="s">
        <v>81</v>
      </c>
      <c r="G667" s="6" t="s">
        <v>87</v>
      </c>
      <c r="H667" s="6" t="s">
        <v>2319</v>
      </c>
      <c r="I667" s="6"/>
      <c r="J667" s="6" t="s">
        <v>64</v>
      </c>
      <c r="K667" s="6"/>
      <c r="L667" s="6" t="s">
        <v>2320</v>
      </c>
      <c r="M667" s="6"/>
      <c r="N667" s="6" t="s">
        <v>121</v>
      </c>
      <c r="O667" s="6"/>
      <c r="P667" s="6" t="s">
        <v>94</v>
      </c>
      <c r="Q667" s="6"/>
      <c r="R667" s="47" t="s">
        <v>5225</v>
      </c>
      <c r="S667" s="14" t="s">
        <v>5226</v>
      </c>
      <c r="T667" s="14" t="s">
        <v>5227</v>
      </c>
      <c r="U667" s="14" t="s">
        <v>4431</v>
      </c>
      <c r="V667" s="14" t="s">
        <v>4617</v>
      </c>
      <c r="W667" s="14" t="s">
        <v>4396</v>
      </c>
      <c r="AA667" s="6"/>
      <c r="AB667" s="6" t="s">
        <v>67</v>
      </c>
      <c r="AC667" s="6"/>
      <c r="AD667" s="6" t="s">
        <v>56</v>
      </c>
      <c r="AE667" s="6"/>
      <c r="AF667" s="6" t="s">
        <v>75</v>
      </c>
      <c r="AG667" s="6"/>
      <c r="AH667" s="6" t="s">
        <v>58</v>
      </c>
      <c r="AI667" s="6"/>
      <c r="AJ667" s="6" t="s">
        <v>77</v>
      </c>
    </row>
    <row r="668" spans="1:36" ht="15.75" customHeight="1" x14ac:dyDescent="0.25">
      <c r="A668" s="7">
        <v>43419.087679918986</v>
      </c>
      <c r="B668" s="6" t="s">
        <v>30</v>
      </c>
      <c r="C668" s="6" t="s">
        <v>95</v>
      </c>
      <c r="D668" s="6" t="s">
        <v>165</v>
      </c>
      <c r="E668" s="6" t="s">
        <v>81</v>
      </c>
      <c r="G668" s="6" t="s">
        <v>87</v>
      </c>
      <c r="H668" s="6" t="s">
        <v>2326</v>
      </c>
      <c r="I668" s="6"/>
      <c r="J668" s="6" t="s">
        <v>92</v>
      </c>
      <c r="K668" s="6"/>
      <c r="L668" s="6" t="s">
        <v>2328</v>
      </c>
      <c r="M668" s="6"/>
      <c r="N668" s="6" t="s">
        <v>112</v>
      </c>
      <c r="O668" s="6"/>
      <c r="P668" s="6" t="s">
        <v>131</v>
      </c>
      <c r="Q668" s="6"/>
      <c r="R668" s="47" t="s">
        <v>192</v>
      </c>
      <c r="S668" s="14" t="s">
        <v>4472</v>
      </c>
      <c r="T668" s="14" t="s">
        <v>5228</v>
      </c>
      <c r="AA668" s="6"/>
      <c r="AB668" s="6" t="s">
        <v>203</v>
      </c>
      <c r="AC668" s="6"/>
      <c r="AD668" s="6" t="s">
        <v>56</v>
      </c>
      <c r="AE668" s="6"/>
      <c r="AF668" s="6" t="s">
        <v>75</v>
      </c>
      <c r="AG668" s="6"/>
      <c r="AH668" s="6" t="s">
        <v>76</v>
      </c>
      <c r="AI668" s="6"/>
      <c r="AJ668" s="6" t="s">
        <v>77</v>
      </c>
    </row>
    <row r="669" spans="1:36" ht="15.75" customHeight="1" x14ac:dyDescent="0.25">
      <c r="A669" s="7">
        <v>43419.088097337968</v>
      </c>
      <c r="B669" s="6" t="s">
        <v>2333</v>
      </c>
      <c r="C669" s="6" t="s">
        <v>116</v>
      </c>
      <c r="D669" s="6" t="s">
        <v>133</v>
      </c>
      <c r="E669" s="6" t="s">
        <v>81</v>
      </c>
      <c r="G669" s="6" t="s">
        <v>87</v>
      </c>
      <c r="H669" s="6" t="s">
        <v>2334</v>
      </c>
      <c r="I669" s="6"/>
      <c r="J669" s="6" t="s">
        <v>73</v>
      </c>
      <c r="K669" s="6"/>
      <c r="L669" s="6" t="s">
        <v>2271</v>
      </c>
      <c r="M669" s="6"/>
      <c r="N669" s="6" t="s">
        <v>121</v>
      </c>
      <c r="O669" s="6"/>
      <c r="P669" s="6" t="s">
        <v>94</v>
      </c>
      <c r="Q669" s="6"/>
      <c r="R669" s="47" t="s">
        <v>3225</v>
      </c>
      <c r="S669" s="14" t="s">
        <v>3260</v>
      </c>
      <c r="T669" s="14" t="s">
        <v>5229</v>
      </c>
      <c r="AA669" s="6"/>
      <c r="AB669" s="6" t="s">
        <v>67</v>
      </c>
      <c r="AC669" s="6"/>
      <c r="AD669" s="6" t="s">
        <v>56</v>
      </c>
      <c r="AE669" s="6"/>
      <c r="AF669" s="6" t="s">
        <v>57</v>
      </c>
      <c r="AG669" s="6"/>
      <c r="AH669" s="11" t="s">
        <v>76</v>
      </c>
      <c r="AI669" s="6"/>
      <c r="AJ669" s="6" t="s">
        <v>77</v>
      </c>
    </row>
    <row r="670" spans="1:36" ht="15.75" customHeight="1" x14ac:dyDescent="0.25">
      <c r="A670" s="7">
        <v>43419.09146413194</v>
      </c>
      <c r="B670" s="6" t="s">
        <v>60</v>
      </c>
      <c r="C670" s="6" t="s">
        <v>215</v>
      </c>
      <c r="D670" s="6" t="s">
        <v>46</v>
      </c>
      <c r="E670" s="6" t="s">
        <v>48</v>
      </c>
      <c r="F670" s="6" t="s">
        <v>2341</v>
      </c>
      <c r="G670" s="6" t="s">
        <v>48</v>
      </c>
      <c r="H670" s="6" t="s">
        <v>2343</v>
      </c>
      <c r="I670" s="6"/>
      <c r="J670" s="6" t="s">
        <v>92</v>
      </c>
      <c r="K670" s="6"/>
      <c r="L670" s="6" t="s">
        <v>2344</v>
      </c>
      <c r="M670" s="6"/>
      <c r="N670" s="6" t="s">
        <v>181</v>
      </c>
      <c r="O670" s="6"/>
      <c r="P670" s="6" t="s">
        <v>52</v>
      </c>
      <c r="Q670" s="6"/>
      <c r="R670" s="47" t="s">
        <v>2346</v>
      </c>
      <c r="AA670" s="6"/>
      <c r="AB670" s="6" t="s">
        <v>101</v>
      </c>
      <c r="AD670" s="6" t="s">
        <v>109</v>
      </c>
      <c r="AE670" s="6"/>
      <c r="AF670" s="6" t="s">
        <v>68</v>
      </c>
      <c r="AG670" s="6"/>
      <c r="AH670" s="6" t="s">
        <v>57</v>
      </c>
      <c r="AI670" s="6"/>
      <c r="AJ670" s="6" t="s">
        <v>77</v>
      </c>
    </row>
    <row r="671" spans="1:36" ht="15.75" customHeight="1" x14ac:dyDescent="0.25">
      <c r="A671" s="7">
        <v>43419.092087928242</v>
      </c>
      <c r="B671" s="6" t="s">
        <v>2350</v>
      </c>
      <c r="C671" s="6" t="s">
        <v>1027</v>
      </c>
      <c r="D671" s="6" t="s">
        <v>46</v>
      </c>
      <c r="E671" s="6" t="s">
        <v>48</v>
      </c>
      <c r="F671" s="6" t="s">
        <v>2351</v>
      </c>
      <c r="G671" s="6" t="s">
        <v>48</v>
      </c>
      <c r="J671" s="6" t="s">
        <v>110</v>
      </c>
      <c r="K671" s="6"/>
      <c r="L671" s="6" t="s">
        <v>2353</v>
      </c>
      <c r="M671" s="6"/>
      <c r="N671" s="6" t="s">
        <v>212</v>
      </c>
      <c r="O671" s="6"/>
      <c r="P671" s="6" t="s">
        <v>131</v>
      </c>
      <c r="Q671" s="6"/>
      <c r="AA671" s="6"/>
      <c r="AB671" s="6" t="s">
        <v>55</v>
      </c>
      <c r="AC671" s="6"/>
      <c r="AD671" s="6" t="s">
        <v>56</v>
      </c>
      <c r="AE671" s="6"/>
      <c r="AF671" s="6" t="s">
        <v>68</v>
      </c>
      <c r="AG671" s="6"/>
      <c r="AH671" s="6" t="s">
        <v>58</v>
      </c>
      <c r="AI671" s="6"/>
      <c r="AJ671" s="6" t="s">
        <v>77</v>
      </c>
    </row>
    <row r="672" spans="1:36" ht="15.75" customHeight="1" x14ac:dyDescent="0.25">
      <c r="A672" s="7">
        <v>43419.095837870365</v>
      </c>
      <c r="B672" s="6" t="s">
        <v>60</v>
      </c>
      <c r="C672" s="6" t="s">
        <v>128</v>
      </c>
      <c r="D672" s="6" t="s">
        <v>46</v>
      </c>
      <c r="E672" s="6" t="s">
        <v>48</v>
      </c>
      <c r="G672" s="6" t="s">
        <v>81</v>
      </c>
      <c r="H672" s="6" t="s">
        <v>2357</v>
      </c>
      <c r="I672" s="6"/>
      <c r="J672" s="6" t="s">
        <v>110</v>
      </c>
      <c r="K672" s="6"/>
      <c r="L672" s="6" t="s">
        <v>2359</v>
      </c>
      <c r="M672" s="6"/>
      <c r="N672" s="6" t="s">
        <v>212</v>
      </c>
      <c r="O672" s="6"/>
      <c r="P672" s="6" t="s">
        <v>131</v>
      </c>
      <c r="Q672" s="6"/>
      <c r="R672" s="47" t="s">
        <v>149</v>
      </c>
      <c r="S672" s="14" t="s">
        <v>4393</v>
      </c>
      <c r="T672" s="14" t="s">
        <v>4734</v>
      </c>
      <c r="AA672" s="6"/>
      <c r="AB672" s="6" t="s">
        <v>101</v>
      </c>
      <c r="AC672" s="6"/>
      <c r="AD672" s="6" t="s">
        <v>56</v>
      </c>
      <c r="AE672" s="6"/>
      <c r="AF672" s="6" t="s">
        <v>68</v>
      </c>
      <c r="AG672" s="6"/>
      <c r="AH672" s="6" t="s">
        <v>58</v>
      </c>
      <c r="AI672" s="6"/>
      <c r="AJ672" s="6" t="s">
        <v>77</v>
      </c>
    </row>
    <row r="673" spans="1:36" ht="15.75" customHeight="1" x14ac:dyDescent="0.25">
      <c r="A673" s="7">
        <v>43419.103814155096</v>
      </c>
      <c r="B673" s="6" t="s">
        <v>30</v>
      </c>
      <c r="C673" s="6" t="s">
        <v>215</v>
      </c>
      <c r="D673" s="6" t="s">
        <v>261</v>
      </c>
      <c r="E673" s="6" t="s">
        <v>48</v>
      </c>
      <c r="F673" s="6" t="s">
        <v>2363</v>
      </c>
      <c r="G673" s="6" t="s">
        <v>48</v>
      </c>
      <c r="H673" s="6" t="s">
        <v>2364</v>
      </c>
      <c r="I673" s="6"/>
      <c r="J673" s="6" t="s">
        <v>73</v>
      </c>
      <c r="K673" s="6"/>
      <c r="L673" s="6" t="s">
        <v>2365</v>
      </c>
      <c r="M673" s="6"/>
      <c r="N673" s="6" t="s">
        <v>112</v>
      </c>
      <c r="O673" s="6"/>
      <c r="P673" s="6" t="s">
        <v>99</v>
      </c>
      <c r="Q673" s="6"/>
      <c r="R673" s="47" t="s">
        <v>5230</v>
      </c>
      <c r="S673" s="14" t="s">
        <v>5231</v>
      </c>
      <c r="AA673" s="6"/>
      <c r="AB673" s="6" t="s">
        <v>203</v>
      </c>
      <c r="AC673" s="6"/>
      <c r="AD673" s="6" t="s">
        <v>56</v>
      </c>
      <c r="AE673" s="6"/>
      <c r="AF673" s="6" t="s">
        <v>68</v>
      </c>
      <c r="AG673" s="6"/>
      <c r="AH673" s="11" t="s">
        <v>144</v>
      </c>
      <c r="AI673" s="6"/>
      <c r="AJ673" s="6" t="s">
        <v>77</v>
      </c>
    </row>
    <row r="674" spans="1:36" ht="15.75" customHeight="1" x14ac:dyDescent="0.25">
      <c r="A674" s="7">
        <v>43419.106165613426</v>
      </c>
      <c r="B674" s="6" t="s">
        <v>30</v>
      </c>
      <c r="C674" s="6" t="s">
        <v>116</v>
      </c>
      <c r="D674" s="6" t="s">
        <v>163</v>
      </c>
      <c r="E674" s="6" t="s">
        <v>81</v>
      </c>
      <c r="F674" s="6" t="s">
        <v>2370</v>
      </c>
      <c r="G674" s="6" t="s">
        <v>87</v>
      </c>
      <c r="H674" s="6" t="s">
        <v>2371</v>
      </c>
      <c r="I674" s="6"/>
      <c r="J674" s="6" t="s">
        <v>89</v>
      </c>
      <c r="K674" s="6"/>
      <c r="L674" s="6" t="s">
        <v>2372</v>
      </c>
      <c r="M674" s="6"/>
      <c r="N674" s="6" t="s">
        <v>51</v>
      </c>
      <c r="O674" s="6"/>
      <c r="P674" s="6" t="s">
        <v>52</v>
      </c>
      <c r="Q674" s="6"/>
      <c r="R674" s="47" t="s">
        <v>5156</v>
      </c>
      <c r="S674" s="14" t="s">
        <v>4930</v>
      </c>
      <c r="T674" s="14" t="s">
        <v>5232</v>
      </c>
      <c r="AA674" s="6"/>
      <c r="AB674" s="6" t="s">
        <v>101</v>
      </c>
      <c r="AC674" s="6"/>
      <c r="AD674" s="6" t="s">
        <v>56</v>
      </c>
      <c r="AE674" s="6"/>
      <c r="AF674" s="6" t="s">
        <v>75</v>
      </c>
      <c r="AG674" s="6"/>
      <c r="AH674" s="6" t="s">
        <v>126</v>
      </c>
      <c r="AI674" s="6"/>
      <c r="AJ674" s="6" t="s">
        <v>77</v>
      </c>
    </row>
    <row r="675" spans="1:36" ht="15.75" customHeight="1" x14ac:dyDescent="0.25">
      <c r="A675" s="7">
        <v>43419.111505624998</v>
      </c>
      <c r="B675" s="6" t="s">
        <v>305</v>
      </c>
      <c r="C675" s="6" t="s">
        <v>756</v>
      </c>
      <c r="D675" s="6" t="s">
        <v>163</v>
      </c>
      <c r="E675" s="6" t="s">
        <v>81</v>
      </c>
      <c r="G675" s="6" t="s">
        <v>87</v>
      </c>
      <c r="H675" s="6" t="s">
        <v>2375</v>
      </c>
      <c r="I675" s="6"/>
      <c r="J675" s="6" t="s">
        <v>110</v>
      </c>
      <c r="K675" s="6"/>
      <c r="L675" s="6" t="s">
        <v>2376</v>
      </c>
      <c r="M675" s="6"/>
      <c r="N675" s="6" t="s">
        <v>98</v>
      </c>
      <c r="O675" s="6"/>
      <c r="P675" s="6" t="s">
        <v>131</v>
      </c>
      <c r="Q675" s="6"/>
      <c r="R675" s="47" t="s">
        <v>2377</v>
      </c>
      <c r="AA675" s="6"/>
      <c r="AB675" s="6" t="s">
        <v>67</v>
      </c>
      <c r="AC675" s="6"/>
      <c r="AD675" s="6" t="s">
        <v>56</v>
      </c>
      <c r="AE675" s="6"/>
      <c r="AF675" s="6" t="s">
        <v>205</v>
      </c>
      <c r="AG675" s="6"/>
      <c r="AH675" s="6" t="s">
        <v>58</v>
      </c>
      <c r="AI675" s="6"/>
      <c r="AJ675" s="11" t="s">
        <v>69</v>
      </c>
    </row>
    <row r="676" spans="1:36" ht="15.75" customHeight="1" x14ac:dyDescent="0.25">
      <c r="A676" s="7">
        <v>43419.115154722225</v>
      </c>
      <c r="B676" s="6" t="s">
        <v>103</v>
      </c>
      <c r="C676" s="6" t="s">
        <v>749</v>
      </c>
      <c r="E676" s="6" t="s">
        <v>48</v>
      </c>
      <c r="F676" s="6" t="s">
        <v>2379</v>
      </c>
      <c r="G676" s="6" t="s">
        <v>48</v>
      </c>
      <c r="H676" s="6" t="s">
        <v>2380</v>
      </c>
      <c r="I676" s="6"/>
      <c r="J676" s="6" t="s">
        <v>92</v>
      </c>
      <c r="K676" s="6"/>
      <c r="L676" s="6" t="s">
        <v>2381</v>
      </c>
      <c r="M676" s="6"/>
      <c r="N676" s="6" t="s">
        <v>112</v>
      </c>
      <c r="O676" s="6"/>
      <c r="P676" s="6" t="s">
        <v>131</v>
      </c>
      <c r="Q676" s="6"/>
      <c r="R676" s="47" t="s">
        <v>192</v>
      </c>
      <c r="AA676" s="6"/>
      <c r="AB676" s="6" t="s">
        <v>67</v>
      </c>
      <c r="AC676" s="6"/>
      <c r="AD676" s="6" t="s">
        <v>56</v>
      </c>
      <c r="AE676" s="6"/>
      <c r="AF676" s="6" t="s">
        <v>75</v>
      </c>
      <c r="AG676" s="6"/>
      <c r="AH676" s="6" t="s">
        <v>58</v>
      </c>
      <c r="AI676" s="6"/>
      <c r="AJ676" s="6" t="s">
        <v>77</v>
      </c>
    </row>
    <row r="677" spans="1:36" ht="15.75" customHeight="1" x14ac:dyDescent="0.25">
      <c r="A677" s="7">
        <v>43419.11725383102</v>
      </c>
      <c r="B677" s="6" t="s">
        <v>60</v>
      </c>
      <c r="C677" s="6" t="s">
        <v>79</v>
      </c>
      <c r="D677" s="6" t="s">
        <v>163</v>
      </c>
      <c r="E677" s="6" t="s">
        <v>81</v>
      </c>
      <c r="G677" s="6" t="s">
        <v>87</v>
      </c>
      <c r="H677" s="6" t="s">
        <v>2383</v>
      </c>
      <c r="I677" s="6"/>
      <c r="J677" s="6" t="s">
        <v>92</v>
      </c>
      <c r="K677" s="6"/>
      <c r="L677" s="6" t="s">
        <v>2384</v>
      </c>
      <c r="M677" s="6"/>
      <c r="N677" s="6" t="s">
        <v>51</v>
      </c>
      <c r="O677" s="6"/>
      <c r="P677" s="6" t="s">
        <v>131</v>
      </c>
      <c r="Q677" s="6"/>
      <c r="R677" s="47" t="s">
        <v>169</v>
      </c>
      <c r="S677" s="14" t="s">
        <v>4607</v>
      </c>
      <c r="AA677" s="6"/>
      <c r="AB677" s="6" t="s">
        <v>67</v>
      </c>
      <c r="AC677" s="6"/>
      <c r="AD677" s="6" t="s">
        <v>56</v>
      </c>
      <c r="AE677" s="6"/>
      <c r="AF677" s="6" t="s">
        <v>68</v>
      </c>
      <c r="AG677" s="6"/>
      <c r="AH677" s="6" t="s">
        <v>76</v>
      </c>
      <c r="AI677" s="6"/>
      <c r="AJ677" s="6" t="s">
        <v>115</v>
      </c>
    </row>
    <row r="678" spans="1:36" ht="15.75" customHeight="1" x14ac:dyDescent="0.25">
      <c r="A678" s="7">
        <v>43419.117830381947</v>
      </c>
      <c r="B678" s="6" t="s">
        <v>103</v>
      </c>
      <c r="C678" s="6" t="s">
        <v>95</v>
      </c>
      <c r="D678" s="6" t="s">
        <v>165</v>
      </c>
      <c r="E678" s="6" t="s">
        <v>81</v>
      </c>
      <c r="G678" s="6" t="s">
        <v>87</v>
      </c>
      <c r="J678" s="6" t="s">
        <v>64</v>
      </c>
      <c r="K678" s="6"/>
      <c r="L678" s="6" t="s">
        <v>2386</v>
      </c>
      <c r="M678" s="6"/>
      <c r="N678" s="6" t="s">
        <v>98</v>
      </c>
      <c r="O678" s="6"/>
      <c r="P678" s="6" t="s">
        <v>94</v>
      </c>
      <c r="Q678" s="6"/>
      <c r="R678" s="47" t="s">
        <v>254</v>
      </c>
      <c r="S678" s="14" t="s">
        <v>4826</v>
      </c>
      <c r="T678" s="14" t="s">
        <v>5233</v>
      </c>
      <c r="AA678" s="6"/>
      <c r="AB678" s="6" t="s">
        <v>67</v>
      </c>
      <c r="AC678" s="6"/>
      <c r="AD678" s="6" t="s">
        <v>56</v>
      </c>
      <c r="AE678" s="6"/>
      <c r="AF678" s="6" t="s">
        <v>161</v>
      </c>
      <c r="AG678" s="6"/>
      <c r="AH678" s="6" t="s">
        <v>76</v>
      </c>
      <c r="AI678" s="6"/>
      <c r="AJ678" s="6" t="s">
        <v>77</v>
      </c>
    </row>
    <row r="679" spans="1:36" ht="15.75" customHeight="1" x14ac:dyDescent="0.25">
      <c r="A679" s="7">
        <v>43419.120425983798</v>
      </c>
      <c r="B679" s="6" t="s">
        <v>60</v>
      </c>
      <c r="C679" s="6" t="s">
        <v>378</v>
      </c>
      <c r="D679" s="6" t="s">
        <v>163</v>
      </c>
      <c r="E679" s="6" t="s">
        <v>48</v>
      </c>
      <c r="F679" s="6" t="s">
        <v>2389</v>
      </c>
      <c r="G679" s="6" t="s">
        <v>48</v>
      </c>
      <c r="H679" s="6" t="s">
        <v>2390</v>
      </c>
      <c r="I679" s="6"/>
      <c r="J679" s="6" t="s">
        <v>89</v>
      </c>
      <c r="K679" s="6"/>
      <c r="L679" s="6" t="s">
        <v>2391</v>
      </c>
      <c r="M679" s="6"/>
      <c r="N679" s="6" t="s">
        <v>181</v>
      </c>
      <c r="O679" s="6"/>
      <c r="P679" s="6" t="s">
        <v>131</v>
      </c>
      <c r="Q679" s="6"/>
      <c r="R679" s="47" t="s">
        <v>651</v>
      </c>
      <c r="S679" s="14" t="s">
        <v>5234</v>
      </c>
      <c r="T679" s="14" t="s">
        <v>5235</v>
      </c>
      <c r="U679" s="14" t="s">
        <v>5236</v>
      </c>
      <c r="AA679" s="6"/>
      <c r="AB679" s="6" t="s">
        <v>67</v>
      </c>
      <c r="AC679" s="6"/>
      <c r="AD679" s="6" t="s">
        <v>56</v>
      </c>
      <c r="AE679" s="6"/>
      <c r="AF679" s="6" t="s">
        <v>68</v>
      </c>
      <c r="AG679" s="6"/>
      <c r="AH679" s="6" t="s">
        <v>58</v>
      </c>
      <c r="AI679" s="6"/>
      <c r="AJ679" s="6" t="s">
        <v>77</v>
      </c>
    </row>
    <row r="680" spans="1:36" ht="15.75" customHeight="1" x14ac:dyDescent="0.25">
      <c r="A680" s="7">
        <v>43419.1221390625</v>
      </c>
      <c r="B680" s="6" t="s">
        <v>154</v>
      </c>
      <c r="C680" s="6" t="s">
        <v>95</v>
      </c>
      <c r="D680" s="6" t="s">
        <v>46</v>
      </c>
      <c r="E680" s="6" t="s">
        <v>81</v>
      </c>
      <c r="G680" s="6" t="s">
        <v>87</v>
      </c>
      <c r="J680" s="6" t="s">
        <v>106</v>
      </c>
      <c r="K680" s="6"/>
      <c r="L680" s="6" t="s">
        <v>2393</v>
      </c>
      <c r="M680" s="6"/>
      <c r="N680" s="6" t="s">
        <v>121</v>
      </c>
      <c r="O680" s="6"/>
      <c r="P680" s="6" t="s">
        <v>131</v>
      </c>
      <c r="Q680" s="6"/>
      <c r="R680" s="47" t="s">
        <v>192</v>
      </c>
      <c r="AA680" s="6"/>
      <c r="AB680" s="6" t="s">
        <v>55</v>
      </c>
      <c r="AC680" s="6"/>
      <c r="AD680" s="6" t="s">
        <v>109</v>
      </c>
      <c r="AE680" s="6"/>
      <c r="AF680" s="6" t="s">
        <v>75</v>
      </c>
      <c r="AG680" s="6"/>
      <c r="AH680" s="6" t="s">
        <v>58</v>
      </c>
      <c r="AI680" s="6"/>
      <c r="AJ680" s="6" t="s">
        <v>77</v>
      </c>
    </row>
    <row r="681" spans="1:36" ht="15.75" customHeight="1" x14ac:dyDescent="0.25">
      <c r="A681" s="7">
        <v>43419.127237499997</v>
      </c>
      <c r="B681" s="6" t="s">
        <v>60</v>
      </c>
      <c r="C681" s="6" t="s">
        <v>215</v>
      </c>
      <c r="D681" s="6" t="s">
        <v>165</v>
      </c>
      <c r="E681" s="6" t="s">
        <v>48</v>
      </c>
      <c r="G681" s="6" t="s">
        <v>48</v>
      </c>
      <c r="H681" s="6" t="s">
        <v>2395</v>
      </c>
      <c r="I681" s="6"/>
      <c r="J681" s="6" t="s">
        <v>110</v>
      </c>
      <c r="K681" s="6"/>
      <c r="L681" s="6" t="s">
        <v>2396</v>
      </c>
      <c r="M681" s="6"/>
      <c r="N681" s="6" t="s">
        <v>212</v>
      </c>
      <c r="O681" s="6"/>
      <c r="P681" s="6" t="s">
        <v>131</v>
      </c>
      <c r="Q681" s="6"/>
      <c r="R681" s="47" t="s">
        <v>143</v>
      </c>
      <c r="S681" s="14" t="s">
        <v>4407</v>
      </c>
      <c r="AA681" s="6"/>
      <c r="AB681" s="6" t="s">
        <v>67</v>
      </c>
      <c r="AC681" s="6"/>
      <c r="AD681" s="6" t="s">
        <v>56</v>
      </c>
      <c r="AE681" s="6"/>
      <c r="AF681" s="6" t="s">
        <v>75</v>
      </c>
      <c r="AG681" s="6"/>
      <c r="AH681" s="6" t="s">
        <v>76</v>
      </c>
      <c r="AI681" s="6"/>
      <c r="AJ681" s="6" t="s">
        <v>77</v>
      </c>
    </row>
    <row r="682" spans="1:36" ht="15.75" customHeight="1" x14ac:dyDescent="0.25">
      <c r="A682" s="7">
        <v>43419.128773159726</v>
      </c>
      <c r="B682" s="6" t="s">
        <v>26</v>
      </c>
      <c r="C682" s="6" t="s">
        <v>116</v>
      </c>
      <c r="D682" s="6" t="s">
        <v>133</v>
      </c>
      <c r="E682" s="6" t="s">
        <v>81</v>
      </c>
      <c r="G682" s="6" t="s">
        <v>87</v>
      </c>
      <c r="H682" s="6" t="s">
        <v>2400</v>
      </c>
      <c r="I682" s="6"/>
      <c r="J682" s="6" t="s">
        <v>50</v>
      </c>
      <c r="K682" s="6"/>
      <c r="L682" s="6" t="s">
        <v>2402</v>
      </c>
      <c r="M682" s="6"/>
      <c r="N682" s="6" t="s">
        <v>98</v>
      </c>
      <c r="O682" s="6"/>
      <c r="P682" s="6" t="s">
        <v>94</v>
      </c>
      <c r="Q682" s="6"/>
      <c r="R682" s="47" t="s">
        <v>651</v>
      </c>
      <c r="S682" s="14" t="s">
        <v>5136</v>
      </c>
      <c r="T682" s="14" t="s">
        <v>4702</v>
      </c>
      <c r="U682" s="14" t="s">
        <v>5237</v>
      </c>
      <c r="AA682" s="6"/>
      <c r="AB682" s="6" t="s">
        <v>67</v>
      </c>
      <c r="AC682" s="6"/>
      <c r="AD682" s="6" t="s">
        <v>56</v>
      </c>
      <c r="AE682" s="6"/>
      <c r="AF682" s="6" t="s">
        <v>161</v>
      </c>
      <c r="AG682" s="6"/>
      <c r="AH682" s="6" t="s">
        <v>76</v>
      </c>
      <c r="AI682" s="6"/>
      <c r="AJ682" s="6" t="s">
        <v>309</v>
      </c>
    </row>
    <row r="683" spans="1:36" ht="15.75" customHeight="1" x14ac:dyDescent="0.25">
      <c r="A683" s="7">
        <v>43419.129055034718</v>
      </c>
      <c r="B683" s="6" t="s">
        <v>60</v>
      </c>
      <c r="C683" s="6" t="s">
        <v>128</v>
      </c>
      <c r="D683" s="6" t="s">
        <v>163</v>
      </c>
      <c r="E683" s="6" t="s">
        <v>81</v>
      </c>
      <c r="G683" s="6" t="s">
        <v>87</v>
      </c>
      <c r="J683" s="6" t="s">
        <v>92</v>
      </c>
      <c r="K683" s="6"/>
      <c r="N683" s="6" t="s">
        <v>121</v>
      </c>
      <c r="O683" s="6"/>
      <c r="P683" s="6" t="s">
        <v>94</v>
      </c>
      <c r="Q683" s="6"/>
      <c r="AA683" s="6"/>
      <c r="AB683" s="6" t="s">
        <v>55</v>
      </c>
      <c r="AC683" s="6"/>
      <c r="AD683" s="6" t="s">
        <v>109</v>
      </c>
      <c r="AE683" s="6"/>
      <c r="AF683" s="6" t="s">
        <v>68</v>
      </c>
      <c r="AG683" s="6"/>
      <c r="AH683" s="6" t="s">
        <v>57</v>
      </c>
      <c r="AJ683" s="12" t="s">
        <v>57</v>
      </c>
    </row>
    <row r="684" spans="1:36" ht="15.75" customHeight="1" x14ac:dyDescent="0.25">
      <c r="A684" s="7">
        <v>43419.129989745372</v>
      </c>
      <c r="B684" s="6" t="s">
        <v>60</v>
      </c>
      <c r="C684" s="6" t="s">
        <v>61</v>
      </c>
      <c r="D684" s="6" t="s">
        <v>163</v>
      </c>
      <c r="E684" s="6" t="s">
        <v>48</v>
      </c>
      <c r="F684" s="6" t="s">
        <v>2410</v>
      </c>
      <c r="G684" s="6" t="s">
        <v>48</v>
      </c>
      <c r="H684" s="6" t="s">
        <v>2411</v>
      </c>
      <c r="I684" s="6"/>
      <c r="J684" s="6" t="s">
        <v>50</v>
      </c>
      <c r="K684" s="6"/>
      <c r="L684" s="6" t="s">
        <v>2413</v>
      </c>
      <c r="M684" s="6"/>
      <c r="N684" s="6" t="s">
        <v>93</v>
      </c>
      <c r="O684" s="6"/>
      <c r="P684" s="6" t="s">
        <v>131</v>
      </c>
      <c r="Q684" s="6"/>
      <c r="AA684" s="6"/>
      <c r="AB684" s="6" t="s">
        <v>67</v>
      </c>
      <c r="AC684" s="6"/>
      <c r="AD684" s="6" t="s">
        <v>56</v>
      </c>
      <c r="AE684" s="6"/>
      <c r="AF684" s="6" t="s">
        <v>68</v>
      </c>
      <c r="AG684" s="6"/>
      <c r="AH684" s="6" t="s">
        <v>58</v>
      </c>
      <c r="AI684" s="6"/>
      <c r="AJ684" s="6" t="s">
        <v>187</v>
      </c>
    </row>
    <row r="685" spans="1:36" ht="15.75" customHeight="1" x14ac:dyDescent="0.25">
      <c r="A685" s="7">
        <v>43419.130239085644</v>
      </c>
      <c r="B685" s="6" t="s">
        <v>294</v>
      </c>
      <c r="C685" s="6" t="s">
        <v>237</v>
      </c>
      <c r="D685" s="6" t="s">
        <v>46</v>
      </c>
      <c r="E685" s="6" t="s">
        <v>81</v>
      </c>
      <c r="G685" s="6" t="s">
        <v>87</v>
      </c>
      <c r="J685" s="6" t="s">
        <v>92</v>
      </c>
      <c r="K685" s="6"/>
      <c r="N685" s="6" t="s">
        <v>93</v>
      </c>
      <c r="O685" s="6"/>
      <c r="P685" s="6" t="s">
        <v>94</v>
      </c>
      <c r="Q685" s="6"/>
      <c r="AA685" s="6"/>
      <c r="AB685" s="6" t="s">
        <v>101</v>
      </c>
      <c r="AC685" s="6"/>
      <c r="AD685" s="6" t="s">
        <v>56</v>
      </c>
      <c r="AE685" s="6"/>
      <c r="AF685" s="6" t="s">
        <v>68</v>
      </c>
      <c r="AG685" s="6"/>
      <c r="AH685" s="6" t="s">
        <v>58</v>
      </c>
      <c r="AJ685" s="12" t="s">
        <v>57</v>
      </c>
    </row>
    <row r="686" spans="1:36" ht="15.75" customHeight="1" x14ac:dyDescent="0.25">
      <c r="A686" s="7">
        <v>43419.132446250005</v>
      </c>
      <c r="B686" s="6" t="s">
        <v>154</v>
      </c>
      <c r="C686" s="6" t="s">
        <v>2418</v>
      </c>
      <c r="D686" s="6" t="s">
        <v>163</v>
      </c>
      <c r="E686" s="6" t="s">
        <v>81</v>
      </c>
      <c r="G686" s="6" t="s">
        <v>87</v>
      </c>
      <c r="H686" s="6" t="s">
        <v>2420</v>
      </c>
      <c r="I686" s="6"/>
      <c r="J686" s="6" t="s">
        <v>73</v>
      </c>
      <c r="K686" s="6"/>
      <c r="L686" s="6" t="s">
        <v>2421</v>
      </c>
      <c r="M686" s="6"/>
      <c r="N686" s="6" t="s">
        <v>98</v>
      </c>
      <c r="O686" s="6"/>
      <c r="P686" s="6" t="s">
        <v>94</v>
      </c>
      <c r="Q686" s="6"/>
      <c r="R686" s="47" t="s">
        <v>254</v>
      </c>
      <c r="S686" s="14" t="s">
        <v>4527</v>
      </c>
      <c r="AA686" s="6"/>
      <c r="AB686" s="6" t="s">
        <v>67</v>
      </c>
      <c r="AC686" s="6"/>
      <c r="AD686" s="6" t="s">
        <v>56</v>
      </c>
      <c r="AE686" s="6"/>
      <c r="AF686" s="6" t="s">
        <v>75</v>
      </c>
      <c r="AG686" s="6"/>
      <c r="AH686" s="6" t="s">
        <v>76</v>
      </c>
      <c r="AI686" s="6"/>
      <c r="AJ686" s="6" t="s">
        <v>77</v>
      </c>
    </row>
    <row r="687" spans="1:36" ht="15.75" customHeight="1" x14ac:dyDescent="0.25">
      <c r="A687" s="7">
        <v>43419.132608749998</v>
      </c>
      <c r="B687" s="6" t="s">
        <v>30</v>
      </c>
      <c r="C687" s="6" t="s">
        <v>90</v>
      </c>
      <c r="D687" s="6" t="s">
        <v>46</v>
      </c>
      <c r="E687" s="6" t="s">
        <v>81</v>
      </c>
      <c r="G687" s="6" t="s">
        <v>87</v>
      </c>
      <c r="J687" s="6" t="s">
        <v>92</v>
      </c>
      <c r="K687" s="6"/>
      <c r="L687" s="6" t="s">
        <v>2426</v>
      </c>
      <c r="M687" s="6"/>
      <c r="N687" s="6" t="s">
        <v>121</v>
      </c>
      <c r="O687" s="6"/>
      <c r="P687" s="6" t="s">
        <v>94</v>
      </c>
      <c r="Q687" s="6"/>
      <c r="R687" s="47" t="s">
        <v>2428</v>
      </c>
      <c r="AA687" s="6"/>
      <c r="AB687" s="6" t="s">
        <v>101</v>
      </c>
      <c r="AC687" s="6"/>
      <c r="AD687" s="6" t="s">
        <v>56</v>
      </c>
      <c r="AE687" s="6"/>
      <c r="AF687" s="6" t="s">
        <v>68</v>
      </c>
      <c r="AG687" s="6"/>
      <c r="AH687" s="6" t="s">
        <v>58</v>
      </c>
      <c r="AI687" s="6"/>
      <c r="AJ687" s="6" t="s">
        <v>77</v>
      </c>
    </row>
    <row r="688" spans="1:36" ht="15.75" customHeight="1" x14ac:dyDescent="0.25">
      <c r="A688" s="7">
        <v>43419.136314594907</v>
      </c>
      <c r="B688" s="6" t="s">
        <v>30</v>
      </c>
      <c r="C688" s="6" t="s">
        <v>306</v>
      </c>
      <c r="D688" s="6" t="s">
        <v>261</v>
      </c>
      <c r="E688" s="6" t="s">
        <v>48</v>
      </c>
      <c r="F688" s="6" t="s">
        <v>2431</v>
      </c>
      <c r="G688" s="6" t="s">
        <v>48</v>
      </c>
      <c r="H688" s="6" t="s">
        <v>2432</v>
      </c>
      <c r="I688" s="6"/>
      <c r="J688" s="6" t="s">
        <v>110</v>
      </c>
      <c r="K688" s="6"/>
      <c r="L688" s="6" t="s">
        <v>2433</v>
      </c>
      <c r="M688" s="6"/>
      <c r="N688" s="6" t="s">
        <v>51</v>
      </c>
      <c r="O688" s="6"/>
      <c r="P688" s="6" t="s">
        <v>52</v>
      </c>
      <c r="Q688" s="6"/>
      <c r="AA688" s="6"/>
      <c r="AB688" s="6" t="s">
        <v>67</v>
      </c>
      <c r="AC688" s="6"/>
      <c r="AD688" s="6" t="s">
        <v>56</v>
      </c>
      <c r="AE688" s="6"/>
      <c r="AF688" s="6" t="s">
        <v>68</v>
      </c>
      <c r="AG688" s="6"/>
      <c r="AH688" s="6" t="s">
        <v>126</v>
      </c>
      <c r="AI688" s="6"/>
      <c r="AJ688" s="6" t="s">
        <v>59</v>
      </c>
    </row>
    <row r="689" spans="1:36" ht="15.75" customHeight="1" x14ac:dyDescent="0.25">
      <c r="A689" s="7">
        <v>43419.13669767361</v>
      </c>
      <c r="B689" s="6" t="s">
        <v>60</v>
      </c>
      <c r="C689" s="6" t="s">
        <v>434</v>
      </c>
      <c r="D689" s="6" t="s">
        <v>133</v>
      </c>
      <c r="E689" s="6" t="s">
        <v>81</v>
      </c>
      <c r="G689" s="6" t="s">
        <v>87</v>
      </c>
      <c r="H689" s="6" t="s">
        <v>2436</v>
      </c>
      <c r="I689" s="6"/>
      <c r="J689" s="6" t="s">
        <v>106</v>
      </c>
      <c r="K689" s="6"/>
      <c r="L689" s="6" t="s">
        <v>2437</v>
      </c>
      <c r="M689" s="6"/>
      <c r="N689" s="6" t="s">
        <v>121</v>
      </c>
      <c r="O689" s="6"/>
      <c r="P689" s="6" t="s">
        <v>131</v>
      </c>
      <c r="Q689" s="6"/>
      <c r="R689" s="47" t="s">
        <v>2438</v>
      </c>
      <c r="AA689" s="6"/>
      <c r="AB689" s="6" t="s">
        <v>67</v>
      </c>
      <c r="AC689" s="6"/>
      <c r="AD689" s="6" t="s">
        <v>56</v>
      </c>
      <c r="AE689" s="6"/>
      <c r="AF689" s="6" t="s">
        <v>68</v>
      </c>
      <c r="AG689" s="6"/>
      <c r="AH689" s="6" t="s">
        <v>76</v>
      </c>
      <c r="AI689" s="6"/>
      <c r="AJ689" s="6" t="s">
        <v>77</v>
      </c>
    </row>
    <row r="690" spans="1:36" ht="15.75" customHeight="1" x14ac:dyDescent="0.25">
      <c r="A690" s="7">
        <v>43419.137797731484</v>
      </c>
      <c r="B690" s="6" t="s">
        <v>30</v>
      </c>
      <c r="C690" s="6" t="s">
        <v>378</v>
      </c>
      <c r="D690" s="6" t="s">
        <v>165</v>
      </c>
      <c r="E690" s="6" t="s">
        <v>48</v>
      </c>
      <c r="F690" s="6" t="s">
        <v>2441</v>
      </c>
      <c r="G690" s="6" t="s">
        <v>48</v>
      </c>
      <c r="H690" s="6" t="s">
        <v>2443</v>
      </c>
      <c r="I690" s="6"/>
      <c r="J690" s="6" t="s">
        <v>64</v>
      </c>
      <c r="K690" s="6"/>
      <c r="L690" s="6" t="s">
        <v>2444</v>
      </c>
      <c r="M690" s="6"/>
      <c r="N690" s="6" t="s">
        <v>212</v>
      </c>
      <c r="O690" s="6"/>
      <c r="P690" s="6" t="s">
        <v>131</v>
      </c>
      <c r="Q690" s="6"/>
      <c r="R690" s="47" t="s">
        <v>2445</v>
      </c>
      <c r="AA690" s="6"/>
      <c r="AB690" s="6" t="s">
        <v>101</v>
      </c>
      <c r="AC690" s="6"/>
      <c r="AD690" s="6" t="s">
        <v>56</v>
      </c>
      <c r="AE690" s="6"/>
      <c r="AF690" s="6" t="s">
        <v>75</v>
      </c>
      <c r="AG690" s="6"/>
      <c r="AH690" s="6" t="s">
        <v>58</v>
      </c>
      <c r="AI690" s="6"/>
      <c r="AJ690" s="6" t="s">
        <v>77</v>
      </c>
    </row>
    <row r="691" spans="1:36" ht="15.75" customHeight="1" x14ac:dyDescent="0.25">
      <c r="A691" s="7">
        <v>43419.142138703704</v>
      </c>
      <c r="B691" s="6" t="s">
        <v>127</v>
      </c>
      <c r="C691" s="6" t="s">
        <v>1945</v>
      </c>
      <c r="D691" s="6" t="s">
        <v>261</v>
      </c>
      <c r="E691" s="6" t="s">
        <v>48</v>
      </c>
      <c r="F691" s="6" t="s">
        <v>2448</v>
      </c>
      <c r="G691" s="6" t="s">
        <v>48</v>
      </c>
      <c r="H691" s="6" t="s">
        <v>2450</v>
      </c>
      <c r="I691" s="6"/>
      <c r="J691" s="6" t="s">
        <v>92</v>
      </c>
      <c r="K691" s="6"/>
      <c r="L691" s="6" t="s">
        <v>2451</v>
      </c>
      <c r="M691" s="6"/>
      <c r="N691" s="6" t="s">
        <v>51</v>
      </c>
      <c r="O691" s="6"/>
      <c r="P691" s="6" t="s">
        <v>52</v>
      </c>
      <c r="Q691" s="6"/>
      <c r="R691" s="47" t="s">
        <v>5238</v>
      </c>
      <c r="S691" s="14" t="s">
        <v>5239</v>
      </c>
      <c r="T691" s="14" t="s">
        <v>5240</v>
      </c>
      <c r="U691" s="14" t="s">
        <v>5241</v>
      </c>
      <c r="V691" s="14" t="s">
        <v>5242</v>
      </c>
      <c r="AA691" s="6"/>
      <c r="AB691" s="6" t="s">
        <v>67</v>
      </c>
      <c r="AC691" s="6"/>
      <c r="AD691" s="6" t="s">
        <v>56</v>
      </c>
      <c r="AE691" s="6"/>
      <c r="AF691" s="6" t="s">
        <v>68</v>
      </c>
      <c r="AG691" s="6"/>
      <c r="AH691" s="6" t="s">
        <v>58</v>
      </c>
      <c r="AI691" s="6"/>
      <c r="AJ691" s="6" t="s">
        <v>77</v>
      </c>
    </row>
    <row r="692" spans="1:36" ht="15.75" customHeight="1" x14ac:dyDescent="0.25">
      <c r="A692" s="7">
        <v>43419.142726574079</v>
      </c>
      <c r="B692" s="6" t="s">
        <v>60</v>
      </c>
      <c r="C692" s="6" t="s">
        <v>90</v>
      </c>
      <c r="D692" s="6" t="s">
        <v>91</v>
      </c>
      <c r="E692" s="6" t="s">
        <v>81</v>
      </c>
      <c r="G692" s="6" t="s">
        <v>87</v>
      </c>
      <c r="H692" s="6" t="s">
        <v>2456</v>
      </c>
      <c r="I692" s="6"/>
      <c r="J692" s="6" t="s">
        <v>64</v>
      </c>
      <c r="K692" s="6"/>
      <c r="L692" s="6" t="s">
        <v>2458</v>
      </c>
      <c r="M692" s="6"/>
      <c r="N692" s="6" t="s">
        <v>112</v>
      </c>
      <c r="O692" s="6"/>
      <c r="P692" s="6" t="s">
        <v>52</v>
      </c>
      <c r="Q692" s="6"/>
      <c r="R692" s="47" t="s">
        <v>5243</v>
      </c>
      <c r="S692" s="14" t="s">
        <v>5244</v>
      </c>
      <c r="T692" s="14" t="s">
        <v>5245</v>
      </c>
      <c r="U692" s="14" t="s">
        <v>5246</v>
      </c>
      <c r="AA692" s="6"/>
      <c r="AB692" s="6" t="s">
        <v>67</v>
      </c>
      <c r="AC692" s="6"/>
      <c r="AD692" s="6" t="s">
        <v>56</v>
      </c>
      <c r="AE692" s="6"/>
      <c r="AF692" s="6" t="s">
        <v>161</v>
      </c>
      <c r="AG692" s="6"/>
      <c r="AH692" s="6" t="s">
        <v>76</v>
      </c>
      <c r="AI692" s="6"/>
      <c r="AJ692" s="6" t="s">
        <v>77</v>
      </c>
    </row>
    <row r="693" spans="1:36" ht="15.75" customHeight="1" x14ac:dyDescent="0.25">
      <c r="A693" s="7">
        <v>43419.142956539348</v>
      </c>
      <c r="B693" s="6" t="s">
        <v>30</v>
      </c>
      <c r="C693" s="6" t="s">
        <v>90</v>
      </c>
      <c r="D693" s="6" t="s">
        <v>46</v>
      </c>
      <c r="E693" s="6" t="s">
        <v>81</v>
      </c>
      <c r="G693" s="6" t="s">
        <v>87</v>
      </c>
      <c r="H693" s="6" t="s">
        <v>2462</v>
      </c>
      <c r="I693" s="6"/>
      <c r="J693" s="6" t="s">
        <v>110</v>
      </c>
      <c r="K693" s="6"/>
      <c r="L693" s="6" t="s">
        <v>2398</v>
      </c>
      <c r="M693" s="6"/>
      <c r="N693" s="6" t="s">
        <v>248</v>
      </c>
      <c r="O693" s="6"/>
      <c r="P693" s="6" t="s">
        <v>168</v>
      </c>
      <c r="Q693" s="6"/>
      <c r="R693" s="47" t="s">
        <v>2464</v>
      </c>
      <c r="AA693" s="6"/>
      <c r="AB693" s="6" t="s">
        <v>101</v>
      </c>
      <c r="AC693" s="6"/>
      <c r="AD693" s="6" t="s">
        <v>109</v>
      </c>
      <c r="AE693" s="6"/>
      <c r="AF693" s="6" t="s">
        <v>57</v>
      </c>
      <c r="AG693" s="6"/>
      <c r="AH693" s="6" t="s">
        <v>57</v>
      </c>
      <c r="AI693" s="6"/>
      <c r="AJ693" s="6" t="s">
        <v>77</v>
      </c>
    </row>
    <row r="694" spans="1:36" ht="15.75" customHeight="1" x14ac:dyDescent="0.25">
      <c r="A694" s="7">
        <v>43419.148113692128</v>
      </c>
      <c r="B694" s="6" t="s">
        <v>397</v>
      </c>
      <c r="C694" s="6" t="s">
        <v>322</v>
      </c>
      <c r="D694" s="6" t="s">
        <v>261</v>
      </c>
      <c r="E694" s="6" t="s">
        <v>81</v>
      </c>
      <c r="G694" s="6" t="s">
        <v>87</v>
      </c>
      <c r="H694" s="6" t="s">
        <v>2466</v>
      </c>
      <c r="I694" s="6"/>
      <c r="J694" s="6" t="s">
        <v>64</v>
      </c>
      <c r="K694" s="6"/>
      <c r="L694" s="6" t="s">
        <v>2467</v>
      </c>
      <c r="M694" s="6"/>
      <c r="N694" s="6" t="s">
        <v>51</v>
      </c>
      <c r="O694" s="6"/>
      <c r="P694" s="6" t="s">
        <v>65</v>
      </c>
      <c r="Q694" s="6"/>
      <c r="R694" s="47" t="s">
        <v>182</v>
      </c>
      <c r="AA694" s="6"/>
      <c r="AB694" s="6" t="s">
        <v>67</v>
      </c>
      <c r="AC694" s="6"/>
      <c r="AD694" s="6" t="s">
        <v>56</v>
      </c>
      <c r="AE694" s="6"/>
      <c r="AF694" s="6" t="s">
        <v>205</v>
      </c>
      <c r="AG694" s="6"/>
      <c r="AH694" s="6" t="s">
        <v>57</v>
      </c>
      <c r="AI694" s="6"/>
      <c r="AJ694" s="6" t="s">
        <v>233</v>
      </c>
    </row>
    <row r="695" spans="1:36" ht="15.75" customHeight="1" x14ac:dyDescent="0.25">
      <c r="A695" s="7">
        <v>43419.148253946754</v>
      </c>
      <c r="B695" s="6" t="s">
        <v>2469</v>
      </c>
      <c r="C695" s="6" t="s">
        <v>79</v>
      </c>
      <c r="D695" s="6" t="s">
        <v>46</v>
      </c>
      <c r="E695" s="6" t="s">
        <v>48</v>
      </c>
      <c r="F695" s="6" t="s">
        <v>586</v>
      </c>
      <c r="H695" s="6" t="s">
        <v>2471</v>
      </c>
      <c r="I695" s="6"/>
      <c r="J695" s="6" t="s">
        <v>92</v>
      </c>
      <c r="K695" s="6"/>
      <c r="L695" s="6" t="s">
        <v>2473</v>
      </c>
      <c r="M695" s="6"/>
      <c r="N695" s="6" t="s">
        <v>98</v>
      </c>
      <c r="O695" s="6"/>
      <c r="P695" s="6" t="s">
        <v>94</v>
      </c>
      <c r="Q695" s="6"/>
      <c r="R695" s="47" t="s">
        <v>5247</v>
      </c>
      <c r="S695" s="14" t="s">
        <v>5248</v>
      </c>
      <c r="T695" s="14" t="s">
        <v>5249</v>
      </c>
      <c r="U695" s="14" t="s">
        <v>4596</v>
      </c>
      <c r="V695" s="14" t="s">
        <v>4465</v>
      </c>
      <c r="W695" s="14" t="s">
        <v>4649</v>
      </c>
      <c r="AA695" s="6"/>
      <c r="AB695" s="6" t="s">
        <v>67</v>
      </c>
      <c r="AC695" s="6"/>
      <c r="AD695" s="6" t="s">
        <v>56</v>
      </c>
      <c r="AE695" s="6"/>
      <c r="AF695" s="6" t="s">
        <v>75</v>
      </c>
      <c r="AG695" s="6"/>
      <c r="AH695" s="6" t="s">
        <v>126</v>
      </c>
      <c r="AI695" s="6"/>
      <c r="AJ695" s="6" t="s">
        <v>233</v>
      </c>
    </row>
    <row r="696" spans="1:36" ht="15.75" customHeight="1" x14ac:dyDescent="0.25">
      <c r="A696" s="7">
        <v>43419.148875555555</v>
      </c>
      <c r="B696" s="6" t="s">
        <v>30</v>
      </c>
      <c r="C696" s="6" t="s">
        <v>237</v>
      </c>
      <c r="D696" s="6" t="s">
        <v>46</v>
      </c>
      <c r="E696" s="6" t="s">
        <v>48</v>
      </c>
      <c r="F696" s="6" t="s">
        <v>586</v>
      </c>
      <c r="G696" s="6" t="s">
        <v>48</v>
      </c>
      <c r="H696" s="6" t="s">
        <v>2476</v>
      </c>
      <c r="I696" s="6"/>
      <c r="J696" s="6" t="s">
        <v>89</v>
      </c>
      <c r="K696" s="6"/>
      <c r="L696" s="6" t="s">
        <v>2399</v>
      </c>
      <c r="M696" s="6"/>
      <c r="N696" s="6" t="s">
        <v>212</v>
      </c>
      <c r="O696" s="6"/>
      <c r="P696" s="6" t="s">
        <v>131</v>
      </c>
      <c r="Q696" s="6"/>
      <c r="R696" s="47" t="s">
        <v>2808</v>
      </c>
      <c r="S696" s="14" t="s">
        <v>5250</v>
      </c>
      <c r="AA696" s="6"/>
      <c r="AB696" s="6" t="s">
        <v>67</v>
      </c>
      <c r="AC696" s="6"/>
      <c r="AD696" s="6" t="s">
        <v>109</v>
      </c>
      <c r="AE696" s="6"/>
      <c r="AF696" s="6" t="s">
        <v>68</v>
      </c>
      <c r="AG696" s="6"/>
      <c r="AH696" s="6" t="s">
        <v>58</v>
      </c>
      <c r="AI696" s="6"/>
      <c r="AJ696" s="6" t="s">
        <v>77</v>
      </c>
    </row>
    <row r="697" spans="1:36" ht="15.75" customHeight="1" x14ac:dyDescent="0.25">
      <c r="A697" s="7">
        <v>43419.156191793983</v>
      </c>
      <c r="B697" s="6" t="s">
        <v>30</v>
      </c>
      <c r="C697" s="6" t="s">
        <v>116</v>
      </c>
      <c r="D697" s="6" t="s">
        <v>46</v>
      </c>
      <c r="E697" s="6" t="s">
        <v>81</v>
      </c>
      <c r="G697" s="6" t="s">
        <v>87</v>
      </c>
      <c r="J697" s="6" t="s">
        <v>158</v>
      </c>
      <c r="K697" s="6"/>
      <c r="L697" s="6" t="s">
        <v>2481</v>
      </c>
      <c r="M697" s="6"/>
      <c r="N697" s="6" t="s">
        <v>167</v>
      </c>
      <c r="O697" s="6"/>
      <c r="P697" s="6" t="s">
        <v>168</v>
      </c>
      <c r="Q697" s="6"/>
      <c r="R697" s="47" t="s">
        <v>192</v>
      </c>
      <c r="S697" s="14" t="s">
        <v>4753</v>
      </c>
      <c r="T697" s="14" t="s">
        <v>5251</v>
      </c>
      <c r="U697" s="14" t="s">
        <v>4911</v>
      </c>
      <c r="V697" s="14" t="s">
        <v>4921</v>
      </c>
      <c r="W697" s="14" t="s">
        <v>5252</v>
      </c>
      <c r="AA697" s="6"/>
      <c r="AB697" s="6" t="s">
        <v>67</v>
      </c>
      <c r="AC697" s="6"/>
      <c r="AD697" s="6" t="s">
        <v>56</v>
      </c>
      <c r="AE697" s="6"/>
      <c r="AF697" s="6" t="s">
        <v>68</v>
      </c>
      <c r="AG697" s="6"/>
      <c r="AH697" s="6" t="s">
        <v>58</v>
      </c>
      <c r="AI697" s="6"/>
      <c r="AJ697" s="6" t="s">
        <v>77</v>
      </c>
    </row>
    <row r="698" spans="1:36" ht="15.75" customHeight="1" x14ac:dyDescent="0.25">
      <c r="A698" s="7">
        <v>43419.158663043985</v>
      </c>
      <c r="B698" s="6" t="s">
        <v>60</v>
      </c>
      <c r="C698" s="6" t="s">
        <v>1933</v>
      </c>
      <c r="D698" s="6" t="s">
        <v>138</v>
      </c>
      <c r="E698" s="6" t="s">
        <v>81</v>
      </c>
      <c r="G698" s="6" t="s">
        <v>87</v>
      </c>
      <c r="H698" s="6" t="s">
        <v>2487</v>
      </c>
      <c r="I698" s="6"/>
      <c r="J698" s="6" t="s">
        <v>92</v>
      </c>
      <c r="K698" s="6"/>
      <c r="L698" s="6" t="s">
        <v>2488</v>
      </c>
      <c r="M698" s="6"/>
      <c r="N698" s="6" t="s">
        <v>98</v>
      </c>
      <c r="O698" s="6"/>
      <c r="P698" s="6" t="s">
        <v>94</v>
      </c>
      <c r="Q698" s="6"/>
      <c r="R698" s="47" t="s">
        <v>2490</v>
      </c>
      <c r="AA698" s="6"/>
      <c r="AB698" s="6" t="s">
        <v>101</v>
      </c>
      <c r="AC698" s="6"/>
      <c r="AD698" s="6" t="s">
        <v>56</v>
      </c>
      <c r="AE698" s="6"/>
      <c r="AF698" s="6" t="s">
        <v>68</v>
      </c>
      <c r="AG698" s="6"/>
      <c r="AH698" s="6" t="s">
        <v>57</v>
      </c>
      <c r="AI698" s="6"/>
      <c r="AJ698" s="6" t="s">
        <v>363</v>
      </c>
    </row>
    <row r="699" spans="1:36" ht="15.75" customHeight="1" x14ac:dyDescent="0.25">
      <c r="A699" s="7">
        <v>43419.160895000001</v>
      </c>
      <c r="B699" s="6" t="s">
        <v>30</v>
      </c>
      <c r="C699" s="6" t="s">
        <v>116</v>
      </c>
      <c r="D699" s="6" t="s">
        <v>46</v>
      </c>
      <c r="E699" s="6" t="s">
        <v>48</v>
      </c>
      <c r="F699" s="6" t="s">
        <v>2493</v>
      </c>
      <c r="G699" s="6" t="s">
        <v>48</v>
      </c>
      <c r="H699" s="6" t="s">
        <v>2494</v>
      </c>
      <c r="I699" s="6"/>
      <c r="J699" s="6" t="s">
        <v>73</v>
      </c>
      <c r="K699" s="6"/>
      <c r="L699" s="6" t="s">
        <v>2495</v>
      </c>
      <c r="M699" s="6"/>
      <c r="N699" s="6" t="s">
        <v>112</v>
      </c>
      <c r="O699" s="6"/>
      <c r="P699" s="6" t="s">
        <v>99</v>
      </c>
      <c r="Q699" s="6"/>
      <c r="R699" s="47" t="s">
        <v>5109</v>
      </c>
      <c r="S699" s="14" t="s">
        <v>4962</v>
      </c>
      <c r="AA699" s="6"/>
      <c r="AB699" s="6" t="s">
        <v>67</v>
      </c>
      <c r="AC699" s="6"/>
      <c r="AD699" s="6" t="s">
        <v>56</v>
      </c>
      <c r="AE699" s="6"/>
      <c r="AF699" s="6" t="s">
        <v>75</v>
      </c>
      <c r="AG699" s="6"/>
      <c r="AH699" s="6" t="s">
        <v>76</v>
      </c>
      <c r="AI699" s="6"/>
      <c r="AJ699" s="11" t="s">
        <v>396</v>
      </c>
    </row>
    <row r="700" spans="1:36" ht="15.75" customHeight="1" x14ac:dyDescent="0.25">
      <c r="A700" s="7">
        <v>43419.169020682872</v>
      </c>
      <c r="B700" s="6" t="s">
        <v>294</v>
      </c>
      <c r="C700" s="6" t="s">
        <v>90</v>
      </c>
      <c r="D700" s="6" t="s">
        <v>163</v>
      </c>
      <c r="E700" s="6" t="s">
        <v>81</v>
      </c>
      <c r="G700" s="6" t="s">
        <v>87</v>
      </c>
      <c r="H700" s="6" t="s">
        <v>2500</v>
      </c>
      <c r="I700" s="6"/>
      <c r="J700" s="6" t="s">
        <v>92</v>
      </c>
      <c r="K700" s="6"/>
      <c r="L700" s="6" t="s">
        <v>2274</v>
      </c>
      <c r="M700" s="6"/>
      <c r="N700" s="6" t="s">
        <v>121</v>
      </c>
      <c r="O700" s="6"/>
      <c r="P700" s="6" t="s">
        <v>94</v>
      </c>
      <c r="Q700" s="6"/>
      <c r="R700" s="47" t="s">
        <v>1562</v>
      </c>
      <c r="S700" s="14" t="s">
        <v>4412</v>
      </c>
      <c r="T700" s="14" t="s">
        <v>4647</v>
      </c>
      <c r="U700" s="14" t="s">
        <v>4420</v>
      </c>
      <c r="V700" s="14" t="s">
        <v>4573</v>
      </c>
      <c r="W700" s="14" t="s">
        <v>5253</v>
      </c>
      <c r="X700" s="14" t="s">
        <v>5254</v>
      </c>
      <c r="Y700" s="14" t="s">
        <v>5255</v>
      </c>
      <c r="AA700" s="6"/>
      <c r="AB700" s="6" t="s">
        <v>55</v>
      </c>
      <c r="AC700" s="6"/>
      <c r="AD700" s="6" t="s">
        <v>56</v>
      </c>
      <c r="AE700" s="6"/>
      <c r="AF700" s="6" t="s">
        <v>75</v>
      </c>
      <c r="AG700" s="6"/>
      <c r="AH700" s="6" t="s">
        <v>58</v>
      </c>
      <c r="AI700" s="6"/>
      <c r="AJ700" s="6" t="s">
        <v>77</v>
      </c>
    </row>
    <row r="701" spans="1:36" ht="15.75" customHeight="1" x14ac:dyDescent="0.25">
      <c r="A701" s="7">
        <v>43419.176865381945</v>
      </c>
      <c r="B701" s="6" t="s">
        <v>30</v>
      </c>
      <c r="C701" s="6" t="s">
        <v>95</v>
      </c>
      <c r="D701" s="6" t="s">
        <v>165</v>
      </c>
      <c r="E701" s="6" t="s">
        <v>48</v>
      </c>
      <c r="F701" s="6" t="s">
        <v>1772</v>
      </c>
      <c r="G701" s="6" t="s">
        <v>48</v>
      </c>
      <c r="H701" s="6" t="s">
        <v>2505</v>
      </c>
      <c r="I701" s="6"/>
      <c r="J701" s="6" t="s">
        <v>158</v>
      </c>
      <c r="K701" s="6"/>
      <c r="L701" s="6" t="s">
        <v>2506</v>
      </c>
      <c r="M701" s="6"/>
      <c r="N701" s="6" t="s">
        <v>212</v>
      </c>
      <c r="O701" s="6"/>
      <c r="P701" s="6" t="s">
        <v>131</v>
      </c>
      <c r="Q701" s="6"/>
      <c r="R701" s="47" t="s">
        <v>2513</v>
      </c>
      <c r="S701" s="14" t="s">
        <v>5081</v>
      </c>
      <c r="T701" s="14" t="s">
        <v>5256</v>
      </c>
      <c r="U701" s="14" t="s">
        <v>4407</v>
      </c>
      <c r="V701" s="14" t="s">
        <v>4419</v>
      </c>
      <c r="AA701" s="6"/>
      <c r="AB701" s="6" t="s">
        <v>67</v>
      </c>
      <c r="AC701" s="6"/>
      <c r="AD701" s="6" t="s">
        <v>56</v>
      </c>
      <c r="AE701" s="6"/>
      <c r="AF701" s="6" t="s">
        <v>68</v>
      </c>
      <c r="AG701" s="6"/>
      <c r="AH701" s="6" t="s">
        <v>57</v>
      </c>
      <c r="AI701" s="6"/>
      <c r="AJ701" s="6" t="s">
        <v>115</v>
      </c>
    </row>
    <row r="702" spans="1:36" ht="15.75" customHeight="1" x14ac:dyDescent="0.25">
      <c r="A702" s="7">
        <v>43419.17975575231</v>
      </c>
      <c r="B702" s="6" t="s">
        <v>30</v>
      </c>
      <c r="C702" s="6" t="s">
        <v>128</v>
      </c>
      <c r="D702" s="6" t="s">
        <v>138</v>
      </c>
      <c r="E702" s="6" t="s">
        <v>48</v>
      </c>
      <c r="F702" s="6" t="s">
        <v>569</v>
      </c>
      <c r="G702" s="6" t="s">
        <v>48</v>
      </c>
      <c r="J702" s="6" t="s">
        <v>50</v>
      </c>
      <c r="K702" s="6"/>
      <c r="L702" s="6" t="s">
        <v>2511</v>
      </c>
      <c r="M702" s="6"/>
      <c r="N702" s="6" t="s">
        <v>181</v>
      </c>
      <c r="O702" s="6"/>
      <c r="P702" s="6" t="s">
        <v>99</v>
      </c>
      <c r="Q702" s="6"/>
      <c r="R702" s="47" t="s">
        <v>2513</v>
      </c>
      <c r="AA702" s="6"/>
      <c r="AB702" s="6" t="s">
        <v>101</v>
      </c>
      <c r="AC702" s="6"/>
      <c r="AD702" s="6" t="s">
        <v>56</v>
      </c>
      <c r="AE702" s="6"/>
      <c r="AF702" s="6" t="s">
        <v>75</v>
      </c>
      <c r="AG702" s="6"/>
      <c r="AH702" s="6" t="s">
        <v>58</v>
      </c>
      <c r="AI702" s="6"/>
      <c r="AJ702" s="6" t="s">
        <v>77</v>
      </c>
    </row>
    <row r="703" spans="1:36" ht="15.75" customHeight="1" x14ac:dyDescent="0.25">
      <c r="A703" s="7">
        <v>43419.184793599532</v>
      </c>
      <c r="B703" s="6" t="s">
        <v>28</v>
      </c>
      <c r="C703" s="6" t="s">
        <v>1422</v>
      </c>
      <c r="D703" s="6" t="s">
        <v>772</v>
      </c>
      <c r="E703" s="6" t="s">
        <v>81</v>
      </c>
      <c r="G703" s="6" t="s">
        <v>48</v>
      </c>
      <c r="H703" s="6" t="s">
        <v>2515</v>
      </c>
      <c r="I703" s="6"/>
      <c r="J703" s="6" t="s">
        <v>92</v>
      </c>
      <c r="K703" s="6"/>
      <c r="L703" s="6" t="s">
        <v>2516</v>
      </c>
      <c r="M703" s="6"/>
      <c r="N703" s="6" t="s">
        <v>212</v>
      </c>
      <c r="O703" s="6"/>
      <c r="P703" s="6" t="s">
        <v>94</v>
      </c>
      <c r="Q703" s="6"/>
      <c r="R703" s="47" t="s">
        <v>2905</v>
      </c>
      <c r="S703" s="14" t="s">
        <v>4647</v>
      </c>
      <c r="T703" s="14" t="s">
        <v>5257</v>
      </c>
      <c r="U703" s="14" t="s">
        <v>5199</v>
      </c>
      <c r="AA703" s="6"/>
      <c r="AB703" s="6" t="s">
        <v>55</v>
      </c>
      <c r="AC703" s="6"/>
      <c r="AD703" s="6" t="s">
        <v>56</v>
      </c>
      <c r="AE703" s="6"/>
      <c r="AF703" s="6" t="s">
        <v>68</v>
      </c>
      <c r="AG703" s="6"/>
      <c r="AH703" s="11" t="s">
        <v>144</v>
      </c>
      <c r="AI703" s="6"/>
      <c r="AJ703" s="6" t="s">
        <v>77</v>
      </c>
    </row>
    <row r="704" spans="1:36" ht="15.75" customHeight="1" x14ac:dyDescent="0.25">
      <c r="A704" s="7">
        <v>43419.190179699071</v>
      </c>
      <c r="B704" s="6" t="s">
        <v>154</v>
      </c>
      <c r="C704" s="6" t="s">
        <v>45</v>
      </c>
      <c r="D704" s="6" t="s">
        <v>165</v>
      </c>
      <c r="E704" s="6" t="s">
        <v>81</v>
      </c>
      <c r="G704" s="6" t="s">
        <v>87</v>
      </c>
      <c r="H704" s="6" t="s">
        <v>2521</v>
      </c>
      <c r="I704" s="6"/>
      <c r="J704" s="6" t="s">
        <v>110</v>
      </c>
      <c r="K704" s="6"/>
      <c r="L704" s="6" t="s">
        <v>2401</v>
      </c>
      <c r="M704" s="6"/>
      <c r="N704" s="6" t="s">
        <v>93</v>
      </c>
      <c r="O704" s="6"/>
      <c r="P704" s="6" t="s">
        <v>94</v>
      </c>
      <c r="Q704" s="6"/>
      <c r="R704" s="47" t="s">
        <v>2346</v>
      </c>
      <c r="S704" s="14" t="s">
        <v>4425</v>
      </c>
      <c r="T704" s="14" t="s">
        <v>4617</v>
      </c>
      <c r="U704" s="14" t="s">
        <v>5258</v>
      </c>
      <c r="AA704" s="6"/>
      <c r="AB704" s="6" t="s">
        <v>67</v>
      </c>
      <c r="AC704" s="6"/>
      <c r="AD704" s="6" t="s">
        <v>56</v>
      </c>
      <c r="AE704" s="6"/>
      <c r="AF704" s="6" t="s">
        <v>161</v>
      </c>
      <c r="AG704" s="6"/>
      <c r="AH704" s="6" t="s">
        <v>76</v>
      </c>
      <c r="AI704" s="6"/>
      <c r="AJ704" s="6" t="s">
        <v>77</v>
      </c>
    </row>
    <row r="705" spans="1:36" ht="15.75" customHeight="1" x14ac:dyDescent="0.25">
      <c r="A705" s="7">
        <v>43419.191801643523</v>
      </c>
      <c r="B705" s="6" t="s">
        <v>30</v>
      </c>
      <c r="C705" s="6" t="s">
        <v>95</v>
      </c>
      <c r="D705" s="6" t="s">
        <v>190</v>
      </c>
      <c r="E705" s="6" t="s">
        <v>48</v>
      </c>
      <c r="F705" s="6" t="s">
        <v>2524</v>
      </c>
      <c r="G705" s="6" t="s">
        <v>48</v>
      </c>
      <c r="H705" s="6" t="s">
        <v>2525</v>
      </c>
      <c r="I705" s="6"/>
      <c r="J705" s="6" t="s">
        <v>73</v>
      </c>
      <c r="K705" s="6"/>
      <c r="L705" s="6" t="s">
        <v>2527</v>
      </c>
      <c r="M705" s="6"/>
      <c r="N705" s="6" t="s">
        <v>112</v>
      </c>
      <c r="O705" s="6"/>
      <c r="P705" s="6" t="s">
        <v>131</v>
      </c>
      <c r="Q705" s="6"/>
      <c r="AB705" s="6" t="s">
        <v>101</v>
      </c>
      <c r="AD705" s="6" t="s">
        <v>56</v>
      </c>
      <c r="AE705" s="6"/>
      <c r="AF705" s="6" t="s">
        <v>68</v>
      </c>
      <c r="AG705" s="6"/>
      <c r="AH705" s="6" t="s">
        <v>57</v>
      </c>
      <c r="AJ705" s="12" t="s">
        <v>57</v>
      </c>
    </row>
    <row r="706" spans="1:36" ht="15.75" customHeight="1" x14ac:dyDescent="0.25">
      <c r="A706" s="7">
        <v>43419.19189574074</v>
      </c>
      <c r="B706" s="6" t="s">
        <v>30</v>
      </c>
      <c r="C706" s="6" t="s">
        <v>45</v>
      </c>
      <c r="D706" s="6" t="s">
        <v>46</v>
      </c>
      <c r="E706" s="6" t="s">
        <v>81</v>
      </c>
      <c r="G706" s="6" t="s">
        <v>87</v>
      </c>
      <c r="H706" s="6" t="s">
        <v>86</v>
      </c>
      <c r="I706" s="6"/>
      <c r="J706" s="6" t="s">
        <v>92</v>
      </c>
      <c r="K706" s="6"/>
      <c r="L706" s="6" t="s">
        <v>2530</v>
      </c>
      <c r="M706" s="6"/>
      <c r="N706" s="6" t="s">
        <v>212</v>
      </c>
      <c r="O706" s="6"/>
      <c r="P706" s="6" t="s">
        <v>131</v>
      </c>
      <c r="Q706" s="6"/>
      <c r="R706" s="47" t="s">
        <v>5259</v>
      </c>
      <c r="S706" s="14" t="s">
        <v>5260</v>
      </c>
      <c r="AA706" s="6"/>
      <c r="AB706" s="6" t="s">
        <v>67</v>
      </c>
      <c r="AC706" s="6"/>
      <c r="AD706" s="6" t="s">
        <v>56</v>
      </c>
      <c r="AE706" s="6"/>
      <c r="AF706" s="6" t="s">
        <v>68</v>
      </c>
      <c r="AG706" s="6"/>
      <c r="AH706" s="6" t="s">
        <v>58</v>
      </c>
      <c r="AI706" s="6"/>
      <c r="AJ706" s="6" t="s">
        <v>77</v>
      </c>
    </row>
    <row r="707" spans="1:36" ht="15.75" customHeight="1" x14ac:dyDescent="0.25">
      <c r="A707" s="7">
        <v>43419.194352268518</v>
      </c>
      <c r="B707" s="6" t="s">
        <v>30</v>
      </c>
      <c r="C707" s="6" t="s">
        <v>95</v>
      </c>
      <c r="D707" s="6" t="s">
        <v>165</v>
      </c>
      <c r="E707" s="6" t="s">
        <v>48</v>
      </c>
      <c r="F707" s="6" t="s">
        <v>2534</v>
      </c>
      <c r="G707" s="6" t="s">
        <v>48</v>
      </c>
      <c r="H707" s="6" t="s">
        <v>2535</v>
      </c>
      <c r="I707" s="6"/>
      <c r="J707" s="6" t="s">
        <v>110</v>
      </c>
      <c r="K707" s="6"/>
      <c r="L707" s="6" t="s">
        <v>2537</v>
      </c>
      <c r="M707" s="6"/>
      <c r="N707" s="6" t="s">
        <v>112</v>
      </c>
      <c r="O707" s="6"/>
      <c r="P707" s="6" t="s">
        <v>94</v>
      </c>
      <c r="Q707" s="6"/>
      <c r="R707" s="47" t="s">
        <v>234</v>
      </c>
      <c r="S707" s="14" t="s">
        <v>5261</v>
      </c>
      <c r="AA707" s="6"/>
      <c r="AB707" s="6" t="s">
        <v>67</v>
      </c>
      <c r="AC707" s="6"/>
      <c r="AD707" s="6" t="s">
        <v>56</v>
      </c>
      <c r="AE707" s="6"/>
      <c r="AF707" s="6" t="s">
        <v>161</v>
      </c>
      <c r="AG707" s="6"/>
      <c r="AH707" s="6" t="s">
        <v>76</v>
      </c>
      <c r="AI707" s="6"/>
      <c r="AJ707" s="6" t="s">
        <v>77</v>
      </c>
    </row>
    <row r="708" spans="1:36" ht="15.75" customHeight="1" x14ac:dyDescent="0.25">
      <c r="A708" s="7">
        <v>43419.194814652779</v>
      </c>
      <c r="B708" s="6" t="s">
        <v>30</v>
      </c>
      <c r="C708" s="6" t="s">
        <v>306</v>
      </c>
      <c r="D708" s="6" t="s">
        <v>91</v>
      </c>
      <c r="E708" s="6" t="s">
        <v>48</v>
      </c>
      <c r="F708" s="6" t="s">
        <v>2543</v>
      </c>
      <c r="G708" s="6" t="s">
        <v>48</v>
      </c>
      <c r="H708" s="6" t="s">
        <v>2544</v>
      </c>
      <c r="I708" s="6"/>
      <c r="J708" s="6" t="s">
        <v>92</v>
      </c>
      <c r="K708" s="6"/>
      <c r="L708" s="6" t="s">
        <v>2545</v>
      </c>
      <c r="M708" s="6"/>
      <c r="N708" s="6" t="s">
        <v>112</v>
      </c>
      <c r="O708" s="6"/>
      <c r="P708" s="6" t="s">
        <v>131</v>
      </c>
      <c r="Q708" s="6"/>
      <c r="R708" s="47" t="s">
        <v>5262</v>
      </c>
      <c r="S708" s="14" t="s">
        <v>4393</v>
      </c>
      <c r="AA708" s="6"/>
      <c r="AB708" s="6" t="s">
        <v>67</v>
      </c>
      <c r="AC708" s="6"/>
      <c r="AD708" s="6" t="s">
        <v>56</v>
      </c>
      <c r="AE708" s="6"/>
      <c r="AF708" s="6" t="s">
        <v>68</v>
      </c>
      <c r="AG708" s="6"/>
      <c r="AH708" s="6" t="s">
        <v>58</v>
      </c>
      <c r="AI708" s="6"/>
      <c r="AJ708" s="6" t="s">
        <v>187</v>
      </c>
    </row>
    <row r="709" spans="1:36" ht="15.75" customHeight="1" x14ac:dyDescent="0.25">
      <c r="A709" s="7">
        <v>43419.199028958334</v>
      </c>
      <c r="B709" s="6" t="s">
        <v>154</v>
      </c>
      <c r="C709" s="6" t="s">
        <v>971</v>
      </c>
      <c r="D709" s="6" t="s">
        <v>46</v>
      </c>
      <c r="E709" s="6" t="s">
        <v>81</v>
      </c>
      <c r="G709" s="6" t="s">
        <v>87</v>
      </c>
      <c r="H709" s="6" t="s">
        <v>2550</v>
      </c>
      <c r="I709" s="6"/>
      <c r="J709" s="6" t="s">
        <v>73</v>
      </c>
      <c r="K709" s="6"/>
      <c r="L709" s="6" t="s">
        <v>2276</v>
      </c>
      <c r="M709" s="6"/>
      <c r="N709" s="6" t="s">
        <v>112</v>
      </c>
      <c r="O709" s="6"/>
      <c r="P709" s="6" t="s">
        <v>131</v>
      </c>
      <c r="Q709" s="6"/>
      <c r="R709" s="47" t="s">
        <v>169</v>
      </c>
      <c r="S709" s="14" t="s">
        <v>4631</v>
      </c>
      <c r="T709" s="14" t="s">
        <v>5122</v>
      </c>
      <c r="U709" s="14" t="s">
        <v>5263</v>
      </c>
      <c r="V709" s="14" t="s">
        <v>4435</v>
      </c>
      <c r="W709" s="14" t="s">
        <v>5264</v>
      </c>
      <c r="X709" s="14" t="s">
        <v>5265</v>
      </c>
      <c r="Y709" s="14" t="s">
        <v>5266</v>
      </c>
      <c r="AA709" s="6"/>
      <c r="AB709" s="6" t="s">
        <v>101</v>
      </c>
      <c r="AC709" s="6"/>
      <c r="AD709" s="6" t="s">
        <v>56</v>
      </c>
      <c r="AE709" s="6"/>
      <c r="AF709" s="6" t="s">
        <v>75</v>
      </c>
      <c r="AG709" s="6"/>
      <c r="AH709" s="6" t="s">
        <v>57</v>
      </c>
      <c r="AI709" s="6"/>
      <c r="AJ709" s="6" t="s">
        <v>162</v>
      </c>
    </row>
    <row r="710" spans="1:36" ht="15.75" customHeight="1" x14ac:dyDescent="0.25">
      <c r="A710" s="7">
        <v>43419.199503599535</v>
      </c>
      <c r="B710" s="6" t="s">
        <v>463</v>
      </c>
      <c r="C710" s="6" t="s">
        <v>116</v>
      </c>
      <c r="D710" s="6" t="s">
        <v>138</v>
      </c>
      <c r="E710" s="6" t="s">
        <v>81</v>
      </c>
      <c r="G710" s="6" t="s">
        <v>87</v>
      </c>
      <c r="J710" s="6" t="s">
        <v>73</v>
      </c>
      <c r="K710" s="6"/>
      <c r="N710" s="6" t="s">
        <v>93</v>
      </c>
      <c r="O710" s="6"/>
      <c r="P710" s="6" t="s">
        <v>94</v>
      </c>
      <c r="Q710" s="6"/>
      <c r="AA710" s="6"/>
      <c r="AB710" s="6" t="s">
        <v>67</v>
      </c>
      <c r="AC710" s="6"/>
      <c r="AD710" s="6" t="s">
        <v>56</v>
      </c>
      <c r="AE710" s="6"/>
      <c r="AF710" s="6" t="s">
        <v>161</v>
      </c>
      <c r="AG710" s="6"/>
      <c r="AH710" s="6" t="s">
        <v>76</v>
      </c>
      <c r="AI710" s="6"/>
      <c r="AJ710" s="6" t="s">
        <v>77</v>
      </c>
    </row>
    <row r="711" spans="1:36" ht="15.75" customHeight="1" x14ac:dyDescent="0.25">
      <c r="A711" s="7">
        <v>43419.209317962959</v>
      </c>
      <c r="B711" s="6" t="s">
        <v>60</v>
      </c>
      <c r="C711" s="6" t="s">
        <v>306</v>
      </c>
      <c r="D711" s="6" t="s">
        <v>133</v>
      </c>
      <c r="E711" s="6" t="s">
        <v>81</v>
      </c>
      <c r="G711" s="6" t="s">
        <v>87</v>
      </c>
      <c r="H711" s="6" t="s">
        <v>2559</v>
      </c>
      <c r="I711" s="6"/>
      <c r="J711" s="6" t="s">
        <v>106</v>
      </c>
      <c r="K711" s="6"/>
      <c r="L711" s="6" t="s">
        <v>2533</v>
      </c>
      <c r="M711" s="6"/>
      <c r="N711" s="6" t="s">
        <v>121</v>
      </c>
      <c r="O711" s="6"/>
      <c r="P711" s="6" t="s">
        <v>94</v>
      </c>
      <c r="Q711" s="6"/>
      <c r="R711" s="47" t="s">
        <v>3231</v>
      </c>
      <c r="S711" s="14" t="s">
        <v>4472</v>
      </c>
      <c r="T711" s="14" t="s">
        <v>4393</v>
      </c>
      <c r="U711" s="14" t="s">
        <v>4556</v>
      </c>
      <c r="V711" s="14" t="s">
        <v>5267</v>
      </c>
      <c r="AA711" s="6"/>
      <c r="AB711" s="6" t="s">
        <v>67</v>
      </c>
      <c r="AC711" s="6"/>
      <c r="AD711" s="6" t="s">
        <v>56</v>
      </c>
      <c r="AE711" s="6"/>
      <c r="AF711" s="6" t="s">
        <v>68</v>
      </c>
      <c r="AG711" s="6"/>
      <c r="AH711" s="6" t="s">
        <v>58</v>
      </c>
      <c r="AI711" s="6"/>
      <c r="AJ711" s="6" t="s">
        <v>77</v>
      </c>
    </row>
    <row r="712" spans="1:36" ht="15.75" customHeight="1" x14ac:dyDescent="0.25">
      <c r="A712" s="7">
        <v>43419.210543564812</v>
      </c>
      <c r="B712" s="6" t="s">
        <v>26</v>
      </c>
      <c r="C712" s="6" t="s">
        <v>95</v>
      </c>
      <c r="D712" s="6" t="s">
        <v>165</v>
      </c>
      <c r="E712" s="6" t="s">
        <v>48</v>
      </c>
      <c r="F712" s="6" t="s">
        <v>569</v>
      </c>
      <c r="G712" s="6" t="s">
        <v>48</v>
      </c>
      <c r="N712" s="6" t="s">
        <v>98</v>
      </c>
      <c r="O712" s="6"/>
      <c r="P712" s="6" t="s">
        <v>94</v>
      </c>
      <c r="Q712" s="6"/>
      <c r="AA712" s="6"/>
      <c r="AB712" s="6" t="s">
        <v>67</v>
      </c>
      <c r="AC712" s="6"/>
      <c r="AD712" s="6" t="s">
        <v>56</v>
      </c>
      <c r="AE712" s="6"/>
      <c r="AF712" s="6" t="s">
        <v>75</v>
      </c>
      <c r="AG712" s="6"/>
      <c r="AH712" s="6" t="s">
        <v>58</v>
      </c>
      <c r="AJ712" s="12" t="s">
        <v>57</v>
      </c>
    </row>
    <row r="713" spans="1:36" ht="15.75" customHeight="1" x14ac:dyDescent="0.25">
      <c r="A713" s="7">
        <v>43419.211764953703</v>
      </c>
      <c r="B713" s="6" t="s">
        <v>2565</v>
      </c>
      <c r="C713" s="6" t="s">
        <v>95</v>
      </c>
      <c r="D713" s="6" t="s">
        <v>133</v>
      </c>
      <c r="E713" s="6" t="s">
        <v>81</v>
      </c>
      <c r="G713" s="6" t="s">
        <v>87</v>
      </c>
      <c r="H713" s="6" t="s">
        <v>2566</v>
      </c>
      <c r="I713" s="6"/>
      <c r="J713" s="6" t="s">
        <v>92</v>
      </c>
      <c r="K713" s="6"/>
      <c r="L713" s="6" t="s">
        <v>2566</v>
      </c>
      <c r="M713" s="6"/>
      <c r="N713" s="6" t="s">
        <v>51</v>
      </c>
      <c r="O713" s="6"/>
      <c r="P713" s="6" t="s">
        <v>65</v>
      </c>
      <c r="Q713" s="6"/>
      <c r="R713" s="47" t="s">
        <v>2569</v>
      </c>
      <c r="AA713" s="6"/>
      <c r="AB713" s="6" t="s">
        <v>67</v>
      </c>
      <c r="AC713" s="6"/>
      <c r="AD713" s="6" t="s">
        <v>109</v>
      </c>
      <c r="AE713" s="6"/>
      <c r="AF713" s="6" t="s">
        <v>68</v>
      </c>
      <c r="AG713" s="6"/>
      <c r="AH713" s="6" t="s">
        <v>58</v>
      </c>
      <c r="AI713" s="6"/>
      <c r="AJ713" s="12" t="s">
        <v>57</v>
      </c>
    </row>
    <row r="714" spans="1:36" ht="15.75" customHeight="1" x14ac:dyDescent="0.25">
      <c r="A714" s="7">
        <v>43419.214511643513</v>
      </c>
      <c r="B714" s="6" t="s">
        <v>30</v>
      </c>
      <c r="C714" s="6" t="s">
        <v>95</v>
      </c>
      <c r="D714" s="6" t="s">
        <v>46</v>
      </c>
      <c r="E714" s="6" t="s">
        <v>48</v>
      </c>
      <c r="F714" s="6" t="s">
        <v>2572</v>
      </c>
      <c r="G714" s="6" t="s">
        <v>48</v>
      </c>
      <c r="H714" s="6" t="s">
        <v>2573</v>
      </c>
      <c r="I714" s="6"/>
      <c r="J714" s="6" t="s">
        <v>73</v>
      </c>
      <c r="K714" s="6"/>
      <c r="L714" s="6" t="s">
        <v>2575</v>
      </c>
      <c r="M714" s="6"/>
      <c r="N714" s="6" t="s">
        <v>51</v>
      </c>
      <c r="O714" s="6"/>
      <c r="P714" s="6" t="s">
        <v>131</v>
      </c>
      <c r="Q714" s="6"/>
      <c r="R714" s="47" t="s">
        <v>149</v>
      </c>
      <c r="S714" s="14" t="s">
        <v>4632</v>
      </c>
      <c r="T714" s="14" t="s">
        <v>4826</v>
      </c>
      <c r="AA714" s="6"/>
      <c r="AB714" s="6" t="s">
        <v>67</v>
      </c>
      <c r="AC714" s="6"/>
      <c r="AD714" s="6" t="s">
        <v>56</v>
      </c>
      <c r="AE714" s="6"/>
      <c r="AF714" s="6" t="s">
        <v>75</v>
      </c>
      <c r="AG714" s="6"/>
      <c r="AH714" s="6" t="s">
        <v>58</v>
      </c>
      <c r="AI714" s="6"/>
      <c r="AJ714" s="6" t="s">
        <v>77</v>
      </c>
    </row>
    <row r="715" spans="1:36" ht="15.75" customHeight="1" x14ac:dyDescent="0.25">
      <c r="A715" s="7">
        <v>43419.216103032406</v>
      </c>
      <c r="B715" s="6" t="s">
        <v>60</v>
      </c>
      <c r="C715" s="6" t="s">
        <v>705</v>
      </c>
      <c r="D715" s="6" t="s">
        <v>46</v>
      </c>
      <c r="E715" s="6" t="s">
        <v>81</v>
      </c>
      <c r="G715" s="6" t="s">
        <v>87</v>
      </c>
      <c r="H715" s="6" t="s">
        <v>2058</v>
      </c>
      <c r="I715" s="6"/>
      <c r="J715" s="6" t="s">
        <v>73</v>
      </c>
      <c r="K715" s="6"/>
      <c r="L715" s="6" t="s">
        <v>2579</v>
      </c>
      <c r="M715" s="6"/>
      <c r="N715" s="6" t="s">
        <v>98</v>
      </c>
      <c r="O715" s="6"/>
      <c r="P715" s="6" t="s">
        <v>168</v>
      </c>
      <c r="Q715" s="6"/>
      <c r="R715" s="47" t="s">
        <v>192</v>
      </c>
      <c r="AA715" s="6"/>
      <c r="AB715" s="6" t="s">
        <v>101</v>
      </c>
      <c r="AC715" s="6"/>
      <c r="AD715" s="6" t="s">
        <v>56</v>
      </c>
      <c r="AE715" s="6"/>
      <c r="AF715" s="6" t="s">
        <v>57</v>
      </c>
      <c r="AG715" s="6"/>
      <c r="AH715" s="6" t="s">
        <v>57</v>
      </c>
      <c r="AI715" s="6"/>
      <c r="AJ715" s="6" t="s">
        <v>364</v>
      </c>
    </row>
    <row r="716" spans="1:36" ht="15.75" customHeight="1" x14ac:dyDescent="0.25">
      <c r="A716" s="7">
        <v>43419.2165503125</v>
      </c>
      <c r="B716" s="6" t="s">
        <v>127</v>
      </c>
      <c r="C716" s="6" t="s">
        <v>90</v>
      </c>
      <c r="D716" s="6" t="s">
        <v>163</v>
      </c>
      <c r="E716" s="6" t="s">
        <v>48</v>
      </c>
      <c r="F716" s="6" t="s">
        <v>2583</v>
      </c>
      <c r="G716" s="6" t="s">
        <v>48</v>
      </c>
      <c r="H716" s="6" t="s">
        <v>2585</v>
      </c>
      <c r="I716" s="6"/>
      <c r="J716" s="6" t="s">
        <v>106</v>
      </c>
      <c r="K716" s="6"/>
      <c r="L716" s="6" t="s">
        <v>2403</v>
      </c>
      <c r="M716" s="6"/>
      <c r="N716" s="6" t="s">
        <v>98</v>
      </c>
      <c r="O716" s="6"/>
      <c r="P716" s="6" t="s">
        <v>168</v>
      </c>
      <c r="Q716" s="6"/>
      <c r="R716" s="47" t="s">
        <v>1764</v>
      </c>
      <c r="S716" s="14" t="s">
        <v>5268</v>
      </c>
      <c r="T716" s="14" t="s">
        <v>5269</v>
      </c>
      <c r="AA716" s="6"/>
      <c r="AB716" s="6" t="s">
        <v>67</v>
      </c>
      <c r="AC716" s="6"/>
      <c r="AD716" s="6" t="s">
        <v>56</v>
      </c>
      <c r="AE716" s="6"/>
      <c r="AF716" s="6" t="s">
        <v>68</v>
      </c>
      <c r="AG716" s="6"/>
      <c r="AH716" s="6" t="s">
        <v>76</v>
      </c>
      <c r="AI716" s="6"/>
      <c r="AJ716" s="6" t="s">
        <v>260</v>
      </c>
    </row>
    <row r="717" spans="1:36" ht="15.75" customHeight="1" x14ac:dyDescent="0.25">
      <c r="A717" s="7">
        <v>43419.219507291666</v>
      </c>
      <c r="B717" s="6" t="s">
        <v>30</v>
      </c>
      <c r="C717" s="6" t="s">
        <v>79</v>
      </c>
      <c r="D717" s="6" t="s">
        <v>165</v>
      </c>
      <c r="E717" s="6" t="s">
        <v>48</v>
      </c>
      <c r="F717" s="6" t="s">
        <v>2589</v>
      </c>
      <c r="G717" s="6" t="s">
        <v>48</v>
      </c>
      <c r="H717" s="6" t="s">
        <v>2590</v>
      </c>
      <c r="I717" s="6"/>
      <c r="J717" s="6" t="s">
        <v>89</v>
      </c>
      <c r="K717" s="6"/>
      <c r="L717" s="6" t="s">
        <v>2536</v>
      </c>
      <c r="M717" s="6"/>
      <c r="N717" s="6" t="s">
        <v>212</v>
      </c>
      <c r="O717" s="6"/>
      <c r="P717" s="6" t="s">
        <v>99</v>
      </c>
      <c r="Q717" s="6"/>
      <c r="R717" s="47" t="s">
        <v>1143</v>
      </c>
      <c r="S717" s="14" t="s">
        <v>5270</v>
      </c>
      <c r="T717" s="14" t="s">
        <v>5271</v>
      </c>
      <c r="AA717" s="6"/>
      <c r="AB717" s="6" t="s">
        <v>55</v>
      </c>
      <c r="AC717" s="6"/>
      <c r="AD717" s="6" t="s">
        <v>56</v>
      </c>
      <c r="AE717" s="6"/>
      <c r="AF717" s="6" t="s">
        <v>75</v>
      </c>
      <c r="AG717" s="6"/>
      <c r="AH717" s="6" t="s">
        <v>58</v>
      </c>
      <c r="AI717" s="6"/>
      <c r="AJ717" s="6" t="s">
        <v>77</v>
      </c>
    </row>
    <row r="718" spans="1:36" ht="15.75" customHeight="1" x14ac:dyDescent="0.25">
      <c r="A718" s="7">
        <v>43419.222682835651</v>
      </c>
      <c r="B718" s="6" t="s">
        <v>294</v>
      </c>
      <c r="C718" s="6" t="s">
        <v>128</v>
      </c>
      <c r="D718" s="6" t="s">
        <v>163</v>
      </c>
      <c r="E718" s="6" t="s">
        <v>48</v>
      </c>
      <c r="F718" s="6" t="s">
        <v>2595</v>
      </c>
      <c r="G718" s="6" t="s">
        <v>48</v>
      </c>
      <c r="H718" s="6" t="s">
        <v>2596</v>
      </c>
      <c r="I718" s="6"/>
      <c r="J718" s="6" t="s">
        <v>92</v>
      </c>
      <c r="K718" s="6"/>
      <c r="L718" s="6" t="s">
        <v>2598</v>
      </c>
      <c r="M718" s="6"/>
      <c r="N718" s="6" t="s">
        <v>51</v>
      </c>
      <c r="O718" s="6"/>
      <c r="P718" s="6" t="s">
        <v>52</v>
      </c>
      <c r="Q718" s="6"/>
      <c r="R718" s="47" t="s">
        <v>5272</v>
      </c>
      <c r="S718" s="14" t="s">
        <v>4404</v>
      </c>
      <c r="AA718" s="6"/>
      <c r="AB718" s="6" t="s">
        <v>67</v>
      </c>
      <c r="AC718" s="6"/>
      <c r="AD718" s="6" t="s">
        <v>56</v>
      </c>
      <c r="AE718" s="6"/>
      <c r="AF718" s="6" t="s">
        <v>75</v>
      </c>
      <c r="AG718" s="6"/>
      <c r="AH718" s="6" t="s">
        <v>58</v>
      </c>
      <c r="AI718" s="6"/>
      <c r="AJ718" s="6" t="s">
        <v>187</v>
      </c>
    </row>
    <row r="719" spans="1:36" ht="15.75" customHeight="1" x14ac:dyDescent="0.25">
      <c r="A719" s="7">
        <v>43419.222980115737</v>
      </c>
      <c r="B719" s="6" t="s">
        <v>60</v>
      </c>
      <c r="C719" s="6" t="s">
        <v>79</v>
      </c>
      <c r="D719" s="6" t="s">
        <v>163</v>
      </c>
      <c r="E719" s="6" t="s">
        <v>48</v>
      </c>
      <c r="F719" s="6" t="s">
        <v>2602</v>
      </c>
      <c r="G719" s="6" t="s">
        <v>48</v>
      </c>
      <c r="H719" s="6" t="s">
        <v>2604</v>
      </c>
      <c r="I719" s="6"/>
      <c r="J719" s="6" t="s">
        <v>110</v>
      </c>
      <c r="K719" s="6"/>
      <c r="L719" s="6" t="s">
        <v>2540</v>
      </c>
      <c r="M719" s="6"/>
      <c r="N719" s="6" t="s">
        <v>181</v>
      </c>
      <c r="O719" s="6"/>
      <c r="P719" s="6" t="s">
        <v>131</v>
      </c>
      <c r="Q719" s="6"/>
      <c r="R719" s="47" t="s">
        <v>5273</v>
      </c>
      <c r="S719" s="14" t="s">
        <v>4570</v>
      </c>
      <c r="AA719" s="6"/>
      <c r="AB719" s="6" t="s">
        <v>55</v>
      </c>
      <c r="AC719" s="6"/>
      <c r="AD719" s="6" t="s">
        <v>56</v>
      </c>
      <c r="AE719" s="6"/>
      <c r="AF719" s="6" t="s">
        <v>68</v>
      </c>
      <c r="AG719" s="6"/>
      <c r="AH719" s="6" t="s">
        <v>126</v>
      </c>
      <c r="AI719" s="6"/>
      <c r="AJ719" s="6" t="s">
        <v>77</v>
      </c>
    </row>
    <row r="720" spans="1:36" ht="15.75" customHeight="1" x14ac:dyDescent="0.25">
      <c r="A720" s="7">
        <v>43419.226233078705</v>
      </c>
      <c r="B720" s="6" t="s">
        <v>30</v>
      </c>
      <c r="C720" s="6" t="s">
        <v>45</v>
      </c>
      <c r="D720" s="6" t="s">
        <v>133</v>
      </c>
      <c r="E720" s="6" t="s">
        <v>81</v>
      </c>
      <c r="G720" s="6" t="s">
        <v>87</v>
      </c>
      <c r="H720" s="6" t="s">
        <v>2609</v>
      </c>
      <c r="I720" s="6"/>
      <c r="J720" s="6" t="s">
        <v>110</v>
      </c>
      <c r="K720" s="6"/>
      <c r="L720" s="6" t="s">
        <v>2611</v>
      </c>
      <c r="M720" s="6"/>
      <c r="N720" s="6" t="s">
        <v>121</v>
      </c>
      <c r="O720" s="6"/>
      <c r="P720" s="6" t="s">
        <v>94</v>
      </c>
      <c r="Q720" s="6"/>
      <c r="AA720" s="6"/>
      <c r="AB720" s="6" t="s">
        <v>55</v>
      </c>
      <c r="AC720" s="6"/>
      <c r="AD720" s="6" t="s">
        <v>56</v>
      </c>
      <c r="AE720" s="6"/>
      <c r="AF720" s="6" t="s">
        <v>161</v>
      </c>
      <c r="AG720" s="6"/>
      <c r="AH720" s="6" t="s">
        <v>76</v>
      </c>
      <c r="AI720" s="6"/>
      <c r="AJ720" s="6" t="s">
        <v>187</v>
      </c>
    </row>
    <row r="721" spans="1:36" ht="15.75" customHeight="1" x14ac:dyDescent="0.25">
      <c r="A721" s="7">
        <v>43419.226322800925</v>
      </c>
      <c r="B721" s="6" t="s">
        <v>30</v>
      </c>
      <c r="C721" s="6" t="s">
        <v>95</v>
      </c>
      <c r="D721" s="6" t="s">
        <v>165</v>
      </c>
      <c r="E721" s="6" t="s">
        <v>48</v>
      </c>
      <c r="F721" s="6" t="s">
        <v>2613</v>
      </c>
      <c r="G721" s="6" t="s">
        <v>48</v>
      </c>
      <c r="H721" s="6" t="s">
        <v>2615</v>
      </c>
      <c r="I721" s="6"/>
      <c r="J721" s="6" t="s">
        <v>110</v>
      </c>
      <c r="K721" s="6"/>
      <c r="L721" s="6" t="s">
        <v>2616</v>
      </c>
      <c r="M721" s="6"/>
      <c r="N721" s="6" t="s">
        <v>181</v>
      </c>
      <c r="O721" s="6"/>
      <c r="P721" s="6" t="s">
        <v>131</v>
      </c>
      <c r="Q721" s="6"/>
      <c r="R721" s="47" t="s">
        <v>5274</v>
      </c>
      <c r="S721" s="14" t="s">
        <v>3994</v>
      </c>
      <c r="AA721" s="6"/>
      <c r="AB721" s="6" t="s">
        <v>67</v>
      </c>
      <c r="AC721" s="6"/>
      <c r="AD721" s="6" t="s">
        <v>56</v>
      </c>
      <c r="AE721" s="6"/>
      <c r="AF721" s="6" t="s">
        <v>205</v>
      </c>
      <c r="AG721" s="6"/>
      <c r="AH721" s="6" t="s">
        <v>58</v>
      </c>
      <c r="AI721" s="6"/>
      <c r="AJ721" s="6" t="s">
        <v>77</v>
      </c>
    </row>
    <row r="722" spans="1:36" ht="15.75" customHeight="1" x14ac:dyDescent="0.25">
      <c r="A722" s="7">
        <v>43419.228131990742</v>
      </c>
      <c r="B722" s="6" t="s">
        <v>103</v>
      </c>
      <c r="C722" s="6" t="s">
        <v>128</v>
      </c>
      <c r="D722" s="6" t="s">
        <v>165</v>
      </c>
      <c r="E722" s="6" t="s">
        <v>81</v>
      </c>
      <c r="G722" s="6" t="s">
        <v>87</v>
      </c>
      <c r="J722" s="6" t="s">
        <v>110</v>
      </c>
      <c r="K722" s="6"/>
      <c r="L722" s="6" t="s">
        <v>2404</v>
      </c>
      <c r="M722" s="6"/>
      <c r="N722" s="6" t="s">
        <v>121</v>
      </c>
      <c r="O722" s="6"/>
      <c r="P722" s="6" t="s">
        <v>131</v>
      </c>
      <c r="Q722" s="6"/>
      <c r="AA722" s="6"/>
      <c r="AB722" s="6" t="s">
        <v>55</v>
      </c>
      <c r="AC722" s="6"/>
      <c r="AD722" s="6" t="s">
        <v>56</v>
      </c>
      <c r="AE722" s="6"/>
      <c r="AF722" s="6" t="s">
        <v>161</v>
      </c>
      <c r="AG722" s="6"/>
      <c r="AH722" s="6" t="s">
        <v>76</v>
      </c>
      <c r="AI722" s="6"/>
      <c r="AJ722" s="6" t="s">
        <v>77</v>
      </c>
    </row>
    <row r="723" spans="1:36" ht="15.75" customHeight="1" x14ac:dyDescent="0.25">
      <c r="A723" s="7">
        <v>43419.229658136574</v>
      </c>
      <c r="B723" s="6" t="s">
        <v>30</v>
      </c>
      <c r="C723" s="6" t="s">
        <v>215</v>
      </c>
      <c r="D723" s="6" t="s">
        <v>163</v>
      </c>
      <c r="E723" s="6" t="s">
        <v>48</v>
      </c>
      <c r="F723" s="6" t="s">
        <v>586</v>
      </c>
      <c r="G723" s="6" t="s">
        <v>48</v>
      </c>
      <c r="H723" s="6" t="s">
        <v>2625</v>
      </c>
      <c r="I723" s="6"/>
      <c r="J723" s="6" t="s">
        <v>89</v>
      </c>
      <c r="K723" s="6"/>
      <c r="L723" s="6" t="s">
        <v>588</v>
      </c>
      <c r="M723" s="6"/>
      <c r="N723" s="6" t="s">
        <v>112</v>
      </c>
      <c r="O723" s="6"/>
      <c r="P723" s="6" t="s">
        <v>52</v>
      </c>
      <c r="Q723" s="6"/>
      <c r="R723" s="47" t="s">
        <v>3435</v>
      </c>
      <c r="S723" s="14" t="s">
        <v>5271</v>
      </c>
      <c r="T723" s="14" t="s">
        <v>5275</v>
      </c>
      <c r="AA723" s="6"/>
      <c r="AB723" s="6" t="s">
        <v>55</v>
      </c>
      <c r="AC723" s="6"/>
      <c r="AD723" s="6" t="s">
        <v>56</v>
      </c>
      <c r="AE723" s="6"/>
      <c r="AF723" s="6" t="s">
        <v>68</v>
      </c>
      <c r="AG723" s="6"/>
      <c r="AH723" s="6" t="s">
        <v>58</v>
      </c>
      <c r="AI723" s="6"/>
      <c r="AJ723" s="6" t="s">
        <v>77</v>
      </c>
    </row>
    <row r="724" spans="1:36" ht="15.75" customHeight="1" x14ac:dyDescent="0.25">
      <c r="A724" s="7">
        <v>43419.237086168985</v>
      </c>
      <c r="B724" s="6" t="s">
        <v>294</v>
      </c>
      <c r="C724" s="6" t="s">
        <v>2631</v>
      </c>
      <c r="D724" s="6" t="s">
        <v>165</v>
      </c>
      <c r="E724" s="6" t="s">
        <v>81</v>
      </c>
      <c r="G724" s="6" t="s">
        <v>87</v>
      </c>
      <c r="H724" s="6" t="s">
        <v>2632</v>
      </c>
      <c r="I724" s="6"/>
      <c r="J724" s="6" t="s">
        <v>110</v>
      </c>
      <c r="K724" s="6"/>
      <c r="L724" s="6" t="s">
        <v>2633</v>
      </c>
      <c r="M724" s="6"/>
      <c r="N724" s="6" t="s">
        <v>212</v>
      </c>
      <c r="O724" s="6"/>
      <c r="P724" s="6" t="s">
        <v>131</v>
      </c>
      <c r="Q724" s="6"/>
      <c r="R724" s="47" t="s">
        <v>2634</v>
      </c>
      <c r="AA724" s="6"/>
      <c r="AB724" s="6" t="s">
        <v>67</v>
      </c>
      <c r="AC724" s="6"/>
      <c r="AD724" s="6" t="s">
        <v>56</v>
      </c>
      <c r="AE724" s="6"/>
      <c r="AF724" s="6" t="s">
        <v>75</v>
      </c>
      <c r="AG724" s="6"/>
      <c r="AH724" s="6" t="s">
        <v>76</v>
      </c>
      <c r="AI724" s="6"/>
      <c r="AJ724" s="6" t="s">
        <v>77</v>
      </c>
    </row>
    <row r="725" spans="1:36" ht="15.75" customHeight="1" x14ac:dyDescent="0.25">
      <c r="A725" s="7">
        <v>43419.238328900465</v>
      </c>
      <c r="B725" s="6" t="s">
        <v>60</v>
      </c>
      <c r="C725" s="6" t="s">
        <v>282</v>
      </c>
      <c r="D725" s="6" t="s">
        <v>46</v>
      </c>
      <c r="E725" s="6" t="s">
        <v>81</v>
      </c>
      <c r="G725" s="6" t="s">
        <v>87</v>
      </c>
      <c r="H725" s="6" t="s">
        <v>2638</v>
      </c>
      <c r="I725" s="6"/>
      <c r="J725" s="6" t="s">
        <v>158</v>
      </c>
      <c r="K725" s="6"/>
      <c r="L725" s="6" t="s">
        <v>2639</v>
      </c>
      <c r="M725" s="6"/>
      <c r="N725" s="6" t="s">
        <v>98</v>
      </c>
      <c r="O725" s="6"/>
      <c r="P725" s="6" t="s">
        <v>131</v>
      </c>
      <c r="Q725" s="6"/>
      <c r="R725" s="47" t="s">
        <v>242</v>
      </c>
      <c r="S725" s="14" t="s">
        <v>4541</v>
      </c>
      <c r="T725" s="14" t="s">
        <v>5276</v>
      </c>
      <c r="AA725" s="6"/>
      <c r="AB725" s="6" t="s">
        <v>67</v>
      </c>
      <c r="AC725" s="6"/>
      <c r="AD725" s="6" t="s">
        <v>56</v>
      </c>
      <c r="AE725" s="6"/>
      <c r="AF725" s="6" t="s">
        <v>75</v>
      </c>
      <c r="AG725" s="6"/>
      <c r="AH725" s="6" t="s">
        <v>126</v>
      </c>
      <c r="AI725" s="6"/>
      <c r="AJ725" s="6" t="s">
        <v>187</v>
      </c>
    </row>
    <row r="726" spans="1:36" ht="15.75" customHeight="1" x14ac:dyDescent="0.25">
      <c r="A726" s="7">
        <v>43419.238863969906</v>
      </c>
      <c r="B726" s="6" t="s">
        <v>30</v>
      </c>
      <c r="C726" s="6" t="s">
        <v>1044</v>
      </c>
      <c r="D726" s="6" t="s">
        <v>261</v>
      </c>
      <c r="E726" s="6" t="s">
        <v>48</v>
      </c>
      <c r="F726" s="6" t="s">
        <v>2645</v>
      </c>
      <c r="G726" s="6" t="s">
        <v>48</v>
      </c>
      <c r="H726" s="6" t="s">
        <v>2646</v>
      </c>
      <c r="I726" s="6"/>
      <c r="J726" s="6" t="s">
        <v>110</v>
      </c>
      <c r="K726" s="6"/>
      <c r="L726" s="6" t="s">
        <v>2542</v>
      </c>
      <c r="M726" s="6"/>
      <c r="N726" s="6" t="s">
        <v>112</v>
      </c>
      <c r="O726" s="6"/>
      <c r="P726" s="6" t="s">
        <v>94</v>
      </c>
      <c r="Q726" s="6"/>
      <c r="AA726" s="6"/>
      <c r="AB726" s="6" t="s">
        <v>101</v>
      </c>
      <c r="AC726" s="6"/>
      <c r="AD726" s="6" t="s">
        <v>56</v>
      </c>
      <c r="AE726" s="6"/>
      <c r="AF726" s="6" t="s">
        <v>75</v>
      </c>
      <c r="AG726" s="6"/>
      <c r="AH726" s="6" t="s">
        <v>76</v>
      </c>
      <c r="AI726" s="6"/>
      <c r="AJ726" s="6" t="s">
        <v>77</v>
      </c>
    </row>
    <row r="727" spans="1:36" ht="15.75" customHeight="1" x14ac:dyDescent="0.25">
      <c r="A727" s="7">
        <v>43419.239742256948</v>
      </c>
      <c r="B727" s="6" t="s">
        <v>294</v>
      </c>
      <c r="C727" s="6" t="s">
        <v>104</v>
      </c>
      <c r="D727" s="6" t="s">
        <v>46</v>
      </c>
      <c r="E727" s="6" t="s">
        <v>48</v>
      </c>
      <c r="F727" s="6" t="s">
        <v>993</v>
      </c>
      <c r="G727" s="6" t="s">
        <v>48</v>
      </c>
      <c r="H727" s="6" t="s">
        <v>2650</v>
      </c>
      <c r="I727" s="6"/>
      <c r="J727" s="6" t="s">
        <v>110</v>
      </c>
      <c r="K727" s="6"/>
      <c r="L727" s="6" t="s">
        <v>2406</v>
      </c>
      <c r="M727" s="6"/>
      <c r="N727" s="6" t="s">
        <v>212</v>
      </c>
      <c r="O727" s="6"/>
      <c r="P727" s="6" t="s">
        <v>131</v>
      </c>
      <c r="Q727" s="6"/>
      <c r="R727" s="47" t="s">
        <v>5277</v>
      </c>
      <c r="S727" s="14" t="s">
        <v>4795</v>
      </c>
      <c r="AA727" s="6"/>
      <c r="AB727" s="6" t="s">
        <v>55</v>
      </c>
      <c r="AC727" s="6"/>
      <c r="AD727" s="6" t="s">
        <v>56</v>
      </c>
      <c r="AE727" s="6"/>
      <c r="AF727" s="6" t="s">
        <v>75</v>
      </c>
      <c r="AG727" s="6"/>
      <c r="AH727" s="6" t="s">
        <v>58</v>
      </c>
      <c r="AI727" s="6"/>
      <c r="AJ727" s="6" t="s">
        <v>77</v>
      </c>
    </row>
    <row r="728" spans="1:36" ht="15.75" customHeight="1" x14ac:dyDescent="0.25">
      <c r="A728" s="7">
        <v>43419.240965624995</v>
      </c>
      <c r="B728" s="6" t="s">
        <v>2654</v>
      </c>
      <c r="C728" s="6" t="s">
        <v>544</v>
      </c>
      <c r="D728" s="6" t="s">
        <v>165</v>
      </c>
      <c r="E728" s="6" t="s">
        <v>48</v>
      </c>
      <c r="F728" s="6" t="s">
        <v>2655</v>
      </c>
      <c r="G728" s="6" t="s">
        <v>48</v>
      </c>
      <c r="H728" s="6" t="s">
        <v>2656</v>
      </c>
      <c r="I728" s="6"/>
      <c r="J728" s="6" t="s">
        <v>110</v>
      </c>
      <c r="K728" s="6"/>
      <c r="L728" s="6" t="s">
        <v>2658</v>
      </c>
      <c r="M728" s="6"/>
      <c r="N728" s="6" t="s">
        <v>112</v>
      </c>
      <c r="O728" s="6"/>
      <c r="P728" s="6" t="s">
        <v>99</v>
      </c>
      <c r="Q728" s="6"/>
      <c r="R728" s="47" t="s">
        <v>2660</v>
      </c>
      <c r="AA728" s="6"/>
      <c r="AB728" s="6" t="s">
        <v>101</v>
      </c>
      <c r="AC728" s="6"/>
      <c r="AD728" s="6" t="s">
        <v>56</v>
      </c>
      <c r="AE728" s="6"/>
      <c r="AF728" s="6" t="s">
        <v>68</v>
      </c>
      <c r="AG728" s="6"/>
      <c r="AH728" s="6" t="s">
        <v>58</v>
      </c>
      <c r="AI728" s="6"/>
      <c r="AJ728" s="6" t="s">
        <v>77</v>
      </c>
    </row>
    <row r="729" spans="1:36" ht="15.75" customHeight="1" x14ac:dyDescent="0.25">
      <c r="A729" s="7">
        <v>43419.244347418979</v>
      </c>
      <c r="B729" s="6" t="s">
        <v>60</v>
      </c>
      <c r="C729" s="6" t="s">
        <v>90</v>
      </c>
      <c r="D729" s="6" t="s">
        <v>165</v>
      </c>
      <c r="E729" s="6" t="s">
        <v>48</v>
      </c>
      <c r="F729" s="6" t="s">
        <v>2662</v>
      </c>
      <c r="G729" s="6" t="s">
        <v>81</v>
      </c>
      <c r="J729" s="6" t="s">
        <v>106</v>
      </c>
      <c r="K729" s="6"/>
      <c r="L729" s="6" t="s">
        <v>2664</v>
      </c>
      <c r="M729" s="6"/>
      <c r="N729" s="6" t="s">
        <v>121</v>
      </c>
      <c r="O729" s="6"/>
      <c r="P729" s="6" t="s">
        <v>131</v>
      </c>
      <c r="Q729" s="6"/>
      <c r="R729" s="47" t="s">
        <v>5278</v>
      </c>
      <c r="S729" s="14" t="s">
        <v>5279</v>
      </c>
      <c r="AA729" s="6"/>
      <c r="AB729" s="6" t="s">
        <v>101</v>
      </c>
      <c r="AC729" s="6"/>
      <c r="AD729" s="6" t="s">
        <v>56</v>
      </c>
      <c r="AE729" s="6"/>
      <c r="AF729" s="6" t="s">
        <v>75</v>
      </c>
      <c r="AG729" s="6"/>
      <c r="AH729" s="6" t="s">
        <v>76</v>
      </c>
      <c r="AI729" s="6"/>
      <c r="AJ729" s="6" t="s">
        <v>304</v>
      </c>
    </row>
    <row r="730" spans="1:36" ht="15.75" customHeight="1" x14ac:dyDescent="0.25">
      <c r="A730" s="7">
        <v>43419.254670034723</v>
      </c>
      <c r="B730" s="6" t="s">
        <v>60</v>
      </c>
      <c r="C730" s="6" t="s">
        <v>79</v>
      </c>
      <c r="D730" s="6" t="s">
        <v>46</v>
      </c>
      <c r="E730" s="6" t="s">
        <v>48</v>
      </c>
      <c r="F730" s="6" t="s">
        <v>2668</v>
      </c>
      <c r="G730" s="6" t="s">
        <v>48</v>
      </c>
      <c r="H730" s="6" t="s">
        <v>2669</v>
      </c>
      <c r="I730" s="6"/>
      <c r="J730" s="6" t="s">
        <v>89</v>
      </c>
      <c r="K730" s="6"/>
      <c r="L730" s="6" t="s">
        <v>2670</v>
      </c>
      <c r="M730" s="6"/>
      <c r="N730" s="6" t="s">
        <v>112</v>
      </c>
      <c r="O730" s="6"/>
      <c r="P730" s="6" t="s">
        <v>131</v>
      </c>
      <c r="Q730" s="6"/>
      <c r="R730" s="47" t="s">
        <v>149</v>
      </c>
      <c r="AA730" s="6"/>
      <c r="AB730" s="6" t="s">
        <v>55</v>
      </c>
      <c r="AC730" s="6"/>
      <c r="AD730" s="6" t="s">
        <v>56</v>
      </c>
      <c r="AE730" s="6"/>
      <c r="AF730" s="6" t="s">
        <v>75</v>
      </c>
      <c r="AG730" s="6"/>
      <c r="AH730" s="6" t="s">
        <v>58</v>
      </c>
      <c r="AI730" s="6"/>
      <c r="AJ730" s="6" t="s">
        <v>77</v>
      </c>
    </row>
    <row r="731" spans="1:36" ht="15.75" customHeight="1" x14ac:dyDescent="0.25">
      <c r="A731" s="7">
        <v>43419.254846898148</v>
      </c>
      <c r="B731" s="6" t="s">
        <v>294</v>
      </c>
      <c r="C731" s="6" t="s">
        <v>79</v>
      </c>
      <c r="D731" s="6" t="s">
        <v>129</v>
      </c>
      <c r="E731" s="6" t="s">
        <v>48</v>
      </c>
      <c r="F731" s="6" t="s">
        <v>2674</v>
      </c>
      <c r="G731" s="6" t="s">
        <v>48</v>
      </c>
      <c r="H731" s="6" t="s">
        <v>2676</v>
      </c>
      <c r="I731" s="6"/>
      <c r="J731" s="6" t="s">
        <v>158</v>
      </c>
      <c r="K731" s="6"/>
      <c r="L731" s="6" t="s">
        <v>2677</v>
      </c>
      <c r="M731" s="6"/>
      <c r="N731" s="6" t="s">
        <v>112</v>
      </c>
      <c r="O731" s="6"/>
      <c r="P731" s="6" t="s">
        <v>99</v>
      </c>
      <c r="Q731" s="6"/>
      <c r="R731" s="47" t="s">
        <v>5280</v>
      </c>
      <c r="S731" s="14" t="s">
        <v>4412</v>
      </c>
      <c r="T731" s="14" t="s">
        <v>5281</v>
      </c>
      <c r="AA731" s="6"/>
      <c r="AB731" s="6" t="s">
        <v>67</v>
      </c>
      <c r="AC731" s="6"/>
      <c r="AD731" s="6" t="s">
        <v>56</v>
      </c>
      <c r="AE731" s="6"/>
      <c r="AF731" s="6" t="s">
        <v>68</v>
      </c>
      <c r="AG731" s="6"/>
      <c r="AH731" s="11" t="s">
        <v>58</v>
      </c>
      <c r="AI731" s="6"/>
      <c r="AJ731" s="11" t="s">
        <v>362</v>
      </c>
    </row>
    <row r="732" spans="1:36" ht="15.75" customHeight="1" x14ac:dyDescent="0.25">
      <c r="A732" s="7">
        <v>43419.25503388889</v>
      </c>
      <c r="B732" s="6" t="s">
        <v>30</v>
      </c>
      <c r="C732" s="6" t="s">
        <v>95</v>
      </c>
      <c r="D732" s="6" t="s">
        <v>155</v>
      </c>
      <c r="E732" s="6" t="s">
        <v>81</v>
      </c>
      <c r="F732" s="6" t="s">
        <v>86</v>
      </c>
      <c r="G732" s="6" t="s">
        <v>87</v>
      </c>
      <c r="H732" s="6" t="s">
        <v>2683</v>
      </c>
      <c r="I732" s="6"/>
      <c r="J732" s="6" t="s">
        <v>158</v>
      </c>
      <c r="K732" s="6"/>
      <c r="L732" s="6" t="s">
        <v>2685</v>
      </c>
      <c r="M732" s="6"/>
      <c r="N732" s="6" t="s">
        <v>121</v>
      </c>
      <c r="O732" s="6"/>
      <c r="P732" s="6" t="s">
        <v>168</v>
      </c>
      <c r="Q732" s="6"/>
      <c r="R732" s="47" t="s">
        <v>192</v>
      </c>
      <c r="S732" s="14" t="s">
        <v>4400</v>
      </c>
      <c r="T732" s="14" t="s">
        <v>5282</v>
      </c>
      <c r="AA732" s="6"/>
      <c r="AB732" s="6" t="s">
        <v>55</v>
      </c>
      <c r="AC732" s="6"/>
      <c r="AD732" s="6" t="s">
        <v>56</v>
      </c>
      <c r="AE732" s="6"/>
      <c r="AF732" s="6" t="s">
        <v>75</v>
      </c>
      <c r="AG732" s="6"/>
      <c r="AH732" s="6" t="s">
        <v>58</v>
      </c>
      <c r="AI732" s="6"/>
      <c r="AJ732" s="6" t="s">
        <v>77</v>
      </c>
    </row>
    <row r="733" spans="1:36" ht="15.75" customHeight="1" x14ac:dyDescent="0.25">
      <c r="A733" s="7">
        <v>43419.258074004625</v>
      </c>
      <c r="B733" s="6" t="s">
        <v>60</v>
      </c>
      <c r="C733" s="6" t="s">
        <v>95</v>
      </c>
      <c r="D733" s="6" t="s">
        <v>163</v>
      </c>
      <c r="E733" s="6" t="s">
        <v>81</v>
      </c>
      <c r="F733" s="6" t="s">
        <v>2370</v>
      </c>
      <c r="G733" s="6" t="s">
        <v>87</v>
      </c>
      <c r="H733" s="6" t="s">
        <v>2689</v>
      </c>
      <c r="I733" s="6"/>
      <c r="J733" s="6" t="s">
        <v>89</v>
      </c>
      <c r="K733" s="6"/>
      <c r="L733" s="6" t="s">
        <v>2691</v>
      </c>
      <c r="M733" s="6"/>
      <c r="N733" s="6" t="s">
        <v>212</v>
      </c>
      <c r="O733" s="6"/>
      <c r="P733" s="6" t="s">
        <v>131</v>
      </c>
      <c r="Q733" s="6"/>
      <c r="R733" s="47" t="s">
        <v>149</v>
      </c>
      <c r="S733" s="14" t="s">
        <v>4527</v>
      </c>
      <c r="T733" s="14" t="s">
        <v>5283</v>
      </c>
      <c r="AA733" s="6"/>
      <c r="AB733" s="6" t="s">
        <v>101</v>
      </c>
      <c r="AC733" s="6"/>
      <c r="AD733" s="6" t="s">
        <v>56</v>
      </c>
      <c r="AE733" s="6"/>
      <c r="AF733" s="6" t="s">
        <v>68</v>
      </c>
      <c r="AG733" s="6"/>
      <c r="AH733" s="6" t="s">
        <v>58</v>
      </c>
      <c r="AI733" s="6"/>
      <c r="AJ733" s="6" t="s">
        <v>77</v>
      </c>
    </row>
    <row r="734" spans="1:36" ht="15.75" customHeight="1" x14ac:dyDescent="0.25">
      <c r="A734" s="7">
        <v>43419.268915486115</v>
      </c>
      <c r="B734" s="6" t="s">
        <v>127</v>
      </c>
      <c r="C734" s="6" t="s">
        <v>215</v>
      </c>
      <c r="D734" s="6" t="s">
        <v>46</v>
      </c>
      <c r="E734" s="6" t="s">
        <v>48</v>
      </c>
      <c r="F734" s="6" t="s">
        <v>2696</v>
      </c>
      <c r="G734" s="6" t="s">
        <v>48</v>
      </c>
      <c r="H734" s="6" t="s">
        <v>2697</v>
      </c>
      <c r="I734" s="6"/>
      <c r="J734" s="6" t="s">
        <v>184</v>
      </c>
      <c r="K734" s="6"/>
      <c r="L734" s="6" t="s">
        <v>2407</v>
      </c>
      <c r="M734" s="6"/>
      <c r="N734" s="6" t="s">
        <v>112</v>
      </c>
      <c r="O734" s="6"/>
      <c r="P734" s="6" t="s">
        <v>52</v>
      </c>
      <c r="Q734" s="6"/>
      <c r="R734" s="47" t="s">
        <v>5284</v>
      </c>
      <c r="S734" s="14" t="s">
        <v>5285</v>
      </c>
      <c r="T734" s="14" t="s">
        <v>5286</v>
      </c>
      <c r="AA734" s="6"/>
      <c r="AB734" s="6" t="s">
        <v>55</v>
      </c>
      <c r="AC734" s="6"/>
      <c r="AD734" s="6" t="s">
        <v>56</v>
      </c>
      <c r="AE734" s="6"/>
      <c r="AF734" s="6" t="s">
        <v>68</v>
      </c>
      <c r="AG734" s="6"/>
      <c r="AH734" s="6" t="s">
        <v>76</v>
      </c>
      <c r="AI734" s="6"/>
      <c r="AJ734" s="6" t="s">
        <v>115</v>
      </c>
    </row>
    <row r="735" spans="1:36" ht="15.75" customHeight="1" x14ac:dyDescent="0.25">
      <c r="A735" s="7">
        <v>43419.277571898143</v>
      </c>
      <c r="B735" s="6" t="s">
        <v>60</v>
      </c>
      <c r="C735" s="6" t="s">
        <v>1061</v>
      </c>
      <c r="D735" s="6" t="s">
        <v>165</v>
      </c>
      <c r="E735" s="6" t="s">
        <v>81</v>
      </c>
      <c r="G735" s="6" t="s">
        <v>87</v>
      </c>
      <c r="J735" s="6" t="s">
        <v>158</v>
      </c>
      <c r="K735" s="6"/>
      <c r="L735" s="6" t="s">
        <v>2546</v>
      </c>
      <c r="M735" s="6"/>
      <c r="N735" s="6" t="s">
        <v>98</v>
      </c>
      <c r="O735" s="6"/>
      <c r="P735" s="6" t="s">
        <v>131</v>
      </c>
      <c r="Q735" s="6"/>
      <c r="AA735" s="6"/>
      <c r="AB735" s="6" t="s">
        <v>101</v>
      </c>
      <c r="AC735" s="6"/>
      <c r="AD735" s="6" t="s">
        <v>56</v>
      </c>
      <c r="AE735" s="6"/>
      <c r="AF735" s="6" t="s">
        <v>68</v>
      </c>
      <c r="AG735" s="6"/>
      <c r="AH735" s="6" t="s">
        <v>58</v>
      </c>
      <c r="AI735" s="6"/>
      <c r="AJ735" s="11" t="s">
        <v>170</v>
      </c>
    </row>
    <row r="736" spans="1:36" ht="15.75" customHeight="1" x14ac:dyDescent="0.25">
      <c r="A736" s="7">
        <v>43419.278589270834</v>
      </c>
      <c r="B736" s="6" t="s">
        <v>127</v>
      </c>
      <c r="C736" s="6" t="s">
        <v>322</v>
      </c>
      <c r="D736" s="6" t="s">
        <v>190</v>
      </c>
      <c r="E736" s="6" t="s">
        <v>48</v>
      </c>
      <c r="G736" s="6" t="s">
        <v>48</v>
      </c>
      <c r="J736" s="6" t="s">
        <v>110</v>
      </c>
      <c r="K736" s="6"/>
      <c r="N736" s="6" t="s">
        <v>212</v>
      </c>
      <c r="O736" s="6"/>
      <c r="P736" s="6" t="s">
        <v>94</v>
      </c>
      <c r="Q736" s="6"/>
      <c r="AA736" s="6"/>
      <c r="AB736" s="6" t="s">
        <v>67</v>
      </c>
      <c r="AC736" s="6"/>
      <c r="AD736" s="6" t="s">
        <v>56</v>
      </c>
      <c r="AE736" s="6"/>
      <c r="AF736" s="6" t="s">
        <v>75</v>
      </c>
      <c r="AG736" s="6"/>
      <c r="AH736" s="6" t="s">
        <v>58</v>
      </c>
      <c r="AJ736" s="12" t="s">
        <v>57</v>
      </c>
    </row>
    <row r="737" spans="1:36" ht="15.75" customHeight="1" x14ac:dyDescent="0.25">
      <c r="A737" s="7">
        <v>43419.278950428241</v>
      </c>
      <c r="B737" s="6" t="s">
        <v>30</v>
      </c>
      <c r="C737" s="6" t="s">
        <v>756</v>
      </c>
      <c r="D737" s="6" t="s">
        <v>91</v>
      </c>
      <c r="E737" s="6" t="s">
        <v>48</v>
      </c>
      <c r="F737" s="6" t="s">
        <v>2709</v>
      </c>
      <c r="G737" s="6" t="s">
        <v>48</v>
      </c>
      <c r="H737" s="6" t="s">
        <v>2710</v>
      </c>
      <c r="I737" s="6"/>
      <c r="J737" s="6" t="s">
        <v>106</v>
      </c>
      <c r="K737" s="6"/>
      <c r="L737" s="6" t="s">
        <v>2548</v>
      </c>
      <c r="M737" s="6"/>
      <c r="N737" s="6" t="s">
        <v>212</v>
      </c>
      <c r="O737" s="6"/>
      <c r="P737" s="6" t="s">
        <v>131</v>
      </c>
      <c r="Q737" s="6"/>
      <c r="R737" s="47" t="s">
        <v>149</v>
      </c>
      <c r="S737" s="14" t="s">
        <v>4400</v>
      </c>
      <c r="T737" s="14" t="s">
        <v>4514</v>
      </c>
      <c r="AA737" s="6"/>
      <c r="AB737" s="6" t="s">
        <v>67</v>
      </c>
      <c r="AC737" s="6"/>
      <c r="AD737" s="6" t="s">
        <v>56</v>
      </c>
      <c r="AE737" s="6"/>
      <c r="AF737" s="6" t="s">
        <v>68</v>
      </c>
      <c r="AG737" s="6"/>
      <c r="AH737" s="6" t="s">
        <v>58</v>
      </c>
      <c r="AI737" s="6"/>
      <c r="AJ737" s="6" t="s">
        <v>77</v>
      </c>
    </row>
    <row r="738" spans="1:36" ht="15.75" customHeight="1" x14ac:dyDescent="0.25">
      <c r="A738" s="7">
        <v>43419.279082708337</v>
      </c>
      <c r="B738" s="6" t="s">
        <v>2712</v>
      </c>
      <c r="C738" s="6" t="s">
        <v>883</v>
      </c>
      <c r="D738" s="6" t="s">
        <v>510</v>
      </c>
      <c r="E738" s="6" t="s">
        <v>48</v>
      </c>
      <c r="F738" s="6" t="s">
        <v>1183</v>
      </c>
      <c r="G738" s="6" t="s">
        <v>48</v>
      </c>
      <c r="H738" s="6" t="s">
        <v>698</v>
      </c>
      <c r="I738" s="6"/>
      <c r="J738" s="6" t="s">
        <v>110</v>
      </c>
      <c r="K738" s="6"/>
      <c r="L738" s="6" t="s">
        <v>2713</v>
      </c>
      <c r="M738" s="6"/>
      <c r="N738" s="6" t="s">
        <v>121</v>
      </c>
      <c r="O738" s="6"/>
      <c r="P738" s="6" t="s">
        <v>99</v>
      </c>
      <c r="Q738" s="6"/>
      <c r="R738" s="47" t="s">
        <v>699</v>
      </c>
      <c r="AA738" s="6"/>
      <c r="AB738" s="6" t="s">
        <v>55</v>
      </c>
      <c r="AC738" s="6"/>
      <c r="AD738" s="6" t="s">
        <v>56</v>
      </c>
      <c r="AE738" s="6"/>
      <c r="AF738" s="6" t="s">
        <v>161</v>
      </c>
      <c r="AG738" s="6"/>
      <c r="AH738" s="6" t="s">
        <v>76</v>
      </c>
      <c r="AI738" s="6"/>
      <c r="AJ738" s="6" t="s">
        <v>132</v>
      </c>
    </row>
    <row r="739" spans="1:36" ht="15.75" customHeight="1" x14ac:dyDescent="0.25">
      <c r="A739" s="7">
        <v>43419.282555277779</v>
      </c>
      <c r="B739" s="6" t="s">
        <v>60</v>
      </c>
      <c r="C739" s="6" t="s">
        <v>237</v>
      </c>
      <c r="D739" s="6" t="s">
        <v>165</v>
      </c>
      <c r="E739" s="6" t="s">
        <v>48</v>
      </c>
      <c r="F739" s="6" t="s">
        <v>2714</v>
      </c>
      <c r="G739" s="6" t="s">
        <v>48</v>
      </c>
      <c r="H739" s="6" t="s">
        <v>2715</v>
      </c>
      <c r="I739" s="6"/>
      <c r="J739" s="6" t="s">
        <v>106</v>
      </c>
      <c r="K739" s="6"/>
      <c r="L739" s="6" t="s">
        <v>2408</v>
      </c>
      <c r="M739" s="6"/>
      <c r="N739" s="6" t="s">
        <v>98</v>
      </c>
      <c r="O739" s="6"/>
      <c r="P739" s="6" t="s">
        <v>131</v>
      </c>
      <c r="Q739" s="6"/>
      <c r="R739" s="47" t="s">
        <v>3310</v>
      </c>
      <c r="S739" s="14" t="s">
        <v>5001</v>
      </c>
      <c r="T739" s="14" t="s">
        <v>5287</v>
      </c>
      <c r="AA739" s="6"/>
      <c r="AB739" s="6" t="s">
        <v>67</v>
      </c>
      <c r="AC739" s="6"/>
      <c r="AD739" s="6" t="s">
        <v>56</v>
      </c>
      <c r="AE739" s="6"/>
      <c r="AF739" s="6" t="s">
        <v>205</v>
      </c>
      <c r="AG739" s="6"/>
      <c r="AH739" s="6" t="s">
        <v>57</v>
      </c>
      <c r="AI739" s="6"/>
      <c r="AJ739" s="6" t="s">
        <v>77</v>
      </c>
    </row>
    <row r="740" spans="1:36" ht="15.75" customHeight="1" x14ac:dyDescent="0.25">
      <c r="A740" s="7">
        <v>43419.286158125004</v>
      </c>
      <c r="B740" s="6" t="s">
        <v>397</v>
      </c>
      <c r="C740" s="6" t="s">
        <v>90</v>
      </c>
      <c r="D740" s="6" t="s">
        <v>163</v>
      </c>
      <c r="E740" s="6" t="s">
        <v>48</v>
      </c>
      <c r="F740" s="6" t="s">
        <v>2717</v>
      </c>
      <c r="G740" s="6" t="s">
        <v>48</v>
      </c>
      <c r="H740" s="6" t="s">
        <v>2718</v>
      </c>
      <c r="I740" s="6"/>
      <c r="J740" s="6" t="s">
        <v>92</v>
      </c>
      <c r="K740" s="6"/>
      <c r="L740" s="6" t="s">
        <v>2719</v>
      </c>
      <c r="M740" s="6"/>
      <c r="N740" s="6" t="s">
        <v>98</v>
      </c>
      <c r="O740" s="6"/>
      <c r="P740" s="6" t="s">
        <v>94</v>
      </c>
      <c r="Q740" s="6"/>
      <c r="R740" s="47" t="s">
        <v>234</v>
      </c>
      <c r="S740" s="14" t="s">
        <v>5288</v>
      </c>
      <c r="AA740" s="6"/>
      <c r="AB740" s="6" t="s">
        <v>101</v>
      </c>
      <c r="AC740" s="6"/>
      <c r="AD740" s="6" t="s">
        <v>56</v>
      </c>
      <c r="AE740" s="6"/>
      <c r="AF740" s="6" t="s">
        <v>75</v>
      </c>
      <c r="AG740" s="6"/>
      <c r="AH740" s="6" t="s">
        <v>76</v>
      </c>
      <c r="AI740" s="6"/>
      <c r="AJ740" s="6" t="s">
        <v>77</v>
      </c>
    </row>
    <row r="741" spans="1:36" ht="15.75" customHeight="1" x14ac:dyDescent="0.25">
      <c r="A741" s="7">
        <v>43419.288692268514</v>
      </c>
      <c r="B741" s="6" t="s">
        <v>127</v>
      </c>
      <c r="C741" s="6" t="s">
        <v>349</v>
      </c>
      <c r="D741" s="6" t="s">
        <v>46</v>
      </c>
      <c r="E741" s="6" t="s">
        <v>81</v>
      </c>
      <c r="H741" s="6" t="s">
        <v>2721</v>
      </c>
      <c r="I741" s="6"/>
      <c r="J741" s="6" t="s">
        <v>64</v>
      </c>
      <c r="K741" s="6"/>
      <c r="L741" s="6" t="s">
        <v>2549</v>
      </c>
      <c r="M741" s="6"/>
      <c r="N741" s="6" t="s">
        <v>181</v>
      </c>
      <c r="O741" s="6"/>
      <c r="P741" s="6" t="s">
        <v>52</v>
      </c>
      <c r="Q741" s="6"/>
      <c r="R741" s="47" t="s">
        <v>2722</v>
      </c>
      <c r="AA741" s="6"/>
      <c r="AB741" s="6" t="s">
        <v>67</v>
      </c>
      <c r="AC741" s="6"/>
      <c r="AD741" s="6" t="s">
        <v>56</v>
      </c>
      <c r="AE741" s="6"/>
      <c r="AF741" s="6" t="s">
        <v>68</v>
      </c>
      <c r="AG741" s="6"/>
      <c r="AH741" s="6" t="s">
        <v>58</v>
      </c>
      <c r="AI741" s="6"/>
      <c r="AJ741" s="6" t="s">
        <v>77</v>
      </c>
    </row>
    <row r="742" spans="1:36" ht="15.75" customHeight="1" x14ac:dyDescent="0.25">
      <c r="A742" s="7">
        <v>43419.290574560189</v>
      </c>
      <c r="B742" s="6" t="s">
        <v>30</v>
      </c>
      <c r="C742" s="6" t="s">
        <v>116</v>
      </c>
      <c r="D742" s="6" t="s">
        <v>165</v>
      </c>
      <c r="E742" s="6" t="s">
        <v>81</v>
      </c>
      <c r="G742" s="6" t="s">
        <v>87</v>
      </c>
      <c r="H742" s="6" t="s">
        <v>2723</v>
      </c>
      <c r="I742" s="6"/>
      <c r="J742" s="6" t="s">
        <v>73</v>
      </c>
      <c r="K742" s="6"/>
      <c r="L742" s="6" t="s">
        <v>2724</v>
      </c>
      <c r="M742" s="6"/>
      <c r="N742" s="6" t="s">
        <v>121</v>
      </c>
      <c r="O742" s="6"/>
      <c r="P742" s="6" t="s">
        <v>94</v>
      </c>
      <c r="Q742" s="6"/>
      <c r="R742" s="47" t="s">
        <v>182</v>
      </c>
      <c r="S742" s="14" t="s">
        <v>5289</v>
      </c>
      <c r="T742" s="14" t="s">
        <v>5290</v>
      </c>
      <c r="U742" s="14" t="s">
        <v>5291</v>
      </c>
      <c r="AA742" s="6"/>
      <c r="AB742" s="6" t="s">
        <v>101</v>
      </c>
      <c r="AC742" s="6"/>
      <c r="AD742" s="6" t="s">
        <v>56</v>
      </c>
      <c r="AE742" s="6"/>
      <c r="AF742" s="6" t="s">
        <v>161</v>
      </c>
      <c r="AG742" s="6"/>
      <c r="AH742" s="6" t="s">
        <v>76</v>
      </c>
      <c r="AI742" s="6"/>
      <c r="AJ742" s="6" t="s">
        <v>69</v>
      </c>
    </row>
    <row r="743" spans="1:36" ht="15.75" customHeight="1" x14ac:dyDescent="0.25">
      <c r="A743" s="7">
        <v>43419.297121018521</v>
      </c>
      <c r="B743" s="6" t="s">
        <v>60</v>
      </c>
      <c r="C743" s="6" t="s">
        <v>128</v>
      </c>
      <c r="D743" s="6" t="s">
        <v>46</v>
      </c>
      <c r="E743" s="6" t="s">
        <v>48</v>
      </c>
      <c r="F743" s="6" t="s">
        <v>2726</v>
      </c>
      <c r="G743" s="6" t="s">
        <v>48</v>
      </c>
      <c r="H743" s="6" t="s">
        <v>2727</v>
      </c>
      <c r="I743" s="6"/>
      <c r="J743" s="6" t="s">
        <v>89</v>
      </c>
      <c r="K743" s="6"/>
      <c r="L743" s="6" t="s">
        <v>2728</v>
      </c>
      <c r="M743" s="6"/>
      <c r="N743" s="6" t="s">
        <v>212</v>
      </c>
      <c r="O743" s="6"/>
      <c r="P743" s="6" t="s">
        <v>131</v>
      </c>
      <c r="Q743" s="6"/>
      <c r="R743" s="47" t="s">
        <v>182</v>
      </c>
      <c r="S743" s="14" t="s">
        <v>4657</v>
      </c>
      <c r="T743" s="14" t="s">
        <v>5292</v>
      </c>
      <c r="U743" s="14" t="s">
        <v>5293</v>
      </c>
      <c r="AA743" s="6"/>
      <c r="AB743" s="6" t="s">
        <v>67</v>
      </c>
      <c r="AC743" s="6"/>
      <c r="AD743" s="6" t="s">
        <v>56</v>
      </c>
      <c r="AE743" s="6"/>
      <c r="AF743" s="6" t="s">
        <v>68</v>
      </c>
      <c r="AG743" s="6"/>
      <c r="AH743" s="6" t="s">
        <v>58</v>
      </c>
      <c r="AI743" s="6"/>
      <c r="AJ743" s="6" t="s">
        <v>77</v>
      </c>
    </row>
    <row r="744" spans="1:36" ht="15.75" customHeight="1" x14ac:dyDescent="0.25">
      <c r="A744" s="7">
        <v>43419.299437499998</v>
      </c>
      <c r="B744" s="6" t="s">
        <v>2730</v>
      </c>
      <c r="C744" s="6" t="s">
        <v>95</v>
      </c>
      <c r="D744" s="6" t="s">
        <v>163</v>
      </c>
      <c r="E744" s="6" t="s">
        <v>48</v>
      </c>
      <c r="F744" s="6" t="s">
        <v>2731</v>
      </c>
      <c r="G744" s="6" t="s">
        <v>48</v>
      </c>
      <c r="H744" s="6" t="s">
        <v>2732</v>
      </c>
      <c r="I744" s="6"/>
      <c r="J744" s="6" t="s">
        <v>106</v>
      </c>
      <c r="K744" s="6"/>
      <c r="L744" s="6" t="s">
        <v>2551</v>
      </c>
      <c r="M744" s="6"/>
      <c r="N744" s="6" t="s">
        <v>181</v>
      </c>
      <c r="O744" s="6"/>
      <c r="P744" s="6" t="s">
        <v>131</v>
      </c>
      <c r="Q744" s="6"/>
      <c r="R744" s="47" t="s">
        <v>5294</v>
      </c>
      <c r="S744" s="14" t="s">
        <v>4753</v>
      </c>
      <c r="T744" s="14" t="s">
        <v>5195</v>
      </c>
      <c r="U744" s="14" t="s">
        <v>4632</v>
      </c>
      <c r="AA744" s="6"/>
      <c r="AB744" s="6" t="s">
        <v>67</v>
      </c>
      <c r="AC744" s="6"/>
      <c r="AD744" s="6" t="s">
        <v>56</v>
      </c>
      <c r="AE744" s="6"/>
      <c r="AF744" s="6" t="s">
        <v>75</v>
      </c>
      <c r="AG744" s="6"/>
      <c r="AH744" s="6" t="s">
        <v>76</v>
      </c>
      <c r="AI744" s="6"/>
      <c r="AJ744" s="6" t="s">
        <v>77</v>
      </c>
    </row>
    <row r="745" spans="1:36" ht="15.75" customHeight="1" x14ac:dyDescent="0.25">
      <c r="A745" s="7">
        <v>43419.30386561343</v>
      </c>
      <c r="B745" s="6" t="s">
        <v>30</v>
      </c>
      <c r="C745" s="6" t="s">
        <v>95</v>
      </c>
      <c r="D745" s="6" t="s">
        <v>46</v>
      </c>
      <c r="E745" s="6" t="s">
        <v>81</v>
      </c>
      <c r="G745" s="6" t="s">
        <v>87</v>
      </c>
      <c r="H745" s="6" t="s">
        <v>2734</v>
      </c>
      <c r="I745" s="6"/>
      <c r="J745" s="6" t="s">
        <v>89</v>
      </c>
      <c r="K745" s="6"/>
      <c r="L745" s="6" t="s">
        <v>2735</v>
      </c>
      <c r="M745" s="6"/>
      <c r="N745" s="6" t="s">
        <v>181</v>
      </c>
      <c r="O745" s="6"/>
      <c r="P745" s="6" t="s">
        <v>131</v>
      </c>
      <c r="Q745" s="6"/>
      <c r="R745" s="47" t="s">
        <v>5295</v>
      </c>
      <c r="S745" s="14" t="s">
        <v>4527</v>
      </c>
      <c r="T745" s="14" t="s">
        <v>5296</v>
      </c>
      <c r="U745" s="14" t="s">
        <v>5297</v>
      </c>
      <c r="V745" s="14" t="s">
        <v>5298</v>
      </c>
      <c r="AA745" s="6"/>
      <c r="AB745" s="6" t="s">
        <v>67</v>
      </c>
      <c r="AC745" s="6"/>
      <c r="AD745" s="6" t="s">
        <v>56</v>
      </c>
      <c r="AE745" s="6"/>
      <c r="AF745" s="6" t="s">
        <v>75</v>
      </c>
      <c r="AG745" s="6"/>
      <c r="AH745" s="6" t="s">
        <v>126</v>
      </c>
      <c r="AI745" s="6"/>
      <c r="AJ745" s="6" t="s">
        <v>77</v>
      </c>
    </row>
    <row r="746" spans="1:36" ht="15.75" customHeight="1" x14ac:dyDescent="0.25">
      <c r="A746" s="7">
        <v>43419.304171701384</v>
      </c>
      <c r="B746" s="6" t="s">
        <v>2737</v>
      </c>
      <c r="C746" s="6" t="s">
        <v>90</v>
      </c>
      <c r="D746" s="6" t="s">
        <v>91</v>
      </c>
      <c r="E746" s="6" t="s">
        <v>81</v>
      </c>
      <c r="G746" s="6" t="s">
        <v>87</v>
      </c>
      <c r="H746" s="6" t="s">
        <v>2738</v>
      </c>
      <c r="I746" s="6"/>
      <c r="J746" s="6" t="s">
        <v>92</v>
      </c>
      <c r="K746" s="6"/>
      <c r="L746" s="6" t="s">
        <v>2739</v>
      </c>
      <c r="M746" s="6"/>
      <c r="N746" s="6" t="s">
        <v>51</v>
      </c>
      <c r="O746" s="6"/>
      <c r="P746" s="6" t="s">
        <v>52</v>
      </c>
      <c r="Q746" s="6"/>
      <c r="R746" s="47" t="s">
        <v>1857</v>
      </c>
      <c r="AA746" s="6"/>
      <c r="AB746" s="6" t="s">
        <v>67</v>
      </c>
      <c r="AC746" s="6"/>
      <c r="AD746" s="6" t="s">
        <v>56</v>
      </c>
      <c r="AE746" s="6"/>
      <c r="AF746" s="6" t="s">
        <v>75</v>
      </c>
      <c r="AG746" s="6"/>
      <c r="AH746" s="6" t="s">
        <v>58</v>
      </c>
      <c r="AI746" s="6"/>
      <c r="AJ746" s="11" t="s">
        <v>115</v>
      </c>
    </row>
    <row r="747" spans="1:36" ht="15.75" customHeight="1" x14ac:dyDescent="0.25">
      <c r="A747" s="7">
        <v>43419.311217060182</v>
      </c>
      <c r="B747" s="6" t="s">
        <v>30</v>
      </c>
      <c r="C747" s="6" t="s">
        <v>95</v>
      </c>
      <c r="D747" s="6" t="s">
        <v>155</v>
      </c>
      <c r="E747" s="6" t="s">
        <v>81</v>
      </c>
      <c r="G747" s="6" t="s">
        <v>87</v>
      </c>
      <c r="H747" s="6" t="s">
        <v>2740</v>
      </c>
      <c r="I747" s="6"/>
      <c r="J747" s="6" t="s">
        <v>89</v>
      </c>
      <c r="K747" s="6"/>
      <c r="L747" s="6" t="s">
        <v>2553</v>
      </c>
      <c r="M747" s="6"/>
      <c r="N747" s="6" t="s">
        <v>121</v>
      </c>
      <c r="O747" s="6"/>
      <c r="P747" s="6" t="s">
        <v>94</v>
      </c>
      <c r="Q747" s="6"/>
      <c r="AA747" s="6"/>
      <c r="AB747" s="6" t="s">
        <v>101</v>
      </c>
      <c r="AC747" s="6"/>
      <c r="AD747" s="6" t="s">
        <v>56</v>
      </c>
      <c r="AE747" s="6"/>
      <c r="AF747" s="6" t="s">
        <v>75</v>
      </c>
      <c r="AG747" s="6"/>
      <c r="AH747" s="6" t="s">
        <v>76</v>
      </c>
      <c r="AI747" s="6"/>
      <c r="AJ747" s="6" t="s">
        <v>77</v>
      </c>
    </row>
    <row r="748" spans="1:36" ht="15.75" customHeight="1" x14ac:dyDescent="0.25">
      <c r="A748" s="7">
        <v>43419.311952743054</v>
      </c>
      <c r="B748" s="6" t="s">
        <v>30</v>
      </c>
      <c r="C748" s="6" t="s">
        <v>206</v>
      </c>
      <c r="D748" s="6" t="s">
        <v>46</v>
      </c>
      <c r="E748" s="6" t="s">
        <v>81</v>
      </c>
      <c r="P748" s="6" t="s">
        <v>94</v>
      </c>
      <c r="Q748" s="6"/>
      <c r="AA748" s="6"/>
      <c r="AB748" s="6" t="s">
        <v>67</v>
      </c>
      <c r="AC748" s="6"/>
      <c r="AD748" s="6" t="s">
        <v>56</v>
      </c>
      <c r="AE748" s="6"/>
      <c r="AF748" s="6" t="s">
        <v>75</v>
      </c>
      <c r="AG748" s="6"/>
      <c r="AH748" s="6" t="s">
        <v>76</v>
      </c>
      <c r="AI748" s="6"/>
      <c r="AJ748" s="6" t="s">
        <v>174</v>
      </c>
    </row>
    <row r="749" spans="1:36" ht="15.75" customHeight="1" x14ac:dyDescent="0.25">
      <c r="A749" s="7">
        <v>43419.312166284726</v>
      </c>
      <c r="B749" s="6" t="s">
        <v>30</v>
      </c>
      <c r="C749" s="6" t="s">
        <v>90</v>
      </c>
      <c r="E749" s="6" t="s">
        <v>48</v>
      </c>
      <c r="F749" s="6" t="s">
        <v>2741</v>
      </c>
      <c r="G749" s="6" t="s">
        <v>48</v>
      </c>
      <c r="H749" s="6" t="s">
        <v>2742</v>
      </c>
      <c r="I749" s="6"/>
      <c r="J749" s="6" t="s">
        <v>64</v>
      </c>
      <c r="K749" s="6"/>
      <c r="L749" s="6" t="s">
        <v>2258</v>
      </c>
      <c r="M749" s="6"/>
      <c r="N749" s="6" t="s">
        <v>51</v>
      </c>
      <c r="O749" s="6"/>
      <c r="P749" s="6" t="s">
        <v>52</v>
      </c>
      <c r="Q749" s="6"/>
      <c r="R749" s="47" t="s">
        <v>5299</v>
      </c>
      <c r="S749" s="14" t="s">
        <v>5300</v>
      </c>
      <c r="T749" s="14" t="s">
        <v>5301</v>
      </c>
      <c r="U749" s="14" t="s">
        <v>5302</v>
      </c>
      <c r="V749" s="14" t="s">
        <v>5303</v>
      </c>
      <c r="AA749" s="6"/>
      <c r="AB749" s="6" t="s">
        <v>101</v>
      </c>
      <c r="AC749" s="6"/>
      <c r="AD749" s="6" t="s">
        <v>56</v>
      </c>
      <c r="AE749" s="6"/>
      <c r="AF749" s="6" t="s">
        <v>75</v>
      </c>
      <c r="AG749" s="6"/>
      <c r="AH749" s="6" t="s">
        <v>58</v>
      </c>
      <c r="AI749" s="6"/>
      <c r="AJ749" s="11" t="s">
        <v>77</v>
      </c>
    </row>
    <row r="750" spans="1:36" ht="15.75" customHeight="1" x14ac:dyDescent="0.25">
      <c r="A750" s="7">
        <v>43419.314097581024</v>
      </c>
      <c r="B750" s="6" t="s">
        <v>26</v>
      </c>
      <c r="C750" s="6" t="s">
        <v>116</v>
      </c>
      <c r="D750" s="6" t="s">
        <v>46</v>
      </c>
      <c r="E750" s="6" t="s">
        <v>48</v>
      </c>
      <c r="F750" s="6" t="s">
        <v>2744</v>
      </c>
      <c r="G750" s="6" t="s">
        <v>48</v>
      </c>
      <c r="H750" s="6" t="s">
        <v>2745</v>
      </c>
      <c r="I750" s="6"/>
      <c r="J750" s="6" t="s">
        <v>92</v>
      </c>
      <c r="K750" s="6"/>
      <c r="L750" s="6" t="s">
        <v>2409</v>
      </c>
      <c r="M750" s="6"/>
      <c r="N750" s="6" t="s">
        <v>98</v>
      </c>
      <c r="O750" s="6"/>
      <c r="P750" s="6" t="s">
        <v>131</v>
      </c>
      <c r="Q750" s="6"/>
      <c r="R750" s="47" t="s">
        <v>2746</v>
      </c>
      <c r="AA750" s="6"/>
      <c r="AB750" s="6" t="s">
        <v>101</v>
      </c>
      <c r="AC750" s="6"/>
      <c r="AD750" s="6" t="s">
        <v>56</v>
      </c>
      <c r="AE750" s="6"/>
      <c r="AF750" s="6" t="s">
        <v>68</v>
      </c>
      <c r="AG750" s="6"/>
      <c r="AH750" s="6" t="s">
        <v>57</v>
      </c>
      <c r="AI750" s="6"/>
      <c r="AJ750" s="6" t="s">
        <v>360</v>
      </c>
    </row>
    <row r="751" spans="1:36" ht="15.75" customHeight="1" x14ac:dyDescent="0.25">
      <c r="A751" s="7">
        <v>43419.317277534719</v>
      </c>
      <c r="B751" s="6" t="s">
        <v>30</v>
      </c>
      <c r="C751" s="6" t="s">
        <v>749</v>
      </c>
      <c r="D751" s="6" t="s">
        <v>46</v>
      </c>
      <c r="E751" s="6" t="s">
        <v>81</v>
      </c>
      <c r="G751" s="6" t="s">
        <v>87</v>
      </c>
      <c r="H751" s="6" t="s">
        <v>2747</v>
      </c>
      <c r="I751" s="6"/>
      <c r="J751" s="6" t="s">
        <v>110</v>
      </c>
      <c r="K751" s="6"/>
      <c r="L751" s="6" t="s">
        <v>2748</v>
      </c>
      <c r="M751" s="6"/>
      <c r="N751" s="6" t="s">
        <v>51</v>
      </c>
      <c r="O751" s="6"/>
      <c r="P751" s="6" t="s">
        <v>131</v>
      </c>
      <c r="Q751" s="6"/>
      <c r="R751" s="47" t="s">
        <v>2905</v>
      </c>
      <c r="S751" s="14" t="s">
        <v>5304</v>
      </c>
      <c r="AA751" s="6"/>
      <c r="AB751" s="6" t="s">
        <v>67</v>
      </c>
      <c r="AC751" s="6"/>
      <c r="AD751" s="6" t="s">
        <v>56</v>
      </c>
      <c r="AE751" s="6"/>
      <c r="AF751" s="6" t="s">
        <v>75</v>
      </c>
      <c r="AG751" s="6"/>
      <c r="AH751" s="6" t="s">
        <v>76</v>
      </c>
      <c r="AI751" s="6"/>
      <c r="AJ751" s="6" t="s">
        <v>297</v>
      </c>
    </row>
    <row r="752" spans="1:36" ht="15.75" customHeight="1" x14ac:dyDescent="0.25">
      <c r="A752" s="7">
        <v>43419.326045729162</v>
      </c>
      <c r="B752" s="6" t="s">
        <v>397</v>
      </c>
      <c r="C752" s="6" t="s">
        <v>95</v>
      </c>
      <c r="D752" s="6" t="s">
        <v>46</v>
      </c>
      <c r="E752" s="6" t="s">
        <v>48</v>
      </c>
      <c r="G752" s="6" t="s">
        <v>48</v>
      </c>
      <c r="J752" s="6" t="s">
        <v>92</v>
      </c>
      <c r="K752" s="6"/>
      <c r="L752" s="6" t="s">
        <v>2750</v>
      </c>
      <c r="M752" s="6"/>
      <c r="N752" s="6" t="s">
        <v>112</v>
      </c>
      <c r="O752" s="6"/>
      <c r="P752" s="6" t="s">
        <v>131</v>
      </c>
      <c r="Q752" s="6"/>
      <c r="R752" s="47" t="s">
        <v>2751</v>
      </c>
      <c r="AA752" s="6"/>
      <c r="AB752" s="6" t="s">
        <v>101</v>
      </c>
      <c r="AC752" s="6"/>
      <c r="AD752" s="6" t="s">
        <v>56</v>
      </c>
      <c r="AE752" s="6"/>
      <c r="AF752" s="6" t="s">
        <v>68</v>
      </c>
      <c r="AG752" s="6"/>
      <c r="AH752" s="6" t="s">
        <v>58</v>
      </c>
      <c r="AI752" s="6"/>
      <c r="AJ752" s="6" t="s">
        <v>115</v>
      </c>
    </row>
    <row r="753" spans="1:36" ht="15.75" customHeight="1" x14ac:dyDescent="0.25">
      <c r="A753" s="7">
        <v>43419.32700391204</v>
      </c>
      <c r="B753" s="6" t="s">
        <v>1110</v>
      </c>
      <c r="C753" s="6" t="s">
        <v>45</v>
      </c>
      <c r="D753" s="6" t="s">
        <v>261</v>
      </c>
      <c r="E753" s="6" t="s">
        <v>48</v>
      </c>
      <c r="F753" s="6" t="s">
        <v>993</v>
      </c>
      <c r="G753" s="6" t="s">
        <v>48</v>
      </c>
      <c r="H753" s="6" t="s">
        <v>2752</v>
      </c>
      <c r="I753" s="6"/>
      <c r="J753" s="6" t="s">
        <v>92</v>
      </c>
      <c r="K753" s="6"/>
      <c r="L753" s="6" t="s">
        <v>2279</v>
      </c>
      <c r="M753" s="6"/>
      <c r="N753" s="6" t="s">
        <v>121</v>
      </c>
      <c r="O753" s="6"/>
      <c r="P753" s="6" t="s">
        <v>94</v>
      </c>
      <c r="Q753" s="6"/>
      <c r="R753" s="47" t="s">
        <v>1417</v>
      </c>
      <c r="S753" s="14" t="s">
        <v>5305</v>
      </c>
      <c r="AA753" s="6"/>
      <c r="AB753" s="6" t="s">
        <v>67</v>
      </c>
      <c r="AC753" s="6"/>
      <c r="AD753" s="6" t="s">
        <v>56</v>
      </c>
      <c r="AE753" s="6"/>
      <c r="AF753" s="6" t="s">
        <v>161</v>
      </c>
      <c r="AG753" s="6"/>
      <c r="AH753" s="6" t="s">
        <v>76</v>
      </c>
      <c r="AI753" s="6"/>
      <c r="AJ753" s="6" t="s">
        <v>69</v>
      </c>
    </row>
    <row r="754" spans="1:36" ht="15.75" customHeight="1" x14ac:dyDescent="0.25">
      <c r="A754" s="7">
        <v>43419.329521481486</v>
      </c>
      <c r="B754" s="6" t="s">
        <v>60</v>
      </c>
      <c r="C754" s="6" t="s">
        <v>206</v>
      </c>
      <c r="D754" s="6" t="s">
        <v>91</v>
      </c>
      <c r="E754" s="6" t="s">
        <v>48</v>
      </c>
      <c r="F754" s="6" t="s">
        <v>2754</v>
      </c>
      <c r="G754" s="6" t="s">
        <v>48</v>
      </c>
      <c r="H754" s="6" t="s">
        <v>2755</v>
      </c>
      <c r="I754" s="6"/>
      <c r="J754" s="6" t="s">
        <v>64</v>
      </c>
      <c r="K754" s="6"/>
      <c r="L754" s="6" t="s">
        <v>2756</v>
      </c>
      <c r="M754" s="6"/>
      <c r="N754" s="6" t="s">
        <v>181</v>
      </c>
      <c r="O754" s="6"/>
      <c r="P754" s="6" t="s">
        <v>131</v>
      </c>
      <c r="Q754" s="6"/>
      <c r="R754" s="47" t="s">
        <v>2757</v>
      </c>
      <c r="AA754" s="6"/>
      <c r="AB754" s="6" t="s">
        <v>101</v>
      </c>
      <c r="AC754" s="6"/>
      <c r="AD754" s="6" t="s">
        <v>56</v>
      </c>
      <c r="AE754" s="6"/>
      <c r="AF754" s="6" t="s">
        <v>68</v>
      </c>
      <c r="AG754" s="6"/>
      <c r="AH754" s="6" t="s">
        <v>76</v>
      </c>
      <c r="AI754" s="6"/>
      <c r="AJ754" s="6" t="s">
        <v>77</v>
      </c>
    </row>
    <row r="755" spans="1:36" ht="15.75" customHeight="1" x14ac:dyDescent="0.25">
      <c r="A755" s="7">
        <v>43419.331244062501</v>
      </c>
      <c r="B755" s="6" t="s">
        <v>127</v>
      </c>
      <c r="C755" s="6" t="s">
        <v>95</v>
      </c>
      <c r="D755" s="6" t="s">
        <v>163</v>
      </c>
      <c r="E755" s="6" t="s">
        <v>81</v>
      </c>
      <c r="G755" s="6" t="s">
        <v>48</v>
      </c>
      <c r="H755" s="6" t="s">
        <v>81</v>
      </c>
      <c r="I755" s="6"/>
      <c r="J755" s="6" t="s">
        <v>110</v>
      </c>
      <c r="K755" s="6"/>
      <c r="L755" s="6" t="s">
        <v>2758</v>
      </c>
      <c r="M755" s="6"/>
      <c r="N755" s="6" t="s">
        <v>93</v>
      </c>
      <c r="O755" s="6"/>
      <c r="P755" s="6" t="s">
        <v>94</v>
      </c>
      <c r="Q755" s="6"/>
      <c r="R755" s="47" t="s">
        <v>149</v>
      </c>
      <c r="S755" s="14" t="s">
        <v>5306</v>
      </c>
      <c r="AA755" s="6"/>
      <c r="AB755" s="6" t="s">
        <v>67</v>
      </c>
      <c r="AC755" s="6"/>
      <c r="AD755" s="6" t="s">
        <v>56</v>
      </c>
      <c r="AE755" s="6"/>
      <c r="AF755" s="6" t="s">
        <v>75</v>
      </c>
      <c r="AG755" s="6"/>
      <c r="AH755" s="6" t="s">
        <v>58</v>
      </c>
      <c r="AI755" s="6"/>
      <c r="AJ755" s="6" t="s">
        <v>187</v>
      </c>
    </row>
    <row r="756" spans="1:36" ht="15.75" customHeight="1" x14ac:dyDescent="0.25">
      <c r="A756" s="7">
        <v>43419.337833692131</v>
      </c>
      <c r="B756" s="6" t="s">
        <v>28</v>
      </c>
      <c r="C756" s="6" t="s">
        <v>116</v>
      </c>
      <c r="D756" s="6" t="s">
        <v>165</v>
      </c>
      <c r="E756" s="6" t="s">
        <v>81</v>
      </c>
      <c r="G756" s="6" t="s">
        <v>48</v>
      </c>
      <c r="J756" s="6" t="s">
        <v>89</v>
      </c>
      <c r="K756" s="6"/>
      <c r="L756" s="6" t="s">
        <v>2760</v>
      </c>
      <c r="M756" s="6"/>
      <c r="N756" s="6" t="s">
        <v>98</v>
      </c>
      <c r="O756" s="6"/>
      <c r="P756" s="6" t="s">
        <v>99</v>
      </c>
      <c r="Q756" s="6"/>
      <c r="R756" s="47" t="s">
        <v>5307</v>
      </c>
      <c r="S756" s="14" t="s">
        <v>5308</v>
      </c>
      <c r="T756" s="14" t="s">
        <v>5309</v>
      </c>
      <c r="AA756" s="6"/>
      <c r="AB756" s="6" t="s">
        <v>67</v>
      </c>
      <c r="AC756" s="6"/>
      <c r="AD756" s="6" t="s">
        <v>56</v>
      </c>
      <c r="AE756" s="6"/>
      <c r="AF756" s="6" t="s">
        <v>75</v>
      </c>
      <c r="AG756" s="6"/>
      <c r="AH756" s="6" t="s">
        <v>58</v>
      </c>
      <c r="AI756" s="6"/>
      <c r="AJ756" s="6" t="s">
        <v>77</v>
      </c>
    </row>
    <row r="757" spans="1:36" ht="15.75" customHeight="1" x14ac:dyDescent="0.25">
      <c r="A757" s="7">
        <v>43419.338102013891</v>
      </c>
      <c r="B757" s="6" t="s">
        <v>2762</v>
      </c>
      <c r="C757" s="6" t="s">
        <v>116</v>
      </c>
      <c r="D757" s="6" t="s">
        <v>165</v>
      </c>
      <c r="E757" s="6" t="s">
        <v>81</v>
      </c>
      <c r="G757" s="6" t="s">
        <v>87</v>
      </c>
      <c r="H757" s="6" t="s">
        <v>86</v>
      </c>
      <c r="I757" s="6"/>
      <c r="J757" s="6" t="s">
        <v>92</v>
      </c>
      <c r="K757" s="6"/>
      <c r="L757" s="6" t="s">
        <v>2283</v>
      </c>
      <c r="M757" s="6"/>
      <c r="N757" s="6" t="s">
        <v>93</v>
      </c>
      <c r="O757" s="6"/>
      <c r="P757" s="6" t="s">
        <v>94</v>
      </c>
      <c r="Q757" s="6"/>
      <c r="R757" s="47" t="s">
        <v>1261</v>
      </c>
      <c r="AA757" s="6"/>
      <c r="AB757" s="6" t="s">
        <v>203</v>
      </c>
      <c r="AC757" s="6"/>
      <c r="AD757" s="6" t="s">
        <v>56</v>
      </c>
      <c r="AE757" s="6"/>
      <c r="AF757" s="6" t="s">
        <v>68</v>
      </c>
      <c r="AG757" s="6"/>
      <c r="AH757" s="6" t="s">
        <v>58</v>
      </c>
      <c r="AI757" s="6"/>
      <c r="AJ757" s="6" t="s">
        <v>77</v>
      </c>
    </row>
    <row r="758" spans="1:36" ht="15.75" customHeight="1" x14ac:dyDescent="0.25">
      <c r="A758" s="7">
        <v>43419.339079502315</v>
      </c>
      <c r="B758" s="6" t="s">
        <v>2763</v>
      </c>
      <c r="C758" s="6" t="s">
        <v>128</v>
      </c>
      <c r="D758" s="6" t="s">
        <v>91</v>
      </c>
      <c r="E758" s="6" t="s">
        <v>48</v>
      </c>
      <c r="F758" s="6" t="s">
        <v>2764</v>
      </c>
      <c r="G758" s="6" t="s">
        <v>48</v>
      </c>
      <c r="H758" s="6" t="s">
        <v>2765</v>
      </c>
      <c r="I758" s="6"/>
      <c r="J758" s="6" t="s">
        <v>50</v>
      </c>
      <c r="K758" s="6"/>
      <c r="L758" s="6" t="s">
        <v>2766</v>
      </c>
      <c r="M758" s="6"/>
      <c r="N758" s="6" t="s">
        <v>51</v>
      </c>
      <c r="O758" s="6"/>
      <c r="P758" s="6" t="s">
        <v>52</v>
      </c>
      <c r="Q758" s="6"/>
      <c r="R758" s="47" t="s">
        <v>5310</v>
      </c>
      <c r="S758" s="14" t="s">
        <v>5311</v>
      </c>
      <c r="T758" s="14" t="s">
        <v>4526</v>
      </c>
      <c r="U758" s="14" t="s">
        <v>5312</v>
      </c>
      <c r="V758" s="14" t="s">
        <v>4400</v>
      </c>
      <c r="W758" s="14" t="s">
        <v>5313</v>
      </c>
      <c r="AA758" s="6"/>
      <c r="AB758" s="6" t="s">
        <v>101</v>
      </c>
      <c r="AC758" s="6"/>
      <c r="AD758" s="6" t="s">
        <v>56</v>
      </c>
      <c r="AE758" s="6"/>
      <c r="AF758" s="6" t="s">
        <v>68</v>
      </c>
      <c r="AG758" s="6"/>
      <c r="AH758" s="6" t="s">
        <v>58</v>
      </c>
      <c r="AI758" s="6"/>
      <c r="AJ758" s="6" t="s">
        <v>77</v>
      </c>
    </row>
    <row r="759" spans="1:36" ht="15.75" customHeight="1" x14ac:dyDescent="0.25">
      <c r="A759" s="7">
        <v>43419.342954930558</v>
      </c>
      <c r="B759" s="6" t="s">
        <v>543</v>
      </c>
      <c r="C759" s="6" t="s">
        <v>90</v>
      </c>
      <c r="D759" s="6" t="s">
        <v>46</v>
      </c>
      <c r="E759" s="6" t="s">
        <v>81</v>
      </c>
      <c r="G759" s="6" t="s">
        <v>87</v>
      </c>
      <c r="H759" s="6" t="s">
        <v>2768</v>
      </c>
      <c r="I759" s="6"/>
      <c r="J759" s="6" t="s">
        <v>106</v>
      </c>
      <c r="K759" s="6"/>
      <c r="L759" s="6" t="s">
        <v>2554</v>
      </c>
      <c r="M759" s="6"/>
      <c r="N759" s="6" t="s">
        <v>93</v>
      </c>
      <c r="O759" s="6"/>
      <c r="P759" s="6" t="s">
        <v>99</v>
      </c>
      <c r="Q759" s="6"/>
      <c r="R759" s="47" t="s">
        <v>2769</v>
      </c>
      <c r="AA759" s="6"/>
      <c r="AB759" s="6" t="s">
        <v>101</v>
      </c>
      <c r="AC759" s="6"/>
      <c r="AD759" s="6" t="s">
        <v>56</v>
      </c>
      <c r="AE759" s="6"/>
      <c r="AF759" s="6" t="s">
        <v>161</v>
      </c>
      <c r="AG759" s="6"/>
      <c r="AH759" s="6" t="s">
        <v>76</v>
      </c>
      <c r="AI759" s="6"/>
      <c r="AJ759" s="6" t="s">
        <v>69</v>
      </c>
    </row>
    <row r="760" spans="1:36" ht="15.75" customHeight="1" x14ac:dyDescent="0.25">
      <c r="A760" s="7">
        <v>43419.34399065972</v>
      </c>
      <c r="B760" s="6" t="s">
        <v>30</v>
      </c>
      <c r="C760" s="6" t="s">
        <v>116</v>
      </c>
      <c r="D760" s="6" t="s">
        <v>46</v>
      </c>
      <c r="E760" s="6" t="s">
        <v>81</v>
      </c>
      <c r="G760" s="6" t="s">
        <v>87</v>
      </c>
      <c r="H760" s="6" t="s">
        <v>2770</v>
      </c>
      <c r="I760" s="6"/>
      <c r="J760" s="6" t="s">
        <v>106</v>
      </c>
      <c r="K760" s="6"/>
      <c r="L760" s="6" t="s">
        <v>2771</v>
      </c>
      <c r="M760" s="6"/>
      <c r="N760" s="6" t="s">
        <v>181</v>
      </c>
      <c r="O760" s="6"/>
      <c r="P760" s="6" t="s">
        <v>131</v>
      </c>
      <c r="Q760" s="6"/>
      <c r="R760" s="47" t="s">
        <v>169</v>
      </c>
      <c r="S760" s="14" t="s">
        <v>4757</v>
      </c>
      <c r="T760" s="14" t="s">
        <v>5314</v>
      </c>
      <c r="AA760" s="6"/>
      <c r="AB760" s="6" t="s">
        <v>101</v>
      </c>
      <c r="AC760" s="6"/>
      <c r="AD760" s="6" t="s">
        <v>56</v>
      </c>
      <c r="AE760" s="6"/>
      <c r="AF760" s="6" t="s">
        <v>68</v>
      </c>
      <c r="AG760" s="6"/>
      <c r="AH760" s="6" t="s">
        <v>58</v>
      </c>
      <c r="AI760" s="6"/>
      <c r="AJ760" s="6" t="s">
        <v>367</v>
      </c>
    </row>
    <row r="761" spans="1:36" ht="15.75" customHeight="1" x14ac:dyDescent="0.25">
      <c r="A761" s="7">
        <v>43419.352430081017</v>
      </c>
      <c r="B761" s="6" t="s">
        <v>634</v>
      </c>
      <c r="C761" s="6" t="s">
        <v>116</v>
      </c>
      <c r="D761" s="6" t="s">
        <v>165</v>
      </c>
      <c r="E761" s="6" t="s">
        <v>81</v>
      </c>
      <c r="G761" s="6" t="s">
        <v>87</v>
      </c>
      <c r="H761" s="6" t="s">
        <v>2773</v>
      </c>
      <c r="I761" s="6"/>
      <c r="J761" s="6" t="s">
        <v>92</v>
      </c>
      <c r="K761" s="6"/>
      <c r="L761" s="6" t="s">
        <v>426</v>
      </c>
      <c r="M761" s="6"/>
      <c r="N761" s="6" t="s">
        <v>121</v>
      </c>
      <c r="O761" s="6"/>
      <c r="P761" s="6" t="s">
        <v>168</v>
      </c>
      <c r="Q761" s="6"/>
      <c r="R761" s="47" t="s">
        <v>2774</v>
      </c>
      <c r="AA761" s="6"/>
      <c r="AB761" s="6" t="s">
        <v>101</v>
      </c>
      <c r="AC761" s="6"/>
      <c r="AD761" s="6" t="s">
        <v>56</v>
      </c>
      <c r="AE761" s="6"/>
      <c r="AF761" s="6" t="s">
        <v>161</v>
      </c>
      <c r="AG761" s="6"/>
      <c r="AH761" s="6" t="s">
        <v>57</v>
      </c>
      <c r="AI761" s="6"/>
      <c r="AJ761" s="11" t="s">
        <v>57</v>
      </c>
    </row>
    <row r="762" spans="1:36" ht="15.75" customHeight="1" x14ac:dyDescent="0.25">
      <c r="A762" s="7">
        <v>43419.354310324074</v>
      </c>
      <c r="B762" s="6" t="s">
        <v>39</v>
      </c>
      <c r="C762" s="6" t="s">
        <v>95</v>
      </c>
      <c r="D762" s="6" t="s">
        <v>46</v>
      </c>
      <c r="E762" s="6" t="s">
        <v>81</v>
      </c>
      <c r="G762" s="6" t="s">
        <v>87</v>
      </c>
      <c r="H762" s="6" t="s">
        <v>2775</v>
      </c>
      <c r="I762" s="6"/>
      <c r="J762" s="6" t="s">
        <v>110</v>
      </c>
      <c r="K762" s="6"/>
      <c r="L762" s="6" t="s">
        <v>2259</v>
      </c>
      <c r="M762" s="6"/>
      <c r="N762" s="6" t="s">
        <v>212</v>
      </c>
      <c r="O762" s="6"/>
      <c r="P762" s="6" t="s">
        <v>94</v>
      </c>
      <c r="Q762" s="6"/>
      <c r="R762" s="47" t="s">
        <v>224</v>
      </c>
      <c r="S762" s="14" t="s">
        <v>4393</v>
      </c>
      <c r="T762" s="14" t="s">
        <v>4623</v>
      </c>
      <c r="U762" s="14" t="s">
        <v>5201</v>
      </c>
      <c r="V762" s="14" t="s">
        <v>4518</v>
      </c>
      <c r="W762" s="14" t="s">
        <v>5315</v>
      </c>
      <c r="X762" s="14" t="s">
        <v>5316</v>
      </c>
      <c r="Y762" s="14" t="s">
        <v>4556</v>
      </c>
      <c r="Z762" s="14" t="s">
        <v>4407</v>
      </c>
      <c r="AA762" s="6"/>
      <c r="AB762" s="6" t="s">
        <v>67</v>
      </c>
      <c r="AC762" s="6"/>
      <c r="AD762" s="6" t="s">
        <v>56</v>
      </c>
      <c r="AE762" s="6"/>
      <c r="AF762" s="6" t="s">
        <v>161</v>
      </c>
      <c r="AG762" s="6"/>
      <c r="AH762" s="6" t="s">
        <v>76</v>
      </c>
      <c r="AI762" s="6"/>
      <c r="AJ762" s="6" t="s">
        <v>77</v>
      </c>
    </row>
    <row r="763" spans="1:36" ht="15.75" customHeight="1" x14ac:dyDescent="0.25">
      <c r="A763" s="7">
        <v>43419.36611555556</v>
      </c>
      <c r="B763" s="6" t="s">
        <v>30</v>
      </c>
      <c r="C763" s="6" t="s">
        <v>306</v>
      </c>
      <c r="D763" s="6" t="s">
        <v>163</v>
      </c>
      <c r="E763" s="6" t="s">
        <v>81</v>
      </c>
      <c r="G763" s="6" t="s">
        <v>87</v>
      </c>
      <c r="H763" s="6" t="s">
        <v>2777</v>
      </c>
      <c r="I763" s="6"/>
      <c r="J763" s="6" t="s">
        <v>92</v>
      </c>
      <c r="K763" s="6"/>
      <c r="L763" s="6" t="s">
        <v>2778</v>
      </c>
      <c r="M763" s="6"/>
      <c r="N763" s="6" t="s">
        <v>121</v>
      </c>
      <c r="O763" s="6"/>
      <c r="P763" s="6" t="s">
        <v>94</v>
      </c>
      <c r="Q763" s="6"/>
      <c r="R763" s="47" t="s">
        <v>149</v>
      </c>
      <c r="AA763" s="6"/>
      <c r="AB763" s="6" t="s">
        <v>67</v>
      </c>
      <c r="AC763" s="6"/>
      <c r="AD763" s="6" t="s">
        <v>56</v>
      </c>
      <c r="AE763" s="6"/>
      <c r="AF763" s="6" t="s">
        <v>75</v>
      </c>
      <c r="AG763" s="6"/>
      <c r="AH763" s="6" t="s">
        <v>57</v>
      </c>
      <c r="AI763" s="6"/>
      <c r="AJ763" s="6" t="s">
        <v>77</v>
      </c>
    </row>
    <row r="764" spans="1:36" ht="15.75" customHeight="1" x14ac:dyDescent="0.25">
      <c r="A764" s="7">
        <v>43419.370648136573</v>
      </c>
      <c r="B764" s="6" t="s">
        <v>30</v>
      </c>
      <c r="C764" s="6" t="s">
        <v>45</v>
      </c>
      <c r="D764" s="6" t="s">
        <v>46</v>
      </c>
      <c r="E764" s="6" t="s">
        <v>48</v>
      </c>
      <c r="F764" s="6" t="s">
        <v>36</v>
      </c>
      <c r="G764" s="6" t="s">
        <v>48</v>
      </c>
      <c r="H764" s="6" t="s">
        <v>2779</v>
      </c>
      <c r="I764" s="6"/>
      <c r="J764" s="6" t="s">
        <v>50</v>
      </c>
      <c r="K764" s="6"/>
      <c r="L764" s="6" t="s">
        <v>2780</v>
      </c>
      <c r="M764" s="6"/>
      <c r="N764" s="6" t="s">
        <v>181</v>
      </c>
      <c r="O764" s="6"/>
      <c r="P764" s="6" t="s">
        <v>168</v>
      </c>
      <c r="Q764" s="6"/>
      <c r="R764" s="47" t="s">
        <v>651</v>
      </c>
      <c r="S764" s="14" t="s">
        <v>4472</v>
      </c>
      <c r="AA764" s="6"/>
      <c r="AB764" s="6" t="s">
        <v>67</v>
      </c>
      <c r="AC764" s="6"/>
      <c r="AD764" s="6" t="s">
        <v>56</v>
      </c>
      <c r="AE764" s="6"/>
      <c r="AF764" s="6" t="s">
        <v>205</v>
      </c>
      <c r="AG764" s="6"/>
      <c r="AH764" s="6" t="s">
        <v>58</v>
      </c>
      <c r="AI764" s="6"/>
      <c r="AJ764" s="6" t="s">
        <v>312</v>
      </c>
    </row>
    <row r="765" spans="1:36" ht="15.75" customHeight="1" x14ac:dyDescent="0.25">
      <c r="A765" s="7">
        <v>43419.373260185181</v>
      </c>
      <c r="B765" s="6" t="s">
        <v>305</v>
      </c>
      <c r="C765" s="6" t="s">
        <v>1717</v>
      </c>
      <c r="D765" s="6" t="s">
        <v>510</v>
      </c>
      <c r="E765" s="6" t="s">
        <v>48</v>
      </c>
      <c r="F765" s="6" t="s">
        <v>2782</v>
      </c>
      <c r="G765" s="6" t="s">
        <v>48</v>
      </c>
      <c r="H765" s="6" t="s">
        <v>2783</v>
      </c>
      <c r="I765" s="6"/>
      <c r="J765" s="6" t="s">
        <v>89</v>
      </c>
      <c r="K765" s="6"/>
      <c r="L765" s="6" t="s">
        <v>2784</v>
      </c>
      <c r="M765" s="6"/>
      <c r="N765" s="6" t="s">
        <v>212</v>
      </c>
      <c r="O765" s="6"/>
      <c r="P765" s="6" t="s">
        <v>94</v>
      </c>
      <c r="Q765" s="6"/>
      <c r="R765" s="47" t="s">
        <v>149</v>
      </c>
      <c r="S765" s="14" t="s">
        <v>4400</v>
      </c>
      <c r="T765" s="14" t="s">
        <v>4435</v>
      </c>
      <c r="AA765" s="6"/>
      <c r="AB765" s="6" t="s">
        <v>67</v>
      </c>
      <c r="AC765" s="6"/>
      <c r="AD765" s="6" t="s">
        <v>56</v>
      </c>
      <c r="AE765" s="6"/>
      <c r="AF765" s="6" t="s">
        <v>75</v>
      </c>
      <c r="AG765" s="6"/>
      <c r="AH765" s="11" t="s">
        <v>58</v>
      </c>
      <c r="AI765" s="6"/>
      <c r="AJ765" s="6" t="s">
        <v>77</v>
      </c>
    </row>
    <row r="766" spans="1:36" ht="15.75" customHeight="1" x14ac:dyDescent="0.25">
      <c r="A766" s="7">
        <v>43419.380519398153</v>
      </c>
      <c r="B766" s="6" t="s">
        <v>60</v>
      </c>
      <c r="C766" s="6" t="s">
        <v>829</v>
      </c>
      <c r="D766" s="6" t="s">
        <v>46</v>
      </c>
      <c r="E766" s="6" t="s">
        <v>81</v>
      </c>
      <c r="G766" s="6" t="s">
        <v>87</v>
      </c>
      <c r="H766" s="6" t="s">
        <v>2786</v>
      </c>
      <c r="I766" s="6"/>
      <c r="J766" s="6" t="s">
        <v>73</v>
      </c>
      <c r="K766" s="6"/>
      <c r="L766" s="6" t="s">
        <v>2787</v>
      </c>
      <c r="M766" s="6"/>
      <c r="N766" s="6" t="s">
        <v>112</v>
      </c>
      <c r="O766" s="6"/>
      <c r="P766" s="6" t="s">
        <v>99</v>
      </c>
      <c r="Q766" s="6"/>
      <c r="R766" s="47" t="s">
        <v>182</v>
      </c>
      <c r="S766" s="14" t="s">
        <v>4393</v>
      </c>
      <c r="T766" s="14" t="s">
        <v>4537</v>
      </c>
      <c r="U766" s="14" t="s">
        <v>5317</v>
      </c>
      <c r="AA766" s="6"/>
      <c r="AB766" s="6" t="s">
        <v>67</v>
      </c>
      <c r="AC766" s="6"/>
      <c r="AD766" s="6" t="s">
        <v>56</v>
      </c>
      <c r="AE766" s="6"/>
      <c r="AF766" s="6" t="s">
        <v>68</v>
      </c>
      <c r="AG766" s="6"/>
      <c r="AH766" s="6" t="s">
        <v>57</v>
      </c>
      <c r="AI766" s="6"/>
      <c r="AJ766" s="6" t="s">
        <v>77</v>
      </c>
    </row>
    <row r="767" spans="1:36" ht="15.75" customHeight="1" x14ac:dyDescent="0.25">
      <c r="A767" s="7">
        <v>43419.384549641203</v>
      </c>
      <c r="B767" s="6" t="s">
        <v>127</v>
      </c>
      <c r="C767" s="6" t="s">
        <v>237</v>
      </c>
      <c r="D767" s="6" t="s">
        <v>163</v>
      </c>
      <c r="E767" s="6" t="s">
        <v>48</v>
      </c>
      <c r="F767" s="6" t="s">
        <v>2789</v>
      </c>
      <c r="G767" s="6" t="s">
        <v>48</v>
      </c>
      <c r="H767" s="6" t="s">
        <v>2790</v>
      </c>
      <c r="I767" s="6"/>
      <c r="J767" s="6" t="s">
        <v>110</v>
      </c>
      <c r="K767" s="6"/>
      <c r="L767" s="6" t="s">
        <v>2263</v>
      </c>
      <c r="M767" s="6"/>
      <c r="N767" s="6" t="s">
        <v>93</v>
      </c>
      <c r="O767" s="6"/>
      <c r="P767" s="6" t="s">
        <v>94</v>
      </c>
      <c r="Q767" s="6"/>
      <c r="R767" s="47" t="s">
        <v>2791</v>
      </c>
      <c r="AA767" s="6"/>
      <c r="AB767" s="6" t="s">
        <v>55</v>
      </c>
      <c r="AC767" s="6"/>
      <c r="AD767" s="6" t="s">
        <v>56</v>
      </c>
      <c r="AE767" s="6"/>
      <c r="AF767" s="6" t="s">
        <v>75</v>
      </c>
      <c r="AG767" s="6"/>
      <c r="AH767" s="6" t="s">
        <v>58</v>
      </c>
      <c r="AI767" s="6"/>
      <c r="AJ767" s="6" t="s">
        <v>69</v>
      </c>
    </row>
    <row r="768" spans="1:36" ht="15.75" customHeight="1" x14ac:dyDescent="0.25">
      <c r="A768" s="7">
        <v>43419.391618171299</v>
      </c>
      <c r="B768" s="6" t="s">
        <v>103</v>
      </c>
      <c r="C768" s="6" t="s">
        <v>79</v>
      </c>
      <c r="D768" s="6" t="s">
        <v>165</v>
      </c>
      <c r="E768" s="6" t="s">
        <v>81</v>
      </c>
      <c r="G768" s="6" t="s">
        <v>87</v>
      </c>
      <c r="H768" s="6" t="s">
        <v>2792</v>
      </c>
      <c r="I768" s="6"/>
      <c r="J768" s="6" t="s">
        <v>158</v>
      </c>
      <c r="K768" s="6"/>
      <c r="L768" s="6" t="s">
        <v>2265</v>
      </c>
      <c r="M768" s="6"/>
      <c r="N768" s="6" t="s">
        <v>51</v>
      </c>
      <c r="O768" s="6"/>
      <c r="P768" s="6" t="s">
        <v>52</v>
      </c>
      <c r="Q768" s="6"/>
      <c r="R768" s="47" t="s">
        <v>2751</v>
      </c>
      <c r="S768" s="14" t="s">
        <v>5318</v>
      </c>
      <c r="T768" s="14" t="s">
        <v>5319</v>
      </c>
      <c r="AA768" s="6"/>
      <c r="AB768" s="6" t="s">
        <v>101</v>
      </c>
      <c r="AC768" s="6"/>
      <c r="AD768" s="6" t="s">
        <v>56</v>
      </c>
      <c r="AE768" s="6"/>
      <c r="AF768" s="6" t="s">
        <v>75</v>
      </c>
      <c r="AG768" s="6"/>
      <c r="AH768" s="6" t="s">
        <v>58</v>
      </c>
      <c r="AI768" s="6"/>
      <c r="AJ768" s="6" t="s">
        <v>69</v>
      </c>
    </row>
    <row r="769" spans="1:36" ht="15.75" customHeight="1" x14ac:dyDescent="0.25">
      <c r="A769" s="7">
        <v>43419.392025868059</v>
      </c>
      <c r="B769" s="6" t="s">
        <v>154</v>
      </c>
      <c r="C769" s="6" t="s">
        <v>95</v>
      </c>
      <c r="D769" s="6" t="s">
        <v>165</v>
      </c>
      <c r="E769" s="6" t="s">
        <v>81</v>
      </c>
      <c r="G769" s="6" t="s">
        <v>81</v>
      </c>
      <c r="J769" s="6" t="s">
        <v>73</v>
      </c>
      <c r="K769" s="6"/>
      <c r="N769" s="6" t="s">
        <v>212</v>
      </c>
      <c r="O769" s="6"/>
      <c r="P769" s="6" t="s">
        <v>168</v>
      </c>
      <c r="Q769" s="6"/>
      <c r="AA769" s="6"/>
      <c r="AB769" s="6" t="s">
        <v>101</v>
      </c>
      <c r="AC769" s="6"/>
      <c r="AD769" s="6" t="s">
        <v>56</v>
      </c>
      <c r="AE769" s="6"/>
      <c r="AF769" s="6" t="s">
        <v>161</v>
      </c>
      <c r="AG769" s="6"/>
      <c r="AH769" s="6" t="s">
        <v>57</v>
      </c>
      <c r="AJ769" s="12" t="s">
        <v>57</v>
      </c>
    </row>
    <row r="770" spans="1:36" ht="15.75" customHeight="1" x14ac:dyDescent="0.25">
      <c r="A770" s="7">
        <v>43419.394583900459</v>
      </c>
      <c r="B770" s="6" t="s">
        <v>154</v>
      </c>
      <c r="C770" s="6" t="s">
        <v>477</v>
      </c>
      <c r="D770" s="6" t="s">
        <v>163</v>
      </c>
      <c r="E770" s="6" t="s">
        <v>81</v>
      </c>
      <c r="G770" s="6" t="s">
        <v>87</v>
      </c>
      <c r="H770" s="6" t="s">
        <v>2794</v>
      </c>
      <c r="I770" s="6"/>
      <c r="J770" s="6" t="s">
        <v>89</v>
      </c>
      <c r="K770" s="6"/>
      <c r="L770" s="6" t="s">
        <v>2795</v>
      </c>
      <c r="M770" s="6"/>
      <c r="N770" s="6" t="s">
        <v>181</v>
      </c>
      <c r="O770" s="6"/>
      <c r="P770" s="6" t="s">
        <v>131</v>
      </c>
      <c r="Q770" s="6"/>
      <c r="R770" s="47" t="s">
        <v>2905</v>
      </c>
      <c r="S770" s="14" t="s">
        <v>5320</v>
      </c>
      <c r="T770" s="14" t="s">
        <v>5321</v>
      </c>
      <c r="AA770" s="6"/>
      <c r="AB770" s="6" t="s">
        <v>101</v>
      </c>
      <c r="AC770" s="6"/>
      <c r="AD770" s="6" t="s">
        <v>56</v>
      </c>
      <c r="AE770" s="6"/>
      <c r="AF770" s="6" t="s">
        <v>75</v>
      </c>
      <c r="AG770" s="6"/>
      <c r="AH770" s="6" t="s">
        <v>76</v>
      </c>
      <c r="AI770" s="6"/>
      <c r="AJ770" s="6" t="s">
        <v>77</v>
      </c>
    </row>
    <row r="771" spans="1:36" ht="15.75" customHeight="1" x14ac:dyDescent="0.25">
      <c r="A771" s="7">
        <v>43419.399816296296</v>
      </c>
      <c r="B771" s="6" t="s">
        <v>26</v>
      </c>
      <c r="C771" s="6" t="s">
        <v>116</v>
      </c>
      <c r="D771" s="6" t="s">
        <v>133</v>
      </c>
      <c r="E771" s="6" t="s">
        <v>81</v>
      </c>
      <c r="G771" s="6" t="s">
        <v>87</v>
      </c>
      <c r="H771" s="6" t="s">
        <v>2797</v>
      </c>
      <c r="I771" s="6"/>
      <c r="J771" s="6" t="s">
        <v>64</v>
      </c>
      <c r="K771" s="6"/>
      <c r="L771" s="6" t="s">
        <v>2798</v>
      </c>
      <c r="M771" s="6"/>
      <c r="N771" s="6" t="s">
        <v>98</v>
      </c>
      <c r="O771" s="6"/>
      <c r="P771" s="6" t="s">
        <v>131</v>
      </c>
      <c r="Q771" s="6"/>
      <c r="R771" s="47" t="s">
        <v>2799</v>
      </c>
      <c r="AA771" s="6"/>
      <c r="AB771" s="6" t="s">
        <v>67</v>
      </c>
      <c r="AC771" s="6"/>
      <c r="AD771" s="6" t="s">
        <v>56</v>
      </c>
      <c r="AE771" s="6"/>
      <c r="AF771" s="6" t="s">
        <v>75</v>
      </c>
      <c r="AG771" s="6"/>
      <c r="AH771" s="6" t="s">
        <v>76</v>
      </c>
      <c r="AI771" s="6"/>
      <c r="AJ771" s="6" t="s">
        <v>344</v>
      </c>
    </row>
    <row r="772" spans="1:36" ht="15.75" customHeight="1" x14ac:dyDescent="0.25">
      <c r="A772" s="7">
        <v>43419.400484826387</v>
      </c>
      <c r="B772" s="6" t="s">
        <v>60</v>
      </c>
      <c r="C772" s="6" t="s">
        <v>1061</v>
      </c>
      <c r="E772" s="6" t="s">
        <v>81</v>
      </c>
      <c r="G772" s="6" t="s">
        <v>87</v>
      </c>
      <c r="H772" s="6" t="s">
        <v>2800</v>
      </c>
      <c r="I772" s="6"/>
      <c r="J772" s="6" t="s">
        <v>158</v>
      </c>
      <c r="K772" s="6"/>
      <c r="L772" s="6" t="s">
        <v>2801</v>
      </c>
      <c r="M772" s="6"/>
      <c r="N772" s="6" t="s">
        <v>98</v>
      </c>
      <c r="O772" s="6"/>
      <c r="P772" s="6" t="s">
        <v>131</v>
      </c>
      <c r="Q772" s="6"/>
      <c r="R772" s="47" t="s">
        <v>5322</v>
      </c>
      <c r="S772" s="14" t="s">
        <v>5323</v>
      </c>
      <c r="T772" s="14" t="s">
        <v>5324</v>
      </c>
      <c r="U772" s="14" t="s">
        <v>5325</v>
      </c>
      <c r="V772" s="14" t="s">
        <v>5000</v>
      </c>
      <c r="W772" s="14" t="s">
        <v>5326</v>
      </c>
      <c r="X772" s="14" t="s">
        <v>5327</v>
      </c>
      <c r="AA772" s="6"/>
      <c r="AB772" s="6" t="s">
        <v>101</v>
      </c>
      <c r="AC772" s="6"/>
      <c r="AD772" s="6" t="s">
        <v>109</v>
      </c>
      <c r="AE772" s="6"/>
      <c r="AF772" s="6" t="s">
        <v>68</v>
      </c>
      <c r="AG772" s="6"/>
      <c r="AH772" s="6" t="s">
        <v>58</v>
      </c>
      <c r="AI772" s="6"/>
      <c r="AJ772" s="6" t="s">
        <v>260</v>
      </c>
    </row>
    <row r="773" spans="1:36" ht="15.75" customHeight="1" x14ac:dyDescent="0.25">
      <c r="A773" s="7">
        <v>43419.408966793984</v>
      </c>
      <c r="B773" s="6" t="s">
        <v>30</v>
      </c>
      <c r="C773" s="6" t="s">
        <v>749</v>
      </c>
      <c r="D773" s="6" t="s">
        <v>165</v>
      </c>
      <c r="E773" s="6" t="s">
        <v>81</v>
      </c>
      <c r="G773" s="6" t="s">
        <v>87</v>
      </c>
      <c r="J773" s="6" t="s">
        <v>92</v>
      </c>
      <c r="K773" s="6"/>
      <c r="L773" s="6" t="s">
        <v>2803</v>
      </c>
      <c r="M773" s="6"/>
      <c r="N773" s="6" t="s">
        <v>181</v>
      </c>
      <c r="O773" s="6"/>
      <c r="P773" s="6" t="s">
        <v>94</v>
      </c>
      <c r="Q773" s="6"/>
      <c r="R773" s="47" t="s">
        <v>5328</v>
      </c>
      <c r="S773" s="14" t="s">
        <v>4472</v>
      </c>
      <c r="T773" s="14" t="s">
        <v>5329</v>
      </c>
      <c r="AA773" s="6"/>
      <c r="AB773" s="6" t="s">
        <v>67</v>
      </c>
      <c r="AC773" s="6"/>
      <c r="AD773" s="6" t="s">
        <v>56</v>
      </c>
      <c r="AE773" s="6"/>
      <c r="AF773" s="6" t="s">
        <v>75</v>
      </c>
      <c r="AG773" s="6"/>
      <c r="AH773" s="6" t="s">
        <v>76</v>
      </c>
      <c r="AI773" s="6"/>
      <c r="AJ773" s="6" t="s">
        <v>115</v>
      </c>
    </row>
    <row r="774" spans="1:36" ht="15.75" customHeight="1" x14ac:dyDescent="0.25">
      <c r="A774" s="7">
        <v>43419.414668530095</v>
      </c>
      <c r="B774" s="6" t="s">
        <v>154</v>
      </c>
      <c r="C774" s="6" t="s">
        <v>434</v>
      </c>
      <c r="D774" s="6" t="s">
        <v>163</v>
      </c>
      <c r="E774" s="6" t="s">
        <v>48</v>
      </c>
      <c r="F774" s="6" t="s">
        <v>2805</v>
      </c>
      <c r="G774" s="6" t="s">
        <v>48</v>
      </c>
      <c r="H774" s="6" t="s">
        <v>2806</v>
      </c>
      <c r="I774" s="6"/>
      <c r="J774" s="6" t="s">
        <v>92</v>
      </c>
      <c r="K774" s="6"/>
      <c r="L774" s="6" t="s">
        <v>2807</v>
      </c>
      <c r="M774" s="6"/>
      <c r="N774" s="6" t="s">
        <v>112</v>
      </c>
      <c r="O774" s="6"/>
      <c r="P774" s="6" t="s">
        <v>131</v>
      </c>
      <c r="Q774" s="6"/>
      <c r="R774" s="47" t="s">
        <v>2808</v>
      </c>
      <c r="AA774" s="6"/>
      <c r="AB774" s="6" t="s">
        <v>203</v>
      </c>
      <c r="AC774" s="6"/>
      <c r="AD774" s="6" t="s">
        <v>56</v>
      </c>
      <c r="AE774" s="6"/>
      <c r="AF774" s="6" t="s">
        <v>75</v>
      </c>
      <c r="AG774" s="6"/>
      <c r="AH774" s="6" t="s">
        <v>76</v>
      </c>
      <c r="AI774" s="6"/>
      <c r="AJ774" s="6" t="s">
        <v>347</v>
      </c>
    </row>
    <row r="775" spans="1:36" ht="15.75" customHeight="1" x14ac:dyDescent="0.25">
      <c r="A775" s="7">
        <v>43419.416611990746</v>
      </c>
      <c r="B775" s="6" t="s">
        <v>833</v>
      </c>
      <c r="C775" s="6" t="s">
        <v>79</v>
      </c>
      <c r="D775" s="6" t="s">
        <v>165</v>
      </c>
      <c r="E775" s="6" t="s">
        <v>48</v>
      </c>
      <c r="F775" s="6" t="s">
        <v>183</v>
      </c>
      <c r="G775" s="6" t="s">
        <v>48</v>
      </c>
      <c r="H775" s="6" t="s">
        <v>2809</v>
      </c>
      <c r="I775" s="6"/>
      <c r="J775" s="6" t="s">
        <v>92</v>
      </c>
      <c r="K775" s="6"/>
      <c r="L775" s="6" t="s">
        <v>2285</v>
      </c>
      <c r="M775" s="6"/>
      <c r="N775" s="6" t="s">
        <v>98</v>
      </c>
      <c r="O775" s="6"/>
      <c r="P775" s="6" t="s">
        <v>94</v>
      </c>
      <c r="Q775" s="6"/>
      <c r="R775" s="47" t="s">
        <v>5330</v>
      </c>
      <c r="S775" s="14" t="s">
        <v>4473</v>
      </c>
      <c r="T775" s="14" t="s">
        <v>4514</v>
      </c>
      <c r="U775" s="14" t="s">
        <v>5331</v>
      </c>
      <c r="AA775" s="6"/>
      <c r="AB775" s="6" t="s">
        <v>55</v>
      </c>
      <c r="AC775" s="6"/>
      <c r="AD775" s="6" t="s">
        <v>56</v>
      </c>
      <c r="AE775" s="6"/>
      <c r="AF775" s="6" t="s">
        <v>68</v>
      </c>
      <c r="AG775" s="6"/>
      <c r="AH775" s="6" t="s">
        <v>58</v>
      </c>
      <c r="AI775" s="6"/>
      <c r="AJ775" s="11" t="s">
        <v>77</v>
      </c>
    </row>
    <row r="776" spans="1:36" ht="15.75" customHeight="1" x14ac:dyDescent="0.25">
      <c r="A776" s="7">
        <v>43419.423456516204</v>
      </c>
      <c r="B776" s="6" t="s">
        <v>30</v>
      </c>
      <c r="C776" s="6" t="s">
        <v>128</v>
      </c>
      <c r="D776" s="6" t="s">
        <v>46</v>
      </c>
      <c r="E776" s="6" t="s">
        <v>48</v>
      </c>
      <c r="F776" s="6" t="s">
        <v>2811</v>
      </c>
      <c r="G776" s="6" t="s">
        <v>48</v>
      </c>
      <c r="H776" s="6" t="s">
        <v>2812</v>
      </c>
      <c r="I776" s="6"/>
      <c r="J776" s="6" t="s">
        <v>92</v>
      </c>
      <c r="K776" s="6"/>
      <c r="L776" s="6" t="s">
        <v>2555</v>
      </c>
      <c r="M776" s="6"/>
      <c r="N776" s="6" t="s">
        <v>112</v>
      </c>
      <c r="O776" s="6"/>
      <c r="P776" s="6" t="s">
        <v>131</v>
      </c>
      <c r="Q776" s="6"/>
      <c r="R776" s="47" t="s">
        <v>201</v>
      </c>
      <c r="S776" s="14" t="s">
        <v>4502</v>
      </c>
      <c r="T776" s="14" t="s">
        <v>5332</v>
      </c>
      <c r="U776" s="14" t="s">
        <v>4407</v>
      </c>
      <c r="AA776" s="6"/>
      <c r="AB776" s="6" t="s">
        <v>67</v>
      </c>
      <c r="AC776" s="6"/>
      <c r="AD776" s="6" t="s">
        <v>56</v>
      </c>
      <c r="AE776" s="6"/>
      <c r="AF776" s="6" t="s">
        <v>68</v>
      </c>
      <c r="AG776" s="6"/>
      <c r="AH776" s="6" t="s">
        <v>126</v>
      </c>
      <c r="AI776" s="6"/>
      <c r="AJ776" s="6" t="s">
        <v>77</v>
      </c>
    </row>
    <row r="777" spans="1:36" ht="15.75" customHeight="1" x14ac:dyDescent="0.25">
      <c r="A777" s="7">
        <v>43419.427002187498</v>
      </c>
      <c r="B777" s="6" t="s">
        <v>26</v>
      </c>
      <c r="C777" s="6" t="s">
        <v>116</v>
      </c>
      <c r="D777" s="6" t="s">
        <v>46</v>
      </c>
      <c r="E777" s="6" t="s">
        <v>81</v>
      </c>
      <c r="G777" s="6" t="s">
        <v>87</v>
      </c>
      <c r="J777" s="6" t="s">
        <v>106</v>
      </c>
      <c r="K777" s="6"/>
      <c r="L777" s="6" t="s">
        <v>2814</v>
      </c>
      <c r="M777" s="6"/>
      <c r="N777" s="6" t="s">
        <v>93</v>
      </c>
      <c r="O777" s="6"/>
      <c r="P777" s="6" t="s">
        <v>94</v>
      </c>
      <c r="Q777" s="6"/>
      <c r="R777" s="47" t="s">
        <v>2815</v>
      </c>
      <c r="AA777" s="6"/>
      <c r="AB777" s="6" t="s">
        <v>67</v>
      </c>
      <c r="AC777" s="6"/>
      <c r="AD777" s="6" t="s">
        <v>56</v>
      </c>
      <c r="AE777" s="6"/>
      <c r="AF777" s="6" t="s">
        <v>75</v>
      </c>
      <c r="AG777" s="6"/>
      <c r="AH777" s="6" t="s">
        <v>58</v>
      </c>
      <c r="AI777" s="6"/>
      <c r="AJ777" s="11" t="s">
        <v>312</v>
      </c>
    </row>
    <row r="778" spans="1:36" ht="15.75" customHeight="1" x14ac:dyDescent="0.25">
      <c r="A778" s="7">
        <v>43419.430666250002</v>
      </c>
      <c r="B778" s="6" t="s">
        <v>2816</v>
      </c>
      <c r="C778" s="6" t="s">
        <v>79</v>
      </c>
      <c r="D778" s="6" t="s">
        <v>165</v>
      </c>
      <c r="E778" s="6" t="s">
        <v>48</v>
      </c>
      <c r="F778" s="6" t="s">
        <v>2817</v>
      </c>
      <c r="G778" s="6" t="s">
        <v>48</v>
      </c>
      <c r="H778" s="6" t="s">
        <v>2818</v>
      </c>
      <c r="I778" s="6"/>
      <c r="J778" s="6" t="s">
        <v>92</v>
      </c>
      <c r="K778" s="6"/>
      <c r="L778" s="6" t="s">
        <v>2556</v>
      </c>
      <c r="M778" s="6"/>
      <c r="N778" s="6" t="s">
        <v>121</v>
      </c>
      <c r="O778" s="6"/>
      <c r="P778" s="6" t="s">
        <v>131</v>
      </c>
      <c r="Q778" s="6"/>
      <c r="R778" s="47" t="s">
        <v>2905</v>
      </c>
      <c r="S778" s="14" t="s">
        <v>4400</v>
      </c>
      <c r="AA778" s="6"/>
      <c r="AB778" s="6" t="s">
        <v>67</v>
      </c>
      <c r="AC778" s="6"/>
      <c r="AD778" s="6" t="s">
        <v>56</v>
      </c>
      <c r="AE778" s="6"/>
      <c r="AF778" s="6" t="s">
        <v>161</v>
      </c>
      <c r="AG778" s="6"/>
      <c r="AH778" s="6" t="s">
        <v>76</v>
      </c>
      <c r="AI778" s="6"/>
      <c r="AJ778" s="6" t="s">
        <v>377</v>
      </c>
    </row>
    <row r="779" spans="1:36" ht="15.75" customHeight="1" x14ac:dyDescent="0.25">
      <c r="A779" s="7">
        <v>43419.430809027777</v>
      </c>
      <c r="B779" s="6" t="s">
        <v>60</v>
      </c>
      <c r="C779" s="6" t="s">
        <v>434</v>
      </c>
      <c r="D779" s="6" t="s">
        <v>163</v>
      </c>
      <c r="E779" s="6" t="s">
        <v>81</v>
      </c>
      <c r="G779" s="6" t="s">
        <v>87</v>
      </c>
      <c r="H779" s="6" t="s">
        <v>2820</v>
      </c>
      <c r="I779" s="6"/>
      <c r="J779" s="6" t="s">
        <v>184</v>
      </c>
      <c r="K779" s="6"/>
      <c r="L779" s="6" t="s">
        <v>2557</v>
      </c>
      <c r="M779" s="6"/>
      <c r="N779" s="6" t="s">
        <v>112</v>
      </c>
      <c r="O779" s="6"/>
      <c r="P779" s="6" t="s">
        <v>52</v>
      </c>
      <c r="Q779" s="6"/>
      <c r="R779" s="47" t="s">
        <v>3378</v>
      </c>
      <c r="S779" s="14" t="s">
        <v>5333</v>
      </c>
      <c r="AA779" s="6"/>
      <c r="AB779" s="6" t="s">
        <v>67</v>
      </c>
      <c r="AC779" s="6"/>
      <c r="AD779" s="6" t="s">
        <v>109</v>
      </c>
      <c r="AE779" s="6"/>
      <c r="AF779" s="6" t="s">
        <v>75</v>
      </c>
      <c r="AG779" s="6"/>
      <c r="AH779" s="6" t="s">
        <v>76</v>
      </c>
      <c r="AI779" s="6"/>
      <c r="AJ779" s="6" t="s">
        <v>102</v>
      </c>
    </row>
    <row r="780" spans="1:36" ht="15.75" customHeight="1" x14ac:dyDescent="0.25">
      <c r="A780" s="7">
        <v>43419.433292534726</v>
      </c>
      <c r="B780" s="6" t="s">
        <v>60</v>
      </c>
      <c r="C780" s="6" t="s">
        <v>477</v>
      </c>
      <c r="D780" s="6" t="s">
        <v>46</v>
      </c>
      <c r="E780" s="6" t="s">
        <v>81</v>
      </c>
      <c r="G780" s="6" t="s">
        <v>48</v>
      </c>
      <c r="H780" s="6" t="s">
        <v>2822</v>
      </c>
      <c r="I780" s="6"/>
      <c r="J780" s="6" t="s">
        <v>50</v>
      </c>
      <c r="K780" s="6"/>
      <c r="L780" s="6" t="s">
        <v>2823</v>
      </c>
      <c r="M780" s="6"/>
      <c r="N780" s="6" t="s">
        <v>121</v>
      </c>
      <c r="O780" s="6"/>
      <c r="P780" s="6" t="s">
        <v>94</v>
      </c>
      <c r="Q780" s="6"/>
      <c r="R780" s="47" t="s">
        <v>5334</v>
      </c>
      <c r="S780" s="14" t="s">
        <v>4812</v>
      </c>
      <c r="T780" s="14" t="s">
        <v>5335</v>
      </c>
      <c r="U780" s="14" t="s">
        <v>5336</v>
      </c>
      <c r="AA780" s="6"/>
      <c r="AB780" s="6" t="s">
        <v>101</v>
      </c>
      <c r="AC780" s="6"/>
      <c r="AD780" s="6" t="s">
        <v>109</v>
      </c>
      <c r="AE780" s="6"/>
      <c r="AF780" s="6" t="s">
        <v>68</v>
      </c>
      <c r="AG780" s="6"/>
      <c r="AH780" s="6" t="s">
        <v>126</v>
      </c>
      <c r="AI780" s="6"/>
      <c r="AJ780" s="11" t="s">
        <v>77</v>
      </c>
    </row>
    <row r="781" spans="1:36" ht="15.75" customHeight="1" x14ac:dyDescent="0.25">
      <c r="A781" s="7">
        <v>43419.434799421295</v>
      </c>
      <c r="B781" s="6" t="s">
        <v>30</v>
      </c>
      <c r="C781" s="6" t="s">
        <v>749</v>
      </c>
      <c r="D781" s="6" t="s">
        <v>190</v>
      </c>
      <c r="E781" s="6" t="s">
        <v>81</v>
      </c>
      <c r="G781" s="6" t="s">
        <v>87</v>
      </c>
      <c r="J781" s="6" t="s">
        <v>92</v>
      </c>
      <c r="K781" s="6"/>
      <c r="L781" s="6" t="s">
        <v>2825</v>
      </c>
      <c r="M781" s="6"/>
      <c r="N781" s="6" t="s">
        <v>98</v>
      </c>
      <c r="O781" s="6"/>
      <c r="P781" s="6" t="s">
        <v>168</v>
      </c>
      <c r="Q781" s="6"/>
      <c r="R781" s="47" t="s">
        <v>224</v>
      </c>
      <c r="S781" s="14" t="s">
        <v>5337</v>
      </c>
      <c r="T781" s="14" t="s">
        <v>4902</v>
      </c>
      <c r="U781" s="14" t="s">
        <v>4393</v>
      </c>
      <c r="V781" s="14" t="s">
        <v>5338</v>
      </c>
      <c r="AA781" s="6"/>
      <c r="AB781" s="6" t="s">
        <v>67</v>
      </c>
      <c r="AC781" s="6"/>
      <c r="AD781" s="6" t="s">
        <v>56</v>
      </c>
      <c r="AE781" s="6"/>
      <c r="AF781" s="6" t="s">
        <v>75</v>
      </c>
      <c r="AG781" s="6"/>
      <c r="AH781" s="6" t="s">
        <v>76</v>
      </c>
      <c r="AI781" s="6"/>
      <c r="AJ781" s="6" t="s">
        <v>115</v>
      </c>
    </row>
    <row r="782" spans="1:36" ht="15.75" customHeight="1" x14ac:dyDescent="0.25">
      <c r="A782" s="7">
        <v>43419.437819027778</v>
      </c>
      <c r="B782" s="6" t="s">
        <v>2827</v>
      </c>
      <c r="C782" s="6" t="s">
        <v>128</v>
      </c>
      <c r="D782" s="6" t="s">
        <v>129</v>
      </c>
      <c r="E782" s="6" t="s">
        <v>81</v>
      </c>
      <c r="G782" s="6" t="s">
        <v>87</v>
      </c>
      <c r="H782" s="6" t="s">
        <v>2828</v>
      </c>
      <c r="I782" s="6"/>
      <c r="J782" s="6" t="s">
        <v>106</v>
      </c>
      <c r="K782" s="6"/>
      <c r="L782" s="6" t="s">
        <v>2558</v>
      </c>
      <c r="M782" s="6"/>
      <c r="N782" s="6" t="s">
        <v>121</v>
      </c>
      <c r="O782" s="6"/>
      <c r="P782" s="6" t="s">
        <v>168</v>
      </c>
      <c r="Q782" s="6"/>
      <c r="R782" s="47" t="s">
        <v>5024</v>
      </c>
      <c r="S782" s="14" t="s">
        <v>5339</v>
      </c>
      <c r="AA782" s="6"/>
      <c r="AB782" s="6" t="s">
        <v>55</v>
      </c>
      <c r="AC782" s="6"/>
      <c r="AD782" s="6" t="s">
        <v>56</v>
      </c>
      <c r="AE782" s="6"/>
      <c r="AF782" s="6" t="s">
        <v>161</v>
      </c>
      <c r="AG782" s="6"/>
      <c r="AH782" s="11" t="s">
        <v>144</v>
      </c>
      <c r="AI782" s="6"/>
      <c r="AJ782" s="11" t="s">
        <v>174</v>
      </c>
    </row>
    <row r="783" spans="1:36" ht="15.75" customHeight="1" x14ac:dyDescent="0.25">
      <c r="A783" s="7">
        <v>43419.440004884258</v>
      </c>
      <c r="B783" s="6" t="s">
        <v>2830</v>
      </c>
      <c r="C783" s="6" t="s">
        <v>128</v>
      </c>
      <c r="D783" s="6" t="s">
        <v>163</v>
      </c>
      <c r="E783" s="6" t="s">
        <v>48</v>
      </c>
      <c r="F783" s="6" t="s">
        <v>2831</v>
      </c>
      <c r="G783" s="6" t="s">
        <v>48</v>
      </c>
      <c r="H783" s="6" t="s">
        <v>2832</v>
      </c>
      <c r="I783" s="6"/>
      <c r="J783" s="6" t="s">
        <v>106</v>
      </c>
      <c r="K783" s="6"/>
      <c r="L783" s="6" t="s">
        <v>2560</v>
      </c>
      <c r="M783" s="6"/>
      <c r="N783" s="6" t="s">
        <v>181</v>
      </c>
      <c r="O783" s="6"/>
      <c r="P783" s="6" t="s">
        <v>131</v>
      </c>
      <c r="Q783" s="6"/>
      <c r="R783" s="47" t="s">
        <v>5340</v>
      </c>
      <c r="S783" s="14" t="s">
        <v>5341</v>
      </c>
      <c r="T783" s="14" t="s">
        <v>5342</v>
      </c>
      <c r="U783" s="14" t="s">
        <v>5343</v>
      </c>
      <c r="AA783" s="6"/>
      <c r="AB783" s="6" t="s">
        <v>101</v>
      </c>
      <c r="AC783" s="6"/>
      <c r="AD783" s="6" t="s">
        <v>56</v>
      </c>
      <c r="AE783" s="6"/>
      <c r="AF783" s="6" t="s">
        <v>75</v>
      </c>
      <c r="AG783" s="6"/>
      <c r="AH783" s="6" t="s">
        <v>76</v>
      </c>
      <c r="AI783" s="6"/>
      <c r="AJ783" s="6" t="s">
        <v>115</v>
      </c>
    </row>
    <row r="784" spans="1:36" ht="15.75" customHeight="1" x14ac:dyDescent="0.25">
      <c r="A784" s="7">
        <v>43419.46119159722</v>
      </c>
      <c r="B784" s="6" t="s">
        <v>1533</v>
      </c>
      <c r="C784" s="6" t="s">
        <v>287</v>
      </c>
      <c r="D784" s="6" t="s">
        <v>163</v>
      </c>
      <c r="E784" s="6" t="s">
        <v>81</v>
      </c>
      <c r="G784" s="6" t="s">
        <v>48</v>
      </c>
      <c r="H784" s="6" t="s">
        <v>2836</v>
      </c>
      <c r="I784" s="6"/>
      <c r="J784" s="6" t="s">
        <v>73</v>
      </c>
      <c r="K784" s="6"/>
      <c r="L784" s="6" t="s">
        <v>2834</v>
      </c>
      <c r="M784" s="6"/>
      <c r="N784" s="6" t="s">
        <v>121</v>
      </c>
      <c r="O784" s="6"/>
      <c r="P784" s="6" t="s">
        <v>94</v>
      </c>
      <c r="Q784" s="6"/>
      <c r="R784" s="47" t="s">
        <v>5204</v>
      </c>
      <c r="S784" s="14" t="s">
        <v>3301</v>
      </c>
      <c r="T784" s="14" t="s">
        <v>5344</v>
      </c>
      <c r="AA784" s="6"/>
      <c r="AB784" s="6" t="s">
        <v>67</v>
      </c>
      <c r="AC784" s="6"/>
      <c r="AD784" s="6" t="s">
        <v>56</v>
      </c>
      <c r="AE784" s="6"/>
      <c r="AF784" s="6" t="s">
        <v>75</v>
      </c>
      <c r="AG784" s="6"/>
      <c r="AH784" s="6" t="s">
        <v>126</v>
      </c>
      <c r="AI784" s="6"/>
      <c r="AJ784" s="6" t="s">
        <v>335</v>
      </c>
    </row>
    <row r="785" spans="1:36" ht="15.75" customHeight="1" x14ac:dyDescent="0.25">
      <c r="A785" s="7">
        <v>43419.478411006945</v>
      </c>
      <c r="B785" s="6" t="s">
        <v>30</v>
      </c>
      <c r="C785" s="6" t="s">
        <v>116</v>
      </c>
      <c r="D785" s="6" t="s">
        <v>46</v>
      </c>
      <c r="E785" s="6" t="s">
        <v>48</v>
      </c>
      <c r="F785" s="6" t="s">
        <v>2843</v>
      </c>
      <c r="G785" s="6" t="s">
        <v>48</v>
      </c>
      <c r="J785" s="6" t="s">
        <v>92</v>
      </c>
      <c r="K785" s="6"/>
      <c r="L785" s="6" t="s">
        <v>2835</v>
      </c>
      <c r="M785" s="6"/>
      <c r="N785" s="6" t="s">
        <v>212</v>
      </c>
      <c r="O785" s="6"/>
      <c r="P785" s="6" t="s">
        <v>131</v>
      </c>
      <c r="Q785" s="6"/>
      <c r="AA785" s="6"/>
      <c r="AB785" s="6" t="s">
        <v>101</v>
      </c>
      <c r="AC785" s="6"/>
      <c r="AD785" s="6" t="s">
        <v>56</v>
      </c>
      <c r="AE785" s="6"/>
      <c r="AF785" s="6" t="s">
        <v>68</v>
      </c>
      <c r="AG785" s="6"/>
      <c r="AH785" s="6" t="s">
        <v>58</v>
      </c>
      <c r="AI785" s="6"/>
      <c r="AJ785" s="6" t="s">
        <v>115</v>
      </c>
    </row>
    <row r="786" spans="1:36" ht="15.75" customHeight="1" x14ac:dyDescent="0.25">
      <c r="A786" s="7">
        <v>43419.479342986117</v>
      </c>
      <c r="B786" s="6" t="s">
        <v>154</v>
      </c>
      <c r="C786" s="6" t="s">
        <v>90</v>
      </c>
      <c r="D786" s="6" t="s">
        <v>165</v>
      </c>
      <c r="E786" s="6" t="s">
        <v>81</v>
      </c>
      <c r="G786" s="6" t="s">
        <v>87</v>
      </c>
      <c r="H786" s="6" t="s">
        <v>2848</v>
      </c>
      <c r="I786" s="6"/>
      <c r="J786" s="6" t="s">
        <v>110</v>
      </c>
      <c r="K786" s="6"/>
      <c r="L786" s="6" t="s">
        <v>2412</v>
      </c>
      <c r="M786" s="6"/>
      <c r="N786" s="6" t="s">
        <v>212</v>
      </c>
      <c r="O786" s="6"/>
      <c r="P786" s="6" t="s">
        <v>99</v>
      </c>
      <c r="Q786" s="6"/>
      <c r="AA786" s="6"/>
      <c r="AB786" s="6" t="s">
        <v>67</v>
      </c>
      <c r="AC786" s="6"/>
      <c r="AD786" s="6" t="s">
        <v>56</v>
      </c>
      <c r="AE786" s="6"/>
      <c r="AF786" s="6" t="s">
        <v>205</v>
      </c>
      <c r="AG786" s="6"/>
      <c r="AH786" s="6" t="s">
        <v>126</v>
      </c>
      <c r="AI786" s="6"/>
      <c r="AJ786" s="6" t="s">
        <v>132</v>
      </c>
    </row>
    <row r="787" spans="1:36" ht="15.75" customHeight="1" x14ac:dyDescent="0.25">
      <c r="A787" s="7">
        <v>43419.484507222223</v>
      </c>
      <c r="B787" s="6" t="s">
        <v>60</v>
      </c>
      <c r="C787" s="6" t="s">
        <v>971</v>
      </c>
      <c r="D787" s="6" t="s">
        <v>163</v>
      </c>
      <c r="E787" s="6" t="s">
        <v>81</v>
      </c>
      <c r="G787" s="6" t="s">
        <v>87</v>
      </c>
      <c r="H787" s="6" t="s">
        <v>2853</v>
      </c>
      <c r="I787" s="6"/>
      <c r="J787" s="6" t="s">
        <v>106</v>
      </c>
      <c r="K787" s="6"/>
      <c r="L787" s="6" t="s">
        <v>2837</v>
      </c>
      <c r="M787" s="6"/>
      <c r="N787" s="6" t="s">
        <v>51</v>
      </c>
      <c r="O787" s="6"/>
      <c r="P787" s="6" t="s">
        <v>65</v>
      </c>
      <c r="Q787" s="6"/>
      <c r="R787" s="47" t="s">
        <v>2854</v>
      </c>
      <c r="AA787" s="6"/>
      <c r="AB787" s="6" t="s">
        <v>67</v>
      </c>
      <c r="AC787" s="6"/>
      <c r="AD787" s="6" t="s">
        <v>56</v>
      </c>
      <c r="AE787" s="6"/>
      <c r="AF787" s="6" t="s">
        <v>68</v>
      </c>
      <c r="AG787" s="6"/>
      <c r="AH787" s="6" t="s">
        <v>58</v>
      </c>
      <c r="AI787" s="6"/>
      <c r="AJ787" s="6" t="s">
        <v>291</v>
      </c>
    </row>
    <row r="788" spans="1:36" ht="15.75" customHeight="1" x14ac:dyDescent="0.25">
      <c r="A788" s="7">
        <v>43419.487013032413</v>
      </c>
      <c r="B788" s="6" t="s">
        <v>127</v>
      </c>
      <c r="C788" s="6" t="s">
        <v>2857</v>
      </c>
      <c r="D788" s="6" t="s">
        <v>307</v>
      </c>
      <c r="E788" s="6" t="s">
        <v>48</v>
      </c>
      <c r="F788" s="6" t="s">
        <v>2858</v>
      </c>
      <c r="G788" s="6" t="s">
        <v>81</v>
      </c>
      <c r="H788" s="6" t="s">
        <v>2859</v>
      </c>
      <c r="I788" s="6"/>
      <c r="J788" s="6" t="s">
        <v>110</v>
      </c>
      <c r="K788" s="6"/>
      <c r="L788" s="6" t="s">
        <v>2414</v>
      </c>
      <c r="M788" s="6"/>
      <c r="N788" s="6" t="s">
        <v>98</v>
      </c>
      <c r="O788" s="6"/>
      <c r="P788" s="6" t="s">
        <v>94</v>
      </c>
      <c r="Q788" s="6"/>
      <c r="R788" s="47" t="s">
        <v>2862</v>
      </c>
      <c r="AA788" s="6"/>
      <c r="AB788" s="6" t="s">
        <v>67</v>
      </c>
      <c r="AC788" s="6"/>
      <c r="AD788" s="6" t="s">
        <v>56</v>
      </c>
      <c r="AE788" s="6"/>
      <c r="AF788" s="6" t="s">
        <v>161</v>
      </c>
      <c r="AG788" s="6"/>
      <c r="AH788" s="6" t="s">
        <v>76</v>
      </c>
      <c r="AI788" s="6"/>
      <c r="AJ788" s="11" t="s">
        <v>304</v>
      </c>
    </row>
    <row r="789" spans="1:36" ht="15.75" customHeight="1" x14ac:dyDescent="0.25">
      <c r="A789" s="7">
        <v>43419.489629710646</v>
      </c>
      <c r="B789" s="6" t="s">
        <v>30</v>
      </c>
      <c r="C789" s="6" t="s">
        <v>1061</v>
      </c>
      <c r="D789" s="6" t="s">
        <v>46</v>
      </c>
      <c r="E789" s="6" t="s">
        <v>81</v>
      </c>
      <c r="G789" s="6" t="s">
        <v>87</v>
      </c>
      <c r="J789" s="6" t="s">
        <v>73</v>
      </c>
      <c r="K789" s="6"/>
      <c r="L789" s="6" t="s">
        <v>2838</v>
      </c>
      <c r="M789" s="6"/>
      <c r="N789" s="6" t="s">
        <v>112</v>
      </c>
      <c r="O789" s="6"/>
      <c r="P789" s="6" t="s">
        <v>52</v>
      </c>
      <c r="Q789" s="6"/>
      <c r="R789" s="47" t="s">
        <v>2068</v>
      </c>
      <c r="S789" s="14" t="s">
        <v>4790</v>
      </c>
      <c r="AA789" s="6"/>
      <c r="AB789" s="6" t="s">
        <v>67</v>
      </c>
      <c r="AC789" s="6"/>
      <c r="AD789" s="6" t="s">
        <v>56</v>
      </c>
      <c r="AE789" s="6"/>
      <c r="AF789" s="6" t="s">
        <v>75</v>
      </c>
      <c r="AG789" s="6"/>
      <c r="AH789" s="6" t="s">
        <v>76</v>
      </c>
      <c r="AI789" s="6"/>
      <c r="AJ789" s="11" t="s">
        <v>233</v>
      </c>
    </row>
    <row r="790" spans="1:36" ht="15.75" customHeight="1" x14ac:dyDescent="0.25">
      <c r="A790" s="7">
        <v>43419.500627453701</v>
      </c>
      <c r="B790" s="6" t="s">
        <v>28</v>
      </c>
      <c r="C790" s="6" t="s">
        <v>128</v>
      </c>
      <c r="E790" s="6" t="s">
        <v>81</v>
      </c>
      <c r="J790" s="6" t="s">
        <v>92</v>
      </c>
      <c r="K790" s="6"/>
      <c r="N790" s="6" t="s">
        <v>98</v>
      </c>
      <c r="O790" s="6"/>
      <c r="P790" s="6" t="s">
        <v>131</v>
      </c>
      <c r="Q790" s="6"/>
      <c r="AH790" s="6" t="s">
        <v>57</v>
      </c>
      <c r="AJ790" s="12" t="s">
        <v>57</v>
      </c>
    </row>
    <row r="791" spans="1:36" ht="15.75" customHeight="1" x14ac:dyDescent="0.25">
      <c r="A791" s="7">
        <v>43419.502782569441</v>
      </c>
      <c r="B791" s="6" t="s">
        <v>30</v>
      </c>
      <c r="C791" s="6" t="s">
        <v>79</v>
      </c>
      <c r="D791" s="6" t="s">
        <v>165</v>
      </c>
      <c r="E791" s="6" t="s">
        <v>48</v>
      </c>
      <c r="F791" s="6" t="s">
        <v>2872</v>
      </c>
      <c r="G791" s="6" t="s">
        <v>81</v>
      </c>
      <c r="H791" s="6" t="s">
        <v>2873</v>
      </c>
      <c r="I791" s="6"/>
      <c r="J791" s="6" t="s">
        <v>110</v>
      </c>
      <c r="K791" s="6"/>
      <c r="L791" s="6" t="s">
        <v>2415</v>
      </c>
      <c r="M791" s="6"/>
      <c r="N791" s="6" t="s">
        <v>181</v>
      </c>
      <c r="O791" s="6"/>
      <c r="P791" s="6" t="s">
        <v>94</v>
      </c>
      <c r="Q791" s="6"/>
      <c r="R791" s="47" t="s">
        <v>2905</v>
      </c>
      <c r="S791" s="14" t="s">
        <v>5345</v>
      </c>
      <c r="T791" s="14" t="s">
        <v>5346</v>
      </c>
      <c r="AA791" s="6"/>
      <c r="AB791" s="6" t="s">
        <v>101</v>
      </c>
      <c r="AC791" s="6"/>
      <c r="AD791" s="6" t="s">
        <v>56</v>
      </c>
      <c r="AE791" s="6"/>
      <c r="AF791" s="6" t="s">
        <v>75</v>
      </c>
      <c r="AG791" s="6"/>
      <c r="AH791" s="6" t="s">
        <v>58</v>
      </c>
      <c r="AI791" s="6"/>
      <c r="AJ791" s="6" t="s">
        <v>256</v>
      </c>
    </row>
    <row r="792" spans="1:36" ht="15.75" customHeight="1" x14ac:dyDescent="0.25">
      <c r="A792" s="7">
        <v>43419.50759144676</v>
      </c>
      <c r="B792" s="6" t="s">
        <v>30</v>
      </c>
      <c r="C792" s="6" t="s">
        <v>95</v>
      </c>
      <c r="D792" s="6" t="s">
        <v>46</v>
      </c>
      <c r="E792" s="6" t="s">
        <v>81</v>
      </c>
      <c r="G792" s="6" t="s">
        <v>87</v>
      </c>
      <c r="J792" s="6" t="s">
        <v>92</v>
      </c>
      <c r="K792" s="6"/>
      <c r="N792" s="6" t="s">
        <v>121</v>
      </c>
      <c r="O792" s="6"/>
      <c r="P792" s="6" t="s">
        <v>94</v>
      </c>
      <c r="Q792" s="6"/>
      <c r="AA792" s="6"/>
      <c r="AB792" s="6" t="s">
        <v>101</v>
      </c>
      <c r="AC792" s="6"/>
      <c r="AD792" s="6" t="s">
        <v>56</v>
      </c>
      <c r="AE792" s="6"/>
      <c r="AF792" s="6" t="s">
        <v>68</v>
      </c>
      <c r="AG792" s="6"/>
      <c r="AH792" s="6" t="s">
        <v>58</v>
      </c>
      <c r="AJ792" s="12" t="s">
        <v>57</v>
      </c>
    </row>
    <row r="793" spans="1:36" ht="15.75" customHeight="1" x14ac:dyDescent="0.25">
      <c r="A793" s="7">
        <v>43419.519865243055</v>
      </c>
      <c r="B793" s="6" t="s">
        <v>60</v>
      </c>
      <c r="C793" s="6" t="s">
        <v>850</v>
      </c>
      <c r="E793" s="6" t="s">
        <v>81</v>
      </c>
      <c r="G793" s="6" t="s">
        <v>87</v>
      </c>
      <c r="H793" s="6" t="s">
        <v>2882</v>
      </c>
      <c r="I793" s="6"/>
      <c r="J793" s="6" t="s">
        <v>92</v>
      </c>
      <c r="K793" s="6"/>
      <c r="L793" s="6" t="s">
        <v>2289</v>
      </c>
      <c r="M793" s="6"/>
      <c r="N793" s="6" t="s">
        <v>212</v>
      </c>
      <c r="O793" s="6"/>
      <c r="P793" s="6" t="s">
        <v>94</v>
      </c>
      <c r="Q793" s="6"/>
      <c r="R793" s="47" t="s">
        <v>201</v>
      </c>
      <c r="S793" s="14" t="s">
        <v>5347</v>
      </c>
      <c r="T793" s="14" t="s">
        <v>4911</v>
      </c>
      <c r="U793" s="14" t="s">
        <v>4400</v>
      </c>
      <c r="AA793" s="6"/>
      <c r="AB793" s="6" t="s">
        <v>67</v>
      </c>
      <c r="AC793" s="6"/>
      <c r="AD793" s="6" t="s">
        <v>56</v>
      </c>
      <c r="AE793" s="6"/>
      <c r="AF793" s="6" t="s">
        <v>68</v>
      </c>
      <c r="AG793" s="6"/>
      <c r="AH793" s="6" t="s">
        <v>58</v>
      </c>
      <c r="AI793" s="6"/>
      <c r="AJ793" s="6" t="s">
        <v>293</v>
      </c>
    </row>
    <row r="794" spans="1:36" ht="15.75" customHeight="1" x14ac:dyDescent="0.25">
      <c r="A794" s="7">
        <v>43419.520584456019</v>
      </c>
      <c r="B794" s="6" t="s">
        <v>154</v>
      </c>
      <c r="C794" s="6" t="s">
        <v>971</v>
      </c>
      <c r="D794" s="6" t="s">
        <v>165</v>
      </c>
      <c r="E794" s="6" t="s">
        <v>81</v>
      </c>
      <c r="G794" s="6" t="s">
        <v>87</v>
      </c>
      <c r="H794" s="6" t="s">
        <v>2887</v>
      </c>
      <c r="I794" s="6"/>
      <c r="J794" s="6" t="s">
        <v>73</v>
      </c>
      <c r="K794" s="6"/>
      <c r="L794" s="6" t="s">
        <v>2840</v>
      </c>
      <c r="M794" s="6"/>
      <c r="N794" s="6" t="s">
        <v>98</v>
      </c>
      <c r="O794" s="6"/>
      <c r="P794" s="6" t="s">
        <v>94</v>
      </c>
      <c r="Q794" s="6"/>
      <c r="R794" s="47" t="s">
        <v>2891</v>
      </c>
      <c r="AA794" s="6"/>
      <c r="AB794" s="6" t="s">
        <v>67</v>
      </c>
      <c r="AC794" s="6"/>
      <c r="AD794" s="6" t="s">
        <v>56</v>
      </c>
      <c r="AE794" s="6"/>
      <c r="AF794" s="6" t="s">
        <v>68</v>
      </c>
      <c r="AG794" s="6"/>
      <c r="AH794" s="6" t="s">
        <v>58</v>
      </c>
      <c r="AI794" s="6"/>
      <c r="AJ794" s="6" t="s">
        <v>162</v>
      </c>
    </row>
    <row r="795" spans="1:36" ht="15.75" customHeight="1" x14ac:dyDescent="0.25">
      <c r="A795" s="7">
        <v>43419.529022766204</v>
      </c>
      <c r="B795" s="6" t="s">
        <v>26</v>
      </c>
      <c r="C795" s="6" t="s">
        <v>349</v>
      </c>
      <c r="D795" s="6" t="s">
        <v>133</v>
      </c>
      <c r="E795" s="6" t="s">
        <v>81</v>
      </c>
      <c r="G795" s="6" t="s">
        <v>87</v>
      </c>
      <c r="H795" s="6" t="s">
        <v>2895</v>
      </c>
      <c r="I795" s="6"/>
      <c r="J795" s="6" t="s">
        <v>64</v>
      </c>
      <c r="K795" s="6"/>
      <c r="L795" s="6" t="s">
        <v>2562</v>
      </c>
      <c r="M795" s="6"/>
      <c r="N795" s="6" t="s">
        <v>98</v>
      </c>
      <c r="O795" s="6"/>
      <c r="P795" s="6" t="s">
        <v>94</v>
      </c>
      <c r="Q795" s="6"/>
      <c r="R795" s="47" t="s">
        <v>4956</v>
      </c>
      <c r="S795" s="14" t="s">
        <v>5081</v>
      </c>
      <c r="T795" s="14" t="s">
        <v>4579</v>
      </c>
      <c r="AA795" s="6"/>
      <c r="AB795" s="6" t="s">
        <v>67</v>
      </c>
      <c r="AC795" s="6"/>
      <c r="AD795" s="6" t="s">
        <v>56</v>
      </c>
      <c r="AE795" s="6"/>
      <c r="AF795" s="6" t="s">
        <v>75</v>
      </c>
      <c r="AG795" s="6"/>
      <c r="AH795" s="6" t="s">
        <v>76</v>
      </c>
      <c r="AI795" s="6"/>
      <c r="AJ795" s="6" t="s">
        <v>233</v>
      </c>
    </row>
    <row r="796" spans="1:36" ht="15.75" customHeight="1" x14ac:dyDescent="0.25">
      <c r="A796" s="7">
        <v>43419.529615648149</v>
      </c>
      <c r="B796" s="6" t="s">
        <v>634</v>
      </c>
      <c r="C796" s="6" t="s">
        <v>349</v>
      </c>
      <c r="D796" s="6" t="s">
        <v>46</v>
      </c>
      <c r="E796" s="6" t="s">
        <v>81</v>
      </c>
      <c r="G796" s="6" t="s">
        <v>48</v>
      </c>
      <c r="J796" s="6" t="s">
        <v>89</v>
      </c>
      <c r="K796" s="6"/>
      <c r="L796" s="6" t="s">
        <v>2842</v>
      </c>
      <c r="M796" s="6"/>
      <c r="N796" s="6" t="s">
        <v>112</v>
      </c>
      <c r="O796" s="6"/>
      <c r="P796" s="6" t="s">
        <v>131</v>
      </c>
      <c r="Q796" s="6"/>
      <c r="R796" s="47" t="s">
        <v>5348</v>
      </c>
      <c r="S796" s="14" t="s">
        <v>5349</v>
      </c>
      <c r="T796" s="14" t="s">
        <v>5350</v>
      </c>
      <c r="AA796" s="6"/>
      <c r="AB796" s="6" t="s">
        <v>67</v>
      </c>
      <c r="AC796" s="6"/>
      <c r="AD796" s="6" t="s">
        <v>56</v>
      </c>
      <c r="AE796" s="6"/>
      <c r="AF796" s="6" t="s">
        <v>68</v>
      </c>
      <c r="AG796" s="6"/>
      <c r="AH796" s="6" t="s">
        <v>57</v>
      </c>
      <c r="AI796" s="6"/>
      <c r="AJ796" s="6" t="s">
        <v>132</v>
      </c>
    </row>
    <row r="797" spans="1:36" ht="15.75" customHeight="1" x14ac:dyDescent="0.25">
      <c r="A797" s="7">
        <v>43419.534709988424</v>
      </c>
      <c r="B797" s="6" t="s">
        <v>60</v>
      </c>
      <c r="C797" s="6" t="s">
        <v>79</v>
      </c>
      <c r="D797" s="6" t="s">
        <v>133</v>
      </c>
      <c r="E797" s="6" t="s">
        <v>81</v>
      </c>
      <c r="G797" s="6" t="s">
        <v>87</v>
      </c>
      <c r="J797" s="6" t="s">
        <v>89</v>
      </c>
      <c r="K797" s="6"/>
      <c r="L797" s="6" t="s">
        <v>2844</v>
      </c>
      <c r="M797" s="6"/>
      <c r="N797" s="6" t="s">
        <v>121</v>
      </c>
      <c r="O797" s="6"/>
      <c r="P797" s="6" t="s">
        <v>94</v>
      </c>
      <c r="Q797" s="6"/>
      <c r="R797" s="47" t="s">
        <v>2905</v>
      </c>
      <c r="AA797" s="6"/>
      <c r="AB797" s="6" t="s">
        <v>101</v>
      </c>
      <c r="AC797" s="6"/>
      <c r="AD797" s="6" t="s">
        <v>56</v>
      </c>
      <c r="AE797" s="6"/>
      <c r="AF797" s="6" t="s">
        <v>75</v>
      </c>
      <c r="AG797" s="6"/>
      <c r="AH797" s="6" t="s">
        <v>126</v>
      </c>
      <c r="AI797" s="6"/>
      <c r="AJ797" s="11" t="s">
        <v>115</v>
      </c>
    </row>
    <row r="798" spans="1:36" ht="15.75" customHeight="1" x14ac:dyDescent="0.25">
      <c r="A798" s="7">
        <v>43419.540917696759</v>
      </c>
      <c r="B798" s="6" t="s">
        <v>305</v>
      </c>
      <c r="C798" s="6" t="s">
        <v>116</v>
      </c>
      <c r="D798" s="6" t="s">
        <v>91</v>
      </c>
      <c r="E798" s="6" t="s">
        <v>81</v>
      </c>
      <c r="G798" s="6" t="s">
        <v>87</v>
      </c>
      <c r="H798" s="6" t="s">
        <v>2907</v>
      </c>
      <c r="I798" s="6"/>
      <c r="J798" s="6" t="s">
        <v>92</v>
      </c>
      <c r="K798" s="6"/>
      <c r="L798" s="6" t="s">
        <v>2841</v>
      </c>
      <c r="M798" s="6"/>
      <c r="N798" s="6" t="s">
        <v>121</v>
      </c>
      <c r="O798" s="6"/>
      <c r="P798" s="6" t="s">
        <v>94</v>
      </c>
      <c r="Q798" s="6"/>
      <c r="R798" s="47" t="s">
        <v>143</v>
      </c>
      <c r="AA798" s="6"/>
      <c r="AB798" s="6" t="s">
        <v>55</v>
      </c>
      <c r="AC798" s="6"/>
      <c r="AD798" s="6" t="s">
        <v>56</v>
      </c>
      <c r="AE798" s="6"/>
      <c r="AF798" s="6" t="s">
        <v>68</v>
      </c>
      <c r="AG798" s="6"/>
      <c r="AH798" s="6" t="s">
        <v>58</v>
      </c>
      <c r="AI798" s="6"/>
      <c r="AJ798" s="6" t="s">
        <v>318</v>
      </c>
    </row>
    <row r="799" spans="1:36" ht="15.75" customHeight="1" x14ac:dyDescent="0.25">
      <c r="A799" s="7">
        <v>43419.547864722219</v>
      </c>
      <c r="B799" s="6" t="s">
        <v>30</v>
      </c>
      <c r="C799" s="6" t="s">
        <v>95</v>
      </c>
      <c r="D799" s="6" t="s">
        <v>46</v>
      </c>
      <c r="E799" s="6" t="s">
        <v>48</v>
      </c>
      <c r="F799" s="6" t="s">
        <v>2909</v>
      </c>
      <c r="G799" s="6" t="s">
        <v>48</v>
      </c>
      <c r="H799" s="6" t="s">
        <v>2910</v>
      </c>
      <c r="I799" s="6"/>
      <c r="J799" s="6" t="s">
        <v>50</v>
      </c>
      <c r="K799" s="6"/>
      <c r="L799" s="6" t="s">
        <v>2845</v>
      </c>
      <c r="M799" s="6"/>
      <c r="N799" s="6" t="s">
        <v>51</v>
      </c>
      <c r="O799" s="6"/>
      <c r="P799" s="6" t="s">
        <v>52</v>
      </c>
      <c r="Q799" s="6"/>
      <c r="R799" s="47" t="s">
        <v>5351</v>
      </c>
      <c r="S799" s="14" t="s">
        <v>5352</v>
      </c>
      <c r="T799" s="14" t="s">
        <v>5353</v>
      </c>
      <c r="U799" s="14" t="s">
        <v>4600</v>
      </c>
      <c r="V799" s="14" t="s">
        <v>5354</v>
      </c>
      <c r="W799" s="14" t="s">
        <v>5355</v>
      </c>
      <c r="X799" s="14" t="s">
        <v>5356</v>
      </c>
      <c r="AA799" s="6"/>
      <c r="AB799" s="6" t="s">
        <v>101</v>
      </c>
      <c r="AC799" s="6"/>
      <c r="AD799" s="6" t="s">
        <v>56</v>
      </c>
      <c r="AE799" s="6"/>
      <c r="AF799" s="6" t="s">
        <v>75</v>
      </c>
      <c r="AG799" s="6"/>
      <c r="AH799" s="6" t="s">
        <v>76</v>
      </c>
      <c r="AI799" s="6"/>
      <c r="AJ799" s="11" t="s">
        <v>296</v>
      </c>
    </row>
    <row r="800" spans="1:36" ht="15.75" customHeight="1" x14ac:dyDescent="0.25">
      <c r="A800" s="7">
        <v>43419.550949328703</v>
      </c>
      <c r="B800" s="6" t="s">
        <v>2915</v>
      </c>
      <c r="C800" s="6" t="s">
        <v>95</v>
      </c>
      <c r="D800" s="6" t="s">
        <v>163</v>
      </c>
      <c r="E800" s="6" t="s">
        <v>48</v>
      </c>
      <c r="F800" s="6" t="s">
        <v>2920</v>
      </c>
      <c r="G800" s="6" t="s">
        <v>48</v>
      </c>
      <c r="J800" s="6" t="s">
        <v>73</v>
      </c>
      <c r="K800" s="6"/>
      <c r="L800" s="6" t="s">
        <v>2846</v>
      </c>
      <c r="M800" s="6"/>
      <c r="N800" s="6" t="s">
        <v>212</v>
      </c>
      <c r="O800" s="6"/>
      <c r="P800" s="6" t="s">
        <v>131</v>
      </c>
      <c r="Q800" s="6"/>
      <c r="R800" s="47" t="s">
        <v>2751</v>
      </c>
      <c r="S800" s="14" t="s">
        <v>5357</v>
      </c>
      <c r="T800" s="14" t="s">
        <v>5358</v>
      </c>
      <c r="U800" s="14" t="s">
        <v>5359</v>
      </c>
      <c r="AA800" s="6"/>
      <c r="AB800" s="6" t="s">
        <v>67</v>
      </c>
      <c r="AC800" s="6"/>
      <c r="AD800" s="6" t="s">
        <v>56</v>
      </c>
      <c r="AE800" s="6"/>
      <c r="AF800" s="6" t="s">
        <v>75</v>
      </c>
      <c r="AG800" s="6"/>
      <c r="AH800" s="6" t="s">
        <v>76</v>
      </c>
      <c r="AI800" s="6"/>
      <c r="AJ800" s="6" t="s">
        <v>115</v>
      </c>
    </row>
    <row r="801" spans="1:36" ht="15.75" customHeight="1" x14ac:dyDescent="0.25">
      <c r="A801" s="7">
        <v>43419.553948333334</v>
      </c>
      <c r="B801" s="6" t="s">
        <v>30</v>
      </c>
      <c r="C801" s="6" t="s">
        <v>1249</v>
      </c>
      <c r="D801" s="6" t="s">
        <v>165</v>
      </c>
      <c r="E801" s="6" t="s">
        <v>48</v>
      </c>
      <c r="F801" s="6" t="s">
        <v>2927</v>
      </c>
      <c r="G801" s="6" t="s">
        <v>48</v>
      </c>
      <c r="H801" s="6" t="s">
        <v>2929</v>
      </c>
      <c r="I801" s="6"/>
      <c r="J801" s="6" t="s">
        <v>92</v>
      </c>
      <c r="K801" s="6"/>
      <c r="L801" s="6" t="s">
        <v>2847</v>
      </c>
      <c r="M801" s="6"/>
      <c r="N801" s="6" t="s">
        <v>98</v>
      </c>
      <c r="O801" s="6"/>
      <c r="P801" s="6" t="s">
        <v>131</v>
      </c>
      <c r="Q801" s="6"/>
      <c r="R801" s="47" t="s">
        <v>3473</v>
      </c>
      <c r="S801" s="14" t="s">
        <v>4607</v>
      </c>
      <c r="T801" s="14" t="s">
        <v>5360</v>
      </c>
      <c r="AA801" s="6"/>
      <c r="AB801" s="6" t="s">
        <v>101</v>
      </c>
      <c r="AC801" s="6"/>
      <c r="AD801" s="6" t="s">
        <v>56</v>
      </c>
      <c r="AE801" s="6"/>
      <c r="AF801" s="6" t="s">
        <v>68</v>
      </c>
      <c r="AG801" s="6"/>
      <c r="AH801" s="11" t="s">
        <v>144</v>
      </c>
      <c r="AI801" s="6"/>
      <c r="AJ801" s="6" t="s">
        <v>115</v>
      </c>
    </row>
    <row r="802" spans="1:36" ht="15.75" customHeight="1" x14ac:dyDescent="0.25">
      <c r="A802" s="7">
        <v>43419.559803888886</v>
      </c>
      <c r="B802" s="6" t="s">
        <v>30</v>
      </c>
      <c r="C802" s="6" t="s">
        <v>116</v>
      </c>
      <c r="D802" s="6" t="s">
        <v>46</v>
      </c>
      <c r="E802" s="6" t="s">
        <v>81</v>
      </c>
      <c r="G802" s="6" t="s">
        <v>87</v>
      </c>
      <c r="J802" s="6" t="s">
        <v>92</v>
      </c>
      <c r="K802" s="6"/>
      <c r="L802" s="6" t="s">
        <v>2849</v>
      </c>
      <c r="M802" s="6"/>
      <c r="N802" s="6" t="s">
        <v>167</v>
      </c>
      <c r="O802" s="6"/>
      <c r="P802" s="6" t="s">
        <v>131</v>
      </c>
      <c r="Q802" s="6"/>
      <c r="R802" s="47" t="s">
        <v>2936</v>
      </c>
      <c r="AA802" s="6"/>
      <c r="AB802" s="6" t="s">
        <v>203</v>
      </c>
      <c r="AC802" s="6"/>
      <c r="AD802" s="6" t="s">
        <v>56</v>
      </c>
      <c r="AE802" s="6"/>
      <c r="AF802" s="6" t="s">
        <v>68</v>
      </c>
      <c r="AG802" s="6"/>
      <c r="AH802" s="6" t="s">
        <v>58</v>
      </c>
      <c r="AI802" s="6"/>
      <c r="AJ802" s="11" t="s">
        <v>256</v>
      </c>
    </row>
    <row r="803" spans="1:36" ht="15.75" customHeight="1" x14ac:dyDescent="0.25">
      <c r="A803" s="7">
        <v>43419.576969212962</v>
      </c>
      <c r="B803" s="6" t="s">
        <v>60</v>
      </c>
      <c r="C803" s="6" t="s">
        <v>215</v>
      </c>
      <c r="D803" s="6" t="s">
        <v>261</v>
      </c>
      <c r="E803" s="6" t="s">
        <v>81</v>
      </c>
      <c r="G803" s="6" t="s">
        <v>87</v>
      </c>
      <c r="J803" s="6" t="s">
        <v>50</v>
      </c>
      <c r="K803" s="6"/>
      <c r="N803" s="6" t="s">
        <v>51</v>
      </c>
      <c r="O803" s="6"/>
      <c r="P803" s="6" t="s">
        <v>52</v>
      </c>
      <c r="Q803" s="6"/>
      <c r="R803" s="47" t="s">
        <v>5361</v>
      </c>
      <c r="S803" s="14" t="s">
        <v>5362</v>
      </c>
      <c r="AA803" s="6"/>
      <c r="AB803" s="6" t="s">
        <v>67</v>
      </c>
      <c r="AC803" s="6"/>
      <c r="AD803" s="6" t="s">
        <v>56</v>
      </c>
      <c r="AE803" s="6"/>
      <c r="AF803" s="6" t="s">
        <v>68</v>
      </c>
      <c r="AG803" s="6"/>
      <c r="AH803" s="6" t="s">
        <v>58</v>
      </c>
      <c r="AI803" s="6"/>
      <c r="AJ803" s="6" t="s">
        <v>115</v>
      </c>
    </row>
    <row r="804" spans="1:36" ht="15.75" customHeight="1" x14ac:dyDescent="0.25">
      <c r="A804" s="7">
        <v>43419.580235636575</v>
      </c>
      <c r="B804" s="6" t="s">
        <v>103</v>
      </c>
      <c r="C804" s="6" t="s">
        <v>971</v>
      </c>
      <c r="E804" s="6" t="s">
        <v>81</v>
      </c>
      <c r="G804" s="6" t="s">
        <v>87</v>
      </c>
      <c r="H804" s="6" t="s">
        <v>86</v>
      </c>
      <c r="I804" s="6"/>
      <c r="J804" s="6" t="s">
        <v>92</v>
      </c>
      <c r="K804" s="6"/>
      <c r="N804" s="6" t="s">
        <v>112</v>
      </c>
      <c r="O804" s="6"/>
      <c r="P804" s="6" t="s">
        <v>52</v>
      </c>
      <c r="Q804" s="6"/>
      <c r="AA804" s="6"/>
      <c r="AB804" s="6" t="s">
        <v>101</v>
      </c>
      <c r="AC804" s="6"/>
      <c r="AD804" s="6" t="s">
        <v>56</v>
      </c>
      <c r="AE804" s="6"/>
      <c r="AF804" s="6" t="s">
        <v>68</v>
      </c>
      <c r="AG804" s="6"/>
      <c r="AH804" s="6" t="s">
        <v>126</v>
      </c>
      <c r="AJ804" s="12" t="s">
        <v>57</v>
      </c>
    </row>
    <row r="805" spans="1:36" ht="15.75" customHeight="1" x14ac:dyDescent="0.25">
      <c r="A805" s="7">
        <v>43419.580827812504</v>
      </c>
      <c r="B805" s="6" t="s">
        <v>127</v>
      </c>
      <c r="C805" s="6" t="s">
        <v>2949</v>
      </c>
      <c r="D805" s="6" t="s">
        <v>307</v>
      </c>
      <c r="E805" s="6" t="s">
        <v>48</v>
      </c>
      <c r="F805" s="6" t="s">
        <v>2950</v>
      </c>
      <c r="G805" s="6" t="s">
        <v>48</v>
      </c>
      <c r="H805" s="6" t="s">
        <v>2951</v>
      </c>
      <c r="I805" s="6"/>
      <c r="J805" s="6" t="s">
        <v>64</v>
      </c>
      <c r="K805" s="6"/>
      <c r="L805" s="6" t="s">
        <v>2850</v>
      </c>
      <c r="M805" s="6"/>
      <c r="N805" s="6" t="s">
        <v>212</v>
      </c>
      <c r="O805" s="6"/>
      <c r="P805" s="6" t="s">
        <v>131</v>
      </c>
      <c r="Q805" s="6"/>
      <c r="R805" s="47" t="s">
        <v>5259</v>
      </c>
      <c r="S805" s="14" t="s">
        <v>4517</v>
      </c>
      <c r="T805" s="14" t="s">
        <v>4400</v>
      </c>
      <c r="U805" s="14" t="s">
        <v>5363</v>
      </c>
      <c r="V805" s="14" t="s">
        <v>4456</v>
      </c>
      <c r="AA805" s="6"/>
      <c r="AB805" s="6" t="s">
        <v>67</v>
      </c>
      <c r="AC805" s="6"/>
      <c r="AD805" s="6" t="s">
        <v>56</v>
      </c>
      <c r="AE805" s="6"/>
      <c r="AF805" s="6" t="s">
        <v>161</v>
      </c>
      <c r="AG805" s="6"/>
      <c r="AH805" s="6" t="s">
        <v>76</v>
      </c>
      <c r="AI805" s="6"/>
      <c r="AJ805" s="11" t="s">
        <v>77</v>
      </c>
    </row>
    <row r="806" spans="1:36" ht="15.75" customHeight="1" x14ac:dyDescent="0.25">
      <c r="A806" s="7">
        <v>43419.58660761574</v>
      </c>
      <c r="B806" s="6" t="s">
        <v>103</v>
      </c>
      <c r="C806" s="6" t="s">
        <v>215</v>
      </c>
      <c r="D806" s="6" t="s">
        <v>91</v>
      </c>
      <c r="E806" s="6" t="s">
        <v>48</v>
      </c>
      <c r="F806" s="6" t="s">
        <v>2954</v>
      </c>
      <c r="G806" s="6" t="s">
        <v>48</v>
      </c>
      <c r="H806" s="6" t="s">
        <v>2955</v>
      </c>
      <c r="I806" s="6"/>
      <c r="J806" s="6" t="s">
        <v>92</v>
      </c>
      <c r="K806" s="6"/>
      <c r="N806" s="6" t="s">
        <v>112</v>
      </c>
      <c r="O806" s="6"/>
      <c r="P806" s="6" t="s">
        <v>131</v>
      </c>
      <c r="Q806" s="6"/>
      <c r="R806" s="47" t="s">
        <v>4564</v>
      </c>
      <c r="S806" s="14" t="s">
        <v>5081</v>
      </c>
      <c r="T806" s="14" t="s">
        <v>5045</v>
      </c>
      <c r="AA806" s="6"/>
      <c r="AB806" s="6" t="s">
        <v>67</v>
      </c>
      <c r="AC806" s="6"/>
      <c r="AD806" s="6" t="s">
        <v>56</v>
      </c>
      <c r="AE806" s="6"/>
      <c r="AF806" s="6" t="s">
        <v>68</v>
      </c>
      <c r="AG806" s="6"/>
      <c r="AH806" s="6" t="s">
        <v>58</v>
      </c>
      <c r="AI806" s="6"/>
      <c r="AJ806" s="6" t="s">
        <v>69</v>
      </c>
    </row>
    <row r="807" spans="1:36" ht="15.75" customHeight="1" x14ac:dyDescent="0.25">
      <c r="A807" s="7">
        <v>43419.592093946761</v>
      </c>
      <c r="B807" s="6" t="s">
        <v>30</v>
      </c>
      <c r="C807" s="6" t="s">
        <v>116</v>
      </c>
      <c r="D807" s="6" t="s">
        <v>46</v>
      </c>
      <c r="E807" s="6" t="s">
        <v>48</v>
      </c>
      <c r="F807" s="6" t="s">
        <v>568</v>
      </c>
      <c r="G807" s="6" t="s">
        <v>48</v>
      </c>
      <c r="H807" s="6" t="s">
        <v>2961</v>
      </c>
      <c r="I807" s="6"/>
      <c r="J807" s="6" t="s">
        <v>106</v>
      </c>
      <c r="K807" s="6"/>
      <c r="L807" s="6" t="s">
        <v>2851</v>
      </c>
      <c r="M807" s="6"/>
      <c r="N807" s="6" t="s">
        <v>51</v>
      </c>
      <c r="O807" s="6"/>
      <c r="P807" s="6" t="s">
        <v>52</v>
      </c>
      <c r="Q807" s="6"/>
      <c r="R807" s="47" t="s">
        <v>149</v>
      </c>
      <c r="S807" s="14" t="s">
        <v>4400</v>
      </c>
      <c r="T807" s="14" t="s">
        <v>4473</v>
      </c>
      <c r="U807" s="14" t="s">
        <v>4431</v>
      </c>
      <c r="V807" s="14" t="s">
        <v>5364</v>
      </c>
      <c r="W807" s="14" t="s">
        <v>4970</v>
      </c>
      <c r="X807" s="14" t="s">
        <v>4456</v>
      </c>
      <c r="Y807" s="14" t="s">
        <v>4632</v>
      </c>
      <c r="Z807" s="14" t="s">
        <v>5365</v>
      </c>
      <c r="AA807" s="6"/>
      <c r="AB807" s="6" t="s">
        <v>101</v>
      </c>
      <c r="AC807" s="6"/>
      <c r="AD807" s="6" t="s">
        <v>56</v>
      </c>
      <c r="AE807" s="6"/>
      <c r="AF807" s="6" t="s">
        <v>68</v>
      </c>
      <c r="AG807" s="6"/>
      <c r="AH807" s="6" t="s">
        <v>58</v>
      </c>
      <c r="AJ807" s="12" t="s">
        <v>57</v>
      </c>
    </row>
    <row r="808" spans="1:36" ht="15.75" customHeight="1" x14ac:dyDescent="0.25">
      <c r="A808" s="7">
        <v>43419.597304780094</v>
      </c>
      <c r="B808" s="6" t="s">
        <v>30</v>
      </c>
      <c r="C808" s="6" t="s">
        <v>237</v>
      </c>
      <c r="D808" s="6" t="s">
        <v>163</v>
      </c>
      <c r="E808" s="6" t="s">
        <v>48</v>
      </c>
      <c r="F808" s="6" t="s">
        <v>2968</v>
      </c>
      <c r="G808" s="6" t="s">
        <v>48</v>
      </c>
      <c r="H808" s="6" t="s">
        <v>2969</v>
      </c>
      <c r="I808" s="6"/>
      <c r="J808" s="6" t="s">
        <v>89</v>
      </c>
      <c r="K808" s="6"/>
      <c r="L808" s="6" t="s">
        <v>2852</v>
      </c>
      <c r="M808" s="6"/>
      <c r="N808" s="6" t="s">
        <v>98</v>
      </c>
      <c r="O808" s="6"/>
      <c r="P808" s="6" t="s">
        <v>99</v>
      </c>
      <c r="Q808" s="6"/>
      <c r="R808" s="47" t="s">
        <v>5366</v>
      </c>
      <c r="S808" s="14" t="s">
        <v>5367</v>
      </c>
      <c r="T808" s="14" t="s">
        <v>5368</v>
      </c>
      <c r="AA808" s="6"/>
      <c r="AB808" s="6" t="s">
        <v>101</v>
      </c>
      <c r="AC808" s="6"/>
      <c r="AD808" s="6" t="s">
        <v>56</v>
      </c>
      <c r="AE808" s="6"/>
      <c r="AF808" s="6" t="s">
        <v>68</v>
      </c>
      <c r="AG808" s="6"/>
      <c r="AH808" s="6" t="s">
        <v>126</v>
      </c>
      <c r="AI808" s="6"/>
      <c r="AJ808" s="6" t="s">
        <v>244</v>
      </c>
    </row>
    <row r="809" spans="1:36" ht="15.75" customHeight="1" x14ac:dyDescent="0.25">
      <c r="A809" s="7">
        <v>43419.603249155094</v>
      </c>
      <c r="B809" s="6" t="s">
        <v>30</v>
      </c>
      <c r="C809" s="6" t="s">
        <v>95</v>
      </c>
      <c r="D809" s="6" t="s">
        <v>165</v>
      </c>
      <c r="E809" s="6" t="s">
        <v>81</v>
      </c>
      <c r="G809" s="6" t="s">
        <v>87</v>
      </c>
      <c r="H809" s="6" t="s">
        <v>2976</v>
      </c>
      <c r="I809" s="6"/>
      <c r="J809" s="6" t="s">
        <v>92</v>
      </c>
      <c r="K809" s="6"/>
      <c r="N809" s="6" t="s">
        <v>121</v>
      </c>
      <c r="O809" s="6"/>
      <c r="P809" s="6" t="s">
        <v>94</v>
      </c>
      <c r="Q809" s="6"/>
      <c r="R809" s="47" t="s">
        <v>3645</v>
      </c>
      <c r="S809" s="14" t="s">
        <v>5369</v>
      </c>
      <c r="T809" s="14" t="s">
        <v>5370</v>
      </c>
      <c r="AA809" s="6"/>
      <c r="AB809" s="6" t="s">
        <v>67</v>
      </c>
      <c r="AC809" s="6"/>
      <c r="AD809" s="6" t="s">
        <v>56</v>
      </c>
      <c r="AE809" s="6"/>
      <c r="AF809" s="6" t="s">
        <v>68</v>
      </c>
      <c r="AG809" s="6"/>
      <c r="AH809" s="6" t="s">
        <v>126</v>
      </c>
      <c r="AI809" s="6"/>
      <c r="AJ809" s="6" t="s">
        <v>77</v>
      </c>
    </row>
    <row r="810" spans="1:36" ht="15.75" customHeight="1" x14ac:dyDescent="0.25">
      <c r="A810" s="7">
        <v>43419.605276087968</v>
      </c>
      <c r="B810" s="6" t="s">
        <v>26</v>
      </c>
      <c r="C810" s="6" t="s">
        <v>95</v>
      </c>
      <c r="D810" s="6" t="s">
        <v>46</v>
      </c>
      <c r="E810" s="6" t="s">
        <v>81</v>
      </c>
      <c r="G810" s="6" t="s">
        <v>87</v>
      </c>
      <c r="J810" s="6" t="s">
        <v>158</v>
      </c>
      <c r="K810" s="6"/>
      <c r="N810" s="6" t="s">
        <v>121</v>
      </c>
      <c r="O810" s="6"/>
      <c r="P810" s="6" t="s">
        <v>94</v>
      </c>
      <c r="Q810" s="6"/>
      <c r="AA810" s="6"/>
      <c r="AB810" s="6" t="s">
        <v>101</v>
      </c>
      <c r="AC810" s="6"/>
      <c r="AD810" s="6" t="s">
        <v>109</v>
      </c>
      <c r="AE810" s="6"/>
      <c r="AF810" s="6" t="s">
        <v>68</v>
      </c>
      <c r="AG810" s="6"/>
      <c r="AH810" s="6" t="s">
        <v>126</v>
      </c>
      <c r="AI810" s="6"/>
      <c r="AJ810" s="11" t="s">
        <v>77</v>
      </c>
    </row>
    <row r="811" spans="1:36" ht="15.75" customHeight="1" x14ac:dyDescent="0.25">
      <c r="A811" s="7">
        <v>43419.610328831019</v>
      </c>
      <c r="B811" s="6" t="s">
        <v>397</v>
      </c>
      <c r="C811" s="6" t="s">
        <v>95</v>
      </c>
      <c r="D811" s="6" t="s">
        <v>165</v>
      </c>
      <c r="E811" s="6" t="s">
        <v>48</v>
      </c>
      <c r="F811" s="6" t="s">
        <v>2984</v>
      </c>
      <c r="G811" s="6" t="s">
        <v>48</v>
      </c>
      <c r="H811" s="6" t="s">
        <v>2985</v>
      </c>
      <c r="I811" s="6"/>
      <c r="J811" s="6" t="s">
        <v>92</v>
      </c>
      <c r="K811" s="6"/>
      <c r="L811" s="6" t="s">
        <v>2293</v>
      </c>
      <c r="M811" s="6"/>
      <c r="N811" s="6" t="s">
        <v>121</v>
      </c>
      <c r="O811" s="6"/>
      <c r="P811" s="6" t="s">
        <v>94</v>
      </c>
      <c r="Q811" s="6"/>
      <c r="R811" s="47" t="s">
        <v>5371</v>
      </c>
      <c r="S811" s="14" t="s">
        <v>4425</v>
      </c>
      <c r="T811" s="14" t="s">
        <v>4393</v>
      </c>
      <c r="AA811" s="6"/>
      <c r="AB811" s="6" t="s">
        <v>101</v>
      </c>
      <c r="AC811" s="6"/>
      <c r="AD811" s="6" t="s">
        <v>56</v>
      </c>
      <c r="AE811" s="6"/>
      <c r="AF811" s="6" t="s">
        <v>75</v>
      </c>
      <c r="AG811" s="6"/>
      <c r="AH811" s="6" t="s">
        <v>58</v>
      </c>
      <c r="AI811" s="6"/>
      <c r="AJ811" s="6" t="s">
        <v>115</v>
      </c>
    </row>
    <row r="812" spans="1:36" ht="15.75" customHeight="1" x14ac:dyDescent="0.25">
      <c r="A812" s="7">
        <v>43419.610502557873</v>
      </c>
      <c r="B812" s="6" t="s">
        <v>30</v>
      </c>
      <c r="C812" s="6" t="s">
        <v>45</v>
      </c>
      <c r="D812" s="6" t="s">
        <v>133</v>
      </c>
      <c r="E812" s="6" t="s">
        <v>81</v>
      </c>
      <c r="G812" s="6" t="s">
        <v>87</v>
      </c>
      <c r="H812" s="6" t="s">
        <v>2990</v>
      </c>
      <c r="I812" s="6"/>
      <c r="J812" s="6" t="s">
        <v>73</v>
      </c>
      <c r="K812" s="6"/>
      <c r="L812" s="6" t="s">
        <v>2416</v>
      </c>
      <c r="M812" s="6"/>
      <c r="N812" s="6" t="s">
        <v>98</v>
      </c>
      <c r="O812" s="6"/>
      <c r="P812" s="6" t="s">
        <v>94</v>
      </c>
      <c r="Q812" s="6"/>
      <c r="R812" s="47" t="s">
        <v>2992</v>
      </c>
      <c r="AA812" s="6"/>
      <c r="AB812" s="6" t="s">
        <v>101</v>
      </c>
      <c r="AC812" s="6"/>
      <c r="AD812" s="6" t="s">
        <v>56</v>
      </c>
      <c r="AE812" s="6"/>
      <c r="AF812" s="6" t="s">
        <v>161</v>
      </c>
      <c r="AG812" s="6"/>
      <c r="AH812" s="6" t="s">
        <v>76</v>
      </c>
      <c r="AI812" s="6"/>
      <c r="AJ812" s="6" t="s">
        <v>77</v>
      </c>
    </row>
    <row r="813" spans="1:36" ht="15.75" customHeight="1" x14ac:dyDescent="0.25">
      <c r="A813" s="7">
        <v>43419.616108587958</v>
      </c>
      <c r="B813" s="6" t="s">
        <v>127</v>
      </c>
      <c r="C813" s="6" t="s">
        <v>79</v>
      </c>
      <c r="D813" s="6" t="s">
        <v>138</v>
      </c>
      <c r="E813" s="6" t="s">
        <v>81</v>
      </c>
      <c r="G813" s="6" t="s">
        <v>87</v>
      </c>
      <c r="J813" s="6" t="s">
        <v>92</v>
      </c>
      <c r="K813" s="6"/>
      <c r="L813" s="6" t="s">
        <v>2855</v>
      </c>
      <c r="M813" s="6"/>
      <c r="N813" s="6" t="s">
        <v>98</v>
      </c>
      <c r="O813" s="6"/>
      <c r="P813" s="6" t="s">
        <v>131</v>
      </c>
      <c r="Q813" s="6"/>
      <c r="R813" s="47" t="s">
        <v>3719</v>
      </c>
      <c r="S813" s="14" t="s">
        <v>5372</v>
      </c>
      <c r="AA813" s="6"/>
      <c r="AB813" s="6" t="s">
        <v>67</v>
      </c>
      <c r="AC813" s="6"/>
      <c r="AD813" s="6" t="s">
        <v>56</v>
      </c>
      <c r="AE813" s="6"/>
      <c r="AF813" s="6" t="s">
        <v>75</v>
      </c>
      <c r="AG813" s="6"/>
      <c r="AH813" s="6" t="s">
        <v>76</v>
      </c>
      <c r="AJ813" s="12" t="s">
        <v>57</v>
      </c>
    </row>
    <row r="814" spans="1:36" ht="15.75" customHeight="1" x14ac:dyDescent="0.25">
      <c r="A814" s="7">
        <v>43419.637362754627</v>
      </c>
      <c r="B814" s="6" t="s">
        <v>30</v>
      </c>
      <c r="C814" s="6" t="s">
        <v>215</v>
      </c>
      <c r="D814" s="6" t="s">
        <v>163</v>
      </c>
      <c r="E814" s="6" t="s">
        <v>48</v>
      </c>
      <c r="F814" s="6" t="s">
        <v>2998</v>
      </c>
      <c r="G814" s="6" t="s">
        <v>48</v>
      </c>
      <c r="H814" s="6" t="s">
        <v>2999</v>
      </c>
      <c r="I814" s="6"/>
      <c r="J814" s="6" t="s">
        <v>106</v>
      </c>
      <c r="K814" s="6"/>
      <c r="L814" s="6" t="s">
        <v>2856</v>
      </c>
      <c r="M814" s="6"/>
      <c r="N814" s="6" t="s">
        <v>112</v>
      </c>
      <c r="O814" s="6"/>
      <c r="P814" s="6" t="s">
        <v>131</v>
      </c>
      <c r="Q814" s="6"/>
      <c r="R814" s="47" t="s">
        <v>5373</v>
      </c>
      <c r="S814" s="14" t="s">
        <v>5374</v>
      </c>
      <c r="T814" s="14" t="s">
        <v>4497</v>
      </c>
      <c r="AA814" s="6"/>
      <c r="AB814" s="6" t="s">
        <v>55</v>
      </c>
      <c r="AC814" s="6"/>
      <c r="AD814" s="6" t="s">
        <v>56</v>
      </c>
      <c r="AE814" s="6"/>
      <c r="AF814" s="6" t="s">
        <v>75</v>
      </c>
      <c r="AG814" s="6"/>
      <c r="AH814" s="6" t="s">
        <v>58</v>
      </c>
      <c r="AI814" s="6"/>
      <c r="AJ814" s="11" t="s">
        <v>132</v>
      </c>
    </row>
    <row r="815" spans="1:36" ht="15.75" customHeight="1" x14ac:dyDescent="0.25">
      <c r="A815" s="7">
        <v>43419.643226087966</v>
      </c>
      <c r="B815" s="6" t="s">
        <v>60</v>
      </c>
      <c r="C815" s="6" t="s">
        <v>116</v>
      </c>
      <c r="D815" s="6" t="s">
        <v>163</v>
      </c>
      <c r="E815" s="6" t="s">
        <v>48</v>
      </c>
      <c r="F815" s="6" t="s">
        <v>3004</v>
      </c>
      <c r="G815" s="6" t="s">
        <v>48</v>
      </c>
      <c r="H815" s="6" t="s">
        <v>3005</v>
      </c>
      <c r="I815" s="6"/>
      <c r="J815" s="6" t="s">
        <v>106</v>
      </c>
      <c r="K815" s="6"/>
      <c r="L815" s="6" t="s">
        <v>2417</v>
      </c>
      <c r="M815" s="6"/>
      <c r="N815" s="6" t="s">
        <v>181</v>
      </c>
      <c r="O815" s="6"/>
      <c r="P815" s="6" t="s">
        <v>99</v>
      </c>
      <c r="Q815" s="6"/>
      <c r="R815" s="47" t="s">
        <v>224</v>
      </c>
      <c r="S815" s="14" t="s">
        <v>4407</v>
      </c>
      <c r="T815" s="14" t="s">
        <v>4404</v>
      </c>
      <c r="U815" s="14" t="s">
        <v>5375</v>
      </c>
      <c r="AA815" s="6"/>
      <c r="AB815" s="6" t="s">
        <v>101</v>
      </c>
      <c r="AC815" s="6"/>
      <c r="AD815" s="6" t="s">
        <v>56</v>
      </c>
      <c r="AE815" s="6"/>
      <c r="AF815" s="6" t="s">
        <v>161</v>
      </c>
      <c r="AG815" s="6"/>
      <c r="AH815" s="6" t="s">
        <v>76</v>
      </c>
      <c r="AI815" s="6"/>
      <c r="AJ815" s="6" t="s">
        <v>244</v>
      </c>
    </row>
    <row r="816" spans="1:36" ht="15.75" customHeight="1" x14ac:dyDescent="0.25">
      <c r="A816" s="7">
        <v>43419.657245138893</v>
      </c>
      <c r="B816" s="6" t="s">
        <v>30</v>
      </c>
      <c r="C816" s="6" t="s">
        <v>45</v>
      </c>
      <c r="D816" s="6" t="s">
        <v>46</v>
      </c>
      <c r="E816" s="6" t="s">
        <v>48</v>
      </c>
      <c r="G816" s="6" t="s">
        <v>48</v>
      </c>
      <c r="J816" s="6" t="s">
        <v>92</v>
      </c>
      <c r="K816" s="6"/>
      <c r="N816" s="6" t="s">
        <v>51</v>
      </c>
      <c r="O816" s="6"/>
      <c r="P816" s="6" t="s">
        <v>131</v>
      </c>
      <c r="Q816" s="6"/>
      <c r="AH816" s="6" t="s">
        <v>57</v>
      </c>
      <c r="AJ816" s="12" t="s">
        <v>57</v>
      </c>
    </row>
    <row r="817" spans="1:36" ht="15.75" customHeight="1" x14ac:dyDescent="0.25">
      <c r="A817" s="7">
        <v>43419.657360347221</v>
      </c>
      <c r="B817" s="6" t="s">
        <v>30</v>
      </c>
      <c r="C817" s="6" t="s">
        <v>45</v>
      </c>
      <c r="D817" s="6" t="s">
        <v>46</v>
      </c>
      <c r="E817" s="6" t="s">
        <v>48</v>
      </c>
      <c r="G817" s="6" t="s">
        <v>48</v>
      </c>
      <c r="J817" s="6" t="s">
        <v>92</v>
      </c>
      <c r="K817" s="6"/>
      <c r="N817" s="6" t="s">
        <v>51</v>
      </c>
      <c r="O817" s="6"/>
      <c r="P817" s="6" t="s">
        <v>131</v>
      </c>
      <c r="Q817" s="6"/>
      <c r="AH817" s="6" t="s">
        <v>57</v>
      </c>
      <c r="AJ817" s="12" t="s">
        <v>57</v>
      </c>
    </row>
    <row r="818" spans="1:36" ht="15.75" customHeight="1" x14ac:dyDescent="0.25">
      <c r="A818" s="7">
        <v>43419.669586793985</v>
      </c>
      <c r="B818" s="6" t="s">
        <v>30</v>
      </c>
      <c r="C818" s="6" t="s">
        <v>116</v>
      </c>
      <c r="D818" s="6" t="s">
        <v>133</v>
      </c>
      <c r="E818" s="6" t="s">
        <v>81</v>
      </c>
      <c r="F818" s="6" t="s">
        <v>3016</v>
      </c>
      <c r="G818" s="6" t="s">
        <v>87</v>
      </c>
      <c r="H818" s="6" t="s">
        <v>3017</v>
      </c>
      <c r="I818" s="6"/>
      <c r="J818" s="6" t="s">
        <v>184</v>
      </c>
      <c r="K818" s="6"/>
      <c r="L818" s="6" t="s">
        <v>2563</v>
      </c>
      <c r="M818" s="6"/>
      <c r="N818" s="6" t="s">
        <v>212</v>
      </c>
      <c r="O818" s="6"/>
      <c r="P818" s="6" t="s">
        <v>52</v>
      </c>
      <c r="Q818" s="6"/>
      <c r="R818" s="47" t="s">
        <v>5376</v>
      </c>
      <c r="S818" s="14" t="s">
        <v>4406</v>
      </c>
      <c r="T818" s="14" t="s">
        <v>4407</v>
      </c>
      <c r="U818" s="14" t="s">
        <v>5377</v>
      </c>
      <c r="V818" s="14" t="s">
        <v>4593</v>
      </c>
      <c r="W818" s="14" t="s">
        <v>4404</v>
      </c>
      <c r="X818" s="14" t="s">
        <v>5378</v>
      </c>
      <c r="Y818" s="14" t="s">
        <v>5379</v>
      </c>
      <c r="AA818" s="6"/>
      <c r="AB818" s="6" t="s">
        <v>101</v>
      </c>
      <c r="AC818" s="6"/>
      <c r="AD818" s="6" t="s">
        <v>56</v>
      </c>
      <c r="AE818" s="6"/>
      <c r="AF818" s="6" t="s">
        <v>68</v>
      </c>
      <c r="AG818" s="6"/>
      <c r="AH818" s="6" t="s">
        <v>58</v>
      </c>
      <c r="AI818" s="6"/>
      <c r="AJ818" s="6" t="s">
        <v>187</v>
      </c>
    </row>
    <row r="819" spans="1:36" ht="15.75" customHeight="1" x14ac:dyDescent="0.25">
      <c r="A819" s="7">
        <v>43419.672636643518</v>
      </c>
      <c r="B819" s="6" t="s">
        <v>30</v>
      </c>
      <c r="C819" s="6" t="s">
        <v>195</v>
      </c>
      <c r="D819" s="6" t="s">
        <v>165</v>
      </c>
      <c r="E819" s="6" t="s">
        <v>81</v>
      </c>
      <c r="G819" s="6" t="s">
        <v>87</v>
      </c>
      <c r="H819" s="6" t="s">
        <v>3022</v>
      </c>
      <c r="I819" s="6"/>
      <c r="J819" s="6" t="s">
        <v>106</v>
      </c>
      <c r="K819" s="6"/>
      <c r="L819" s="6" t="s">
        <v>2564</v>
      </c>
      <c r="M819" s="6"/>
      <c r="N819" s="6" t="s">
        <v>98</v>
      </c>
      <c r="O819" s="6"/>
      <c r="P819" s="6" t="s">
        <v>131</v>
      </c>
      <c r="Q819" s="6"/>
      <c r="R819" s="47" t="s">
        <v>4026</v>
      </c>
      <c r="S819" s="14" t="s">
        <v>5380</v>
      </c>
      <c r="T819" s="14" t="s">
        <v>4607</v>
      </c>
      <c r="U819" s="14" t="s">
        <v>4407</v>
      </c>
      <c r="V819" s="14" t="s">
        <v>4593</v>
      </c>
      <c r="W819" s="14" t="s">
        <v>4406</v>
      </c>
      <c r="X819" s="14" t="s">
        <v>5378</v>
      </c>
      <c r="Y819" s="14" t="s">
        <v>5381</v>
      </c>
      <c r="AA819" s="6"/>
      <c r="AB819" s="6" t="s">
        <v>101</v>
      </c>
      <c r="AC819" s="6"/>
      <c r="AD819" s="6" t="s">
        <v>109</v>
      </c>
      <c r="AE819" s="6"/>
      <c r="AF819" s="6" t="s">
        <v>68</v>
      </c>
      <c r="AG819" s="6"/>
      <c r="AH819" s="6" t="s">
        <v>58</v>
      </c>
      <c r="AI819" s="6"/>
      <c r="AJ819" s="6" t="s">
        <v>187</v>
      </c>
    </row>
    <row r="820" spans="1:36" ht="15.75" customHeight="1" x14ac:dyDescent="0.25">
      <c r="A820" s="7">
        <v>43419.673343136572</v>
      </c>
      <c r="B820" s="6" t="s">
        <v>3028</v>
      </c>
      <c r="C820" s="6" t="s">
        <v>215</v>
      </c>
      <c r="D820" s="6" t="s">
        <v>307</v>
      </c>
      <c r="E820" s="6" t="s">
        <v>81</v>
      </c>
      <c r="G820" s="6" t="s">
        <v>87</v>
      </c>
      <c r="H820" s="6" t="s">
        <v>3029</v>
      </c>
      <c r="I820" s="6"/>
      <c r="J820" s="6" t="s">
        <v>92</v>
      </c>
      <c r="K820" s="6"/>
      <c r="L820" s="6" t="s">
        <v>2860</v>
      </c>
      <c r="M820" s="6"/>
      <c r="N820" s="6" t="s">
        <v>93</v>
      </c>
      <c r="O820" s="6"/>
      <c r="P820" s="6" t="s">
        <v>94</v>
      </c>
      <c r="Q820" s="6"/>
      <c r="R820" s="47" t="s">
        <v>3030</v>
      </c>
      <c r="AA820" s="6"/>
      <c r="AB820" s="6" t="s">
        <v>101</v>
      </c>
      <c r="AC820" s="6"/>
      <c r="AD820" s="6" t="s">
        <v>56</v>
      </c>
      <c r="AE820" s="6"/>
      <c r="AF820" s="6" t="s">
        <v>161</v>
      </c>
      <c r="AG820" s="6"/>
      <c r="AH820" s="6" t="s">
        <v>76</v>
      </c>
      <c r="AJ820" s="12" t="s">
        <v>57</v>
      </c>
    </row>
    <row r="821" spans="1:36" ht="15.75" customHeight="1" x14ac:dyDescent="0.25">
      <c r="A821" s="7">
        <v>43419.677341423609</v>
      </c>
      <c r="B821" s="6" t="s">
        <v>294</v>
      </c>
      <c r="C821" s="6" t="s">
        <v>95</v>
      </c>
      <c r="D821" s="6" t="s">
        <v>46</v>
      </c>
      <c r="E821" s="6" t="s">
        <v>81</v>
      </c>
      <c r="G821" s="6" t="s">
        <v>87</v>
      </c>
      <c r="H821" s="6" t="s">
        <v>3032</v>
      </c>
      <c r="I821" s="6"/>
      <c r="J821" s="6" t="s">
        <v>73</v>
      </c>
      <c r="K821" s="6"/>
      <c r="L821" s="6" t="s">
        <v>2861</v>
      </c>
      <c r="M821" s="6"/>
      <c r="N821" s="6" t="s">
        <v>181</v>
      </c>
      <c r="O821" s="6"/>
      <c r="P821" s="6" t="s">
        <v>65</v>
      </c>
      <c r="Q821" s="6"/>
      <c r="R821" s="47" t="s">
        <v>1857</v>
      </c>
      <c r="AA821" s="6"/>
      <c r="AB821" s="6" t="s">
        <v>203</v>
      </c>
      <c r="AC821" s="6"/>
      <c r="AD821" s="6" t="s">
        <v>109</v>
      </c>
      <c r="AE821" s="6"/>
      <c r="AF821" s="6" t="s">
        <v>75</v>
      </c>
      <c r="AG821" s="6"/>
      <c r="AH821" s="6" t="s">
        <v>126</v>
      </c>
      <c r="AI821" s="6"/>
      <c r="AJ821" s="11" t="s">
        <v>174</v>
      </c>
    </row>
    <row r="822" spans="1:36" ht="15.75" customHeight="1" x14ac:dyDescent="0.25">
      <c r="A822" s="7">
        <v>43419.679531238427</v>
      </c>
      <c r="B822" s="6" t="s">
        <v>30</v>
      </c>
      <c r="C822" s="6" t="s">
        <v>1487</v>
      </c>
      <c r="D822" s="6" t="s">
        <v>46</v>
      </c>
      <c r="E822" s="6" t="s">
        <v>48</v>
      </c>
      <c r="G822" s="6" t="s">
        <v>48</v>
      </c>
      <c r="J822" s="6" t="s">
        <v>110</v>
      </c>
      <c r="K822" s="6"/>
      <c r="N822" s="6" t="s">
        <v>51</v>
      </c>
      <c r="O822" s="6"/>
      <c r="P822" s="6" t="s">
        <v>65</v>
      </c>
      <c r="Q822" s="6"/>
      <c r="R822" s="47" t="s">
        <v>182</v>
      </c>
      <c r="AA822" s="6"/>
      <c r="AB822" s="6" t="s">
        <v>67</v>
      </c>
      <c r="AC822" s="6"/>
      <c r="AF822" s="6" t="s">
        <v>205</v>
      </c>
      <c r="AG822" s="6"/>
      <c r="AH822" s="6" t="s">
        <v>58</v>
      </c>
      <c r="AJ822" s="12" t="s">
        <v>57</v>
      </c>
    </row>
    <row r="823" spans="1:36" ht="15.75" customHeight="1" x14ac:dyDescent="0.25">
      <c r="A823" s="7">
        <v>43419.680789930557</v>
      </c>
      <c r="B823" s="6" t="s">
        <v>30</v>
      </c>
      <c r="C823" s="6" t="s">
        <v>378</v>
      </c>
      <c r="D823" s="6" t="s">
        <v>46</v>
      </c>
      <c r="E823" s="6" t="s">
        <v>81</v>
      </c>
      <c r="G823" s="6" t="s">
        <v>87</v>
      </c>
      <c r="H823" s="6" t="s">
        <v>3038</v>
      </c>
      <c r="I823" s="6"/>
      <c r="J823" s="6" t="s">
        <v>110</v>
      </c>
      <c r="K823" s="6"/>
      <c r="L823" s="6" t="s">
        <v>2863</v>
      </c>
      <c r="M823" s="6"/>
      <c r="N823" s="6" t="s">
        <v>51</v>
      </c>
      <c r="O823" s="6"/>
      <c r="P823" s="6" t="s">
        <v>99</v>
      </c>
      <c r="Q823" s="6"/>
      <c r="R823" s="47" t="s">
        <v>3040</v>
      </c>
      <c r="AA823" s="6"/>
      <c r="AB823" s="6" t="s">
        <v>67</v>
      </c>
      <c r="AC823" s="6"/>
      <c r="AD823" s="6" t="s">
        <v>56</v>
      </c>
      <c r="AE823" s="6"/>
      <c r="AF823" s="6" t="s">
        <v>68</v>
      </c>
      <c r="AG823" s="6"/>
      <c r="AH823" s="6" t="s">
        <v>57</v>
      </c>
      <c r="AI823" s="6"/>
      <c r="AJ823" s="6" t="s">
        <v>132</v>
      </c>
    </row>
    <row r="824" spans="1:36" ht="15.75" customHeight="1" x14ac:dyDescent="0.25">
      <c r="A824" s="7">
        <v>43419.682993877315</v>
      </c>
      <c r="B824" s="6" t="s">
        <v>127</v>
      </c>
      <c r="C824" s="6" t="s">
        <v>287</v>
      </c>
      <c r="D824" s="6" t="s">
        <v>165</v>
      </c>
      <c r="E824" s="6" t="s">
        <v>81</v>
      </c>
      <c r="G824" s="6" t="s">
        <v>87</v>
      </c>
      <c r="J824" s="6" t="s">
        <v>106</v>
      </c>
      <c r="K824" s="6"/>
      <c r="N824" s="6" t="s">
        <v>93</v>
      </c>
      <c r="O824" s="6"/>
      <c r="P824" s="6" t="s">
        <v>168</v>
      </c>
      <c r="Q824" s="6"/>
      <c r="R824" s="47" t="s">
        <v>3942</v>
      </c>
      <c r="S824" s="14" t="s">
        <v>5382</v>
      </c>
      <c r="T824" s="14" t="s">
        <v>5383</v>
      </c>
      <c r="U824" s="14" t="s">
        <v>5384</v>
      </c>
      <c r="AA824" s="6"/>
      <c r="AB824" s="6" t="s">
        <v>101</v>
      </c>
      <c r="AC824" s="6"/>
      <c r="AD824" s="6" t="s">
        <v>109</v>
      </c>
      <c r="AE824" s="6"/>
      <c r="AF824" s="6" t="s">
        <v>75</v>
      </c>
      <c r="AG824" s="6"/>
      <c r="AH824" s="6" t="s">
        <v>76</v>
      </c>
      <c r="AI824" s="6"/>
      <c r="AJ824" s="6" t="s">
        <v>115</v>
      </c>
    </row>
    <row r="825" spans="1:36" ht="15.75" customHeight="1" x14ac:dyDescent="0.25">
      <c r="A825" s="7">
        <v>43419.68959091435</v>
      </c>
      <c r="B825" s="6" t="s">
        <v>26</v>
      </c>
      <c r="C825" s="6" t="s">
        <v>971</v>
      </c>
      <c r="D825" s="6" t="s">
        <v>165</v>
      </c>
      <c r="E825" s="6" t="s">
        <v>81</v>
      </c>
      <c r="G825" s="6" t="s">
        <v>87</v>
      </c>
      <c r="H825" s="6" t="s">
        <v>3047</v>
      </c>
      <c r="I825" s="6"/>
      <c r="J825" s="6" t="s">
        <v>106</v>
      </c>
      <c r="K825" s="6"/>
      <c r="L825" s="6" t="s">
        <v>2864</v>
      </c>
      <c r="M825" s="6"/>
      <c r="N825" s="6" t="s">
        <v>98</v>
      </c>
      <c r="O825" s="6"/>
      <c r="P825" s="6" t="s">
        <v>131</v>
      </c>
      <c r="Q825" s="6"/>
      <c r="R825" s="47" t="s">
        <v>2905</v>
      </c>
      <c r="S825" s="14" t="s">
        <v>5385</v>
      </c>
      <c r="T825" s="14" t="s">
        <v>4523</v>
      </c>
      <c r="U825" s="14" t="s">
        <v>4400</v>
      </c>
      <c r="V825" s="14" t="s">
        <v>5386</v>
      </c>
      <c r="AA825" s="6"/>
      <c r="AB825" s="6" t="s">
        <v>67</v>
      </c>
      <c r="AC825" s="6"/>
      <c r="AD825" s="6" t="s">
        <v>56</v>
      </c>
      <c r="AE825" s="6"/>
      <c r="AF825" s="6" t="s">
        <v>75</v>
      </c>
      <c r="AG825" s="6"/>
      <c r="AH825" s="6" t="s">
        <v>76</v>
      </c>
      <c r="AI825" s="6"/>
      <c r="AJ825" s="6" t="s">
        <v>410</v>
      </c>
    </row>
    <row r="826" spans="1:36" ht="15.75" customHeight="1" x14ac:dyDescent="0.25">
      <c r="A826" s="7">
        <v>43419.691997048612</v>
      </c>
      <c r="B826" s="6" t="s">
        <v>30</v>
      </c>
      <c r="C826" s="6" t="s">
        <v>116</v>
      </c>
      <c r="D826" s="6" t="s">
        <v>46</v>
      </c>
      <c r="E826" s="6" t="s">
        <v>81</v>
      </c>
      <c r="G826" s="6" t="s">
        <v>87</v>
      </c>
      <c r="H826" s="6" t="s">
        <v>3052</v>
      </c>
      <c r="I826" s="6"/>
      <c r="J826" s="6" t="s">
        <v>106</v>
      </c>
      <c r="K826" s="6"/>
      <c r="L826" s="6" t="s">
        <v>2295</v>
      </c>
      <c r="M826" s="6"/>
      <c r="N826" s="6" t="s">
        <v>121</v>
      </c>
      <c r="O826" s="6"/>
      <c r="P826" s="6" t="s">
        <v>131</v>
      </c>
      <c r="Q826" s="6"/>
      <c r="R826" s="47" t="s">
        <v>3054</v>
      </c>
      <c r="AA826" s="6"/>
      <c r="AB826" s="6" t="s">
        <v>55</v>
      </c>
      <c r="AC826" s="6"/>
      <c r="AD826" s="6" t="s">
        <v>56</v>
      </c>
      <c r="AE826" s="6"/>
      <c r="AF826" s="6" t="s">
        <v>161</v>
      </c>
      <c r="AG826" s="6"/>
      <c r="AH826" s="6" t="s">
        <v>58</v>
      </c>
      <c r="AI826" s="6"/>
      <c r="AJ826" s="11" t="s">
        <v>77</v>
      </c>
    </row>
    <row r="827" spans="1:36" ht="15.75" customHeight="1" x14ac:dyDescent="0.25">
      <c r="A827" s="7">
        <v>43419.69446186343</v>
      </c>
      <c r="B827" s="6" t="s">
        <v>103</v>
      </c>
      <c r="C827" s="6" t="s">
        <v>971</v>
      </c>
      <c r="D827" s="6" t="s">
        <v>46</v>
      </c>
      <c r="E827" s="6" t="s">
        <v>81</v>
      </c>
      <c r="G827" s="6" t="s">
        <v>87</v>
      </c>
      <c r="J827" s="6" t="s">
        <v>92</v>
      </c>
      <c r="K827" s="6"/>
      <c r="N827" s="6" t="s">
        <v>51</v>
      </c>
      <c r="O827" s="6"/>
      <c r="P827" s="6" t="s">
        <v>65</v>
      </c>
      <c r="Q827" s="6"/>
      <c r="AA827" s="6"/>
      <c r="AB827" s="6" t="s">
        <v>67</v>
      </c>
      <c r="AC827" s="6"/>
      <c r="AD827" s="6" t="s">
        <v>56</v>
      </c>
      <c r="AE827" s="6"/>
      <c r="AF827" s="6" t="s">
        <v>68</v>
      </c>
      <c r="AG827" s="6"/>
      <c r="AH827" s="6" t="s">
        <v>57</v>
      </c>
      <c r="AJ827" s="12" t="s">
        <v>57</v>
      </c>
    </row>
    <row r="828" spans="1:36" ht="15.75" customHeight="1" x14ac:dyDescent="0.25">
      <c r="A828" s="7">
        <v>43419.694725520836</v>
      </c>
      <c r="B828" s="6" t="s">
        <v>463</v>
      </c>
      <c r="C828" s="6" t="s">
        <v>696</v>
      </c>
      <c r="D828" s="6" t="s">
        <v>261</v>
      </c>
      <c r="E828" s="6" t="s">
        <v>81</v>
      </c>
      <c r="G828" s="6" t="s">
        <v>48</v>
      </c>
      <c r="J828" s="6" t="s">
        <v>158</v>
      </c>
      <c r="K828" s="6"/>
      <c r="P828" s="6" t="s">
        <v>52</v>
      </c>
      <c r="Q828" s="6"/>
      <c r="AA828" s="6"/>
      <c r="AC828" s="6"/>
      <c r="AD828" s="6" t="s">
        <v>56</v>
      </c>
      <c r="AE828" s="6"/>
      <c r="AF828" s="6" t="s">
        <v>75</v>
      </c>
      <c r="AG828" s="6"/>
      <c r="AH828" s="6" t="s">
        <v>76</v>
      </c>
      <c r="AJ828" s="12" t="s">
        <v>57</v>
      </c>
    </row>
    <row r="829" spans="1:36" ht="15.75" customHeight="1" x14ac:dyDescent="0.25">
      <c r="A829" s="7">
        <v>43419.70303853009</v>
      </c>
      <c r="B829" s="6" t="s">
        <v>30</v>
      </c>
      <c r="C829" s="6" t="s">
        <v>705</v>
      </c>
      <c r="D829" s="6" t="s">
        <v>510</v>
      </c>
      <c r="E829" s="6" t="s">
        <v>81</v>
      </c>
      <c r="G829" s="6" t="s">
        <v>87</v>
      </c>
      <c r="J829" s="6" t="s">
        <v>92</v>
      </c>
      <c r="K829" s="6"/>
      <c r="N829" s="6" t="s">
        <v>98</v>
      </c>
      <c r="O829" s="6"/>
      <c r="P829" s="6" t="s">
        <v>94</v>
      </c>
      <c r="Q829" s="6"/>
      <c r="AA829" s="6"/>
      <c r="AB829" s="6" t="s">
        <v>67</v>
      </c>
      <c r="AC829" s="6"/>
      <c r="AD829" s="6" t="s">
        <v>56</v>
      </c>
      <c r="AE829" s="6"/>
      <c r="AF829" s="6" t="s">
        <v>68</v>
      </c>
      <c r="AG829" s="6"/>
      <c r="AH829" s="6" t="s">
        <v>58</v>
      </c>
      <c r="AI829" s="6"/>
      <c r="AJ829" s="6" t="s">
        <v>321</v>
      </c>
    </row>
    <row r="830" spans="1:36" ht="15.75" customHeight="1" x14ac:dyDescent="0.25">
      <c r="A830" s="7">
        <v>43419.704562106483</v>
      </c>
      <c r="B830" s="6" t="s">
        <v>30</v>
      </c>
      <c r="C830" s="6" t="s">
        <v>195</v>
      </c>
      <c r="D830" s="6" t="s">
        <v>165</v>
      </c>
      <c r="E830" s="6" t="s">
        <v>81</v>
      </c>
      <c r="G830" s="6" t="s">
        <v>87</v>
      </c>
      <c r="H830" s="6" t="s">
        <v>3060</v>
      </c>
      <c r="I830" s="6"/>
      <c r="J830" s="6" t="s">
        <v>50</v>
      </c>
      <c r="K830" s="6"/>
      <c r="L830" s="6" t="s">
        <v>2865</v>
      </c>
      <c r="M830" s="6"/>
      <c r="N830" s="6" t="s">
        <v>212</v>
      </c>
      <c r="O830" s="6"/>
      <c r="P830" s="6" t="s">
        <v>131</v>
      </c>
      <c r="Q830" s="6"/>
      <c r="R830" s="47" t="s">
        <v>5387</v>
      </c>
      <c r="S830" s="14" t="s">
        <v>4407</v>
      </c>
      <c r="AA830" s="6"/>
      <c r="AB830" s="6" t="s">
        <v>101</v>
      </c>
      <c r="AC830" s="6"/>
      <c r="AD830" s="6" t="s">
        <v>56</v>
      </c>
      <c r="AE830" s="6"/>
      <c r="AF830" s="6" t="s">
        <v>68</v>
      </c>
      <c r="AG830" s="6"/>
      <c r="AH830" s="6" t="s">
        <v>76</v>
      </c>
      <c r="AI830" s="6"/>
      <c r="AJ830" s="6" t="s">
        <v>320</v>
      </c>
    </row>
    <row r="831" spans="1:36" ht="15.75" customHeight="1" x14ac:dyDescent="0.25">
      <c r="A831" s="7">
        <v>43419.705767002313</v>
      </c>
      <c r="B831" s="6" t="s">
        <v>543</v>
      </c>
      <c r="C831" s="6" t="s">
        <v>749</v>
      </c>
      <c r="D831" s="6" t="s">
        <v>261</v>
      </c>
      <c r="E831" s="6" t="s">
        <v>48</v>
      </c>
      <c r="F831" s="6" t="s">
        <v>3065</v>
      </c>
      <c r="G831" s="6" t="s">
        <v>48</v>
      </c>
      <c r="H831" s="6" t="s">
        <v>3066</v>
      </c>
      <c r="I831" s="6"/>
      <c r="J831" s="6" t="s">
        <v>106</v>
      </c>
      <c r="K831" s="6"/>
      <c r="L831" s="6" t="s">
        <v>2419</v>
      </c>
      <c r="M831" s="6"/>
      <c r="N831" s="6" t="s">
        <v>51</v>
      </c>
      <c r="O831" s="6"/>
      <c r="P831" s="6" t="s">
        <v>99</v>
      </c>
      <c r="Q831" s="6"/>
      <c r="R831" s="47" t="s">
        <v>149</v>
      </c>
      <c r="S831" s="14" t="s">
        <v>4494</v>
      </c>
      <c r="T831" s="14" t="s">
        <v>5388</v>
      </c>
      <c r="AA831" s="6"/>
      <c r="AB831" s="6" t="s">
        <v>55</v>
      </c>
      <c r="AC831" s="6"/>
      <c r="AD831" s="6" t="s">
        <v>56</v>
      </c>
      <c r="AE831" s="6"/>
      <c r="AF831" s="6" t="s">
        <v>75</v>
      </c>
      <c r="AG831" s="6"/>
      <c r="AH831" s="6" t="s">
        <v>58</v>
      </c>
      <c r="AI831" s="6"/>
      <c r="AJ831" s="6" t="s">
        <v>77</v>
      </c>
    </row>
    <row r="832" spans="1:36" ht="15.75" customHeight="1" x14ac:dyDescent="0.25">
      <c r="A832" s="7">
        <v>43419.714377152777</v>
      </c>
      <c r="B832" s="6" t="s">
        <v>30</v>
      </c>
      <c r="C832" s="6" t="s">
        <v>95</v>
      </c>
      <c r="D832" s="6" t="s">
        <v>46</v>
      </c>
      <c r="E832" s="6" t="s">
        <v>48</v>
      </c>
      <c r="F832" s="6" t="s">
        <v>3071</v>
      </c>
      <c r="G832" s="6" t="s">
        <v>48</v>
      </c>
      <c r="H832" s="6" t="s">
        <v>3072</v>
      </c>
      <c r="I832" s="6"/>
      <c r="J832" s="6" t="s">
        <v>92</v>
      </c>
      <c r="K832" s="6"/>
      <c r="L832" s="6" t="s">
        <v>2866</v>
      </c>
      <c r="M832" s="6"/>
      <c r="N832" s="6" t="s">
        <v>181</v>
      </c>
      <c r="O832" s="6"/>
      <c r="P832" s="6" t="s">
        <v>131</v>
      </c>
      <c r="Q832" s="6"/>
      <c r="R832" s="47" t="s">
        <v>3341</v>
      </c>
      <c r="S832" s="14" t="s">
        <v>4527</v>
      </c>
      <c r="T832" s="14" t="s">
        <v>4785</v>
      </c>
      <c r="U832" s="14" t="s">
        <v>5389</v>
      </c>
      <c r="V832" s="14" t="s">
        <v>5390</v>
      </c>
      <c r="AA832" s="6"/>
      <c r="AB832" s="6" t="s">
        <v>55</v>
      </c>
      <c r="AC832" s="6"/>
      <c r="AD832" s="6" t="s">
        <v>56</v>
      </c>
      <c r="AE832" s="6"/>
      <c r="AF832" s="6" t="s">
        <v>205</v>
      </c>
      <c r="AG832" s="6"/>
      <c r="AH832" s="6" t="s">
        <v>144</v>
      </c>
      <c r="AI832" s="6"/>
      <c r="AJ832" s="6" t="s">
        <v>77</v>
      </c>
    </row>
    <row r="833" spans="1:36" ht="15.75" customHeight="1" x14ac:dyDescent="0.25">
      <c r="A833" s="7">
        <v>43419.72220290509</v>
      </c>
      <c r="B833" s="6" t="s">
        <v>30</v>
      </c>
      <c r="C833" s="6" t="s">
        <v>95</v>
      </c>
      <c r="E833" s="6" t="s">
        <v>81</v>
      </c>
      <c r="G833" s="6" t="s">
        <v>87</v>
      </c>
      <c r="H833" s="6" t="s">
        <v>3077</v>
      </c>
      <c r="I833" s="6"/>
      <c r="J833" s="6" t="s">
        <v>92</v>
      </c>
      <c r="K833" s="6"/>
      <c r="L833" s="6" t="s">
        <v>2568</v>
      </c>
      <c r="M833" s="6"/>
      <c r="N833" s="6" t="s">
        <v>93</v>
      </c>
      <c r="O833" s="6"/>
      <c r="P833" s="6" t="s">
        <v>168</v>
      </c>
      <c r="Q833" s="6"/>
      <c r="R833" s="47" t="s">
        <v>5391</v>
      </c>
      <c r="S833" s="14" t="s">
        <v>5392</v>
      </c>
      <c r="T833" s="14" t="s">
        <v>5393</v>
      </c>
      <c r="U833" s="14" t="s">
        <v>5394</v>
      </c>
      <c r="V833" s="14" t="s">
        <v>5395</v>
      </c>
      <c r="AA833" s="6"/>
      <c r="AB833" s="6" t="s">
        <v>67</v>
      </c>
      <c r="AC833" s="6"/>
      <c r="AD833" s="6" t="s">
        <v>56</v>
      </c>
      <c r="AE833" s="6"/>
      <c r="AF833" s="6" t="s">
        <v>161</v>
      </c>
      <c r="AG833" s="6"/>
      <c r="AH833" s="6" t="s">
        <v>57</v>
      </c>
      <c r="AI833" s="6"/>
      <c r="AJ833" s="11" t="s">
        <v>174</v>
      </c>
    </row>
    <row r="834" spans="1:36" ht="15.75" customHeight="1" x14ac:dyDescent="0.25">
      <c r="A834" s="7">
        <v>43419.730781446764</v>
      </c>
      <c r="B834" s="6" t="s">
        <v>30</v>
      </c>
      <c r="C834" s="6" t="s">
        <v>776</v>
      </c>
      <c r="D834" s="6" t="s">
        <v>46</v>
      </c>
      <c r="E834" s="6" t="s">
        <v>48</v>
      </c>
      <c r="F834" s="6" t="s">
        <v>3082</v>
      </c>
      <c r="G834" s="6" t="s">
        <v>48</v>
      </c>
      <c r="H834" s="6" t="s">
        <v>3084</v>
      </c>
      <c r="I834" s="6"/>
      <c r="J834" s="6" t="s">
        <v>110</v>
      </c>
      <c r="K834" s="6"/>
      <c r="L834" s="6" t="s">
        <v>2245</v>
      </c>
      <c r="M834" s="6"/>
      <c r="N834" s="6" t="s">
        <v>212</v>
      </c>
      <c r="O834" s="6"/>
      <c r="P834" s="6" t="s">
        <v>52</v>
      </c>
      <c r="Q834" s="6"/>
      <c r="R834" s="47" t="s">
        <v>4143</v>
      </c>
      <c r="S834" s="14" t="s">
        <v>5396</v>
      </c>
      <c r="T834" s="14" t="s">
        <v>5397</v>
      </c>
      <c r="U834" s="14" t="s">
        <v>5398</v>
      </c>
      <c r="V834" s="14" t="s">
        <v>5399</v>
      </c>
      <c r="W834" s="14" t="s">
        <v>5400</v>
      </c>
      <c r="AA834" s="6"/>
      <c r="AB834" s="11" t="s">
        <v>203</v>
      </c>
      <c r="AC834" s="6"/>
      <c r="AD834" s="6" t="s">
        <v>56</v>
      </c>
      <c r="AE834" s="6"/>
      <c r="AF834" s="6" t="s">
        <v>68</v>
      </c>
      <c r="AG834" s="6"/>
      <c r="AH834" s="11" t="s">
        <v>126</v>
      </c>
      <c r="AI834" s="6"/>
      <c r="AJ834" s="6" t="s">
        <v>77</v>
      </c>
    </row>
    <row r="835" spans="1:36" ht="15.75" customHeight="1" x14ac:dyDescent="0.25">
      <c r="A835" s="7">
        <v>43419.736508715279</v>
      </c>
      <c r="B835" s="6" t="s">
        <v>770</v>
      </c>
      <c r="C835" s="6" t="s">
        <v>1044</v>
      </c>
      <c r="D835" s="6" t="s">
        <v>165</v>
      </c>
      <c r="E835" s="6" t="s">
        <v>81</v>
      </c>
      <c r="G835" s="6" t="s">
        <v>87</v>
      </c>
      <c r="J835" s="6" t="s">
        <v>110</v>
      </c>
      <c r="K835" s="6"/>
      <c r="L835" s="6" t="s">
        <v>2247</v>
      </c>
      <c r="M835" s="6"/>
      <c r="N835" s="6" t="s">
        <v>98</v>
      </c>
      <c r="O835" s="6"/>
      <c r="P835" s="6" t="s">
        <v>168</v>
      </c>
      <c r="Q835" s="6"/>
      <c r="R835" s="47" t="s">
        <v>5401</v>
      </c>
      <c r="S835" s="14" t="s">
        <v>4640</v>
      </c>
      <c r="T835" s="14" t="s">
        <v>4494</v>
      </c>
      <c r="U835" s="14" t="s">
        <v>4415</v>
      </c>
      <c r="V835" s="14" t="s">
        <v>5231</v>
      </c>
      <c r="W835" s="14" t="s">
        <v>5402</v>
      </c>
      <c r="AA835" s="6"/>
      <c r="AB835" s="6" t="s">
        <v>67</v>
      </c>
      <c r="AC835" s="6"/>
      <c r="AD835" s="6" t="s">
        <v>56</v>
      </c>
      <c r="AE835" s="6"/>
      <c r="AF835" s="6" t="s">
        <v>161</v>
      </c>
      <c r="AG835" s="6"/>
      <c r="AH835" s="6" t="s">
        <v>76</v>
      </c>
      <c r="AI835" s="6"/>
      <c r="AJ835" s="6" t="s">
        <v>115</v>
      </c>
    </row>
    <row r="836" spans="1:36" ht="15.75" customHeight="1" x14ac:dyDescent="0.25">
      <c r="A836" s="7">
        <v>43419.738813194446</v>
      </c>
      <c r="B836" s="6" t="s">
        <v>30</v>
      </c>
      <c r="C836" s="6" t="s">
        <v>95</v>
      </c>
      <c r="D836" s="6" t="s">
        <v>165</v>
      </c>
      <c r="E836" s="6" t="s">
        <v>48</v>
      </c>
      <c r="F836" s="6" t="s">
        <v>183</v>
      </c>
      <c r="G836" s="6" t="s">
        <v>48</v>
      </c>
      <c r="H836" s="6" t="s">
        <v>3091</v>
      </c>
      <c r="I836" s="6"/>
      <c r="J836" s="6" t="s">
        <v>73</v>
      </c>
      <c r="K836" s="6"/>
      <c r="L836" s="6" t="s">
        <v>2868</v>
      </c>
      <c r="M836" s="6"/>
      <c r="N836" s="6" t="s">
        <v>181</v>
      </c>
      <c r="O836" s="6"/>
      <c r="P836" s="6" t="s">
        <v>131</v>
      </c>
      <c r="Q836" s="6"/>
      <c r="R836" s="47" t="s">
        <v>5112</v>
      </c>
      <c r="S836" s="14" t="s">
        <v>5403</v>
      </c>
      <c r="AA836" s="6"/>
      <c r="AB836" s="6" t="s">
        <v>67</v>
      </c>
      <c r="AC836" s="6"/>
      <c r="AD836" s="6" t="s">
        <v>56</v>
      </c>
      <c r="AE836" s="6"/>
      <c r="AF836" s="6" t="s">
        <v>75</v>
      </c>
      <c r="AG836" s="6"/>
      <c r="AH836" s="6" t="s">
        <v>57</v>
      </c>
      <c r="AI836" s="6"/>
      <c r="AJ836" s="11" t="s">
        <v>174</v>
      </c>
    </row>
    <row r="837" spans="1:36" ht="15.75" customHeight="1" x14ac:dyDescent="0.25">
      <c r="A837" s="7">
        <v>43419.740867893517</v>
      </c>
      <c r="B837" s="6" t="s">
        <v>30</v>
      </c>
      <c r="C837" s="6" t="s">
        <v>79</v>
      </c>
      <c r="D837" s="6" t="s">
        <v>46</v>
      </c>
      <c r="E837" s="6" t="s">
        <v>48</v>
      </c>
      <c r="F837" s="6" t="s">
        <v>3095</v>
      </c>
      <c r="G837" s="6" t="s">
        <v>48</v>
      </c>
      <c r="J837" s="6" t="s">
        <v>73</v>
      </c>
      <c r="K837" s="6"/>
      <c r="L837" s="6" t="s">
        <v>2423</v>
      </c>
      <c r="M837" s="6"/>
      <c r="N837" s="6" t="s">
        <v>212</v>
      </c>
      <c r="O837" s="6"/>
      <c r="P837" s="6" t="s">
        <v>131</v>
      </c>
      <c r="Q837" s="6"/>
      <c r="AA837" s="6"/>
      <c r="AB837" s="6" t="s">
        <v>101</v>
      </c>
      <c r="AC837" s="6"/>
      <c r="AD837" s="6" t="s">
        <v>56</v>
      </c>
      <c r="AE837" s="6"/>
      <c r="AF837" s="6" t="s">
        <v>68</v>
      </c>
      <c r="AG837" s="6"/>
      <c r="AH837" s="6" t="s">
        <v>58</v>
      </c>
      <c r="AI837" s="6"/>
      <c r="AJ837" s="6" t="s">
        <v>77</v>
      </c>
    </row>
    <row r="838" spans="1:36" ht="15.75" customHeight="1" x14ac:dyDescent="0.25">
      <c r="A838" s="7">
        <v>43419.744271076386</v>
      </c>
      <c r="B838" s="6" t="s">
        <v>30</v>
      </c>
      <c r="C838" s="6" t="s">
        <v>95</v>
      </c>
      <c r="D838" s="6" t="s">
        <v>46</v>
      </c>
      <c r="E838" s="6" t="s">
        <v>81</v>
      </c>
      <c r="G838" s="6" t="s">
        <v>48</v>
      </c>
      <c r="J838" s="6" t="s">
        <v>110</v>
      </c>
      <c r="K838" s="6"/>
      <c r="L838" s="6" t="s">
        <v>2267</v>
      </c>
      <c r="M838" s="6"/>
      <c r="N838" s="6" t="s">
        <v>181</v>
      </c>
      <c r="O838" s="6"/>
      <c r="P838" s="6" t="s">
        <v>131</v>
      </c>
      <c r="Q838" s="6"/>
      <c r="AA838" s="6"/>
      <c r="AB838" s="6" t="s">
        <v>101</v>
      </c>
      <c r="AC838" s="6"/>
      <c r="AD838" s="6" t="s">
        <v>56</v>
      </c>
      <c r="AE838" s="6"/>
      <c r="AF838" s="6" t="s">
        <v>75</v>
      </c>
      <c r="AG838" s="6"/>
      <c r="AH838" s="6" t="s">
        <v>58</v>
      </c>
      <c r="AJ838" s="12" t="s">
        <v>57</v>
      </c>
    </row>
    <row r="839" spans="1:36" ht="15.75" customHeight="1" x14ac:dyDescent="0.25">
      <c r="A839" s="7">
        <v>43419.744331412032</v>
      </c>
      <c r="B839" s="6" t="s">
        <v>30</v>
      </c>
      <c r="C839" s="6" t="s">
        <v>95</v>
      </c>
      <c r="D839" s="6" t="s">
        <v>46</v>
      </c>
      <c r="E839" s="6" t="s">
        <v>81</v>
      </c>
      <c r="G839" s="6" t="s">
        <v>48</v>
      </c>
      <c r="J839" s="6" t="s">
        <v>110</v>
      </c>
      <c r="K839" s="6"/>
      <c r="L839" s="6" t="s">
        <v>2267</v>
      </c>
      <c r="M839" s="6"/>
      <c r="N839" s="6" t="s">
        <v>181</v>
      </c>
      <c r="O839" s="6"/>
      <c r="P839" s="6" t="s">
        <v>131</v>
      </c>
      <c r="Q839" s="6"/>
      <c r="AA839" s="6"/>
      <c r="AB839" s="6" t="s">
        <v>101</v>
      </c>
      <c r="AC839" s="6"/>
      <c r="AD839" s="6" t="s">
        <v>56</v>
      </c>
      <c r="AE839" s="6"/>
      <c r="AF839" s="6" t="s">
        <v>75</v>
      </c>
      <c r="AG839" s="6"/>
      <c r="AH839" s="6" t="s">
        <v>58</v>
      </c>
      <c r="AJ839" s="12" t="s">
        <v>57</v>
      </c>
    </row>
    <row r="840" spans="1:36" ht="15.75" customHeight="1" x14ac:dyDescent="0.25">
      <c r="A840" s="7">
        <v>43419.747243854166</v>
      </c>
      <c r="B840" s="6" t="s">
        <v>397</v>
      </c>
      <c r="C840" s="6" t="s">
        <v>1717</v>
      </c>
      <c r="D840" s="6" t="s">
        <v>307</v>
      </c>
      <c r="E840" s="6" t="s">
        <v>81</v>
      </c>
      <c r="G840" s="6" t="s">
        <v>87</v>
      </c>
      <c r="J840" s="6" t="s">
        <v>73</v>
      </c>
      <c r="K840" s="6"/>
      <c r="L840" s="6" t="s">
        <v>2869</v>
      </c>
      <c r="M840" s="6"/>
      <c r="N840" s="6" t="s">
        <v>121</v>
      </c>
      <c r="O840" s="6"/>
      <c r="P840" s="6" t="s">
        <v>94</v>
      </c>
      <c r="Q840" s="6"/>
      <c r="R840" s="47" t="s">
        <v>3101</v>
      </c>
      <c r="AA840" s="6"/>
      <c r="AB840" s="6" t="s">
        <v>101</v>
      </c>
      <c r="AC840" s="6"/>
      <c r="AD840" s="6" t="s">
        <v>57</v>
      </c>
      <c r="AE840" s="6"/>
      <c r="AF840" s="6" t="s">
        <v>57</v>
      </c>
      <c r="AG840" s="6"/>
      <c r="AH840" s="6" t="s">
        <v>76</v>
      </c>
      <c r="AI840" s="6"/>
      <c r="AJ840" s="6" t="s">
        <v>77</v>
      </c>
    </row>
    <row r="841" spans="1:36" ht="15.75" customHeight="1" x14ac:dyDescent="0.25">
      <c r="A841" s="7">
        <v>43419.74775141204</v>
      </c>
      <c r="B841" s="6" t="s">
        <v>127</v>
      </c>
      <c r="C841" s="6" t="s">
        <v>705</v>
      </c>
      <c r="D841" s="6" t="s">
        <v>133</v>
      </c>
      <c r="E841" s="6" t="s">
        <v>81</v>
      </c>
      <c r="G841" s="6" t="s">
        <v>87</v>
      </c>
      <c r="H841" s="6" t="s">
        <v>3103</v>
      </c>
      <c r="I841" s="6"/>
      <c r="J841" s="6" t="s">
        <v>92</v>
      </c>
      <c r="K841" s="6"/>
      <c r="L841" s="6" t="s">
        <v>2567</v>
      </c>
      <c r="M841" s="6"/>
      <c r="N841" s="6" t="s">
        <v>121</v>
      </c>
      <c r="O841" s="6"/>
      <c r="P841" s="6" t="s">
        <v>168</v>
      </c>
      <c r="Q841" s="6"/>
      <c r="R841" s="47" t="s">
        <v>5404</v>
      </c>
      <c r="S841" s="14" t="s">
        <v>5405</v>
      </c>
      <c r="T841" s="14" t="s">
        <v>5406</v>
      </c>
      <c r="U841" s="14" t="s">
        <v>5407</v>
      </c>
      <c r="AA841" s="6"/>
      <c r="AB841" s="6" t="s">
        <v>67</v>
      </c>
      <c r="AC841" s="6"/>
      <c r="AD841" s="6" t="s">
        <v>56</v>
      </c>
      <c r="AE841" s="6"/>
      <c r="AF841" s="6" t="s">
        <v>75</v>
      </c>
      <c r="AG841" s="6"/>
      <c r="AH841" s="6" t="s">
        <v>76</v>
      </c>
      <c r="AI841" s="6"/>
      <c r="AJ841" s="6" t="s">
        <v>359</v>
      </c>
    </row>
    <row r="842" spans="1:36" ht="15.75" customHeight="1" x14ac:dyDescent="0.25">
      <c r="A842" s="7">
        <v>43419.754258009256</v>
      </c>
      <c r="B842" s="6" t="s">
        <v>3107</v>
      </c>
      <c r="C842" s="6" t="s">
        <v>116</v>
      </c>
      <c r="D842" s="6" t="s">
        <v>91</v>
      </c>
      <c r="E842" s="6" t="s">
        <v>81</v>
      </c>
      <c r="G842" s="6" t="s">
        <v>87</v>
      </c>
      <c r="H842" s="6" t="s">
        <v>3108</v>
      </c>
      <c r="I842" s="6"/>
      <c r="J842" s="6" t="s">
        <v>89</v>
      </c>
      <c r="K842" s="6"/>
      <c r="L842" s="6" t="s">
        <v>2570</v>
      </c>
      <c r="M842" s="6"/>
      <c r="N842" s="6" t="s">
        <v>93</v>
      </c>
      <c r="O842" s="6"/>
      <c r="P842" s="6" t="s">
        <v>168</v>
      </c>
      <c r="Q842" s="6"/>
      <c r="R842" s="49" t="s">
        <v>3109</v>
      </c>
      <c r="AA842" s="6"/>
      <c r="AB842" s="6" t="s">
        <v>101</v>
      </c>
      <c r="AC842" s="6"/>
      <c r="AD842" s="6" t="s">
        <v>56</v>
      </c>
      <c r="AE842" s="6"/>
      <c r="AF842" s="6" t="s">
        <v>161</v>
      </c>
      <c r="AG842" s="6"/>
      <c r="AH842" s="6" t="s">
        <v>76</v>
      </c>
      <c r="AI842" s="6"/>
      <c r="AJ842" s="6" t="s">
        <v>233</v>
      </c>
    </row>
    <row r="843" spans="1:36" ht="15.75" customHeight="1" x14ac:dyDescent="0.25">
      <c r="A843" s="7">
        <v>43419.758937407409</v>
      </c>
      <c r="B843" s="6" t="s">
        <v>30</v>
      </c>
      <c r="C843" s="6" t="s">
        <v>45</v>
      </c>
      <c r="D843" s="6" t="s">
        <v>133</v>
      </c>
      <c r="E843" s="6" t="s">
        <v>81</v>
      </c>
      <c r="G843" s="6" t="s">
        <v>87</v>
      </c>
      <c r="H843" s="6" t="s">
        <v>1790</v>
      </c>
      <c r="I843" s="6"/>
      <c r="J843" s="6" t="s">
        <v>158</v>
      </c>
      <c r="K843" s="6"/>
      <c r="L843" s="6" t="s">
        <v>2266</v>
      </c>
      <c r="M843" s="6"/>
      <c r="N843" s="6" t="s">
        <v>121</v>
      </c>
      <c r="O843" s="6"/>
      <c r="P843" s="6" t="s">
        <v>168</v>
      </c>
      <c r="Q843" s="6"/>
      <c r="R843" s="47" t="s">
        <v>5408</v>
      </c>
      <c r="S843" s="14" t="s">
        <v>4393</v>
      </c>
      <c r="T843" s="14" t="s">
        <v>5409</v>
      </c>
      <c r="AA843" s="6"/>
      <c r="AB843" s="6" t="s">
        <v>101</v>
      </c>
      <c r="AC843" s="6"/>
      <c r="AD843" s="6" t="s">
        <v>56</v>
      </c>
      <c r="AE843" s="6"/>
      <c r="AF843" s="6" t="s">
        <v>161</v>
      </c>
      <c r="AG843" s="6"/>
      <c r="AH843" s="6" t="s">
        <v>76</v>
      </c>
      <c r="AI843" s="6"/>
      <c r="AJ843" s="6" t="s">
        <v>59</v>
      </c>
    </row>
    <row r="844" spans="1:36" ht="15.75" customHeight="1" x14ac:dyDescent="0.25">
      <c r="A844" s="7">
        <v>43419.76220449074</v>
      </c>
      <c r="B844" s="6" t="s">
        <v>30</v>
      </c>
      <c r="C844" s="6" t="s">
        <v>237</v>
      </c>
      <c r="D844" s="6" t="s">
        <v>46</v>
      </c>
      <c r="E844" s="6" t="s">
        <v>81</v>
      </c>
      <c r="G844" s="6" t="s">
        <v>87</v>
      </c>
      <c r="H844" s="6" t="s">
        <v>3121</v>
      </c>
      <c r="I844" s="6"/>
      <c r="J844" s="6" t="s">
        <v>64</v>
      </c>
      <c r="K844" s="6"/>
      <c r="L844" s="6" t="s">
        <v>2571</v>
      </c>
      <c r="M844" s="6"/>
      <c r="N844" s="6" t="s">
        <v>98</v>
      </c>
      <c r="O844" s="6"/>
      <c r="P844" s="6" t="s">
        <v>99</v>
      </c>
      <c r="Q844" s="6"/>
      <c r="R844" s="47" t="s">
        <v>2346</v>
      </c>
      <c r="S844" s="14" t="s">
        <v>4607</v>
      </c>
      <c r="T844" s="14" t="s">
        <v>4567</v>
      </c>
      <c r="U844" s="14" t="s">
        <v>5410</v>
      </c>
      <c r="AA844" s="6"/>
      <c r="AB844" s="6" t="s">
        <v>203</v>
      </c>
      <c r="AC844" s="6"/>
      <c r="AD844" s="6" t="s">
        <v>109</v>
      </c>
      <c r="AE844" s="6"/>
      <c r="AF844" s="6" t="s">
        <v>161</v>
      </c>
      <c r="AG844" s="6"/>
      <c r="AH844" s="6" t="s">
        <v>76</v>
      </c>
      <c r="AI844" s="6"/>
      <c r="AJ844" s="6" t="s">
        <v>77</v>
      </c>
    </row>
    <row r="845" spans="1:36" ht="15.75" customHeight="1" x14ac:dyDescent="0.25">
      <c r="A845" s="7">
        <v>43419.768410104167</v>
      </c>
      <c r="B845" s="6" t="s">
        <v>30</v>
      </c>
      <c r="C845" s="6" t="s">
        <v>128</v>
      </c>
      <c r="D845" s="6" t="s">
        <v>165</v>
      </c>
      <c r="E845" s="6" t="s">
        <v>81</v>
      </c>
      <c r="G845" s="6" t="s">
        <v>87</v>
      </c>
      <c r="H845" s="6" t="s">
        <v>3127</v>
      </c>
      <c r="I845" s="6"/>
      <c r="J845" s="6" t="s">
        <v>92</v>
      </c>
      <c r="K845" s="6"/>
      <c r="L845" s="6" t="s">
        <v>2870</v>
      </c>
      <c r="M845" s="6"/>
      <c r="N845" s="6" t="s">
        <v>112</v>
      </c>
      <c r="O845" s="6"/>
      <c r="P845" s="6" t="s">
        <v>94</v>
      </c>
      <c r="Q845" s="6"/>
      <c r="R845" s="47" t="s">
        <v>1767</v>
      </c>
      <c r="S845" s="14" t="s">
        <v>5411</v>
      </c>
      <c r="T845" s="14" t="s">
        <v>5412</v>
      </c>
      <c r="AA845" s="6"/>
      <c r="AB845" s="6" t="s">
        <v>101</v>
      </c>
      <c r="AC845" s="6"/>
      <c r="AD845" s="6" t="s">
        <v>56</v>
      </c>
      <c r="AE845" s="6"/>
      <c r="AF845" s="6" t="s">
        <v>75</v>
      </c>
      <c r="AG845" s="6"/>
      <c r="AH845" s="6" t="s">
        <v>76</v>
      </c>
      <c r="AI845" s="6"/>
      <c r="AJ845" s="6" t="s">
        <v>300</v>
      </c>
    </row>
    <row r="846" spans="1:36" ht="15.75" customHeight="1" x14ac:dyDescent="0.25">
      <c r="A846" s="7">
        <v>43419.770046504629</v>
      </c>
      <c r="B846" s="6" t="s">
        <v>127</v>
      </c>
      <c r="C846" s="6" t="s">
        <v>215</v>
      </c>
      <c r="D846" s="6" t="s">
        <v>163</v>
      </c>
      <c r="E846" s="6" t="s">
        <v>48</v>
      </c>
      <c r="F846" s="6" t="s">
        <v>3131</v>
      </c>
      <c r="G846" s="6" t="s">
        <v>48</v>
      </c>
      <c r="H846" s="6" t="s">
        <v>3132</v>
      </c>
      <c r="I846" s="6"/>
      <c r="J846" s="6" t="s">
        <v>89</v>
      </c>
      <c r="K846" s="6"/>
      <c r="L846" s="6" t="s">
        <v>2871</v>
      </c>
      <c r="M846" s="6"/>
      <c r="N846" s="6" t="s">
        <v>98</v>
      </c>
      <c r="O846" s="6"/>
      <c r="P846" s="6" t="s">
        <v>94</v>
      </c>
      <c r="Q846" s="6"/>
      <c r="R846" s="47" t="s">
        <v>1764</v>
      </c>
      <c r="S846" s="14" t="s">
        <v>5413</v>
      </c>
      <c r="T846" s="14" t="s">
        <v>5414</v>
      </c>
      <c r="U846" s="14" t="s">
        <v>5415</v>
      </c>
      <c r="AA846" s="6"/>
      <c r="AB846" s="6" t="s">
        <v>67</v>
      </c>
      <c r="AC846" s="6"/>
      <c r="AD846" s="6" t="s">
        <v>56</v>
      </c>
      <c r="AE846" s="6"/>
      <c r="AF846" s="6" t="s">
        <v>75</v>
      </c>
      <c r="AG846" s="6"/>
      <c r="AH846" s="6" t="s">
        <v>58</v>
      </c>
      <c r="AI846" s="6"/>
      <c r="AJ846" s="11" t="s">
        <v>59</v>
      </c>
    </row>
    <row r="847" spans="1:36" ht="15.75" customHeight="1" x14ac:dyDescent="0.25">
      <c r="A847" s="7">
        <v>43419.77172167824</v>
      </c>
      <c r="B847" s="6" t="s">
        <v>28</v>
      </c>
      <c r="C847" s="6" t="s">
        <v>128</v>
      </c>
      <c r="D847" s="6" t="s">
        <v>133</v>
      </c>
      <c r="E847" s="6" t="s">
        <v>48</v>
      </c>
      <c r="F847" s="6" t="s">
        <v>2589</v>
      </c>
      <c r="G847" s="6" t="s">
        <v>48</v>
      </c>
      <c r="J847" s="6" t="s">
        <v>110</v>
      </c>
      <c r="K847" s="6"/>
      <c r="N847" s="6" t="s">
        <v>181</v>
      </c>
      <c r="O847" s="6"/>
      <c r="P847" s="6" t="s">
        <v>94</v>
      </c>
      <c r="Q847" s="6"/>
      <c r="R847" s="47" t="s">
        <v>5416</v>
      </c>
      <c r="S847" s="14" t="s">
        <v>4412</v>
      </c>
      <c r="T847" s="14" t="s">
        <v>4457</v>
      </c>
      <c r="AA847" s="6"/>
      <c r="AB847" s="6" t="s">
        <v>67</v>
      </c>
      <c r="AC847" s="6"/>
      <c r="AD847" s="6" t="s">
        <v>56</v>
      </c>
      <c r="AE847" s="6"/>
      <c r="AF847" s="6" t="s">
        <v>75</v>
      </c>
      <c r="AG847" s="6"/>
      <c r="AH847" s="6" t="s">
        <v>58</v>
      </c>
      <c r="AI847" s="6"/>
      <c r="AJ847" s="11" t="s">
        <v>174</v>
      </c>
    </row>
    <row r="848" spans="1:36" ht="15.75" customHeight="1" x14ac:dyDescent="0.25">
      <c r="A848" s="7">
        <v>43419.775847303245</v>
      </c>
      <c r="B848" s="6" t="s">
        <v>127</v>
      </c>
      <c r="C848" s="6" t="s">
        <v>1945</v>
      </c>
      <c r="D848" s="6" t="s">
        <v>46</v>
      </c>
      <c r="E848" s="6" t="s">
        <v>81</v>
      </c>
      <c r="G848" s="6" t="s">
        <v>87</v>
      </c>
      <c r="H848" s="6" t="s">
        <v>86</v>
      </c>
      <c r="I848" s="6"/>
      <c r="J848" s="6" t="s">
        <v>184</v>
      </c>
      <c r="K848" s="6"/>
      <c r="L848" s="6" t="s">
        <v>2424</v>
      </c>
      <c r="M848" s="6"/>
      <c r="P848" s="6" t="s">
        <v>131</v>
      </c>
      <c r="Q848" s="6"/>
      <c r="AA848" s="6"/>
      <c r="AB848" s="6" t="s">
        <v>101</v>
      </c>
      <c r="AC848" s="6"/>
      <c r="AD848" s="6" t="s">
        <v>56</v>
      </c>
      <c r="AE848" s="6"/>
      <c r="AF848" s="6" t="s">
        <v>75</v>
      </c>
      <c r="AG848" s="6"/>
      <c r="AH848" s="6" t="s">
        <v>58</v>
      </c>
      <c r="AI848" s="6"/>
      <c r="AJ848" s="6" t="s">
        <v>59</v>
      </c>
    </row>
    <row r="849" spans="1:36" ht="15.75" customHeight="1" x14ac:dyDescent="0.25">
      <c r="A849" s="7">
        <v>43419.778321087964</v>
      </c>
      <c r="B849" s="6" t="s">
        <v>3135</v>
      </c>
      <c r="C849" s="6" t="s">
        <v>95</v>
      </c>
      <c r="D849" s="6" t="s">
        <v>165</v>
      </c>
      <c r="E849" s="6" t="s">
        <v>81</v>
      </c>
      <c r="G849" s="6" t="s">
        <v>87</v>
      </c>
      <c r="H849" s="6" t="s">
        <v>3136</v>
      </c>
      <c r="I849" s="6"/>
      <c r="J849" s="6" t="s">
        <v>92</v>
      </c>
      <c r="K849" s="6"/>
      <c r="L849" s="6" t="s">
        <v>2574</v>
      </c>
      <c r="M849" s="6"/>
      <c r="N849" s="6" t="s">
        <v>181</v>
      </c>
      <c r="O849" s="6"/>
      <c r="P849" s="6" t="s">
        <v>94</v>
      </c>
      <c r="Q849" s="6"/>
      <c r="R849" s="47" t="s">
        <v>2751</v>
      </c>
      <c r="S849" s="14" t="s">
        <v>4527</v>
      </c>
      <c r="T849" s="14" t="s">
        <v>5417</v>
      </c>
      <c r="AA849" s="6"/>
      <c r="AB849" s="6" t="s">
        <v>55</v>
      </c>
      <c r="AC849" s="6"/>
      <c r="AD849" s="6" t="s">
        <v>56</v>
      </c>
      <c r="AE849" s="6"/>
      <c r="AF849" s="6" t="s">
        <v>68</v>
      </c>
      <c r="AG849" s="6"/>
      <c r="AH849" s="11" t="s">
        <v>144</v>
      </c>
      <c r="AI849" s="6"/>
      <c r="AJ849" s="6" t="s">
        <v>244</v>
      </c>
    </row>
    <row r="850" spans="1:36" ht="15.75" customHeight="1" x14ac:dyDescent="0.25">
      <c r="A850" s="7">
        <v>43419.785122465277</v>
      </c>
      <c r="B850" s="6" t="s">
        <v>30</v>
      </c>
      <c r="C850" s="6" t="s">
        <v>79</v>
      </c>
      <c r="D850" s="6" t="s">
        <v>163</v>
      </c>
      <c r="E850" s="6" t="s">
        <v>48</v>
      </c>
      <c r="F850" s="6" t="s">
        <v>3138</v>
      </c>
      <c r="G850" s="6" t="s">
        <v>48</v>
      </c>
      <c r="H850" s="6" t="s">
        <v>3139</v>
      </c>
      <c r="I850" s="6"/>
      <c r="J850" s="6" t="s">
        <v>89</v>
      </c>
      <c r="K850" s="6"/>
      <c r="L850" s="6" t="s">
        <v>2268</v>
      </c>
      <c r="M850" s="6"/>
      <c r="N850" s="6" t="s">
        <v>98</v>
      </c>
      <c r="O850" s="6"/>
      <c r="P850" s="6" t="s">
        <v>94</v>
      </c>
      <c r="Q850" s="6"/>
      <c r="R850" s="47" t="s">
        <v>3140</v>
      </c>
      <c r="AA850" s="6"/>
      <c r="AB850" s="6" t="s">
        <v>67</v>
      </c>
      <c r="AC850" s="6"/>
      <c r="AD850" s="6" t="s">
        <v>56</v>
      </c>
      <c r="AE850" s="6"/>
      <c r="AF850" s="6" t="s">
        <v>75</v>
      </c>
      <c r="AG850" s="6"/>
      <c r="AH850" s="6" t="s">
        <v>76</v>
      </c>
      <c r="AI850" s="6"/>
      <c r="AJ850" s="6" t="s">
        <v>291</v>
      </c>
    </row>
    <row r="851" spans="1:36" ht="15.75" customHeight="1" x14ac:dyDescent="0.25">
      <c r="A851" s="7">
        <v>43419.789436030092</v>
      </c>
      <c r="B851" s="6" t="s">
        <v>60</v>
      </c>
      <c r="C851" s="6" t="s">
        <v>90</v>
      </c>
      <c r="D851" s="6" t="s">
        <v>46</v>
      </c>
      <c r="E851" s="6" t="s">
        <v>48</v>
      </c>
      <c r="F851" s="6" t="s">
        <v>3141</v>
      </c>
      <c r="G851" s="6" t="s">
        <v>48</v>
      </c>
      <c r="H851" s="6" t="s">
        <v>3142</v>
      </c>
      <c r="I851" s="6"/>
      <c r="J851" s="6" t="s">
        <v>50</v>
      </c>
      <c r="K851" s="6"/>
      <c r="L851" s="6" t="s">
        <v>2874</v>
      </c>
      <c r="M851" s="6"/>
      <c r="N851" s="6" t="s">
        <v>112</v>
      </c>
      <c r="O851" s="6"/>
      <c r="P851" s="6" t="s">
        <v>52</v>
      </c>
      <c r="Q851" s="6"/>
      <c r="R851" s="47" t="s">
        <v>3143</v>
      </c>
      <c r="AA851" s="6"/>
      <c r="AB851" s="6" t="s">
        <v>67</v>
      </c>
      <c r="AC851" s="6"/>
      <c r="AD851" s="6" t="s">
        <v>56</v>
      </c>
      <c r="AE851" s="6"/>
      <c r="AF851" s="6" t="s">
        <v>75</v>
      </c>
      <c r="AG851" s="6"/>
      <c r="AH851" s="6" t="s">
        <v>58</v>
      </c>
      <c r="AI851" s="6"/>
      <c r="AJ851" s="6" t="s">
        <v>115</v>
      </c>
    </row>
    <row r="852" spans="1:36" ht="15.75" customHeight="1" x14ac:dyDescent="0.25">
      <c r="A852" s="7">
        <v>43419.789909768515</v>
      </c>
      <c r="B852" s="6" t="s">
        <v>30</v>
      </c>
      <c r="C852" s="6" t="s">
        <v>128</v>
      </c>
      <c r="D852" s="6" t="s">
        <v>165</v>
      </c>
      <c r="E852" s="6" t="s">
        <v>81</v>
      </c>
      <c r="G852" s="6" t="s">
        <v>87</v>
      </c>
      <c r="H852" s="6" t="s">
        <v>86</v>
      </c>
      <c r="I852" s="6"/>
      <c r="J852" s="6" t="s">
        <v>50</v>
      </c>
      <c r="K852" s="6"/>
      <c r="L852" s="6" t="s">
        <v>2876</v>
      </c>
      <c r="M852" s="6"/>
      <c r="N852" s="6" t="s">
        <v>121</v>
      </c>
      <c r="O852" s="6"/>
      <c r="P852" s="6" t="s">
        <v>94</v>
      </c>
      <c r="Q852" s="6"/>
      <c r="R852" s="47" t="s">
        <v>192</v>
      </c>
      <c r="S852" s="14" t="s">
        <v>4826</v>
      </c>
      <c r="T852" s="14" t="s">
        <v>3994</v>
      </c>
      <c r="AA852" s="6"/>
      <c r="AB852" s="6" t="s">
        <v>101</v>
      </c>
      <c r="AC852" s="6"/>
      <c r="AD852" s="6" t="s">
        <v>56</v>
      </c>
      <c r="AE852" s="6"/>
      <c r="AF852" s="6" t="s">
        <v>161</v>
      </c>
      <c r="AG852" s="6"/>
      <c r="AH852" s="11" t="s">
        <v>76</v>
      </c>
      <c r="AI852" s="6"/>
      <c r="AJ852" s="11" t="s">
        <v>77</v>
      </c>
    </row>
    <row r="853" spans="1:36" ht="15.75" customHeight="1" x14ac:dyDescent="0.25">
      <c r="A853" s="7">
        <v>43419.792076157406</v>
      </c>
      <c r="B853" s="6" t="s">
        <v>30</v>
      </c>
      <c r="C853" s="6" t="s">
        <v>90</v>
      </c>
      <c r="E853" s="6" t="s">
        <v>81</v>
      </c>
      <c r="G853" s="6" t="s">
        <v>87</v>
      </c>
      <c r="J853" s="6" t="s">
        <v>92</v>
      </c>
      <c r="K853" s="6"/>
      <c r="L853" s="6" t="s">
        <v>2877</v>
      </c>
      <c r="M853" s="6"/>
      <c r="N853" s="6" t="s">
        <v>181</v>
      </c>
      <c r="O853" s="6"/>
      <c r="P853" s="6" t="s">
        <v>94</v>
      </c>
      <c r="Q853" s="6"/>
      <c r="R853" s="47" t="s">
        <v>2905</v>
      </c>
      <c r="AA853" s="6"/>
      <c r="AB853" s="6" t="s">
        <v>101</v>
      </c>
      <c r="AC853" s="6"/>
      <c r="AD853" s="6" t="s">
        <v>56</v>
      </c>
      <c r="AE853" s="6"/>
      <c r="AF853" s="6" t="s">
        <v>75</v>
      </c>
      <c r="AG853" s="6"/>
      <c r="AH853" s="6" t="s">
        <v>76</v>
      </c>
      <c r="AI853" s="6"/>
      <c r="AJ853" s="6" t="s">
        <v>340</v>
      </c>
    </row>
    <row r="854" spans="1:36" ht="15.75" customHeight="1" x14ac:dyDescent="0.25">
      <c r="A854" s="7">
        <v>43419.794211747685</v>
      </c>
      <c r="B854" s="6" t="s">
        <v>30</v>
      </c>
      <c r="C854" s="6" t="s">
        <v>215</v>
      </c>
      <c r="D854" s="6" t="s">
        <v>247</v>
      </c>
      <c r="E854" s="6" t="s">
        <v>81</v>
      </c>
      <c r="G854" s="6" t="s">
        <v>87</v>
      </c>
      <c r="J854" s="6" t="s">
        <v>92</v>
      </c>
      <c r="K854" s="6"/>
      <c r="L854" s="6" t="s">
        <v>2878</v>
      </c>
      <c r="M854" s="6"/>
      <c r="N854" s="6" t="s">
        <v>121</v>
      </c>
      <c r="O854" s="6"/>
      <c r="P854" s="6" t="s">
        <v>131</v>
      </c>
      <c r="Q854" s="6"/>
      <c r="R854" s="47" t="s">
        <v>3345</v>
      </c>
      <c r="S854" s="14" t="s">
        <v>5418</v>
      </c>
      <c r="AA854" s="6"/>
      <c r="AB854" s="6" t="s">
        <v>101</v>
      </c>
      <c r="AC854" s="6"/>
      <c r="AD854" s="6" t="s">
        <v>56</v>
      </c>
      <c r="AE854" s="6"/>
      <c r="AF854" s="6" t="s">
        <v>68</v>
      </c>
      <c r="AG854" s="6"/>
      <c r="AH854" s="6" t="s">
        <v>58</v>
      </c>
      <c r="AI854" s="6"/>
      <c r="AJ854" s="11" t="s">
        <v>77</v>
      </c>
    </row>
    <row r="855" spans="1:36" ht="15.75" customHeight="1" x14ac:dyDescent="0.25">
      <c r="A855" s="7">
        <v>43419.801024664353</v>
      </c>
      <c r="B855" s="6" t="s">
        <v>634</v>
      </c>
      <c r="C855" s="6" t="s">
        <v>3146</v>
      </c>
      <c r="D855" s="6" t="s">
        <v>138</v>
      </c>
      <c r="E855" s="6" t="s">
        <v>81</v>
      </c>
      <c r="G855" s="6" t="s">
        <v>87</v>
      </c>
      <c r="J855" s="6" t="s">
        <v>110</v>
      </c>
      <c r="K855" s="6"/>
      <c r="N855" s="6" t="s">
        <v>121</v>
      </c>
      <c r="O855" s="6"/>
      <c r="P855" s="6" t="s">
        <v>94</v>
      </c>
      <c r="Q855" s="6"/>
      <c r="AA855" s="6"/>
      <c r="AB855" s="6" t="s">
        <v>67</v>
      </c>
      <c r="AC855" s="6"/>
      <c r="AD855" s="6" t="s">
        <v>109</v>
      </c>
      <c r="AE855" s="6"/>
      <c r="AF855" s="6" t="s">
        <v>161</v>
      </c>
      <c r="AG855" s="6"/>
      <c r="AH855" s="6" t="s">
        <v>76</v>
      </c>
      <c r="AJ855" s="12" t="s">
        <v>57</v>
      </c>
    </row>
    <row r="856" spans="1:36" ht="15.75" customHeight="1" x14ac:dyDescent="0.25">
      <c r="A856" s="7">
        <v>43419.812712210653</v>
      </c>
      <c r="B856" s="6" t="s">
        <v>103</v>
      </c>
      <c r="C856" s="6" t="s">
        <v>709</v>
      </c>
      <c r="D856" s="6" t="s">
        <v>46</v>
      </c>
      <c r="E856" s="6" t="s">
        <v>48</v>
      </c>
      <c r="F856" s="6" t="s">
        <v>3147</v>
      </c>
      <c r="G856" s="6" t="s">
        <v>48</v>
      </c>
      <c r="H856" s="6" t="s">
        <v>3148</v>
      </c>
      <c r="I856" s="6"/>
      <c r="J856" s="6" t="s">
        <v>64</v>
      </c>
      <c r="K856" s="6"/>
      <c r="L856" s="6" t="s">
        <v>2577</v>
      </c>
      <c r="M856" s="6"/>
      <c r="N856" s="6" t="s">
        <v>51</v>
      </c>
      <c r="O856" s="6"/>
      <c r="P856" s="6" t="s">
        <v>65</v>
      </c>
      <c r="Q856" s="6"/>
      <c r="R856" s="47" t="s">
        <v>3270</v>
      </c>
      <c r="S856" s="14" t="s">
        <v>4527</v>
      </c>
      <c r="AA856" s="6"/>
      <c r="AB856" s="6" t="s">
        <v>67</v>
      </c>
      <c r="AC856" s="6"/>
      <c r="AD856" s="6" t="s">
        <v>56</v>
      </c>
      <c r="AE856" s="6"/>
      <c r="AF856" s="6" t="s">
        <v>75</v>
      </c>
      <c r="AG856" s="6"/>
      <c r="AH856" s="6" t="s">
        <v>58</v>
      </c>
      <c r="AI856" s="6"/>
      <c r="AJ856" s="6" t="s">
        <v>350</v>
      </c>
    </row>
    <row r="857" spans="1:36" ht="15.75" customHeight="1" x14ac:dyDescent="0.25">
      <c r="A857" s="7">
        <v>43419.824321585649</v>
      </c>
      <c r="B857" s="6" t="s">
        <v>60</v>
      </c>
      <c r="C857" s="6" t="s">
        <v>215</v>
      </c>
      <c r="D857" s="6" t="s">
        <v>261</v>
      </c>
      <c r="E857" s="6" t="s">
        <v>81</v>
      </c>
      <c r="G857" s="6" t="s">
        <v>48</v>
      </c>
      <c r="H857" s="6" t="s">
        <v>3150</v>
      </c>
      <c r="I857" s="6"/>
      <c r="J857" s="6" t="s">
        <v>92</v>
      </c>
      <c r="K857" s="6"/>
      <c r="L857" s="6" t="s">
        <v>2879</v>
      </c>
      <c r="M857" s="6"/>
      <c r="N857" s="6" t="s">
        <v>98</v>
      </c>
      <c r="O857" s="6"/>
      <c r="P857" s="6" t="s">
        <v>131</v>
      </c>
      <c r="Q857" s="6"/>
      <c r="R857" s="47" t="s">
        <v>5419</v>
      </c>
      <c r="S857" s="14" t="s">
        <v>5420</v>
      </c>
      <c r="T857" s="14" t="s">
        <v>4632</v>
      </c>
      <c r="U857" s="14" t="s">
        <v>5421</v>
      </c>
      <c r="AA857" s="6"/>
      <c r="AB857" s="6" t="s">
        <v>67</v>
      </c>
      <c r="AC857" s="6"/>
      <c r="AD857" s="6" t="s">
        <v>56</v>
      </c>
      <c r="AE857" s="6"/>
      <c r="AF857" s="6" t="s">
        <v>68</v>
      </c>
      <c r="AG857" s="6"/>
      <c r="AH857" s="6" t="s">
        <v>58</v>
      </c>
      <c r="AI857" s="6"/>
      <c r="AJ857" s="11" t="s">
        <v>174</v>
      </c>
    </row>
    <row r="858" spans="1:36" ht="15.75" customHeight="1" x14ac:dyDescent="0.25">
      <c r="A858" s="7">
        <v>43419.826164895829</v>
      </c>
      <c r="B858" s="6" t="s">
        <v>397</v>
      </c>
      <c r="C858" s="6" t="s">
        <v>434</v>
      </c>
      <c r="D858" s="6" t="s">
        <v>163</v>
      </c>
      <c r="E858" s="6" t="s">
        <v>81</v>
      </c>
      <c r="G858" s="6" t="s">
        <v>87</v>
      </c>
      <c r="J858" s="6" t="s">
        <v>92</v>
      </c>
      <c r="K858" s="6"/>
      <c r="L858" s="6" t="s">
        <v>2578</v>
      </c>
      <c r="M858" s="6"/>
      <c r="N858" s="6" t="s">
        <v>93</v>
      </c>
      <c r="O858" s="6"/>
      <c r="P858" s="6" t="s">
        <v>94</v>
      </c>
      <c r="Q858" s="6"/>
      <c r="R858" s="47" t="s">
        <v>149</v>
      </c>
      <c r="S858" s="14" t="s">
        <v>4510</v>
      </c>
      <c r="T858" s="14" t="s">
        <v>5422</v>
      </c>
      <c r="AA858" s="6"/>
      <c r="AB858" s="6" t="s">
        <v>67</v>
      </c>
      <c r="AC858" s="6"/>
      <c r="AD858" s="6" t="s">
        <v>56</v>
      </c>
      <c r="AE858" s="6"/>
      <c r="AF858" s="6" t="s">
        <v>75</v>
      </c>
      <c r="AG858" s="6"/>
      <c r="AH858" s="6" t="s">
        <v>76</v>
      </c>
      <c r="AI858" s="6"/>
      <c r="AJ858" s="11" t="s">
        <v>77</v>
      </c>
    </row>
    <row r="859" spans="1:36" ht="15.75" customHeight="1" x14ac:dyDescent="0.25">
      <c r="A859" s="7">
        <v>43419.829908750005</v>
      </c>
      <c r="B859" s="6" t="s">
        <v>3153</v>
      </c>
      <c r="C859" s="6" t="s">
        <v>287</v>
      </c>
      <c r="D859" s="6" t="s">
        <v>163</v>
      </c>
      <c r="E859" s="6" t="s">
        <v>48</v>
      </c>
      <c r="F859" s="6" t="s">
        <v>3154</v>
      </c>
      <c r="G859" s="6" t="s">
        <v>48</v>
      </c>
      <c r="H859" s="6" t="s">
        <v>3155</v>
      </c>
      <c r="I859" s="6"/>
      <c r="J859" s="6" t="s">
        <v>73</v>
      </c>
      <c r="K859" s="6"/>
      <c r="L859" s="6" t="s">
        <v>2427</v>
      </c>
      <c r="M859" s="6"/>
      <c r="N859" s="6" t="s">
        <v>112</v>
      </c>
      <c r="O859" s="6"/>
      <c r="P859" s="6" t="s">
        <v>99</v>
      </c>
      <c r="Q859" s="6"/>
      <c r="R859" s="47" t="s">
        <v>3372</v>
      </c>
      <c r="S859" s="14" t="s">
        <v>4753</v>
      </c>
      <c r="AA859" s="6"/>
      <c r="AB859" s="6" t="s">
        <v>101</v>
      </c>
      <c r="AC859" s="6"/>
      <c r="AD859" s="6" t="s">
        <v>56</v>
      </c>
      <c r="AE859" s="6"/>
      <c r="AF859" s="6" t="s">
        <v>68</v>
      </c>
      <c r="AG859" s="6"/>
      <c r="AH859" s="6" t="s">
        <v>58</v>
      </c>
      <c r="AI859" s="6"/>
      <c r="AJ859" s="6" t="s">
        <v>244</v>
      </c>
    </row>
    <row r="860" spans="1:36" ht="15.75" customHeight="1" x14ac:dyDescent="0.25">
      <c r="A860" s="7">
        <v>43419.837909953705</v>
      </c>
      <c r="B860" s="6" t="s">
        <v>833</v>
      </c>
      <c r="C860" s="6" t="s">
        <v>705</v>
      </c>
      <c r="D860" s="6" t="s">
        <v>165</v>
      </c>
      <c r="E860" s="6" t="s">
        <v>48</v>
      </c>
      <c r="F860" s="6" t="s">
        <v>3157</v>
      </c>
      <c r="G860" s="6" t="s">
        <v>48</v>
      </c>
      <c r="J860" s="6" t="s">
        <v>158</v>
      </c>
      <c r="K860" s="6"/>
      <c r="L860" s="6" t="s">
        <v>2880</v>
      </c>
      <c r="M860" s="6"/>
      <c r="N860" s="6" t="s">
        <v>98</v>
      </c>
      <c r="O860" s="6"/>
      <c r="P860" s="6" t="s">
        <v>131</v>
      </c>
      <c r="Q860" s="6"/>
      <c r="AA860" s="6"/>
      <c r="AB860" s="6" t="s">
        <v>67</v>
      </c>
      <c r="AC860" s="6"/>
      <c r="AD860" s="6" t="s">
        <v>56</v>
      </c>
      <c r="AE860" s="6"/>
      <c r="AF860" s="6" t="s">
        <v>68</v>
      </c>
      <c r="AG860" s="6"/>
      <c r="AH860" s="6" t="s">
        <v>58</v>
      </c>
      <c r="AI860" s="6"/>
      <c r="AJ860" s="11" t="s">
        <v>77</v>
      </c>
    </row>
    <row r="861" spans="1:36" ht="15.75" customHeight="1" x14ac:dyDescent="0.25">
      <c r="A861" s="7">
        <v>43419.840662256946</v>
      </c>
      <c r="B861" s="6" t="s">
        <v>30</v>
      </c>
      <c r="C861" s="6" t="s">
        <v>45</v>
      </c>
      <c r="D861" s="6" t="s">
        <v>46</v>
      </c>
      <c r="E861" s="6" t="s">
        <v>81</v>
      </c>
      <c r="G861" s="6" t="s">
        <v>87</v>
      </c>
      <c r="J861" s="6" t="s">
        <v>92</v>
      </c>
      <c r="K861" s="6"/>
      <c r="N861" s="6" t="s">
        <v>121</v>
      </c>
      <c r="O861" s="6"/>
      <c r="P861" s="6" t="s">
        <v>168</v>
      </c>
      <c r="Q861" s="6"/>
      <c r="AA861" s="6"/>
      <c r="AB861" s="6" t="s">
        <v>67</v>
      </c>
      <c r="AC861" s="6"/>
      <c r="AD861" s="6" t="s">
        <v>56</v>
      </c>
      <c r="AE861" s="6"/>
      <c r="AF861" s="6" t="s">
        <v>68</v>
      </c>
      <c r="AG861" s="6"/>
      <c r="AH861" s="6" t="s">
        <v>58</v>
      </c>
      <c r="AJ861" s="12" t="s">
        <v>57</v>
      </c>
    </row>
    <row r="862" spans="1:36" ht="15.75" customHeight="1" x14ac:dyDescent="0.25">
      <c r="A862" s="7">
        <v>43419.841332476848</v>
      </c>
      <c r="B862" s="6" t="s">
        <v>634</v>
      </c>
      <c r="C862" s="6" t="s">
        <v>79</v>
      </c>
      <c r="D862" s="6" t="s">
        <v>165</v>
      </c>
      <c r="E862" s="6" t="s">
        <v>81</v>
      </c>
      <c r="G862" s="6" t="s">
        <v>87</v>
      </c>
      <c r="J862" s="6" t="s">
        <v>64</v>
      </c>
      <c r="K862" s="6"/>
      <c r="N862" s="6" t="s">
        <v>93</v>
      </c>
      <c r="O862" s="6"/>
      <c r="P862" s="6" t="s">
        <v>94</v>
      </c>
      <c r="Q862" s="6"/>
      <c r="R862" s="47" t="s">
        <v>3158</v>
      </c>
      <c r="AA862" s="6"/>
      <c r="AB862" s="6" t="s">
        <v>67</v>
      </c>
      <c r="AC862" s="6"/>
      <c r="AD862" s="6" t="s">
        <v>56</v>
      </c>
      <c r="AE862" s="6"/>
      <c r="AF862" s="6" t="s">
        <v>75</v>
      </c>
      <c r="AG862" s="6"/>
      <c r="AH862" s="6" t="s">
        <v>58</v>
      </c>
      <c r="AI862" s="6"/>
      <c r="AJ862" s="6" t="s">
        <v>137</v>
      </c>
    </row>
    <row r="863" spans="1:36" ht="15.75" customHeight="1" x14ac:dyDescent="0.25">
      <c r="A863" s="7">
        <v>43419.841405717598</v>
      </c>
      <c r="B863" s="6" t="s">
        <v>30</v>
      </c>
      <c r="C863" s="6" t="s">
        <v>287</v>
      </c>
      <c r="D863" s="6" t="s">
        <v>163</v>
      </c>
      <c r="E863" s="6" t="s">
        <v>48</v>
      </c>
      <c r="F863" s="6" t="s">
        <v>3159</v>
      </c>
      <c r="G863" s="6" t="s">
        <v>48</v>
      </c>
      <c r="J863" s="6" t="s">
        <v>106</v>
      </c>
      <c r="K863" s="6"/>
      <c r="L863" s="6" t="s">
        <v>2429</v>
      </c>
      <c r="M863" s="6"/>
      <c r="N863" s="6" t="s">
        <v>51</v>
      </c>
      <c r="O863" s="6"/>
      <c r="P863" s="6" t="s">
        <v>52</v>
      </c>
      <c r="Q863" s="6"/>
      <c r="R863" s="47" t="s">
        <v>3160</v>
      </c>
      <c r="AA863" s="6"/>
      <c r="AB863" s="6" t="s">
        <v>67</v>
      </c>
      <c r="AC863" s="6"/>
      <c r="AD863" s="6" t="s">
        <v>56</v>
      </c>
      <c r="AE863" s="6"/>
      <c r="AF863" s="6" t="s">
        <v>68</v>
      </c>
      <c r="AG863" s="6"/>
      <c r="AH863" s="6" t="s">
        <v>58</v>
      </c>
      <c r="AI863" s="6"/>
      <c r="AJ863" s="6" t="s">
        <v>132</v>
      </c>
    </row>
    <row r="864" spans="1:36" ht="15.75" customHeight="1" x14ac:dyDescent="0.25">
      <c r="A864" s="7">
        <v>43419.843420810183</v>
      </c>
      <c r="B864" s="6" t="s">
        <v>60</v>
      </c>
      <c r="C864" s="6" t="s">
        <v>287</v>
      </c>
      <c r="D864" s="6" t="s">
        <v>307</v>
      </c>
      <c r="E864" s="6" t="s">
        <v>81</v>
      </c>
      <c r="G864" s="6" t="s">
        <v>87</v>
      </c>
      <c r="H864" s="6" t="s">
        <v>3161</v>
      </c>
      <c r="I864" s="6"/>
      <c r="J864" s="6" t="s">
        <v>110</v>
      </c>
      <c r="K864" s="6"/>
      <c r="L864" s="6" t="s">
        <v>2881</v>
      </c>
      <c r="M864" s="6"/>
      <c r="N864" s="6" t="s">
        <v>98</v>
      </c>
      <c r="O864" s="6"/>
      <c r="P864" s="6" t="s">
        <v>131</v>
      </c>
      <c r="Q864" s="6"/>
      <c r="R864" s="47" t="s">
        <v>5423</v>
      </c>
      <c r="S864" s="14" t="s">
        <v>4438</v>
      </c>
      <c r="T864" s="14" t="s">
        <v>5424</v>
      </c>
      <c r="U864" s="14" t="s">
        <v>5425</v>
      </c>
      <c r="V864" s="14" t="s">
        <v>5426</v>
      </c>
      <c r="W864" s="14" t="s">
        <v>5427</v>
      </c>
      <c r="AA864" s="6"/>
      <c r="AB864" s="6" t="s">
        <v>67</v>
      </c>
      <c r="AC864" s="6"/>
      <c r="AD864" s="6" t="s">
        <v>109</v>
      </c>
      <c r="AE864" s="6"/>
      <c r="AF864" s="6" t="s">
        <v>161</v>
      </c>
      <c r="AG864" s="6"/>
      <c r="AH864" s="6" t="s">
        <v>76</v>
      </c>
      <c r="AI864" s="6"/>
      <c r="AJ864" s="6" t="s">
        <v>77</v>
      </c>
    </row>
    <row r="865" spans="1:36" ht="15.75" customHeight="1" x14ac:dyDescent="0.25">
      <c r="A865" s="7">
        <v>43419.844071932872</v>
      </c>
      <c r="B865" s="6" t="s">
        <v>30</v>
      </c>
      <c r="C865" s="6" t="s">
        <v>95</v>
      </c>
      <c r="D865" s="6" t="s">
        <v>133</v>
      </c>
      <c r="E865" s="6" t="s">
        <v>81</v>
      </c>
      <c r="G865" s="6" t="s">
        <v>87</v>
      </c>
      <c r="H865" s="6" t="s">
        <v>3163</v>
      </c>
      <c r="I865" s="6"/>
      <c r="J865" s="6" t="s">
        <v>89</v>
      </c>
      <c r="K865" s="6"/>
      <c r="L865" s="6" t="s">
        <v>2580</v>
      </c>
      <c r="M865" s="6"/>
      <c r="N865" s="6" t="s">
        <v>93</v>
      </c>
      <c r="O865" s="6"/>
      <c r="P865" s="6" t="s">
        <v>94</v>
      </c>
      <c r="Q865" s="6"/>
      <c r="R865" s="47" t="s">
        <v>192</v>
      </c>
      <c r="S865" s="14" t="s">
        <v>4407</v>
      </c>
      <c r="T865" s="14" t="s">
        <v>4902</v>
      </c>
      <c r="U865" s="14" t="s">
        <v>5428</v>
      </c>
      <c r="V865" s="14" t="s">
        <v>4640</v>
      </c>
      <c r="AA865" s="6"/>
      <c r="AB865" s="6" t="s">
        <v>101</v>
      </c>
      <c r="AC865" s="6"/>
      <c r="AD865" s="6" t="s">
        <v>56</v>
      </c>
      <c r="AE865" s="6"/>
      <c r="AF865" s="6" t="s">
        <v>75</v>
      </c>
      <c r="AG865" s="6"/>
      <c r="AH865" s="6" t="s">
        <v>58</v>
      </c>
      <c r="AI865" s="6"/>
      <c r="AJ865" s="6" t="s">
        <v>77</v>
      </c>
    </row>
    <row r="866" spans="1:36" ht="15.75" customHeight="1" x14ac:dyDescent="0.25">
      <c r="A866" s="7">
        <v>43419.846275219912</v>
      </c>
      <c r="B866" s="6" t="s">
        <v>60</v>
      </c>
      <c r="C866" s="6" t="s">
        <v>116</v>
      </c>
      <c r="D866" s="6" t="s">
        <v>133</v>
      </c>
      <c r="E866" s="6" t="s">
        <v>81</v>
      </c>
      <c r="G866" s="6" t="s">
        <v>87</v>
      </c>
      <c r="J866" s="6" t="s">
        <v>92</v>
      </c>
      <c r="K866" s="6"/>
      <c r="N866" s="6" t="s">
        <v>121</v>
      </c>
      <c r="O866" s="6"/>
      <c r="P866" s="6" t="s">
        <v>94</v>
      </c>
      <c r="Q866" s="6"/>
      <c r="AA866" s="6"/>
      <c r="AB866" s="6" t="s">
        <v>101</v>
      </c>
      <c r="AC866" s="6"/>
      <c r="AD866" s="6" t="s">
        <v>56</v>
      </c>
      <c r="AE866" s="6"/>
      <c r="AF866" s="6" t="s">
        <v>205</v>
      </c>
      <c r="AG866" s="6"/>
      <c r="AH866" s="6" t="s">
        <v>58</v>
      </c>
      <c r="AJ866" s="12" t="s">
        <v>57</v>
      </c>
    </row>
    <row r="867" spans="1:36" ht="15.75" customHeight="1" x14ac:dyDescent="0.25">
      <c r="A867" s="7">
        <v>43419.853005266203</v>
      </c>
      <c r="B867" s="6" t="s">
        <v>30</v>
      </c>
      <c r="C867" s="6" t="s">
        <v>90</v>
      </c>
      <c r="D867" s="6" t="s">
        <v>165</v>
      </c>
      <c r="E867" s="6" t="s">
        <v>81</v>
      </c>
      <c r="G867" s="6" t="s">
        <v>48</v>
      </c>
      <c r="H867" s="6" t="s">
        <v>3165</v>
      </c>
      <c r="I867" s="6"/>
      <c r="J867" s="6" t="s">
        <v>110</v>
      </c>
      <c r="K867" s="6"/>
      <c r="L867" s="6" t="s">
        <v>2883</v>
      </c>
      <c r="M867" s="6"/>
      <c r="N867" s="6" t="s">
        <v>51</v>
      </c>
      <c r="O867" s="6"/>
      <c r="P867" s="6" t="s">
        <v>131</v>
      </c>
      <c r="Q867" s="6"/>
      <c r="R867" s="47" t="s">
        <v>3166</v>
      </c>
      <c r="AA867" s="6"/>
      <c r="AB867" s="6" t="s">
        <v>203</v>
      </c>
      <c r="AC867" s="6"/>
      <c r="AD867" s="6" t="s">
        <v>56</v>
      </c>
      <c r="AE867" s="6"/>
      <c r="AF867" s="6" t="s">
        <v>75</v>
      </c>
      <c r="AG867" s="6"/>
      <c r="AH867" s="6" t="s">
        <v>76</v>
      </c>
      <c r="AI867" s="6"/>
      <c r="AJ867" s="6" t="s">
        <v>132</v>
      </c>
    </row>
    <row r="868" spans="1:36" ht="15.75" customHeight="1" x14ac:dyDescent="0.25">
      <c r="A868" s="7">
        <v>43419.857900486109</v>
      </c>
      <c r="B868" s="6" t="s">
        <v>60</v>
      </c>
      <c r="C868" s="6" t="s">
        <v>287</v>
      </c>
      <c r="D868" s="6" t="s">
        <v>133</v>
      </c>
      <c r="E868" s="6" t="s">
        <v>48</v>
      </c>
      <c r="F868" s="6" t="s">
        <v>3167</v>
      </c>
      <c r="G868" s="6" t="s">
        <v>48</v>
      </c>
      <c r="H868" s="6" t="s">
        <v>3168</v>
      </c>
      <c r="I868" s="6"/>
      <c r="J868" s="6" t="s">
        <v>89</v>
      </c>
      <c r="K868" s="6"/>
      <c r="L868" s="6" t="s">
        <v>2885</v>
      </c>
      <c r="M868" s="6"/>
      <c r="N868" s="6" t="s">
        <v>98</v>
      </c>
      <c r="O868" s="6"/>
      <c r="P868" s="6" t="s">
        <v>94</v>
      </c>
      <c r="Q868" s="6"/>
      <c r="R868" s="47" t="s">
        <v>3169</v>
      </c>
      <c r="AA868" s="6"/>
      <c r="AB868" s="6" t="s">
        <v>101</v>
      </c>
      <c r="AC868" s="6"/>
      <c r="AD868" s="6" t="s">
        <v>56</v>
      </c>
      <c r="AE868" s="6"/>
      <c r="AF868" s="6" t="s">
        <v>68</v>
      </c>
      <c r="AG868" s="6"/>
      <c r="AH868" s="6" t="s">
        <v>58</v>
      </c>
      <c r="AI868" s="6"/>
      <c r="AJ868" s="11" t="s">
        <v>115</v>
      </c>
    </row>
    <row r="869" spans="1:36" ht="15.75" customHeight="1" x14ac:dyDescent="0.25">
      <c r="A869" s="7">
        <v>43419.863389247686</v>
      </c>
      <c r="B869" s="6" t="s">
        <v>3170</v>
      </c>
      <c r="C869" s="6" t="s">
        <v>215</v>
      </c>
      <c r="D869" s="6" t="s">
        <v>133</v>
      </c>
      <c r="E869" s="6" t="s">
        <v>81</v>
      </c>
      <c r="G869" s="6" t="s">
        <v>87</v>
      </c>
      <c r="H869" s="6" t="s">
        <v>3171</v>
      </c>
      <c r="I869" s="6"/>
      <c r="J869" s="6" t="s">
        <v>106</v>
      </c>
      <c r="K869" s="6"/>
      <c r="L869" s="6" t="s">
        <v>2581</v>
      </c>
      <c r="M869" s="6"/>
      <c r="N869" s="6" t="s">
        <v>98</v>
      </c>
      <c r="O869" s="6"/>
      <c r="P869" s="6" t="s">
        <v>94</v>
      </c>
      <c r="Q869" s="6"/>
      <c r="R869" s="47" t="s">
        <v>5429</v>
      </c>
      <c r="S869" s="14" t="s">
        <v>5430</v>
      </c>
      <c r="T869" s="14" t="s">
        <v>5431</v>
      </c>
      <c r="U869" s="14" t="s">
        <v>5432</v>
      </c>
      <c r="V869" s="14" t="s">
        <v>5433</v>
      </c>
      <c r="W869" s="14" t="s">
        <v>5434</v>
      </c>
      <c r="AA869" s="6"/>
      <c r="AB869" s="6" t="s">
        <v>101</v>
      </c>
      <c r="AC869" s="6"/>
      <c r="AD869" s="6" t="s">
        <v>56</v>
      </c>
      <c r="AE869" s="6"/>
      <c r="AF869" s="6" t="s">
        <v>68</v>
      </c>
      <c r="AG869" s="6"/>
      <c r="AH869" s="6" t="s">
        <v>58</v>
      </c>
      <c r="AI869" s="6"/>
      <c r="AJ869" s="6" t="s">
        <v>162</v>
      </c>
    </row>
    <row r="870" spans="1:36" ht="15.75" customHeight="1" x14ac:dyDescent="0.25">
      <c r="A870" s="7">
        <v>43419.864878136577</v>
      </c>
      <c r="B870" s="6" t="s">
        <v>30</v>
      </c>
      <c r="C870" s="6" t="s">
        <v>128</v>
      </c>
      <c r="D870" s="6" t="s">
        <v>190</v>
      </c>
      <c r="E870" s="6" t="s">
        <v>81</v>
      </c>
      <c r="G870" s="6" t="s">
        <v>87</v>
      </c>
      <c r="J870" s="6" t="s">
        <v>73</v>
      </c>
      <c r="K870" s="6"/>
      <c r="N870" s="6" t="s">
        <v>98</v>
      </c>
      <c r="O870" s="6"/>
      <c r="P870" s="6" t="s">
        <v>131</v>
      </c>
      <c r="Q870" s="6"/>
      <c r="R870" s="47" t="s">
        <v>5435</v>
      </c>
      <c r="S870" s="14" t="s">
        <v>4929</v>
      </c>
      <c r="AA870" s="6"/>
      <c r="AB870" s="6" t="s">
        <v>101</v>
      </c>
      <c r="AC870" s="6"/>
      <c r="AD870" s="6" t="s">
        <v>109</v>
      </c>
      <c r="AE870" s="6"/>
      <c r="AF870" s="6" t="s">
        <v>75</v>
      </c>
      <c r="AG870" s="6"/>
      <c r="AH870" s="6" t="s">
        <v>76</v>
      </c>
      <c r="AI870" s="6"/>
      <c r="AJ870" s="6" t="s">
        <v>162</v>
      </c>
    </row>
    <row r="871" spans="1:36" ht="15.75" customHeight="1" x14ac:dyDescent="0.25">
      <c r="A871" s="7">
        <v>43419.868103657413</v>
      </c>
      <c r="B871" s="6" t="s">
        <v>127</v>
      </c>
      <c r="C871" s="6" t="s">
        <v>79</v>
      </c>
      <c r="D871" s="6" t="s">
        <v>163</v>
      </c>
      <c r="E871" s="6" t="s">
        <v>48</v>
      </c>
      <c r="F871" s="6" t="s">
        <v>3174</v>
      </c>
      <c r="G871" s="6" t="s">
        <v>48</v>
      </c>
      <c r="H871" s="6" t="s">
        <v>2173</v>
      </c>
      <c r="I871" s="6"/>
      <c r="J871" s="6" t="s">
        <v>106</v>
      </c>
      <c r="K871" s="6"/>
      <c r="L871" s="6" t="s">
        <v>2430</v>
      </c>
      <c r="M871" s="6"/>
      <c r="N871" s="6" t="s">
        <v>98</v>
      </c>
      <c r="O871" s="6"/>
      <c r="P871" s="6" t="s">
        <v>131</v>
      </c>
      <c r="Q871" s="6"/>
      <c r="AA871" s="6"/>
      <c r="AB871" s="6" t="s">
        <v>67</v>
      </c>
      <c r="AC871" s="6"/>
      <c r="AD871" s="6" t="s">
        <v>56</v>
      </c>
      <c r="AE871" s="6"/>
      <c r="AF871" s="6" t="s">
        <v>75</v>
      </c>
      <c r="AG871" s="6"/>
      <c r="AH871" s="6" t="s">
        <v>57</v>
      </c>
      <c r="AI871" s="6"/>
      <c r="AJ871" s="11" t="s">
        <v>174</v>
      </c>
    </row>
    <row r="872" spans="1:36" ht="15.75" customHeight="1" x14ac:dyDescent="0.25">
      <c r="A872" s="7">
        <v>43419.868732800925</v>
      </c>
      <c r="B872" s="6" t="s">
        <v>3175</v>
      </c>
      <c r="C872" s="6" t="s">
        <v>829</v>
      </c>
      <c r="D872" s="6" t="s">
        <v>165</v>
      </c>
      <c r="E872" s="6" t="s">
        <v>48</v>
      </c>
      <c r="F872" s="6" t="s">
        <v>3176</v>
      </c>
      <c r="G872" s="6" t="s">
        <v>81</v>
      </c>
      <c r="H872" s="6" t="s">
        <v>3177</v>
      </c>
      <c r="I872" s="6"/>
      <c r="L872" s="6" t="s">
        <v>2582</v>
      </c>
      <c r="M872" s="6"/>
      <c r="N872" s="6" t="s">
        <v>212</v>
      </c>
      <c r="O872" s="6"/>
      <c r="P872" s="6" t="s">
        <v>131</v>
      </c>
      <c r="Q872" s="6"/>
      <c r="R872" s="47" t="s">
        <v>5436</v>
      </c>
      <c r="S872" s="14" t="s">
        <v>4647</v>
      </c>
      <c r="T872" s="14" t="s">
        <v>4790</v>
      </c>
      <c r="U872" s="14" t="s">
        <v>4930</v>
      </c>
      <c r="V872" s="14" t="s">
        <v>5224</v>
      </c>
      <c r="W872" s="14" t="s">
        <v>5437</v>
      </c>
      <c r="AA872" s="6"/>
      <c r="AB872" s="6" t="s">
        <v>101</v>
      </c>
      <c r="AC872" s="6"/>
      <c r="AD872" s="6" t="s">
        <v>56</v>
      </c>
      <c r="AE872" s="6"/>
      <c r="AF872" s="6" t="s">
        <v>75</v>
      </c>
      <c r="AG872" s="6"/>
      <c r="AH872" s="6" t="s">
        <v>58</v>
      </c>
      <c r="AI872" s="6"/>
      <c r="AJ872" s="11" t="s">
        <v>77</v>
      </c>
    </row>
    <row r="873" spans="1:36" ht="15.75" customHeight="1" x14ac:dyDescent="0.25">
      <c r="A873" s="7">
        <v>43419.883743032406</v>
      </c>
      <c r="B873" s="6" t="s">
        <v>60</v>
      </c>
      <c r="C873" s="6" t="s">
        <v>749</v>
      </c>
      <c r="E873" s="6" t="s">
        <v>48</v>
      </c>
      <c r="F873" s="6" t="s">
        <v>3179</v>
      </c>
      <c r="G873" s="6" t="s">
        <v>48</v>
      </c>
      <c r="H873" s="6" t="s">
        <v>3180</v>
      </c>
      <c r="I873" s="6"/>
      <c r="J873" s="6" t="s">
        <v>110</v>
      </c>
      <c r="K873" s="6"/>
      <c r="L873" s="6" t="s">
        <v>2886</v>
      </c>
      <c r="M873" s="6"/>
      <c r="N873" s="6" t="s">
        <v>51</v>
      </c>
      <c r="O873" s="6"/>
      <c r="P873" s="6" t="s">
        <v>99</v>
      </c>
      <c r="Q873" s="6"/>
      <c r="R873" s="47" t="s">
        <v>224</v>
      </c>
      <c r="S873" s="14" t="s">
        <v>5438</v>
      </c>
      <c r="T873" s="14" t="s">
        <v>5439</v>
      </c>
      <c r="U873" s="14" t="s">
        <v>5440</v>
      </c>
      <c r="V873" s="14" t="s">
        <v>5441</v>
      </c>
      <c r="AA873" s="6"/>
      <c r="AB873" s="6" t="s">
        <v>67</v>
      </c>
      <c r="AC873" s="6"/>
      <c r="AD873" s="6" t="s">
        <v>56</v>
      </c>
      <c r="AE873" s="6"/>
      <c r="AF873" s="6" t="s">
        <v>68</v>
      </c>
      <c r="AG873" s="6"/>
      <c r="AH873" s="6" t="s">
        <v>58</v>
      </c>
      <c r="AI873" s="6"/>
      <c r="AJ873" s="6" t="s">
        <v>132</v>
      </c>
    </row>
    <row r="874" spans="1:36" ht="15.75" customHeight="1" x14ac:dyDescent="0.25">
      <c r="A874" s="7">
        <v>43419.885282476855</v>
      </c>
      <c r="B874" s="6" t="s">
        <v>30</v>
      </c>
      <c r="C874" s="6" t="s">
        <v>756</v>
      </c>
      <c r="D874" s="6" t="s">
        <v>307</v>
      </c>
      <c r="E874" s="6" t="s">
        <v>48</v>
      </c>
      <c r="F874" s="6" t="s">
        <v>3182</v>
      </c>
      <c r="G874" s="6" t="s">
        <v>48</v>
      </c>
      <c r="H874" s="6" t="s">
        <v>3183</v>
      </c>
      <c r="I874" s="6"/>
      <c r="J874" s="6" t="s">
        <v>89</v>
      </c>
      <c r="K874" s="6"/>
      <c r="L874" s="6" t="s">
        <v>2888</v>
      </c>
      <c r="M874" s="6"/>
      <c r="N874" s="6" t="s">
        <v>98</v>
      </c>
      <c r="O874" s="6"/>
      <c r="P874" s="6" t="s">
        <v>131</v>
      </c>
      <c r="Q874" s="6"/>
      <c r="R874" s="47" t="s">
        <v>3184</v>
      </c>
      <c r="AA874" s="6"/>
      <c r="AB874" s="6" t="s">
        <v>101</v>
      </c>
      <c r="AC874" s="6"/>
      <c r="AD874" s="6" t="s">
        <v>56</v>
      </c>
      <c r="AE874" s="6"/>
      <c r="AF874" s="6" t="s">
        <v>68</v>
      </c>
      <c r="AG874" s="6"/>
      <c r="AH874" s="6" t="s">
        <v>58</v>
      </c>
      <c r="AI874" s="6"/>
      <c r="AJ874" s="6" t="s">
        <v>132</v>
      </c>
    </row>
    <row r="875" spans="1:36" ht="15.75" customHeight="1" x14ac:dyDescent="0.25">
      <c r="A875" s="7">
        <v>43419.887873553242</v>
      </c>
      <c r="B875" s="6" t="s">
        <v>60</v>
      </c>
      <c r="C875" s="6" t="s">
        <v>128</v>
      </c>
      <c r="D875" s="6" t="s">
        <v>133</v>
      </c>
      <c r="E875" s="6" t="s">
        <v>81</v>
      </c>
      <c r="G875" s="6" t="s">
        <v>87</v>
      </c>
      <c r="H875" s="6" t="s">
        <v>3186</v>
      </c>
      <c r="I875" s="6"/>
      <c r="J875" s="6" t="s">
        <v>89</v>
      </c>
      <c r="K875" s="6"/>
      <c r="L875" s="6" t="s">
        <v>2272</v>
      </c>
      <c r="M875" s="6"/>
      <c r="N875" s="6" t="s">
        <v>98</v>
      </c>
      <c r="O875" s="6"/>
      <c r="AA875" s="6"/>
      <c r="AB875" s="6" t="s">
        <v>67</v>
      </c>
      <c r="AC875" s="6"/>
      <c r="AD875" s="6" t="s">
        <v>56</v>
      </c>
      <c r="AE875" s="6"/>
      <c r="AF875" s="6" t="s">
        <v>161</v>
      </c>
      <c r="AG875" s="6"/>
      <c r="AH875" s="6" t="s">
        <v>76</v>
      </c>
      <c r="AI875" s="6"/>
      <c r="AJ875" s="11" t="s">
        <v>255</v>
      </c>
    </row>
    <row r="876" spans="1:36" ht="15.75" customHeight="1" x14ac:dyDescent="0.25">
      <c r="A876" s="7">
        <v>43419.889428750001</v>
      </c>
      <c r="B876" s="6" t="s">
        <v>294</v>
      </c>
      <c r="C876" s="6" t="s">
        <v>1661</v>
      </c>
      <c r="D876" s="6" t="s">
        <v>165</v>
      </c>
      <c r="E876" s="6" t="s">
        <v>81</v>
      </c>
      <c r="G876" s="6" t="s">
        <v>87</v>
      </c>
      <c r="H876" s="6" t="s">
        <v>3187</v>
      </c>
      <c r="I876" s="6"/>
      <c r="J876" s="6" t="s">
        <v>92</v>
      </c>
      <c r="K876" s="6"/>
      <c r="L876" s="6" t="s">
        <v>2889</v>
      </c>
      <c r="M876" s="6"/>
      <c r="N876" s="6" t="s">
        <v>98</v>
      </c>
      <c r="O876" s="6"/>
      <c r="P876" s="6" t="s">
        <v>131</v>
      </c>
      <c r="Q876" s="6"/>
      <c r="R876" s="47" t="s">
        <v>2905</v>
      </c>
      <c r="AA876" s="6"/>
      <c r="AB876" s="6" t="s">
        <v>67</v>
      </c>
      <c r="AC876" s="6"/>
      <c r="AD876" s="6" t="s">
        <v>56</v>
      </c>
      <c r="AE876" s="6"/>
      <c r="AF876" s="6" t="s">
        <v>75</v>
      </c>
      <c r="AG876" s="6"/>
      <c r="AH876" s="6" t="s">
        <v>58</v>
      </c>
      <c r="AI876" s="6"/>
      <c r="AJ876" s="6" t="s">
        <v>333</v>
      </c>
    </row>
    <row r="877" spans="1:36" ht="15.75" customHeight="1" x14ac:dyDescent="0.25">
      <c r="A877" s="7">
        <v>43419.890549374999</v>
      </c>
      <c r="B877" s="6" t="s">
        <v>127</v>
      </c>
      <c r="C877" s="6" t="s">
        <v>378</v>
      </c>
      <c r="D877" s="6" t="s">
        <v>138</v>
      </c>
      <c r="E877" s="6" t="s">
        <v>48</v>
      </c>
      <c r="F877" s="6" t="s">
        <v>3188</v>
      </c>
      <c r="G877" s="6" t="s">
        <v>48</v>
      </c>
      <c r="H877" s="6" t="s">
        <v>3189</v>
      </c>
      <c r="I877" s="6"/>
      <c r="J877" s="6" t="s">
        <v>110</v>
      </c>
      <c r="K877" s="6"/>
      <c r="L877" s="6" t="s">
        <v>2434</v>
      </c>
      <c r="M877" s="6"/>
      <c r="N877" s="6" t="s">
        <v>98</v>
      </c>
      <c r="O877" s="6"/>
      <c r="P877" s="6" t="s">
        <v>131</v>
      </c>
      <c r="Q877" s="6"/>
      <c r="R877" s="47" t="s">
        <v>5442</v>
      </c>
      <c r="S877" s="14" t="s">
        <v>5353</v>
      </c>
      <c r="T877" s="14" t="s">
        <v>4525</v>
      </c>
      <c r="AA877" s="6"/>
      <c r="AB877" s="6" t="s">
        <v>55</v>
      </c>
      <c r="AC877" s="6"/>
      <c r="AD877" s="6" t="s">
        <v>109</v>
      </c>
      <c r="AE877" s="6"/>
      <c r="AF877" s="6" t="s">
        <v>75</v>
      </c>
      <c r="AG877" s="6"/>
      <c r="AH877" s="6" t="s">
        <v>58</v>
      </c>
      <c r="AI877" s="6"/>
      <c r="AJ877" s="11" t="s">
        <v>77</v>
      </c>
    </row>
    <row r="878" spans="1:36" ht="15.75" customHeight="1" x14ac:dyDescent="0.25">
      <c r="A878" s="7">
        <v>43419.892462569449</v>
      </c>
      <c r="B878" s="6" t="s">
        <v>30</v>
      </c>
      <c r="C878" s="6" t="s">
        <v>2288</v>
      </c>
      <c r="D878" s="6" t="s">
        <v>91</v>
      </c>
      <c r="E878" s="6" t="s">
        <v>81</v>
      </c>
      <c r="G878" s="6" t="s">
        <v>87</v>
      </c>
      <c r="H878" s="6" t="s">
        <v>3191</v>
      </c>
      <c r="I878" s="6"/>
      <c r="J878" s="6" t="s">
        <v>158</v>
      </c>
      <c r="K878" s="6"/>
      <c r="L878" s="6" t="s">
        <v>2890</v>
      </c>
      <c r="M878" s="6"/>
      <c r="N878" s="6" t="s">
        <v>51</v>
      </c>
      <c r="O878" s="6"/>
      <c r="P878" s="6" t="s">
        <v>99</v>
      </c>
      <c r="Q878" s="6"/>
      <c r="R878" s="47" t="s">
        <v>3243</v>
      </c>
      <c r="S878" s="14" t="s">
        <v>5443</v>
      </c>
      <c r="AA878" s="6"/>
      <c r="AB878" s="6" t="s">
        <v>101</v>
      </c>
      <c r="AC878" s="6"/>
      <c r="AD878" s="6" t="s">
        <v>56</v>
      </c>
      <c r="AE878" s="6"/>
      <c r="AF878" s="6" t="s">
        <v>75</v>
      </c>
      <c r="AG878" s="6"/>
      <c r="AH878" s="6" t="s">
        <v>76</v>
      </c>
      <c r="AI878" s="6"/>
      <c r="AJ878" s="6" t="s">
        <v>295</v>
      </c>
    </row>
    <row r="879" spans="1:36" ht="15.75" customHeight="1" x14ac:dyDescent="0.25">
      <c r="A879" s="7">
        <v>43419.894852314814</v>
      </c>
      <c r="B879" s="6" t="s">
        <v>30</v>
      </c>
      <c r="C879" s="6" t="s">
        <v>341</v>
      </c>
      <c r="D879" s="6" t="s">
        <v>46</v>
      </c>
      <c r="E879" s="6" t="s">
        <v>48</v>
      </c>
      <c r="F879" s="6" t="s">
        <v>3193</v>
      </c>
      <c r="G879" s="6" t="s">
        <v>48</v>
      </c>
      <c r="J879" s="6" t="s">
        <v>92</v>
      </c>
      <c r="K879" s="6"/>
      <c r="L879" s="6" t="s">
        <v>2297</v>
      </c>
      <c r="M879" s="6"/>
      <c r="N879" s="6" t="s">
        <v>181</v>
      </c>
      <c r="O879" s="6"/>
      <c r="P879" s="6" t="s">
        <v>99</v>
      </c>
      <c r="Q879" s="6"/>
      <c r="R879" s="47" t="s">
        <v>4522</v>
      </c>
      <c r="S879" s="14" t="s">
        <v>4665</v>
      </c>
      <c r="T879" s="14" t="s">
        <v>5444</v>
      </c>
      <c r="AA879" s="6"/>
      <c r="AB879" s="6" t="s">
        <v>101</v>
      </c>
      <c r="AC879" s="6"/>
      <c r="AD879" s="6" t="s">
        <v>56</v>
      </c>
      <c r="AE879" s="6"/>
      <c r="AF879" s="6" t="s">
        <v>205</v>
      </c>
      <c r="AG879" s="6"/>
      <c r="AH879" s="6" t="s">
        <v>58</v>
      </c>
      <c r="AI879" s="6"/>
      <c r="AJ879" s="6" t="s">
        <v>59</v>
      </c>
    </row>
    <row r="880" spans="1:36" ht="15.75" customHeight="1" x14ac:dyDescent="0.25">
      <c r="A880" s="7">
        <v>43419.898740324075</v>
      </c>
      <c r="B880" s="6" t="s">
        <v>60</v>
      </c>
      <c r="C880" s="6" t="s">
        <v>2116</v>
      </c>
      <c r="D880" s="6" t="s">
        <v>261</v>
      </c>
      <c r="E880" s="6" t="s">
        <v>81</v>
      </c>
      <c r="G880" s="6" t="s">
        <v>87</v>
      </c>
      <c r="J880" s="6" t="s">
        <v>110</v>
      </c>
      <c r="K880" s="6"/>
      <c r="N880" s="6" t="s">
        <v>112</v>
      </c>
      <c r="O880" s="6"/>
      <c r="P880" s="6" t="s">
        <v>52</v>
      </c>
      <c r="Q880" s="6"/>
      <c r="AA880" s="6"/>
      <c r="AB880" s="6" t="s">
        <v>67</v>
      </c>
      <c r="AC880" s="6"/>
      <c r="AD880" s="6" t="s">
        <v>56</v>
      </c>
      <c r="AE880" s="6"/>
      <c r="AF880" s="6" t="s">
        <v>161</v>
      </c>
      <c r="AG880" s="6"/>
      <c r="AH880" s="6" t="s">
        <v>76</v>
      </c>
      <c r="AJ880" s="12" t="s">
        <v>57</v>
      </c>
    </row>
    <row r="881" spans="1:36" ht="15.75" customHeight="1" x14ac:dyDescent="0.25">
      <c r="A881" s="7">
        <v>43419.904254606481</v>
      </c>
      <c r="B881" s="6" t="s">
        <v>60</v>
      </c>
      <c r="C881" s="6" t="s">
        <v>477</v>
      </c>
      <c r="D881" s="6" t="s">
        <v>46</v>
      </c>
      <c r="E881" s="6" t="s">
        <v>81</v>
      </c>
      <c r="G881" s="6" t="s">
        <v>87</v>
      </c>
      <c r="H881" s="6" t="s">
        <v>3195</v>
      </c>
      <c r="I881" s="6"/>
      <c r="J881" s="6" t="s">
        <v>184</v>
      </c>
      <c r="K881" s="6"/>
      <c r="L881" s="6" t="s">
        <v>2435</v>
      </c>
      <c r="M881" s="6"/>
      <c r="N881" s="6" t="s">
        <v>93</v>
      </c>
      <c r="O881" s="6"/>
      <c r="P881" s="6" t="s">
        <v>94</v>
      </c>
      <c r="Q881" s="6"/>
      <c r="R881" s="47" t="s">
        <v>192</v>
      </c>
      <c r="S881" s="14" t="s">
        <v>5445</v>
      </c>
      <c r="T881" s="14" t="s">
        <v>4473</v>
      </c>
      <c r="U881" s="14" t="s">
        <v>5446</v>
      </c>
      <c r="V881" s="14" t="s">
        <v>4431</v>
      </c>
      <c r="W881" s="14" t="s">
        <v>4541</v>
      </c>
      <c r="Y881" s="14" t="s">
        <v>4593</v>
      </c>
      <c r="AA881" s="6"/>
      <c r="AB881" s="6" t="s">
        <v>203</v>
      </c>
      <c r="AC881" s="6"/>
      <c r="AD881" s="6" t="s">
        <v>56</v>
      </c>
      <c r="AE881" s="6"/>
      <c r="AF881" s="6" t="s">
        <v>75</v>
      </c>
      <c r="AG881" s="6"/>
      <c r="AH881" s="6" t="s">
        <v>76</v>
      </c>
      <c r="AI881" s="6"/>
      <c r="AJ881" s="6" t="s">
        <v>187</v>
      </c>
    </row>
    <row r="882" spans="1:36" ht="15.75" customHeight="1" x14ac:dyDescent="0.25">
      <c r="A882" s="7">
        <v>43419.914730208329</v>
      </c>
      <c r="B882" s="6" t="s">
        <v>30</v>
      </c>
      <c r="C882" s="6" t="s">
        <v>45</v>
      </c>
      <c r="D882" s="6" t="s">
        <v>46</v>
      </c>
      <c r="E882" s="6" t="s">
        <v>81</v>
      </c>
      <c r="G882" s="6" t="s">
        <v>87</v>
      </c>
      <c r="J882" s="6" t="s">
        <v>106</v>
      </c>
      <c r="K882" s="6"/>
      <c r="N882" s="6" t="s">
        <v>181</v>
      </c>
      <c r="O882" s="6"/>
      <c r="P882" s="6" t="s">
        <v>94</v>
      </c>
      <c r="Q882" s="6"/>
      <c r="AA882" s="6"/>
      <c r="AB882" s="6" t="s">
        <v>67</v>
      </c>
      <c r="AC882" s="6"/>
      <c r="AD882" s="6" t="s">
        <v>56</v>
      </c>
      <c r="AE882" s="6"/>
      <c r="AF882" s="6" t="s">
        <v>75</v>
      </c>
      <c r="AG882" s="6"/>
      <c r="AH882" s="6" t="s">
        <v>58</v>
      </c>
      <c r="AJ882" s="12" t="s">
        <v>57</v>
      </c>
    </row>
    <row r="883" spans="1:36" ht="15.75" customHeight="1" x14ac:dyDescent="0.25">
      <c r="A883" s="7">
        <v>43419.917763900463</v>
      </c>
      <c r="B883" s="6" t="s">
        <v>154</v>
      </c>
      <c r="C883" s="6" t="s">
        <v>128</v>
      </c>
      <c r="D883" s="6" t="s">
        <v>165</v>
      </c>
      <c r="E883" s="6" t="s">
        <v>81</v>
      </c>
      <c r="G883" s="6" t="s">
        <v>87</v>
      </c>
      <c r="H883" s="6" t="s">
        <v>3198</v>
      </c>
      <c r="I883" s="6"/>
      <c r="J883" s="6" t="s">
        <v>106</v>
      </c>
      <c r="K883" s="6"/>
      <c r="L883" s="6" t="s">
        <v>2892</v>
      </c>
      <c r="M883" s="6"/>
      <c r="N883" s="6" t="s">
        <v>181</v>
      </c>
      <c r="O883" s="6"/>
      <c r="P883" s="6" t="s">
        <v>94</v>
      </c>
      <c r="Q883" s="6"/>
      <c r="R883" s="47" t="s">
        <v>3357</v>
      </c>
      <c r="S883" s="14" t="s">
        <v>5068</v>
      </c>
      <c r="T883" s="14" t="s">
        <v>5447</v>
      </c>
      <c r="U883" s="14" t="s">
        <v>4593</v>
      </c>
      <c r="V883" s="14" t="s">
        <v>5448</v>
      </c>
      <c r="W883" s="14" t="s">
        <v>5449</v>
      </c>
      <c r="X883" s="14" t="s">
        <v>5450</v>
      </c>
      <c r="AA883" s="6"/>
      <c r="AB883" s="6" t="s">
        <v>101</v>
      </c>
      <c r="AC883" s="6"/>
      <c r="AD883" s="6" t="s">
        <v>56</v>
      </c>
      <c r="AE883" s="6"/>
      <c r="AF883" s="6" t="s">
        <v>75</v>
      </c>
      <c r="AG883" s="6"/>
      <c r="AH883" s="11" t="s">
        <v>76</v>
      </c>
      <c r="AI883" s="6"/>
      <c r="AJ883" s="11" t="s">
        <v>233</v>
      </c>
    </row>
    <row r="884" spans="1:36" ht="15.75" customHeight="1" x14ac:dyDescent="0.25">
      <c r="A884" s="7">
        <v>43419.922068773143</v>
      </c>
      <c r="B884" s="6" t="s">
        <v>30</v>
      </c>
      <c r="C884" s="6" t="s">
        <v>45</v>
      </c>
      <c r="D884" s="6" t="s">
        <v>46</v>
      </c>
      <c r="E884" s="6" t="s">
        <v>48</v>
      </c>
      <c r="F884" s="6" t="s">
        <v>3200</v>
      </c>
      <c r="G884" s="6" t="s">
        <v>48</v>
      </c>
      <c r="J884" s="6" t="s">
        <v>92</v>
      </c>
      <c r="K884" s="6"/>
      <c r="N884" s="6" t="s">
        <v>167</v>
      </c>
      <c r="O884" s="6"/>
      <c r="P884" s="6" t="s">
        <v>94</v>
      </c>
      <c r="Q884" s="6"/>
      <c r="AA884" s="6"/>
      <c r="AB884" s="6" t="s">
        <v>101</v>
      </c>
      <c r="AC884" s="6"/>
      <c r="AD884" s="6" t="s">
        <v>56</v>
      </c>
      <c r="AE884" s="6"/>
      <c r="AF884" s="6" t="s">
        <v>205</v>
      </c>
      <c r="AG884" s="6"/>
      <c r="AH884" s="6" t="s">
        <v>58</v>
      </c>
      <c r="AI884" s="6"/>
      <c r="AJ884" s="11" t="s">
        <v>77</v>
      </c>
    </row>
    <row r="885" spans="1:36" ht="15.75" customHeight="1" x14ac:dyDescent="0.25">
      <c r="A885" s="7">
        <v>43419.931235023148</v>
      </c>
      <c r="B885" s="6" t="s">
        <v>3201</v>
      </c>
      <c r="C885" s="6" t="s">
        <v>90</v>
      </c>
      <c r="D885" s="6" t="s">
        <v>163</v>
      </c>
      <c r="E885" s="6" t="s">
        <v>81</v>
      </c>
      <c r="G885" s="6" t="s">
        <v>87</v>
      </c>
      <c r="H885" s="6" t="s">
        <v>3202</v>
      </c>
      <c r="I885" s="6"/>
      <c r="J885" s="6" t="s">
        <v>92</v>
      </c>
      <c r="K885" s="6"/>
      <c r="L885" s="6" t="s">
        <v>2893</v>
      </c>
      <c r="M885" s="6"/>
      <c r="N885" s="6" t="s">
        <v>181</v>
      </c>
      <c r="O885" s="6"/>
      <c r="P885" s="6" t="s">
        <v>131</v>
      </c>
      <c r="Q885" s="6"/>
      <c r="R885" s="47" t="s">
        <v>3203</v>
      </c>
      <c r="AA885" s="6"/>
      <c r="AB885" s="6" t="s">
        <v>67</v>
      </c>
      <c r="AC885" s="6"/>
      <c r="AD885" s="6" t="s">
        <v>56</v>
      </c>
      <c r="AE885" s="6"/>
      <c r="AF885" s="6" t="s">
        <v>75</v>
      </c>
      <c r="AG885" s="6"/>
      <c r="AH885" s="6" t="s">
        <v>76</v>
      </c>
      <c r="AI885" s="6"/>
      <c r="AJ885" s="6" t="s">
        <v>321</v>
      </c>
    </row>
    <row r="886" spans="1:36" ht="15.75" customHeight="1" x14ac:dyDescent="0.25">
      <c r="A886" s="7">
        <v>43419.932400243051</v>
      </c>
      <c r="B886" s="6" t="s">
        <v>31</v>
      </c>
      <c r="C886" s="6" t="s">
        <v>90</v>
      </c>
      <c r="D886" s="6" t="s">
        <v>165</v>
      </c>
      <c r="E886" s="6" t="s">
        <v>81</v>
      </c>
      <c r="G886" s="6" t="s">
        <v>87</v>
      </c>
      <c r="H886" s="6" t="s">
        <v>86</v>
      </c>
      <c r="I886" s="6"/>
      <c r="J886" s="6" t="s">
        <v>110</v>
      </c>
      <c r="K886" s="6"/>
      <c r="L886" s="6" t="s">
        <v>2394</v>
      </c>
      <c r="M886" s="6"/>
      <c r="N886" s="6" t="s">
        <v>167</v>
      </c>
      <c r="O886" s="6"/>
      <c r="P886" s="6" t="s">
        <v>94</v>
      </c>
      <c r="Q886" s="6"/>
      <c r="R886" s="47" t="s">
        <v>3204</v>
      </c>
      <c r="AA886" s="6"/>
      <c r="AB886" s="6" t="s">
        <v>67</v>
      </c>
      <c r="AC886" s="6"/>
      <c r="AD886" s="6" t="s">
        <v>56</v>
      </c>
      <c r="AE886" s="6"/>
      <c r="AF886" s="6" t="s">
        <v>75</v>
      </c>
      <c r="AG886" s="6"/>
      <c r="AH886" s="6" t="s">
        <v>126</v>
      </c>
      <c r="AI886" s="6"/>
      <c r="AJ886" s="6" t="s">
        <v>256</v>
      </c>
    </row>
    <row r="887" spans="1:36" ht="15.75" customHeight="1" x14ac:dyDescent="0.25">
      <c r="A887" s="7">
        <v>43419.932687754626</v>
      </c>
      <c r="B887" s="6" t="s">
        <v>26</v>
      </c>
      <c r="C887" s="6" t="s">
        <v>95</v>
      </c>
      <c r="D887" s="6" t="s">
        <v>46</v>
      </c>
      <c r="E887" s="6" t="s">
        <v>48</v>
      </c>
      <c r="F887" s="6" t="s">
        <v>3205</v>
      </c>
      <c r="G887" s="6" t="s">
        <v>48</v>
      </c>
      <c r="H887" s="6" t="s">
        <v>3206</v>
      </c>
      <c r="I887" s="6"/>
      <c r="J887" s="6" t="s">
        <v>64</v>
      </c>
      <c r="K887" s="6"/>
      <c r="L887" s="6" t="s">
        <v>2584</v>
      </c>
      <c r="M887" s="6"/>
      <c r="N887" s="6" t="s">
        <v>181</v>
      </c>
      <c r="O887" s="6"/>
      <c r="P887" s="6" t="s">
        <v>131</v>
      </c>
      <c r="Q887" s="6"/>
      <c r="AA887" s="6"/>
      <c r="AB887" s="6" t="s">
        <v>101</v>
      </c>
      <c r="AC887" s="6"/>
      <c r="AD887" s="6" t="s">
        <v>56</v>
      </c>
      <c r="AE887" s="6"/>
      <c r="AF887" s="6" t="s">
        <v>68</v>
      </c>
      <c r="AG887" s="6"/>
      <c r="AH887" s="6" t="s">
        <v>126</v>
      </c>
      <c r="AI887" s="6"/>
      <c r="AJ887" s="11" t="s">
        <v>77</v>
      </c>
    </row>
    <row r="888" spans="1:36" ht="15.75" customHeight="1" x14ac:dyDescent="0.25">
      <c r="A888" s="7">
        <v>43419.933031412038</v>
      </c>
      <c r="B888" s="6" t="s">
        <v>30</v>
      </c>
      <c r="C888" s="6" t="s">
        <v>95</v>
      </c>
      <c r="D888" s="6" t="s">
        <v>133</v>
      </c>
      <c r="E888" s="6" t="s">
        <v>81</v>
      </c>
      <c r="G888" s="6" t="s">
        <v>87</v>
      </c>
      <c r="J888" s="6" t="s">
        <v>92</v>
      </c>
      <c r="K888" s="6"/>
      <c r="L888" s="6" t="s">
        <v>2894</v>
      </c>
      <c r="M888" s="6"/>
      <c r="N888" s="6" t="s">
        <v>98</v>
      </c>
      <c r="O888" s="6"/>
      <c r="P888" s="6" t="s">
        <v>94</v>
      </c>
      <c r="Q888" s="6"/>
      <c r="AA888" s="6"/>
      <c r="AB888" s="6" t="s">
        <v>101</v>
      </c>
      <c r="AC888" s="6"/>
      <c r="AD888" s="6" t="s">
        <v>56</v>
      </c>
      <c r="AE888" s="6"/>
      <c r="AF888" s="6" t="s">
        <v>57</v>
      </c>
      <c r="AG888" s="6"/>
      <c r="AH888" s="6" t="s">
        <v>76</v>
      </c>
      <c r="AI888" s="6"/>
      <c r="AJ888" s="6" t="s">
        <v>286</v>
      </c>
    </row>
    <row r="889" spans="1:36" ht="15.75" customHeight="1" x14ac:dyDescent="0.25">
      <c r="A889" s="7">
        <v>43419.937829039351</v>
      </c>
      <c r="B889" s="6" t="s">
        <v>154</v>
      </c>
      <c r="C889" s="6" t="s">
        <v>116</v>
      </c>
      <c r="D889" s="6" t="s">
        <v>46</v>
      </c>
      <c r="E889" s="6" t="s">
        <v>81</v>
      </c>
      <c r="G889" s="6" t="s">
        <v>87</v>
      </c>
      <c r="J889" s="6" t="s">
        <v>106</v>
      </c>
      <c r="K889" s="6"/>
      <c r="L889" s="6" t="s">
        <v>2439</v>
      </c>
      <c r="M889" s="6"/>
      <c r="N889" s="6" t="s">
        <v>98</v>
      </c>
      <c r="O889" s="6"/>
      <c r="P889" s="6" t="s">
        <v>131</v>
      </c>
      <c r="Q889" s="6"/>
      <c r="R889" s="47" t="s">
        <v>3319</v>
      </c>
      <c r="S889" s="14" t="s">
        <v>5451</v>
      </c>
      <c r="AA889" s="6"/>
      <c r="AB889" s="6" t="s">
        <v>67</v>
      </c>
      <c r="AC889" s="6"/>
      <c r="AD889" s="6" t="s">
        <v>56</v>
      </c>
      <c r="AE889" s="6"/>
      <c r="AF889" s="6" t="s">
        <v>75</v>
      </c>
      <c r="AG889" s="6"/>
      <c r="AH889" s="6" t="s">
        <v>76</v>
      </c>
      <c r="AI889" s="6"/>
      <c r="AJ889" s="6" t="s">
        <v>340</v>
      </c>
    </row>
    <row r="890" spans="1:36" ht="15.75" customHeight="1" x14ac:dyDescent="0.25">
      <c r="A890" s="7">
        <v>43419.942476875003</v>
      </c>
      <c r="B890" s="6" t="s">
        <v>30</v>
      </c>
      <c r="C890" s="6" t="s">
        <v>95</v>
      </c>
      <c r="D890" s="6" t="s">
        <v>165</v>
      </c>
      <c r="E890" s="6" t="s">
        <v>81</v>
      </c>
      <c r="G890" s="6" t="s">
        <v>87</v>
      </c>
      <c r="J890" s="6" t="s">
        <v>92</v>
      </c>
      <c r="K890" s="6"/>
      <c r="L890" s="6" t="s">
        <v>2302</v>
      </c>
      <c r="M890" s="6"/>
      <c r="N890" s="6" t="s">
        <v>93</v>
      </c>
      <c r="O890" s="6"/>
      <c r="P890" s="6" t="s">
        <v>168</v>
      </c>
      <c r="Q890" s="6"/>
      <c r="R890" s="47" t="s">
        <v>149</v>
      </c>
      <c r="S890" s="14" t="s">
        <v>4407</v>
      </c>
      <c r="AA890" s="6"/>
      <c r="AB890" s="6" t="s">
        <v>101</v>
      </c>
      <c r="AC890" s="6"/>
      <c r="AD890" s="6" t="s">
        <v>56</v>
      </c>
      <c r="AE890" s="6"/>
      <c r="AF890" s="6" t="s">
        <v>161</v>
      </c>
      <c r="AG890" s="6"/>
      <c r="AH890" s="6" t="s">
        <v>76</v>
      </c>
      <c r="AI890" s="6"/>
      <c r="AJ890" s="6" t="s">
        <v>77</v>
      </c>
    </row>
    <row r="891" spans="1:36" ht="15.75" customHeight="1" x14ac:dyDescent="0.25">
      <c r="A891" s="7">
        <v>43419.956559629631</v>
      </c>
      <c r="B891" s="6" t="s">
        <v>154</v>
      </c>
      <c r="C891" s="6" t="s">
        <v>434</v>
      </c>
      <c r="D891" s="6" t="s">
        <v>163</v>
      </c>
      <c r="E891" s="6" t="s">
        <v>81</v>
      </c>
      <c r="G891" s="6" t="s">
        <v>87</v>
      </c>
      <c r="H891" s="6" t="s">
        <v>3211</v>
      </c>
      <c r="I891" s="6"/>
      <c r="J891" s="6" t="s">
        <v>106</v>
      </c>
      <c r="K891" s="6"/>
      <c r="L891" s="6" t="s">
        <v>2440</v>
      </c>
      <c r="M891" s="6"/>
      <c r="N891" s="6" t="s">
        <v>98</v>
      </c>
      <c r="O891" s="6"/>
      <c r="P891" s="6" t="s">
        <v>94</v>
      </c>
      <c r="Q891" s="6"/>
      <c r="R891" s="47" t="s">
        <v>3248</v>
      </c>
      <c r="S891" s="14" t="s">
        <v>4407</v>
      </c>
      <c r="T891" s="14" t="s">
        <v>5452</v>
      </c>
      <c r="AA891" s="6"/>
      <c r="AB891" s="6" t="s">
        <v>67</v>
      </c>
      <c r="AC891" s="6"/>
      <c r="AD891" s="6" t="s">
        <v>56</v>
      </c>
      <c r="AE891" s="6"/>
      <c r="AF891" s="6" t="s">
        <v>75</v>
      </c>
      <c r="AG891" s="6"/>
      <c r="AH891" s="6" t="s">
        <v>76</v>
      </c>
      <c r="AI891" s="6"/>
      <c r="AJ891" s="6" t="s">
        <v>300</v>
      </c>
    </row>
    <row r="892" spans="1:36" ht="15.75" customHeight="1" x14ac:dyDescent="0.25">
      <c r="A892" s="7">
        <v>43419.959425532405</v>
      </c>
      <c r="B892" s="6" t="s">
        <v>833</v>
      </c>
      <c r="C892" s="6" t="s">
        <v>1582</v>
      </c>
      <c r="D892" s="6" t="s">
        <v>46</v>
      </c>
      <c r="E892" s="6" t="s">
        <v>81</v>
      </c>
      <c r="G892" s="6" t="s">
        <v>87</v>
      </c>
      <c r="J892" s="6" t="s">
        <v>50</v>
      </c>
      <c r="K892" s="6"/>
      <c r="L892" s="6" t="s">
        <v>2275</v>
      </c>
      <c r="M892" s="6"/>
      <c r="N892" s="6" t="s">
        <v>121</v>
      </c>
      <c r="O892" s="6"/>
      <c r="P892" s="6" t="s">
        <v>131</v>
      </c>
      <c r="Q892" s="6"/>
      <c r="AA892" s="6"/>
      <c r="AB892" s="6" t="s">
        <v>67</v>
      </c>
      <c r="AC892" s="6"/>
      <c r="AD892" s="6" t="s">
        <v>57</v>
      </c>
      <c r="AE892" s="6"/>
      <c r="AF892" s="6" t="s">
        <v>161</v>
      </c>
      <c r="AG892" s="6"/>
      <c r="AH892" s="6" t="s">
        <v>76</v>
      </c>
      <c r="AI892" s="6"/>
      <c r="AJ892" s="11" t="s">
        <v>77</v>
      </c>
    </row>
    <row r="893" spans="1:36" ht="15.75" customHeight="1" x14ac:dyDescent="0.25">
      <c r="A893" s="7">
        <v>43419.964186597223</v>
      </c>
      <c r="B893" s="6" t="s">
        <v>30</v>
      </c>
      <c r="C893" s="6" t="s">
        <v>705</v>
      </c>
      <c r="E893" s="6" t="s">
        <v>81</v>
      </c>
      <c r="F893" s="6" t="s">
        <v>3214</v>
      </c>
      <c r="G893" s="6" t="s">
        <v>87</v>
      </c>
      <c r="H893" s="6" t="s">
        <v>3215</v>
      </c>
      <c r="I893" s="6"/>
      <c r="J893" s="6" t="s">
        <v>73</v>
      </c>
      <c r="K893" s="6"/>
      <c r="L893" s="6" t="s">
        <v>2586</v>
      </c>
      <c r="M893" s="6"/>
      <c r="N893" s="6" t="s">
        <v>98</v>
      </c>
      <c r="O893" s="6"/>
      <c r="P893" s="6" t="s">
        <v>94</v>
      </c>
      <c r="Q893" s="6"/>
      <c r="R893" s="47" t="s">
        <v>3266</v>
      </c>
      <c r="S893" s="14" t="s">
        <v>5453</v>
      </c>
      <c r="T893" s="14" t="s">
        <v>4453</v>
      </c>
      <c r="AA893" s="6"/>
      <c r="AB893" s="6" t="s">
        <v>67</v>
      </c>
      <c r="AC893" s="6"/>
      <c r="AD893" s="6" t="s">
        <v>56</v>
      </c>
      <c r="AE893" s="6"/>
      <c r="AF893" s="6" t="s">
        <v>68</v>
      </c>
      <c r="AG893" s="6"/>
      <c r="AH893" s="6" t="s">
        <v>57</v>
      </c>
      <c r="AI893" s="6"/>
      <c r="AJ893" s="6" t="s">
        <v>77</v>
      </c>
    </row>
    <row r="894" spans="1:36" ht="15.75" customHeight="1" x14ac:dyDescent="0.25">
      <c r="A894" s="7">
        <v>43419.965824131941</v>
      </c>
      <c r="B894" s="6" t="s">
        <v>30</v>
      </c>
      <c r="C894" s="6" t="s">
        <v>237</v>
      </c>
      <c r="D894" s="6" t="s">
        <v>91</v>
      </c>
      <c r="E894" s="6" t="s">
        <v>81</v>
      </c>
      <c r="G894" s="6" t="s">
        <v>87</v>
      </c>
      <c r="H894" s="6" t="s">
        <v>3218</v>
      </c>
      <c r="I894" s="6"/>
      <c r="J894" s="6" t="s">
        <v>92</v>
      </c>
      <c r="K894" s="6"/>
      <c r="L894" s="6" t="s">
        <v>2896</v>
      </c>
      <c r="M894" s="6"/>
      <c r="N894" s="6" t="s">
        <v>93</v>
      </c>
      <c r="O894" s="6"/>
      <c r="P894" s="6" t="s">
        <v>168</v>
      </c>
      <c r="Q894" s="6"/>
      <c r="R894" s="47" t="s">
        <v>149</v>
      </c>
      <c r="S894" s="14" t="s">
        <v>5122</v>
      </c>
      <c r="AA894" s="6"/>
      <c r="AB894" s="6" t="s">
        <v>67</v>
      </c>
      <c r="AC894" s="6"/>
      <c r="AD894" s="6" t="s">
        <v>56</v>
      </c>
      <c r="AE894" s="6"/>
      <c r="AF894" s="6" t="s">
        <v>161</v>
      </c>
      <c r="AG894" s="6"/>
      <c r="AH894" s="6" t="s">
        <v>76</v>
      </c>
      <c r="AI894" s="6"/>
      <c r="AJ894" s="11" t="s">
        <v>256</v>
      </c>
    </row>
    <row r="895" spans="1:36" ht="15.75" customHeight="1" x14ac:dyDescent="0.25">
      <c r="A895" s="7">
        <v>43419.968121805556</v>
      </c>
      <c r="B895" s="6" t="s">
        <v>60</v>
      </c>
      <c r="C895" s="6" t="s">
        <v>237</v>
      </c>
      <c r="D895" s="6" t="s">
        <v>163</v>
      </c>
      <c r="E895" s="6" t="s">
        <v>48</v>
      </c>
      <c r="F895" s="6" t="s">
        <v>3222</v>
      </c>
      <c r="G895" s="6" t="s">
        <v>48</v>
      </c>
      <c r="J895" s="6" t="s">
        <v>106</v>
      </c>
      <c r="K895" s="6"/>
      <c r="L895" s="6" t="s">
        <v>2442</v>
      </c>
      <c r="M895" s="6"/>
      <c r="N895" s="6" t="s">
        <v>212</v>
      </c>
      <c r="O895" s="6"/>
      <c r="P895" s="6" t="s">
        <v>99</v>
      </c>
      <c r="Q895" s="6"/>
      <c r="AA895" s="6"/>
      <c r="AB895" s="6" t="s">
        <v>101</v>
      </c>
      <c r="AC895" s="6"/>
      <c r="AD895" s="6" t="s">
        <v>109</v>
      </c>
      <c r="AE895" s="6"/>
      <c r="AF895" s="6" t="s">
        <v>205</v>
      </c>
      <c r="AG895" s="6"/>
      <c r="AH895" s="6" t="s">
        <v>57</v>
      </c>
      <c r="AI895" s="6"/>
      <c r="AJ895" s="11" t="s">
        <v>255</v>
      </c>
    </row>
    <row r="896" spans="1:36" ht="15.75" customHeight="1" x14ac:dyDescent="0.25">
      <c r="A896" s="7">
        <v>43419.969287476852</v>
      </c>
      <c r="B896" s="6" t="s">
        <v>154</v>
      </c>
      <c r="C896" s="6" t="s">
        <v>90</v>
      </c>
      <c r="D896" s="6" t="s">
        <v>190</v>
      </c>
      <c r="E896" s="6" t="s">
        <v>81</v>
      </c>
      <c r="G896" s="6" t="s">
        <v>87</v>
      </c>
      <c r="J896" s="6" t="s">
        <v>89</v>
      </c>
      <c r="K896" s="6"/>
      <c r="N896" s="6" t="s">
        <v>121</v>
      </c>
      <c r="O896" s="6"/>
      <c r="P896" s="6" t="s">
        <v>94</v>
      </c>
      <c r="Q896" s="6"/>
      <c r="R896" s="47" t="s">
        <v>192</v>
      </c>
      <c r="S896" s="14" t="s">
        <v>4677</v>
      </c>
      <c r="AA896" s="6"/>
      <c r="AB896" s="6" t="s">
        <v>67</v>
      </c>
      <c r="AC896" s="6"/>
      <c r="AD896" s="6" t="s">
        <v>57</v>
      </c>
      <c r="AE896" s="6"/>
      <c r="AF896" s="6" t="s">
        <v>57</v>
      </c>
      <c r="AG896" s="6"/>
      <c r="AH896" s="6" t="s">
        <v>76</v>
      </c>
      <c r="AI896" s="6"/>
      <c r="AJ896" s="11" t="s">
        <v>77</v>
      </c>
    </row>
    <row r="897" spans="1:36" ht="15.75" customHeight="1" x14ac:dyDescent="0.25">
      <c r="A897" s="7">
        <v>43419.970200763884</v>
      </c>
      <c r="B897" s="6" t="s">
        <v>60</v>
      </c>
      <c r="C897" s="6" t="s">
        <v>128</v>
      </c>
      <c r="D897" s="6" t="s">
        <v>133</v>
      </c>
      <c r="E897" s="6" t="s">
        <v>81</v>
      </c>
      <c r="G897" s="6" t="s">
        <v>87</v>
      </c>
      <c r="H897" s="6" t="s">
        <v>3224</v>
      </c>
      <c r="I897" s="6"/>
      <c r="J897" s="6" t="s">
        <v>73</v>
      </c>
      <c r="K897" s="6"/>
      <c r="L897" s="6" t="s">
        <v>953</v>
      </c>
      <c r="M897" s="6"/>
      <c r="N897" s="6" t="s">
        <v>212</v>
      </c>
      <c r="O897" s="6"/>
      <c r="P897" s="6" t="s">
        <v>131</v>
      </c>
      <c r="Q897" s="6"/>
      <c r="R897" s="47" t="s">
        <v>5454</v>
      </c>
      <c r="S897" s="14" t="s">
        <v>4871</v>
      </c>
      <c r="T897" s="14" t="s">
        <v>4583</v>
      </c>
      <c r="AA897" s="6"/>
      <c r="AB897" s="6" t="s">
        <v>101</v>
      </c>
      <c r="AC897" s="6"/>
      <c r="AD897" s="6" t="s">
        <v>56</v>
      </c>
      <c r="AE897" s="6"/>
      <c r="AF897" s="6" t="s">
        <v>68</v>
      </c>
      <c r="AG897" s="6"/>
      <c r="AH897" s="6" t="s">
        <v>58</v>
      </c>
      <c r="AI897" s="6"/>
      <c r="AJ897" s="6" t="s">
        <v>288</v>
      </c>
    </row>
    <row r="898" spans="1:36" ht="15.75" customHeight="1" x14ac:dyDescent="0.25">
      <c r="A898" s="7">
        <v>43419.977429976847</v>
      </c>
      <c r="B898" s="6" t="s">
        <v>30</v>
      </c>
      <c r="C898" s="6" t="s">
        <v>3228</v>
      </c>
      <c r="D898" s="6" t="s">
        <v>46</v>
      </c>
      <c r="E898" s="6" t="s">
        <v>81</v>
      </c>
      <c r="G898" s="6" t="s">
        <v>87</v>
      </c>
      <c r="J898" s="6" t="s">
        <v>64</v>
      </c>
      <c r="K898" s="6"/>
      <c r="N898" s="6" t="s">
        <v>98</v>
      </c>
      <c r="O898" s="6"/>
      <c r="P898" s="6" t="s">
        <v>131</v>
      </c>
      <c r="Q898" s="6"/>
      <c r="AA898" s="6"/>
      <c r="AB898" s="6" t="s">
        <v>101</v>
      </c>
      <c r="AC898" s="6"/>
      <c r="AD898" s="6" t="s">
        <v>56</v>
      </c>
      <c r="AE898" s="6"/>
      <c r="AF898" s="6" t="s">
        <v>205</v>
      </c>
      <c r="AG898" s="6"/>
      <c r="AH898" s="6" t="s">
        <v>58</v>
      </c>
      <c r="AJ898" s="12" t="s">
        <v>57</v>
      </c>
    </row>
    <row r="899" spans="1:36" ht="15.75" customHeight="1" x14ac:dyDescent="0.25">
      <c r="A899" s="7">
        <v>43419.983509270838</v>
      </c>
      <c r="B899" s="6" t="s">
        <v>60</v>
      </c>
      <c r="C899" s="6" t="s">
        <v>128</v>
      </c>
      <c r="D899" s="6" t="s">
        <v>261</v>
      </c>
      <c r="E899" s="6" t="s">
        <v>48</v>
      </c>
      <c r="F899" s="6" t="s">
        <v>993</v>
      </c>
      <c r="G899" s="6" t="s">
        <v>48</v>
      </c>
      <c r="H899" s="6" t="s">
        <v>3229</v>
      </c>
      <c r="I899" s="6"/>
      <c r="J899" s="6" t="s">
        <v>92</v>
      </c>
      <c r="K899" s="6"/>
      <c r="L899" s="6" t="s">
        <v>2898</v>
      </c>
      <c r="M899" s="6"/>
      <c r="N899" s="6" t="s">
        <v>98</v>
      </c>
      <c r="O899" s="6"/>
      <c r="P899" s="6" t="s">
        <v>94</v>
      </c>
      <c r="Q899" s="6"/>
      <c r="AA899" s="6"/>
      <c r="AB899" s="6" t="s">
        <v>101</v>
      </c>
      <c r="AC899" s="6"/>
      <c r="AD899" s="6" t="s">
        <v>57</v>
      </c>
      <c r="AE899" s="6"/>
      <c r="AF899" s="6" t="s">
        <v>68</v>
      </c>
      <c r="AG899" s="6"/>
      <c r="AH899" s="6" t="s">
        <v>57</v>
      </c>
      <c r="AJ899" s="12" t="s">
        <v>57</v>
      </c>
    </row>
    <row r="900" spans="1:36" ht="15.75" customHeight="1" x14ac:dyDescent="0.25">
      <c r="A900" s="7">
        <v>43419.984258171295</v>
      </c>
      <c r="B900" s="6" t="s">
        <v>305</v>
      </c>
      <c r="C900" s="6" t="s">
        <v>90</v>
      </c>
      <c r="D900" s="6" t="s">
        <v>261</v>
      </c>
      <c r="E900" s="6" t="s">
        <v>48</v>
      </c>
      <c r="F900" s="6" t="s">
        <v>3230</v>
      </c>
      <c r="G900" s="6" t="s">
        <v>48</v>
      </c>
      <c r="J900" s="6" t="s">
        <v>158</v>
      </c>
      <c r="K900" s="6"/>
      <c r="L900" s="6" t="s">
        <v>2899</v>
      </c>
      <c r="M900" s="6"/>
      <c r="N900" s="6" t="s">
        <v>51</v>
      </c>
      <c r="O900" s="6"/>
      <c r="P900" s="6" t="s">
        <v>52</v>
      </c>
      <c r="Q900" s="6"/>
      <c r="AA900" s="6"/>
      <c r="AB900" s="6" t="s">
        <v>101</v>
      </c>
      <c r="AC900" s="6"/>
      <c r="AD900" s="6" t="s">
        <v>56</v>
      </c>
      <c r="AE900" s="6"/>
      <c r="AF900" s="6" t="s">
        <v>75</v>
      </c>
      <c r="AG900" s="6"/>
      <c r="AH900" s="6" t="s">
        <v>58</v>
      </c>
      <c r="AI900" s="6"/>
      <c r="AJ900" s="11" t="s">
        <v>132</v>
      </c>
    </row>
    <row r="901" spans="1:36" ht="15.75" customHeight="1" x14ac:dyDescent="0.25">
      <c r="A901" s="7">
        <v>43419.987577430555</v>
      </c>
      <c r="B901" s="6" t="s">
        <v>3232</v>
      </c>
      <c r="C901" s="6" t="s">
        <v>90</v>
      </c>
      <c r="D901" s="6" t="s">
        <v>165</v>
      </c>
      <c r="E901" s="6" t="s">
        <v>81</v>
      </c>
      <c r="G901" s="6" t="s">
        <v>87</v>
      </c>
      <c r="H901" s="6" t="s">
        <v>3233</v>
      </c>
      <c r="I901" s="6"/>
      <c r="J901" s="6" t="s">
        <v>158</v>
      </c>
      <c r="K901" s="6"/>
      <c r="L901" s="6" t="s">
        <v>2900</v>
      </c>
      <c r="M901" s="6"/>
      <c r="N901" s="6" t="s">
        <v>121</v>
      </c>
      <c r="O901" s="6"/>
      <c r="P901" s="6" t="s">
        <v>94</v>
      </c>
      <c r="Q901" s="6"/>
      <c r="R901" s="47" t="s">
        <v>3234</v>
      </c>
      <c r="AA901" s="6"/>
      <c r="AB901" s="6" t="s">
        <v>67</v>
      </c>
      <c r="AC901" s="6"/>
      <c r="AD901" s="6" t="s">
        <v>109</v>
      </c>
      <c r="AE901" s="6"/>
      <c r="AF901" s="6" t="s">
        <v>68</v>
      </c>
      <c r="AG901" s="6"/>
      <c r="AH901" s="6" t="s">
        <v>58</v>
      </c>
      <c r="AI901" s="6"/>
      <c r="AJ901" s="11" t="s">
        <v>77</v>
      </c>
    </row>
    <row r="902" spans="1:36" ht="15.75" customHeight="1" x14ac:dyDescent="0.25">
      <c r="A902" s="7">
        <v>43419.988710717589</v>
      </c>
      <c r="B902" s="6" t="s">
        <v>154</v>
      </c>
      <c r="C902" s="6" t="s">
        <v>2288</v>
      </c>
      <c r="D902" s="6" t="s">
        <v>261</v>
      </c>
      <c r="E902" s="6" t="s">
        <v>48</v>
      </c>
      <c r="F902" s="6" t="s">
        <v>993</v>
      </c>
      <c r="G902" s="6" t="s">
        <v>48</v>
      </c>
      <c r="H902" s="6" t="s">
        <v>3236</v>
      </c>
      <c r="I902" s="6"/>
      <c r="J902" s="6" t="s">
        <v>73</v>
      </c>
      <c r="K902" s="6"/>
      <c r="L902" s="6" t="s">
        <v>2901</v>
      </c>
      <c r="M902" s="6"/>
      <c r="N902" s="6" t="s">
        <v>112</v>
      </c>
      <c r="O902" s="6"/>
      <c r="P902" s="6" t="s">
        <v>52</v>
      </c>
      <c r="Q902" s="6"/>
      <c r="R902" s="47" t="s">
        <v>1764</v>
      </c>
      <c r="S902" s="14" t="s">
        <v>5270</v>
      </c>
      <c r="T902" s="14" t="s">
        <v>4616</v>
      </c>
      <c r="AA902" s="6"/>
      <c r="AC902" s="6"/>
      <c r="AD902" s="6" t="s">
        <v>56</v>
      </c>
      <c r="AE902" s="6"/>
      <c r="AF902" s="6" t="s">
        <v>75</v>
      </c>
      <c r="AG902" s="6"/>
      <c r="AH902" s="6" t="s">
        <v>76</v>
      </c>
      <c r="AI902" s="6"/>
      <c r="AJ902" s="6" t="s">
        <v>132</v>
      </c>
    </row>
    <row r="903" spans="1:36" ht="15.75" customHeight="1" x14ac:dyDescent="0.25">
      <c r="A903" s="7">
        <v>43420.005554872681</v>
      </c>
      <c r="B903" s="6" t="s">
        <v>60</v>
      </c>
      <c r="C903" s="6" t="s">
        <v>90</v>
      </c>
      <c r="D903" s="6" t="s">
        <v>46</v>
      </c>
      <c r="E903" s="6" t="s">
        <v>81</v>
      </c>
      <c r="G903" s="6" t="s">
        <v>87</v>
      </c>
      <c r="J903" s="6" t="s">
        <v>73</v>
      </c>
      <c r="K903" s="6"/>
      <c r="P903" s="6" t="s">
        <v>131</v>
      </c>
      <c r="Q903" s="6"/>
      <c r="AA903" s="6"/>
      <c r="AB903" s="6" t="s">
        <v>101</v>
      </c>
      <c r="AC903" s="6"/>
      <c r="AD903" s="6" t="s">
        <v>56</v>
      </c>
      <c r="AE903" s="6"/>
      <c r="AF903" s="6" t="s">
        <v>68</v>
      </c>
      <c r="AG903" s="6"/>
      <c r="AH903" s="6" t="s">
        <v>57</v>
      </c>
      <c r="AJ903" s="12" t="s">
        <v>57</v>
      </c>
    </row>
    <row r="904" spans="1:36" ht="15.75" customHeight="1" x14ac:dyDescent="0.25">
      <c r="A904" s="7">
        <v>43420.006148009255</v>
      </c>
      <c r="B904" s="6" t="s">
        <v>30</v>
      </c>
      <c r="C904" s="6" t="s">
        <v>971</v>
      </c>
      <c r="D904" s="6" t="s">
        <v>91</v>
      </c>
      <c r="E904" s="6" t="s">
        <v>81</v>
      </c>
      <c r="G904" s="6" t="s">
        <v>87</v>
      </c>
      <c r="H904" s="6" t="s">
        <v>3240</v>
      </c>
      <c r="I904" s="6"/>
      <c r="J904" s="6" t="s">
        <v>92</v>
      </c>
      <c r="K904" s="6"/>
      <c r="L904" s="6" t="s">
        <v>2306</v>
      </c>
      <c r="M904" s="6"/>
      <c r="N904" s="6" t="s">
        <v>181</v>
      </c>
      <c r="O904" s="6"/>
      <c r="P904" s="6" t="s">
        <v>168</v>
      </c>
      <c r="Q904" s="6"/>
      <c r="R904" s="47" t="s">
        <v>149</v>
      </c>
      <c r="S904" s="14" t="s">
        <v>4400</v>
      </c>
      <c r="T904" s="14" t="s">
        <v>4435</v>
      </c>
      <c r="AA904" s="6"/>
      <c r="AB904" s="6" t="s">
        <v>101</v>
      </c>
      <c r="AC904" s="6"/>
      <c r="AD904" s="6" t="s">
        <v>56</v>
      </c>
      <c r="AE904" s="6"/>
      <c r="AF904" s="6" t="s">
        <v>161</v>
      </c>
      <c r="AG904" s="6"/>
      <c r="AH904" s="6" t="s">
        <v>76</v>
      </c>
      <c r="AI904" s="6"/>
      <c r="AJ904" s="6" t="s">
        <v>77</v>
      </c>
    </row>
    <row r="905" spans="1:36" ht="15.75" customHeight="1" x14ac:dyDescent="0.25">
      <c r="A905" s="7">
        <v>43420.007637488423</v>
      </c>
      <c r="B905" s="6" t="s">
        <v>30</v>
      </c>
      <c r="C905" s="6" t="s">
        <v>116</v>
      </c>
      <c r="D905" s="6" t="s">
        <v>91</v>
      </c>
      <c r="E905" s="6" t="s">
        <v>48</v>
      </c>
      <c r="F905" s="6" t="s">
        <v>569</v>
      </c>
      <c r="G905" s="6" t="s">
        <v>48</v>
      </c>
      <c r="H905" s="6" t="s">
        <v>3241</v>
      </c>
      <c r="I905" s="6"/>
      <c r="J905" s="6" t="s">
        <v>106</v>
      </c>
      <c r="K905" s="6"/>
      <c r="L905" s="6" t="s">
        <v>2903</v>
      </c>
      <c r="M905" s="6"/>
      <c r="N905" s="6" t="s">
        <v>112</v>
      </c>
      <c r="O905" s="6"/>
      <c r="P905" s="6" t="s">
        <v>52</v>
      </c>
      <c r="Q905" s="6"/>
      <c r="R905" s="47" t="s">
        <v>192</v>
      </c>
      <c r="S905" s="14" t="s">
        <v>4523</v>
      </c>
      <c r="T905" s="14" t="s">
        <v>5455</v>
      </c>
      <c r="U905" s="14" t="s">
        <v>5456</v>
      </c>
      <c r="V905" s="14" t="s">
        <v>5457</v>
      </c>
      <c r="W905" s="14" t="s">
        <v>4593</v>
      </c>
      <c r="X905" s="14" t="s">
        <v>4404</v>
      </c>
      <c r="AA905" s="6"/>
      <c r="AB905" s="6" t="s">
        <v>55</v>
      </c>
      <c r="AC905" s="6"/>
      <c r="AD905" s="6" t="s">
        <v>56</v>
      </c>
      <c r="AE905" s="6"/>
      <c r="AF905" s="6" t="s">
        <v>75</v>
      </c>
      <c r="AG905" s="6"/>
      <c r="AH905" s="6" t="s">
        <v>58</v>
      </c>
      <c r="AI905" s="6"/>
      <c r="AJ905" s="6" t="s">
        <v>69</v>
      </c>
    </row>
    <row r="906" spans="1:36" ht="15.75" customHeight="1" x14ac:dyDescent="0.25">
      <c r="A906" s="7">
        <v>43420.008549259263</v>
      </c>
      <c r="B906" s="6" t="s">
        <v>154</v>
      </c>
      <c r="C906" s="6" t="s">
        <v>116</v>
      </c>
      <c r="D906" s="6" t="s">
        <v>165</v>
      </c>
      <c r="E906" s="6" t="s">
        <v>81</v>
      </c>
      <c r="G906" s="6" t="s">
        <v>87</v>
      </c>
      <c r="J906" s="6" t="s">
        <v>89</v>
      </c>
      <c r="K906" s="6"/>
      <c r="L906" s="6" t="s">
        <v>2592</v>
      </c>
      <c r="M906" s="6"/>
      <c r="N906" s="6" t="s">
        <v>93</v>
      </c>
      <c r="O906" s="6"/>
      <c r="P906" s="6" t="s">
        <v>94</v>
      </c>
      <c r="Q906" s="6"/>
      <c r="R906" s="47" t="s">
        <v>3244</v>
      </c>
      <c r="AA906" s="6"/>
      <c r="AB906" s="6" t="s">
        <v>101</v>
      </c>
      <c r="AC906" s="6"/>
      <c r="AD906" s="6" t="s">
        <v>56</v>
      </c>
      <c r="AE906" s="6"/>
      <c r="AF906" s="6" t="s">
        <v>161</v>
      </c>
      <c r="AG906" s="6"/>
      <c r="AH906" s="6" t="s">
        <v>76</v>
      </c>
      <c r="AI906" s="6"/>
      <c r="AJ906" s="6" t="s">
        <v>187</v>
      </c>
    </row>
    <row r="907" spans="1:36" ht="15.75" customHeight="1" x14ac:dyDescent="0.25">
      <c r="A907" s="7">
        <v>43420.010319895839</v>
      </c>
      <c r="B907" s="6" t="s">
        <v>60</v>
      </c>
      <c r="C907" s="6" t="s">
        <v>1102</v>
      </c>
      <c r="D907" s="6" t="s">
        <v>46</v>
      </c>
      <c r="E907" s="6" t="s">
        <v>81</v>
      </c>
      <c r="F907" s="6" t="s">
        <v>1195</v>
      </c>
      <c r="G907" s="6" t="s">
        <v>87</v>
      </c>
      <c r="H907" s="6" t="s">
        <v>3246</v>
      </c>
      <c r="I907" s="6"/>
      <c r="J907" s="6" t="s">
        <v>92</v>
      </c>
      <c r="K907" s="6"/>
      <c r="L907" s="6" t="s">
        <v>2593</v>
      </c>
      <c r="M907" s="6"/>
      <c r="N907" s="6" t="s">
        <v>181</v>
      </c>
      <c r="O907" s="6"/>
      <c r="P907" s="6" t="s">
        <v>94</v>
      </c>
      <c r="Q907" s="6"/>
      <c r="R907" s="47" t="s">
        <v>5458</v>
      </c>
      <c r="S907" s="14" t="s">
        <v>5459</v>
      </c>
      <c r="T907" s="14" t="s">
        <v>5460</v>
      </c>
      <c r="U907" s="14" t="s">
        <v>5461</v>
      </c>
      <c r="AA907" s="6"/>
      <c r="AB907" s="6" t="s">
        <v>67</v>
      </c>
      <c r="AC907" s="6"/>
      <c r="AD907" s="6" t="s">
        <v>56</v>
      </c>
      <c r="AE907" s="6"/>
      <c r="AF907" s="6" t="s">
        <v>161</v>
      </c>
      <c r="AG907" s="6"/>
      <c r="AH907" s="6" t="s">
        <v>76</v>
      </c>
      <c r="AI907" s="6"/>
      <c r="AJ907" s="6" t="s">
        <v>187</v>
      </c>
    </row>
    <row r="908" spans="1:36" ht="15.75" customHeight="1" x14ac:dyDescent="0.25">
      <c r="A908" s="7">
        <v>43420.010628726857</v>
      </c>
      <c r="B908" s="6" t="s">
        <v>30</v>
      </c>
      <c r="C908" s="6" t="s">
        <v>116</v>
      </c>
      <c r="D908" s="6" t="s">
        <v>46</v>
      </c>
      <c r="E908" s="6" t="s">
        <v>48</v>
      </c>
      <c r="F908" s="6" t="s">
        <v>993</v>
      </c>
      <c r="G908" s="6" t="s">
        <v>48</v>
      </c>
      <c r="J908" s="6" t="s">
        <v>73</v>
      </c>
      <c r="K908" s="6"/>
      <c r="N908" s="6" t="s">
        <v>51</v>
      </c>
      <c r="O908" s="6"/>
      <c r="P908" s="6" t="s">
        <v>52</v>
      </c>
      <c r="Q908" s="6"/>
      <c r="AA908" s="6"/>
      <c r="AB908" s="6" t="s">
        <v>67</v>
      </c>
      <c r="AC908" s="6"/>
      <c r="AD908" s="6" t="s">
        <v>56</v>
      </c>
      <c r="AE908" s="6"/>
      <c r="AF908" s="6" t="s">
        <v>68</v>
      </c>
      <c r="AG908" s="6"/>
      <c r="AH908" s="6" t="s">
        <v>58</v>
      </c>
      <c r="AI908" s="6"/>
      <c r="AJ908" s="6" t="s">
        <v>304</v>
      </c>
    </row>
    <row r="909" spans="1:36" ht="15.75" customHeight="1" x14ac:dyDescent="0.25">
      <c r="A909" s="7">
        <v>43420.013001979169</v>
      </c>
      <c r="B909" s="6" t="s">
        <v>60</v>
      </c>
      <c r="C909" s="6" t="s">
        <v>79</v>
      </c>
      <c r="D909" s="6" t="s">
        <v>46</v>
      </c>
      <c r="E909" s="6" t="s">
        <v>48</v>
      </c>
      <c r="F909" s="6" t="s">
        <v>3249</v>
      </c>
      <c r="G909" s="6" t="s">
        <v>48</v>
      </c>
      <c r="H909" s="6" t="s">
        <v>3250</v>
      </c>
      <c r="I909" s="6"/>
      <c r="J909" s="6" t="s">
        <v>73</v>
      </c>
      <c r="K909" s="6"/>
      <c r="L909" s="6" t="s">
        <v>2594</v>
      </c>
      <c r="M909" s="6"/>
      <c r="N909" s="6" t="s">
        <v>112</v>
      </c>
      <c r="O909" s="6"/>
      <c r="P909" s="6" t="s">
        <v>99</v>
      </c>
      <c r="Q909" s="6"/>
      <c r="AA909" s="6"/>
      <c r="AB909" s="6" t="s">
        <v>101</v>
      </c>
      <c r="AC909" s="6"/>
      <c r="AD909" s="6" t="s">
        <v>56</v>
      </c>
      <c r="AE909" s="6"/>
      <c r="AF909" s="6" t="s">
        <v>68</v>
      </c>
      <c r="AG909" s="6"/>
      <c r="AH909" s="6" t="s">
        <v>58</v>
      </c>
      <c r="AI909" s="6"/>
      <c r="AJ909" s="6" t="s">
        <v>115</v>
      </c>
    </row>
    <row r="910" spans="1:36" ht="15.75" customHeight="1" x14ac:dyDescent="0.25">
      <c r="A910" s="7">
        <v>43420.013828078707</v>
      </c>
      <c r="B910" s="6" t="s">
        <v>30</v>
      </c>
      <c r="C910" s="6" t="s">
        <v>128</v>
      </c>
      <c r="D910" s="6" t="s">
        <v>165</v>
      </c>
      <c r="E910" s="6" t="s">
        <v>48</v>
      </c>
      <c r="G910" s="6" t="s">
        <v>48</v>
      </c>
      <c r="J910" s="6" t="s">
        <v>158</v>
      </c>
      <c r="K910" s="6"/>
      <c r="N910" s="6" t="s">
        <v>121</v>
      </c>
      <c r="O910" s="6"/>
      <c r="P910" s="6" t="s">
        <v>94</v>
      </c>
      <c r="Q910" s="6"/>
      <c r="AA910" s="6"/>
      <c r="AB910" s="6" t="s">
        <v>101</v>
      </c>
      <c r="AC910" s="6"/>
      <c r="AD910" s="6" t="s">
        <v>56</v>
      </c>
      <c r="AE910" s="6"/>
      <c r="AF910" s="6" t="s">
        <v>75</v>
      </c>
      <c r="AG910" s="6"/>
      <c r="AH910" s="6" t="s">
        <v>58</v>
      </c>
      <c r="AI910" s="6"/>
      <c r="AJ910" s="6" t="s">
        <v>187</v>
      </c>
    </row>
    <row r="911" spans="1:36" ht="15.75" customHeight="1" x14ac:dyDescent="0.25">
      <c r="A911" s="7">
        <v>43420.017889884257</v>
      </c>
      <c r="B911" s="6" t="s">
        <v>30</v>
      </c>
      <c r="C911" s="6" t="s">
        <v>544</v>
      </c>
      <c r="D911" s="6" t="s">
        <v>46</v>
      </c>
      <c r="E911" s="6" t="s">
        <v>48</v>
      </c>
      <c r="F911" s="6" t="s">
        <v>36</v>
      </c>
      <c r="G911" s="6" t="s">
        <v>48</v>
      </c>
      <c r="H911" s="6" t="s">
        <v>3252</v>
      </c>
      <c r="I911" s="6"/>
      <c r="J911" s="6" t="s">
        <v>92</v>
      </c>
      <c r="K911" s="6"/>
      <c r="L911" s="6" t="s">
        <v>2588</v>
      </c>
      <c r="M911" s="6"/>
      <c r="N911" s="6" t="s">
        <v>181</v>
      </c>
      <c r="O911" s="6"/>
      <c r="P911" s="6" t="s">
        <v>52</v>
      </c>
      <c r="Q911" s="6"/>
      <c r="AA911" s="6"/>
      <c r="AB911" s="6" t="s">
        <v>101</v>
      </c>
      <c r="AC911" s="6"/>
      <c r="AD911" s="6" t="s">
        <v>56</v>
      </c>
      <c r="AE911" s="6"/>
      <c r="AF911" s="6" t="s">
        <v>205</v>
      </c>
      <c r="AG911" s="6"/>
      <c r="AH911" s="6" t="s">
        <v>58</v>
      </c>
      <c r="AI911" s="6"/>
      <c r="AJ911" s="11" t="s">
        <v>174</v>
      </c>
    </row>
    <row r="912" spans="1:36" ht="15.75" customHeight="1" x14ac:dyDescent="0.25">
      <c r="A912" s="7">
        <v>43420.023698379635</v>
      </c>
      <c r="B912" s="6" t="s">
        <v>397</v>
      </c>
      <c r="C912" s="6" t="s">
        <v>1933</v>
      </c>
      <c r="D912" s="6" t="s">
        <v>91</v>
      </c>
      <c r="E912" s="6" t="s">
        <v>81</v>
      </c>
      <c r="G912" s="6" t="s">
        <v>87</v>
      </c>
      <c r="H912" s="6" t="s">
        <v>3253</v>
      </c>
      <c r="I912" s="6"/>
      <c r="J912" s="6" t="s">
        <v>64</v>
      </c>
      <c r="K912" s="6"/>
      <c r="L912" s="6" t="s">
        <v>2549</v>
      </c>
      <c r="M912" s="6"/>
      <c r="N912" s="6" t="s">
        <v>98</v>
      </c>
      <c r="O912" s="6"/>
      <c r="P912" s="6" t="s">
        <v>131</v>
      </c>
      <c r="Q912" s="6"/>
      <c r="AA912" s="6"/>
      <c r="AB912" s="6" t="s">
        <v>203</v>
      </c>
      <c r="AC912" s="6"/>
      <c r="AD912" s="6" t="s">
        <v>56</v>
      </c>
      <c r="AE912" s="6"/>
      <c r="AF912" s="6" t="s">
        <v>75</v>
      </c>
      <c r="AG912" s="6"/>
      <c r="AH912" s="6" t="s">
        <v>58</v>
      </c>
      <c r="AI912" s="6"/>
      <c r="AJ912" s="6" t="s">
        <v>77</v>
      </c>
    </row>
    <row r="913" spans="1:36" ht="15.75" customHeight="1" x14ac:dyDescent="0.25">
      <c r="A913" s="7">
        <v>43420.031025081014</v>
      </c>
      <c r="B913" s="6" t="s">
        <v>30</v>
      </c>
      <c r="C913" s="6" t="s">
        <v>116</v>
      </c>
      <c r="D913" s="6" t="s">
        <v>165</v>
      </c>
      <c r="E913" s="6" t="s">
        <v>48</v>
      </c>
      <c r="G913" s="6" t="s">
        <v>48</v>
      </c>
      <c r="J913" s="6" t="s">
        <v>92</v>
      </c>
      <c r="K913" s="6"/>
      <c r="N913" s="6" t="s">
        <v>212</v>
      </c>
      <c r="O913" s="6"/>
      <c r="P913" s="6" t="s">
        <v>99</v>
      </c>
      <c r="Q913" s="6"/>
      <c r="AA913" s="6"/>
      <c r="AB913" s="6" t="s">
        <v>67</v>
      </c>
      <c r="AC913" s="6"/>
      <c r="AD913" s="6" t="s">
        <v>56</v>
      </c>
      <c r="AE913" s="6"/>
      <c r="AF913" s="6" t="s">
        <v>205</v>
      </c>
      <c r="AG913" s="6"/>
      <c r="AH913" s="6" t="s">
        <v>58</v>
      </c>
      <c r="AJ913" s="12" t="s">
        <v>57</v>
      </c>
    </row>
    <row r="914" spans="1:36" ht="15.75" customHeight="1" x14ac:dyDescent="0.25">
      <c r="A914" s="7">
        <v>43420.031162407409</v>
      </c>
      <c r="B914" s="6" t="s">
        <v>30</v>
      </c>
      <c r="C914" s="6" t="s">
        <v>79</v>
      </c>
      <c r="D914" s="6" t="s">
        <v>138</v>
      </c>
      <c r="E914" s="6" t="s">
        <v>48</v>
      </c>
      <c r="F914" s="6" t="s">
        <v>3255</v>
      </c>
      <c r="G914" s="6" t="s">
        <v>48</v>
      </c>
      <c r="H914" s="6" t="s">
        <v>3256</v>
      </c>
      <c r="I914" s="6"/>
      <c r="J914" s="6" t="s">
        <v>110</v>
      </c>
      <c r="K914" s="6"/>
      <c r="L914" s="6" t="s">
        <v>2446</v>
      </c>
      <c r="M914" s="6"/>
      <c r="N914" s="6" t="s">
        <v>98</v>
      </c>
      <c r="O914" s="6"/>
      <c r="P914" s="6" t="s">
        <v>94</v>
      </c>
      <c r="Q914" s="6"/>
      <c r="R914" s="47" t="s">
        <v>3568</v>
      </c>
      <c r="S914" s="14" t="s">
        <v>5462</v>
      </c>
      <c r="T914" s="14" t="s">
        <v>5463</v>
      </c>
      <c r="AA914" s="6"/>
      <c r="AB914" s="6" t="s">
        <v>67</v>
      </c>
      <c r="AC914" s="6"/>
      <c r="AD914" s="6" t="s">
        <v>56</v>
      </c>
      <c r="AE914" s="6"/>
      <c r="AF914" s="6" t="s">
        <v>68</v>
      </c>
      <c r="AG914" s="6"/>
      <c r="AH914" s="6" t="s">
        <v>58</v>
      </c>
      <c r="AI914" s="6"/>
      <c r="AJ914" s="11" t="s">
        <v>77</v>
      </c>
    </row>
    <row r="915" spans="1:36" ht="15.75" customHeight="1" x14ac:dyDescent="0.25">
      <c r="A915" s="7">
        <v>43420.040085428242</v>
      </c>
      <c r="B915" s="6" t="s">
        <v>127</v>
      </c>
      <c r="C915" s="6" t="s">
        <v>306</v>
      </c>
      <c r="D915" s="6" t="s">
        <v>46</v>
      </c>
      <c r="E915" s="6" t="s">
        <v>81</v>
      </c>
      <c r="G915" s="6" t="s">
        <v>87</v>
      </c>
      <c r="H915" s="6" t="s">
        <v>3261</v>
      </c>
      <c r="I915" s="6"/>
      <c r="J915" s="6" t="s">
        <v>92</v>
      </c>
      <c r="K915" s="6"/>
      <c r="L915" s="6" t="s">
        <v>2904</v>
      </c>
      <c r="M915" s="6"/>
      <c r="N915" s="6" t="s">
        <v>121</v>
      </c>
      <c r="O915" s="6"/>
      <c r="P915" s="6" t="s">
        <v>131</v>
      </c>
      <c r="Q915" s="6"/>
      <c r="AA915" s="6"/>
      <c r="AB915" s="6" t="s">
        <v>67</v>
      </c>
      <c r="AC915" s="6"/>
      <c r="AD915" s="6" t="s">
        <v>56</v>
      </c>
      <c r="AE915" s="6"/>
      <c r="AF915" s="6" t="s">
        <v>75</v>
      </c>
      <c r="AG915" s="6"/>
      <c r="AH915" s="6" t="s">
        <v>58</v>
      </c>
      <c r="AI915" s="6"/>
      <c r="AJ915" s="11" t="s">
        <v>77</v>
      </c>
    </row>
    <row r="916" spans="1:36" ht="15.75" customHeight="1" x14ac:dyDescent="0.25">
      <c r="A916" s="7">
        <v>43420.040926319445</v>
      </c>
      <c r="B916" s="6" t="s">
        <v>60</v>
      </c>
      <c r="C916" s="6" t="s">
        <v>215</v>
      </c>
      <c r="D916" s="6" t="s">
        <v>133</v>
      </c>
      <c r="E916" s="6" t="s">
        <v>81</v>
      </c>
      <c r="G916" s="6" t="s">
        <v>87</v>
      </c>
      <c r="J916" s="6" t="s">
        <v>50</v>
      </c>
      <c r="K916" s="6"/>
      <c r="L916" s="6" t="s">
        <v>2597</v>
      </c>
      <c r="M916" s="6"/>
      <c r="N916" s="6" t="s">
        <v>181</v>
      </c>
      <c r="O916" s="6"/>
      <c r="P916" s="6" t="s">
        <v>131</v>
      </c>
      <c r="Q916" s="6"/>
      <c r="R916" s="47" t="s">
        <v>1971</v>
      </c>
      <c r="AA916" s="6"/>
      <c r="AB916" s="6" t="s">
        <v>55</v>
      </c>
      <c r="AC916" s="6"/>
      <c r="AD916" s="6" t="s">
        <v>56</v>
      </c>
      <c r="AE916" s="6"/>
      <c r="AF916" s="6" t="s">
        <v>161</v>
      </c>
      <c r="AG916" s="6"/>
      <c r="AH916" s="6" t="s">
        <v>76</v>
      </c>
      <c r="AI916" s="6"/>
      <c r="AJ916" s="6" t="s">
        <v>409</v>
      </c>
    </row>
    <row r="917" spans="1:36" ht="15.75" customHeight="1" x14ac:dyDescent="0.25">
      <c r="A917" s="7">
        <v>43420.046364270835</v>
      </c>
      <c r="B917" s="6" t="s">
        <v>127</v>
      </c>
      <c r="C917" s="6" t="s">
        <v>378</v>
      </c>
      <c r="D917" s="6" t="s">
        <v>91</v>
      </c>
      <c r="E917" s="6" t="s">
        <v>48</v>
      </c>
      <c r="F917" s="6" t="s">
        <v>3264</v>
      </c>
      <c r="G917" s="6" t="s">
        <v>48</v>
      </c>
      <c r="H917" s="6" t="s">
        <v>3265</v>
      </c>
      <c r="I917" s="6"/>
      <c r="J917" s="6" t="s">
        <v>89</v>
      </c>
      <c r="K917" s="6"/>
      <c r="L917" s="6" t="s">
        <v>2599</v>
      </c>
      <c r="M917" s="6"/>
      <c r="N917" s="6" t="s">
        <v>181</v>
      </c>
      <c r="O917" s="6"/>
      <c r="P917" s="6" t="s">
        <v>94</v>
      </c>
      <c r="Q917" s="6"/>
      <c r="R917" s="47" t="s">
        <v>5464</v>
      </c>
      <c r="S917" s="14" t="s">
        <v>5465</v>
      </c>
      <c r="T917" s="14" t="s">
        <v>4425</v>
      </c>
      <c r="U917" s="14" t="s">
        <v>4657</v>
      </c>
      <c r="AA917" s="6"/>
      <c r="AB917" s="6" t="s">
        <v>55</v>
      </c>
      <c r="AC917" s="6"/>
      <c r="AD917" s="6" t="s">
        <v>56</v>
      </c>
      <c r="AE917" s="6"/>
      <c r="AF917" s="6" t="s">
        <v>68</v>
      </c>
      <c r="AG917" s="6"/>
      <c r="AH917" s="6" t="s">
        <v>58</v>
      </c>
      <c r="AI917" s="6"/>
      <c r="AJ917" s="11" t="s">
        <v>77</v>
      </c>
    </row>
    <row r="918" spans="1:36" ht="15.75" customHeight="1" x14ac:dyDescent="0.25">
      <c r="A918" s="7">
        <v>43420.049736215282</v>
      </c>
      <c r="B918" s="6" t="s">
        <v>127</v>
      </c>
      <c r="C918" s="6" t="s">
        <v>349</v>
      </c>
      <c r="D918" s="6" t="s">
        <v>510</v>
      </c>
      <c r="E918" s="6" t="s">
        <v>48</v>
      </c>
      <c r="F918" s="6" t="s">
        <v>3269</v>
      </c>
      <c r="G918" s="6" t="s">
        <v>48</v>
      </c>
      <c r="H918" s="6" t="s">
        <v>1264</v>
      </c>
      <c r="I918" s="6"/>
      <c r="J918" s="6" t="s">
        <v>158</v>
      </c>
      <c r="K918" s="6"/>
      <c r="L918" s="6" t="s">
        <v>2906</v>
      </c>
      <c r="M918" s="6"/>
      <c r="N918" s="6" t="s">
        <v>112</v>
      </c>
      <c r="O918" s="6"/>
      <c r="P918" s="6" t="s">
        <v>52</v>
      </c>
      <c r="Q918" s="6"/>
      <c r="R918" s="47" t="s">
        <v>201</v>
      </c>
      <c r="AA918" s="6"/>
      <c r="AB918" s="6" t="s">
        <v>101</v>
      </c>
      <c r="AC918" s="6"/>
      <c r="AD918" s="6" t="s">
        <v>56</v>
      </c>
      <c r="AE918" s="6"/>
      <c r="AF918" s="6" t="s">
        <v>68</v>
      </c>
      <c r="AG918" s="6"/>
      <c r="AH918" s="6" t="s">
        <v>58</v>
      </c>
      <c r="AI918" s="6"/>
      <c r="AJ918" s="6" t="s">
        <v>187</v>
      </c>
    </row>
    <row r="919" spans="1:36" ht="15.75" customHeight="1" x14ac:dyDescent="0.25">
      <c r="A919" s="7">
        <v>43420.055140405093</v>
      </c>
      <c r="B919" s="6" t="s">
        <v>60</v>
      </c>
      <c r="C919" s="6" t="s">
        <v>90</v>
      </c>
      <c r="D919" s="6" t="s">
        <v>133</v>
      </c>
      <c r="E919" s="6" t="s">
        <v>48</v>
      </c>
      <c r="F919" s="6" t="s">
        <v>220</v>
      </c>
      <c r="G919" s="6" t="s">
        <v>48</v>
      </c>
      <c r="H919" s="6" t="s">
        <v>3271</v>
      </c>
      <c r="I919" s="6"/>
      <c r="J919" s="6" t="s">
        <v>110</v>
      </c>
      <c r="K919" s="6"/>
      <c r="L919" s="6" t="s">
        <v>2601</v>
      </c>
      <c r="M919" s="6"/>
      <c r="N919" s="6" t="s">
        <v>181</v>
      </c>
      <c r="O919" s="6"/>
      <c r="P919" s="6" t="s">
        <v>131</v>
      </c>
      <c r="Q919" s="6"/>
      <c r="R919" s="47" t="s">
        <v>5466</v>
      </c>
      <c r="S919" s="14" t="s">
        <v>5467</v>
      </c>
      <c r="T919" s="14" t="s">
        <v>5468</v>
      </c>
      <c r="AA919" s="6"/>
      <c r="AB919" s="6" t="s">
        <v>67</v>
      </c>
      <c r="AC919" s="6"/>
      <c r="AD919" s="6" t="s">
        <v>56</v>
      </c>
      <c r="AE919" s="6"/>
      <c r="AF919" s="6" t="s">
        <v>75</v>
      </c>
      <c r="AG919" s="6"/>
      <c r="AH919" s="6" t="s">
        <v>57</v>
      </c>
      <c r="AI919" s="6"/>
      <c r="AJ919" s="6" t="s">
        <v>115</v>
      </c>
    </row>
    <row r="920" spans="1:36" ht="15.75" customHeight="1" x14ac:dyDescent="0.25">
      <c r="A920" s="7">
        <v>43420.059446874999</v>
      </c>
      <c r="B920" s="6" t="s">
        <v>3275</v>
      </c>
      <c r="C920" s="6" t="s">
        <v>1249</v>
      </c>
      <c r="D920" s="6" t="s">
        <v>46</v>
      </c>
      <c r="E920" s="6" t="s">
        <v>81</v>
      </c>
      <c r="G920" s="6" t="s">
        <v>87</v>
      </c>
      <c r="J920" s="6" t="s">
        <v>64</v>
      </c>
      <c r="K920" s="6"/>
      <c r="L920" s="6" t="s">
        <v>2603</v>
      </c>
      <c r="M920" s="6"/>
      <c r="N920" s="6" t="s">
        <v>98</v>
      </c>
      <c r="O920" s="6"/>
      <c r="P920" s="6" t="s">
        <v>94</v>
      </c>
      <c r="Q920" s="6"/>
      <c r="AA920" s="6"/>
      <c r="AB920" s="6" t="s">
        <v>55</v>
      </c>
      <c r="AC920" s="6"/>
      <c r="AD920" s="6" t="s">
        <v>56</v>
      </c>
      <c r="AE920" s="6"/>
      <c r="AF920" s="6" t="s">
        <v>161</v>
      </c>
      <c r="AG920" s="6"/>
      <c r="AH920" s="6" t="s">
        <v>76</v>
      </c>
      <c r="AI920" s="6"/>
      <c r="AJ920" s="11" t="s">
        <v>77</v>
      </c>
    </row>
    <row r="921" spans="1:36" ht="15.75" customHeight="1" x14ac:dyDescent="0.25">
      <c r="A921" s="7">
        <v>43420.059461331017</v>
      </c>
      <c r="B921" s="6" t="s">
        <v>127</v>
      </c>
      <c r="C921" s="6" t="s">
        <v>306</v>
      </c>
      <c r="D921" s="6" t="s">
        <v>510</v>
      </c>
      <c r="E921" s="6" t="s">
        <v>81</v>
      </c>
      <c r="G921" s="6" t="s">
        <v>87</v>
      </c>
      <c r="J921" s="6" t="s">
        <v>64</v>
      </c>
      <c r="K921" s="6"/>
      <c r="L921" s="6" t="s">
        <v>2277</v>
      </c>
      <c r="M921" s="6"/>
      <c r="N921" s="6" t="s">
        <v>167</v>
      </c>
      <c r="O921" s="6"/>
      <c r="P921" s="6" t="s">
        <v>94</v>
      </c>
      <c r="Q921" s="6"/>
      <c r="AA921" s="6"/>
      <c r="AB921" s="6" t="s">
        <v>67</v>
      </c>
      <c r="AC921" s="6"/>
      <c r="AD921" s="6" t="s">
        <v>56</v>
      </c>
      <c r="AE921" s="6"/>
      <c r="AF921" s="6" t="s">
        <v>75</v>
      </c>
      <c r="AG921" s="6"/>
      <c r="AH921" s="6" t="s">
        <v>76</v>
      </c>
      <c r="AI921" s="6"/>
      <c r="AJ921" s="6" t="s">
        <v>329</v>
      </c>
    </row>
    <row r="922" spans="1:36" ht="15.75" customHeight="1" x14ac:dyDescent="0.25">
      <c r="A922" s="7">
        <v>43420.060560868056</v>
      </c>
      <c r="B922" s="6" t="s">
        <v>127</v>
      </c>
      <c r="C922" s="6" t="s">
        <v>215</v>
      </c>
      <c r="D922" s="6" t="s">
        <v>163</v>
      </c>
      <c r="E922" s="6" t="s">
        <v>48</v>
      </c>
      <c r="F922" s="6" t="s">
        <v>3277</v>
      </c>
      <c r="G922" s="6" t="s">
        <v>48</v>
      </c>
      <c r="J922" s="6" t="s">
        <v>158</v>
      </c>
      <c r="K922" s="6"/>
      <c r="L922" s="6" t="s">
        <v>2605</v>
      </c>
      <c r="M922" s="6"/>
      <c r="N922" s="6" t="s">
        <v>212</v>
      </c>
      <c r="O922" s="6"/>
      <c r="P922" s="6" t="s">
        <v>94</v>
      </c>
      <c r="Q922" s="6"/>
      <c r="R922" s="47" t="s">
        <v>2905</v>
      </c>
      <c r="S922" s="14" t="s">
        <v>5469</v>
      </c>
      <c r="T922" s="14" t="s">
        <v>5470</v>
      </c>
      <c r="U922" s="14" t="s">
        <v>5471</v>
      </c>
      <c r="V922" s="14" t="s">
        <v>4435</v>
      </c>
      <c r="W922" s="14" t="s">
        <v>5472</v>
      </c>
      <c r="AA922" s="6"/>
      <c r="AB922" s="6" t="s">
        <v>67</v>
      </c>
      <c r="AC922" s="6"/>
      <c r="AD922" s="6" t="s">
        <v>56</v>
      </c>
      <c r="AE922" s="6"/>
      <c r="AF922" s="6" t="s">
        <v>75</v>
      </c>
      <c r="AG922" s="6"/>
      <c r="AH922" s="6" t="s">
        <v>57</v>
      </c>
      <c r="AI922" s="6"/>
      <c r="AJ922" s="6" t="s">
        <v>314</v>
      </c>
    </row>
    <row r="923" spans="1:36" ht="15.75" customHeight="1" x14ac:dyDescent="0.25">
      <c r="A923" s="7">
        <v>43420.074794710643</v>
      </c>
      <c r="B923" s="6" t="s">
        <v>127</v>
      </c>
      <c r="C923" s="6" t="s">
        <v>79</v>
      </c>
      <c r="D923" s="6" t="s">
        <v>510</v>
      </c>
      <c r="E923" s="6" t="s">
        <v>48</v>
      </c>
      <c r="F923" s="6" t="s">
        <v>3280</v>
      </c>
      <c r="G923" s="6" t="s">
        <v>48</v>
      </c>
      <c r="H923" s="6" t="s">
        <v>3281</v>
      </c>
      <c r="I923" s="6"/>
      <c r="J923" s="6" t="s">
        <v>89</v>
      </c>
      <c r="K923" s="6"/>
      <c r="L923" s="6" t="s">
        <v>2607</v>
      </c>
      <c r="M923" s="6"/>
      <c r="N923" s="6" t="s">
        <v>212</v>
      </c>
      <c r="O923" s="6"/>
      <c r="P923" s="6" t="s">
        <v>99</v>
      </c>
      <c r="Q923" s="6"/>
      <c r="R923" s="47" t="s">
        <v>5473</v>
      </c>
      <c r="S923" s="14" t="s">
        <v>4427</v>
      </c>
      <c r="T923" s="14" t="s">
        <v>4579</v>
      </c>
      <c r="U923" s="14" t="s">
        <v>5474</v>
      </c>
      <c r="AA923" s="6"/>
      <c r="AB923" s="6" t="s">
        <v>67</v>
      </c>
      <c r="AC923" s="6"/>
      <c r="AD923" s="6" t="s">
        <v>56</v>
      </c>
      <c r="AE923" s="6"/>
      <c r="AF923" s="6" t="s">
        <v>205</v>
      </c>
      <c r="AG923" s="6"/>
      <c r="AH923" s="6" t="s">
        <v>57</v>
      </c>
      <c r="AI923" s="6"/>
      <c r="AJ923" s="6" t="s">
        <v>187</v>
      </c>
    </row>
    <row r="924" spans="1:36" ht="15.75" customHeight="1" x14ac:dyDescent="0.25">
      <c r="A924" s="7">
        <v>43420.088622974537</v>
      </c>
      <c r="B924" s="6" t="s">
        <v>305</v>
      </c>
      <c r="C924" s="6" t="s">
        <v>128</v>
      </c>
      <c r="D924" s="6" t="s">
        <v>138</v>
      </c>
      <c r="E924" s="6" t="s">
        <v>81</v>
      </c>
      <c r="G924" s="6" t="s">
        <v>87</v>
      </c>
      <c r="J924" s="6" t="s">
        <v>92</v>
      </c>
      <c r="K924" s="6"/>
      <c r="N924" s="6" t="s">
        <v>121</v>
      </c>
      <c r="O924" s="6"/>
      <c r="P924" s="6" t="s">
        <v>168</v>
      </c>
      <c r="Q924" s="6"/>
      <c r="AA924" s="6"/>
      <c r="AB924" s="6" t="s">
        <v>101</v>
      </c>
      <c r="AC924" s="6"/>
      <c r="AD924" s="6" t="s">
        <v>56</v>
      </c>
      <c r="AE924" s="6"/>
      <c r="AF924" s="6" t="s">
        <v>161</v>
      </c>
      <c r="AG924" s="6"/>
      <c r="AH924" s="6" t="s">
        <v>76</v>
      </c>
      <c r="AJ924" s="12" t="s">
        <v>57</v>
      </c>
    </row>
    <row r="925" spans="1:36" ht="15.75" customHeight="1" x14ac:dyDescent="0.25">
      <c r="A925" s="7">
        <v>43420.099348657408</v>
      </c>
      <c r="B925" s="6" t="s">
        <v>30</v>
      </c>
      <c r="C925" s="6" t="s">
        <v>116</v>
      </c>
      <c r="D925" s="6" t="s">
        <v>46</v>
      </c>
      <c r="E925" s="6" t="s">
        <v>81</v>
      </c>
      <c r="G925" s="6" t="s">
        <v>87</v>
      </c>
      <c r="H925" s="6" t="s">
        <v>3286</v>
      </c>
      <c r="I925" s="6"/>
      <c r="J925" s="6" t="s">
        <v>92</v>
      </c>
      <c r="K925" s="6"/>
      <c r="L925" s="6" t="s">
        <v>2280</v>
      </c>
      <c r="M925" s="6"/>
      <c r="N925" s="6" t="s">
        <v>112</v>
      </c>
      <c r="O925" s="6"/>
      <c r="P925" s="6" t="s">
        <v>131</v>
      </c>
      <c r="Q925" s="6"/>
      <c r="R925" s="47" t="s">
        <v>149</v>
      </c>
      <c r="S925" s="14" t="s">
        <v>4473</v>
      </c>
      <c r="T925" s="14" t="s">
        <v>5475</v>
      </c>
      <c r="U925" s="14" t="s">
        <v>4889</v>
      </c>
      <c r="AA925" s="6"/>
      <c r="AB925" s="6" t="s">
        <v>101</v>
      </c>
      <c r="AC925" s="6"/>
      <c r="AD925" s="6" t="s">
        <v>56</v>
      </c>
      <c r="AE925" s="6"/>
      <c r="AF925" s="6" t="s">
        <v>68</v>
      </c>
      <c r="AG925" s="6"/>
      <c r="AH925" s="6" t="s">
        <v>58</v>
      </c>
      <c r="AI925" s="6"/>
      <c r="AJ925" s="11" t="s">
        <v>77</v>
      </c>
    </row>
    <row r="926" spans="1:36" ht="15.75" customHeight="1" x14ac:dyDescent="0.25">
      <c r="A926" s="7">
        <v>43420.105511041664</v>
      </c>
      <c r="B926" s="6" t="s">
        <v>30</v>
      </c>
      <c r="C926" s="6" t="s">
        <v>45</v>
      </c>
      <c r="D926" s="6" t="s">
        <v>46</v>
      </c>
      <c r="E926" s="6" t="s">
        <v>81</v>
      </c>
      <c r="G926" s="6" t="s">
        <v>87</v>
      </c>
      <c r="H926" s="6" t="s">
        <v>3290</v>
      </c>
      <c r="I926" s="6"/>
      <c r="J926" s="6" t="s">
        <v>92</v>
      </c>
      <c r="K926" s="6"/>
      <c r="L926" s="6" t="s">
        <v>2908</v>
      </c>
      <c r="M926" s="6"/>
      <c r="N926" s="6" t="s">
        <v>93</v>
      </c>
      <c r="O926" s="6"/>
      <c r="P926" s="6" t="s">
        <v>94</v>
      </c>
      <c r="Q926" s="6"/>
      <c r="R926" s="47" t="s">
        <v>3292</v>
      </c>
      <c r="AA926" s="6"/>
      <c r="AB926" s="6" t="s">
        <v>101</v>
      </c>
      <c r="AC926" s="6"/>
      <c r="AD926" s="6" t="s">
        <v>56</v>
      </c>
      <c r="AE926" s="6"/>
      <c r="AF926" s="6" t="s">
        <v>161</v>
      </c>
      <c r="AG926" s="6"/>
      <c r="AH926" s="6" t="s">
        <v>76</v>
      </c>
      <c r="AI926" s="6"/>
      <c r="AJ926" s="11" t="s">
        <v>77</v>
      </c>
    </row>
    <row r="927" spans="1:36" ht="15.75" customHeight="1" x14ac:dyDescent="0.25">
      <c r="A927" s="7">
        <v>43420.106773287036</v>
      </c>
      <c r="B927" s="6" t="s">
        <v>30</v>
      </c>
      <c r="C927" s="6" t="s">
        <v>95</v>
      </c>
      <c r="D927" s="6" t="s">
        <v>46</v>
      </c>
      <c r="E927" s="6" t="s">
        <v>81</v>
      </c>
      <c r="G927" s="6" t="s">
        <v>87</v>
      </c>
      <c r="H927" s="6" t="s">
        <v>86</v>
      </c>
      <c r="I927" s="6"/>
      <c r="J927" s="6" t="s">
        <v>184</v>
      </c>
      <c r="K927" s="6"/>
      <c r="L927" s="6" t="s">
        <v>2284</v>
      </c>
      <c r="M927" s="6"/>
      <c r="N927" s="6" t="s">
        <v>121</v>
      </c>
      <c r="O927" s="6"/>
      <c r="P927" s="6" t="s">
        <v>168</v>
      </c>
      <c r="Q927" s="6"/>
      <c r="R927" s="47" t="s">
        <v>2513</v>
      </c>
      <c r="AA927" s="6"/>
      <c r="AB927" s="6" t="s">
        <v>101</v>
      </c>
      <c r="AC927" s="6"/>
      <c r="AD927" s="6" t="s">
        <v>56</v>
      </c>
      <c r="AE927" s="6"/>
      <c r="AF927" s="6" t="s">
        <v>75</v>
      </c>
      <c r="AG927" s="6"/>
      <c r="AH927" s="6" t="s">
        <v>58</v>
      </c>
      <c r="AI927" s="6"/>
      <c r="AJ927" s="6" t="s">
        <v>69</v>
      </c>
    </row>
    <row r="928" spans="1:36" ht="15.75" customHeight="1" x14ac:dyDescent="0.25">
      <c r="A928" s="7">
        <v>43420.109460520835</v>
      </c>
      <c r="B928" s="6" t="s">
        <v>1110</v>
      </c>
      <c r="C928" s="6" t="s">
        <v>128</v>
      </c>
      <c r="D928" s="6" t="s">
        <v>91</v>
      </c>
      <c r="E928" s="6" t="s">
        <v>81</v>
      </c>
      <c r="G928" s="6" t="s">
        <v>87</v>
      </c>
      <c r="J928" s="6" t="s">
        <v>106</v>
      </c>
      <c r="K928" s="6"/>
      <c r="L928" s="6" t="s">
        <v>2911</v>
      </c>
      <c r="M928" s="6"/>
      <c r="N928" s="6" t="s">
        <v>212</v>
      </c>
      <c r="O928" s="6"/>
      <c r="P928" s="6" t="s">
        <v>99</v>
      </c>
      <c r="Q928" s="6"/>
      <c r="R928" s="47" t="s">
        <v>192</v>
      </c>
      <c r="S928" s="14" t="s">
        <v>4400</v>
      </c>
      <c r="T928" s="14" t="s">
        <v>5476</v>
      </c>
      <c r="AA928" s="6"/>
      <c r="AB928" s="6" t="s">
        <v>101</v>
      </c>
      <c r="AC928" s="6"/>
      <c r="AD928" s="6" t="s">
        <v>56</v>
      </c>
      <c r="AE928" s="6"/>
      <c r="AF928" s="6" t="s">
        <v>68</v>
      </c>
      <c r="AG928" s="6"/>
      <c r="AH928" s="6" t="s">
        <v>58</v>
      </c>
      <c r="AI928" s="6"/>
      <c r="AJ928" s="6" t="s">
        <v>300</v>
      </c>
    </row>
    <row r="929" spans="1:36" ht="15.75" customHeight="1" x14ac:dyDescent="0.25">
      <c r="A929" s="7">
        <v>43420.118286597222</v>
      </c>
      <c r="B929" s="6" t="s">
        <v>31</v>
      </c>
      <c r="C929" s="6" t="s">
        <v>90</v>
      </c>
      <c r="D929" s="6" t="s">
        <v>165</v>
      </c>
      <c r="E929" s="6" t="s">
        <v>81</v>
      </c>
      <c r="G929" s="6" t="s">
        <v>87</v>
      </c>
      <c r="H929" s="6" t="s">
        <v>48</v>
      </c>
      <c r="I929" s="6"/>
      <c r="J929" s="6" t="s">
        <v>92</v>
      </c>
      <c r="K929" s="6"/>
      <c r="L929" s="6" t="s">
        <v>2608</v>
      </c>
      <c r="M929" s="6"/>
      <c r="N929" s="6" t="s">
        <v>98</v>
      </c>
      <c r="O929" s="6"/>
      <c r="P929" s="6" t="s">
        <v>131</v>
      </c>
      <c r="Q929" s="6"/>
      <c r="R929" s="47" t="s">
        <v>5262</v>
      </c>
      <c r="S929" s="14" t="s">
        <v>5477</v>
      </c>
      <c r="AA929" s="6"/>
      <c r="AB929" s="6" t="s">
        <v>67</v>
      </c>
      <c r="AC929" s="6"/>
      <c r="AD929" s="6" t="s">
        <v>56</v>
      </c>
      <c r="AE929" s="6"/>
      <c r="AF929" s="6" t="s">
        <v>205</v>
      </c>
      <c r="AG929" s="6"/>
      <c r="AH929" s="6" t="s">
        <v>57</v>
      </c>
      <c r="AI929" s="6"/>
      <c r="AJ929" s="6" t="s">
        <v>77</v>
      </c>
    </row>
    <row r="930" spans="1:36" ht="15.75" customHeight="1" x14ac:dyDescent="0.25">
      <c r="A930" s="7">
        <v>43420.119352708338</v>
      </c>
      <c r="B930" s="6" t="s">
        <v>30</v>
      </c>
      <c r="C930" s="6" t="s">
        <v>116</v>
      </c>
      <c r="D930" s="6" t="s">
        <v>165</v>
      </c>
      <c r="E930" s="6" t="s">
        <v>81</v>
      </c>
      <c r="G930" s="6" t="s">
        <v>87</v>
      </c>
      <c r="N930" s="6" t="s">
        <v>93</v>
      </c>
      <c r="O930" s="6"/>
      <c r="P930" s="6" t="s">
        <v>94</v>
      </c>
      <c r="Q930" s="6"/>
      <c r="AA930" s="6"/>
      <c r="AB930" s="6" t="s">
        <v>101</v>
      </c>
      <c r="AC930" s="6"/>
      <c r="AD930" s="6" t="s">
        <v>57</v>
      </c>
      <c r="AE930" s="6"/>
      <c r="AF930" s="6" t="s">
        <v>75</v>
      </c>
      <c r="AG930" s="6"/>
      <c r="AH930" s="6" t="s">
        <v>58</v>
      </c>
      <c r="AJ930" s="12" t="s">
        <v>57</v>
      </c>
    </row>
    <row r="931" spans="1:36" ht="15.75" customHeight="1" x14ac:dyDescent="0.25">
      <c r="A931" s="7">
        <v>43420.124964733797</v>
      </c>
      <c r="B931" s="6" t="s">
        <v>103</v>
      </c>
      <c r="C931" s="6" t="s">
        <v>1027</v>
      </c>
      <c r="E931" s="6" t="s">
        <v>48</v>
      </c>
      <c r="F931" s="6" t="s">
        <v>3303</v>
      </c>
      <c r="G931" s="6" t="s">
        <v>48</v>
      </c>
      <c r="J931" s="6" t="s">
        <v>110</v>
      </c>
      <c r="K931" s="6"/>
      <c r="L931" s="6" t="s">
        <v>2913</v>
      </c>
      <c r="M931" s="6"/>
      <c r="N931" s="6" t="s">
        <v>93</v>
      </c>
      <c r="O931" s="6"/>
      <c r="P931" s="6" t="s">
        <v>94</v>
      </c>
      <c r="Q931" s="6"/>
      <c r="R931" s="47" t="s">
        <v>5464</v>
      </c>
      <c r="S931" s="14" t="s">
        <v>5478</v>
      </c>
      <c r="T931" s="14" t="s">
        <v>5479</v>
      </c>
      <c r="U931" s="14" t="s">
        <v>5480</v>
      </c>
      <c r="V931" s="14" t="s">
        <v>3994</v>
      </c>
      <c r="AA931" s="6"/>
      <c r="AB931" s="6" t="s">
        <v>101</v>
      </c>
      <c r="AC931" s="6"/>
      <c r="AD931" s="6" t="s">
        <v>57</v>
      </c>
      <c r="AE931" s="6"/>
      <c r="AF931" s="6" t="s">
        <v>68</v>
      </c>
      <c r="AG931" s="6"/>
      <c r="AH931" s="6" t="s">
        <v>58</v>
      </c>
      <c r="AI931" s="6"/>
      <c r="AJ931" s="6" t="s">
        <v>77</v>
      </c>
    </row>
    <row r="932" spans="1:36" ht="15.75" customHeight="1" x14ac:dyDescent="0.25">
      <c r="A932" s="7">
        <v>43420.125459270828</v>
      </c>
      <c r="B932" s="6" t="s">
        <v>26</v>
      </c>
      <c r="C932" s="6" t="s">
        <v>116</v>
      </c>
      <c r="D932" s="6" t="s">
        <v>46</v>
      </c>
      <c r="E932" s="6" t="s">
        <v>81</v>
      </c>
      <c r="G932" s="6" t="s">
        <v>48</v>
      </c>
      <c r="J932" s="6" t="s">
        <v>92</v>
      </c>
      <c r="K932" s="6"/>
      <c r="L932" s="6" t="s">
        <v>2287</v>
      </c>
      <c r="M932" s="6"/>
      <c r="N932" s="6" t="s">
        <v>181</v>
      </c>
      <c r="O932" s="6"/>
      <c r="P932" s="6" t="s">
        <v>94</v>
      </c>
      <c r="Q932" s="6"/>
      <c r="R932" s="47" t="s">
        <v>1143</v>
      </c>
      <c r="S932" s="14" t="s">
        <v>5481</v>
      </c>
      <c r="AA932" s="6"/>
      <c r="AB932" s="6" t="s">
        <v>67</v>
      </c>
      <c r="AC932" s="6"/>
      <c r="AD932" s="6" t="s">
        <v>56</v>
      </c>
      <c r="AE932" s="6"/>
      <c r="AF932" s="6" t="s">
        <v>161</v>
      </c>
      <c r="AG932" s="6"/>
      <c r="AH932" s="6" t="s">
        <v>76</v>
      </c>
      <c r="AI932" s="6"/>
      <c r="AJ932" s="6" t="s">
        <v>260</v>
      </c>
    </row>
    <row r="933" spans="1:36" ht="15.75" customHeight="1" x14ac:dyDescent="0.25">
      <c r="A933" s="7">
        <v>43420.13182623843</v>
      </c>
      <c r="B933" s="6" t="s">
        <v>30</v>
      </c>
      <c r="C933" s="6" t="s">
        <v>116</v>
      </c>
      <c r="D933" s="6" t="s">
        <v>46</v>
      </c>
      <c r="E933" s="6" t="s">
        <v>48</v>
      </c>
      <c r="F933" s="6" t="s">
        <v>1772</v>
      </c>
      <c r="G933" s="6" t="s">
        <v>48</v>
      </c>
      <c r="H933" s="6" t="s">
        <v>3308</v>
      </c>
      <c r="I933" s="6"/>
      <c r="J933" s="6" t="s">
        <v>92</v>
      </c>
      <c r="K933" s="6"/>
      <c r="L933" s="6" t="s">
        <v>2914</v>
      </c>
      <c r="M933" s="6"/>
      <c r="N933" s="6" t="s">
        <v>98</v>
      </c>
      <c r="O933" s="6"/>
      <c r="P933" s="6" t="s">
        <v>131</v>
      </c>
      <c r="Q933" s="6"/>
      <c r="R933" s="47" t="s">
        <v>3664</v>
      </c>
      <c r="S933" s="14" t="s">
        <v>5482</v>
      </c>
      <c r="AA933" s="6"/>
      <c r="AB933" s="6" t="s">
        <v>67</v>
      </c>
      <c r="AC933" s="6"/>
      <c r="AD933" s="6" t="s">
        <v>56</v>
      </c>
      <c r="AE933" s="6"/>
      <c r="AF933" s="6" t="s">
        <v>68</v>
      </c>
      <c r="AG933" s="6"/>
      <c r="AH933" s="6" t="s">
        <v>58</v>
      </c>
      <c r="AI933" s="6"/>
      <c r="AJ933" s="6" t="s">
        <v>77</v>
      </c>
    </row>
    <row r="934" spans="1:36" ht="15.75" customHeight="1" x14ac:dyDescent="0.25">
      <c r="A934" s="7">
        <v>43420.143378622684</v>
      </c>
      <c r="B934" s="6" t="s">
        <v>30</v>
      </c>
      <c r="C934" s="6" t="s">
        <v>128</v>
      </c>
      <c r="D934" s="6" t="s">
        <v>129</v>
      </c>
      <c r="E934" s="6" t="s">
        <v>81</v>
      </c>
      <c r="G934" s="6" t="s">
        <v>87</v>
      </c>
      <c r="H934" s="6" t="s">
        <v>3311</v>
      </c>
      <c r="I934" s="6"/>
      <c r="J934" s="6" t="s">
        <v>106</v>
      </c>
      <c r="K934" s="6"/>
      <c r="L934" s="6" t="s">
        <v>2610</v>
      </c>
      <c r="M934" s="6"/>
      <c r="N934" s="6" t="s">
        <v>98</v>
      </c>
      <c r="O934" s="6"/>
      <c r="P934" s="6" t="s">
        <v>94</v>
      </c>
      <c r="Q934" s="6"/>
      <c r="R934" s="47" t="s">
        <v>1173</v>
      </c>
      <c r="S934" s="14" t="s">
        <v>5483</v>
      </c>
      <c r="AA934" s="6"/>
      <c r="AB934" s="6" t="s">
        <v>101</v>
      </c>
      <c r="AC934" s="6"/>
      <c r="AD934" s="6" t="s">
        <v>56</v>
      </c>
      <c r="AE934" s="6"/>
      <c r="AF934" s="6" t="s">
        <v>161</v>
      </c>
      <c r="AG934" s="6"/>
      <c r="AH934" s="6" t="s">
        <v>76</v>
      </c>
      <c r="AI934" s="6"/>
      <c r="AJ934" s="11" t="s">
        <v>77</v>
      </c>
    </row>
    <row r="935" spans="1:36" ht="15.75" customHeight="1" x14ac:dyDescent="0.25">
      <c r="A935" s="7">
        <v>43420.144073715273</v>
      </c>
      <c r="B935" s="6" t="s">
        <v>463</v>
      </c>
      <c r="C935" s="6" t="s">
        <v>237</v>
      </c>
      <c r="D935" s="6" t="s">
        <v>846</v>
      </c>
      <c r="E935" s="6" t="s">
        <v>81</v>
      </c>
      <c r="G935" s="6" t="s">
        <v>87</v>
      </c>
      <c r="H935" s="6" t="s">
        <v>86</v>
      </c>
      <c r="I935" s="6"/>
      <c r="J935" s="6" t="s">
        <v>92</v>
      </c>
      <c r="K935" s="6"/>
      <c r="L935" s="6" t="s">
        <v>2309</v>
      </c>
      <c r="M935" s="6"/>
      <c r="N935" s="6" t="s">
        <v>93</v>
      </c>
      <c r="O935" s="6"/>
      <c r="P935" s="6" t="s">
        <v>94</v>
      </c>
      <c r="Q935" s="6"/>
      <c r="R935" s="47" t="s">
        <v>3314</v>
      </c>
      <c r="AA935" s="6"/>
      <c r="AB935" s="6" t="s">
        <v>67</v>
      </c>
      <c r="AC935" s="6"/>
      <c r="AD935" s="6" t="s">
        <v>56</v>
      </c>
      <c r="AE935" s="6"/>
      <c r="AF935" s="6" t="s">
        <v>205</v>
      </c>
      <c r="AG935" s="6"/>
      <c r="AH935" s="6" t="s">
        <v>58</v>
      </c>
      <c r="AI935" s="6"/>
      <c r="AJ935" s="11" t="s">
        <v>59</v>
      </c>
    </row>
    <row r="936" spans="1:36" ht="15.75" customHeight="1" x14ac:dyDescent="0.25">
      <c r="A936" s="7">
        <v>43420.148480578704</v>
      </c>
      <c r="B936" s="6" t="s">
        <v>305</v>
      </c>
      <c r="C936" s="6" t="s">
        <v>90</v>
      </c>
      <c r="D936" s="6" t="s">
        <v>510</v>
      </c>
      <c r="E936" s="6" t="s">
        <v>81</v>
      </c>
      <c r="G936" s="6" t="s">
        <v>87</v>
      </c>
      <c r="J936" s="6" t="s">
        <v>110</v>
      </c>
      <c r="K936" s="6"/>
      <c r="P936" s="6" t="s">
        <v>168</v>
      </c>
      <c r="Q936" s="6"/>
      <c r="AA936" s="6"/>
      <c r="AB936" s="6" t="s">
        <v>101</v>
      </c>
      <c r="AC936" s="6"/>
      <c r="AD936" s="6" t="s">
        <v>56</v>
      </c>
      <c r="AE936" s="6"/>
      <c r="AF936" s="6" t="s">
        <v>161</v>
      </c>
      <c r="AG936" s="6"/>
      <c r="AH936" s="6" t="s">
        <v>126</v>
      </c>
      <c r="AI936" s="6"/>
      <c r="AJ936" s="6" t="s">
        <v>187</v>
      </c>
    </row>
    <row r="937" spans="1:36" ht="15.75" customHeight="1" x14ac:dyDescent="0.25">
      <c r="A937" s="7">
        <v>43420.150653275465</v>
      </c>
      <c r="B937" s="6" t="s">
        <v>127</v>
      </c>
      <c r="C937" s="6" t="s">
        <v>237</v>
      </c>
      <c r="D937" s="6" t="s">
        <v>46</v>
      </c>
      <c r="E937" s="6" t="s">
        <v>81</v>
      </c>
      <c r="G937" s="6" t="s">
        <v>87</v>
      </c>
      <c r="H937" s="6" t="s">
        <v>3315</v>
      </c>
      <c r="I937" s="6"/>
      <c r="J937" s="6" t="s">
        <v>110</v>
      </c>
      <c r="K937" s="6"/>
      <c r="L937" s="6" t="s">
        <v>2916</v>
      </c>
      <c r="M937" s="6"/>
      <c r="N937" s="6" t="s">
        <v>93</v>
      </c>
      <c r="O937" s="6"/>
      <c r="P937" s="6" t="s">
        <v>168</v>
      </c>
      <c r="Q937" s="6"/>
      <c r="R937" s="47" t="s">
        <v>143</v>
      </c>
      <c r="S937" s="14" t="s">
        <v>4456</v>
      </c>
      <c r="T937" s="14" t="s">
        <v>3994</v>
      </c>
      <c r="AA937" s="6"/>
      <c r="AB937" s="6" t="s">
        <v>55</v>
      </c>
      <c r="AC937" s="6"/>
      <c r="AD937" s="6" t="s">
        <v>56</v>
      </c>
      <c r="AE937" s="6"/>
      <c r="AF937" s="6" t="s">
        <v>161</v>
      </c>
      <c r="AG937" s="6"/>
      <c r="AH937" s="6" t="s">
        <v>58</v>
      </c>
      <c r="AI937" s="6"/>
      <c r="AJ937" s="11" t="s">
        <v>77</v>
      </c>
    </row>
    <row r="938" spans="1:36" ht="15.75" customHeight="1" x14ac:dyDescent="0.25">
      <c r="A938" s="7">
        <v>43420.162276597221</v>
      </c>
      <c r="B938" s="6" t="s">
        <v>60</v>
      </c>
      <c r="C938" s="6" t="s">
        <v>79</v>
      </c>
      <c r="D938" s="6" t="s">
        <v>91</v>
      </c>
      <c r="E938" s="6" t="s">
        <v>48</v>
      </c>
      <c r="F938" s="6" t="s">
        <v>3317</v>
      </c>
      <c r="G938" s="6" t="s">
        <v>48</v>
      </c>
      <c r="H938" s="6" t="s">
        <v>3318</v>
      </c>
      <c r="I938" s="6"/>
      <c r="J938" s="6" t="s">
        <v>73</v>
      </c>
      <c r="K938" s="6"/>
      <c r="L938" s="6" t="s">
        <v>2917</v>
      </c>
      <c r="M938" s="6"/>
      <c r="N938" s="6" t="s">
        <v>212</v>
      </c>
      <c r="O938" s="6"/>
      <c r="P938" s="6" t="s">
        <v>131</v>
      </c>
      <c r="Q938" s="6"/>
      <c r="R938" s="47" t="s">
        <v>3257</v>
      </c>
      <c r="S938" s="14" t="s">
        <v>5484</v>
      </c>
      <c r="T938" s="14" t="s">
        <v>4567</v>
      </c>
      <c r="U938" s="14" t="s">
        <v>5485</v>
      </c>
      <c r="V938" s="14" t="s">
        <v>4997</v>
      </c>
      <c r="W938" s="14" t="s">
        <v>5486</v>
      </c>
      <c r="X938" s="14" t="s">
        <v>5302</v>
      </c>
      <c r="AA938" s="6"/>
      <c r="AB938" s="6" t="s">
        <v>55</v>
      </c>
      <c r="AC938" s="6"/>
      <c r="AD938" s="6" t="s">
        <v>56</v>
      </c>
      <c r="AE938" s="6"/>
      <c r="AF938" s="6" t="s">
        <v>75</v>
      </c>
      <c r="AG938" s="6"/>
      <c r="AH938" s="6" t="s">
        <v>58</v>
      </c>
      <c r="AI938" s="6"/>
      <c r="AJ938" s="6" t="s">
        <v>115</v>
      </c>
    </row>
    <row r="939" spans="1:36" ht="15.75" customHeight="1" x14ac:dyDescent="0.25">
      <c r="A939" s="7">
        <v>43420.166880671299</v>
      </c>
      <c r="B939" s="6" t="s">
        <v>30</v>
      </c>
      <c r="C939" s="6" t="s">
        <v>79</v>
      </c>
      <c r="D939" s="6" t="s">
        <v>165</v>
      </c>
      <c r="E939" s="6" t="s">
        <v>81</v>
      </c>
      <c r="G939" s="6" t="s">
        <v>87</v>
      </c>
      <c r="H939" s="6" t="s">
        <v>3322</v>
      </c>
      <c r="I939" s="6"/>
      <c r="J939" s="6" t="s">
        <v>92</v>
      </c>
      <c r="K939" s="6"/>
      <c r="L939" s="6" t="s">
        <v>2918</v>
      </c>
      <c r="M939" s="6"/>
      <c r="N939" s="6" t="s">
        <v>167</v>
      </c>
      <c r="O939" s="6"/>
      <c r="P939" s="6" t="s">
        <v>94</v>
      </c>
      <c r="Q939" s="6"/>
      <c r="R939" s="47" t="s">
        <v>5487</v>
      </c>
      <c r="S939" s="14" t="s">
        <v>5488</v>
      </c>
      <c r="T939" s="14" t="s">
        <v>5489</v>
      </c>
      <c r="U939" s="14" t="s">
        <v>5490</v>
      </c>
      <c r="V939" s="14" t="s">
        <v>5491</v>
      </c>
      <c r="AA939" s="6"/>
      <c r="AB939" s="6" t="s">
        <v>55</v>
      </c>
      <c r="AC939" s="6"/>
      <c r="AD939" s="6" t="s">
        <v>56</v>
      </c>
      <c r="AE939" s="6"/>
      <c r="AF939" s="6" t="s">
        <v>68</v>
      </c>
      <c r="AG939" s="6"/>
      <c r="AH939" s="6" t="s">
        <v>57</v>
      </c>
      <c r="AI939" s="6"/>
      <c r="AJ939" s="6" t="s">
        <v>174</v>
      </c>
    </row>
    <row r="940" spans="1:36" ht="15.75" customHeight="1" x14ac:dyDescent="0.25">
      <c r="A940" s="7">
        <v>43420.169190127315</v>
      </c>
      <c r="B940" s="6" t="s">
        <v>26</v>
      </c>
      <c r="C940" s="6" t="s">
        <v>45</v>
      </c>
      <c r="D940" s="6" t="s">
        <v>46</v>
      </c>
      <c r="E940" s="6" t="s">
        <v>81</v>
      </c>
      <c r="G940" s="6" t="s">
        <v>87</v>
      </c>
      <c r="H940" s="6" t="s">
        <v>3325</v>
      </c>
      <c r="I940" s="6"/>
      <c r="J940" s="6" t="s">
        <v>92</v>
      </c>
      <c r="K940" s="6"/>
      <c r="L940" s="6" t="s">
        <v>2314</v>
      </c>
      <c r="M940" s="6"/>
      <c r="N940" s="6" t="s">
        <v>112</v>
      </c>
      <c r="O940" s="6"/>
      <c r="P940" s="6" t="s">
        <v>131</v>
      </c>
      <c r="Q940" s="6"/>
      <c r="R940" s="47" t="s">
        <v>149</v>
      </c>
      <c r="S940" s="14" t="s">
        <v>4409</v>
      </c>
      <c r="AA940" s="6"/>
      <c r="AB940" s="6" t="s">
        <v>101</v>
      </c>
      <c r="AC940" s="6"/>
      <c r="AD940" s="6" t="s">
        <v>56</v>
      </c>
      <c r="AE940" s="6"/>
      <c r="AF940" s="6" t="s">
        <v>75</v>
      </c>
      <c r="AG940" s="6"/>
      <c r="AH940" s="6" t="s">
        <v>76</v>
      </c>
      <c r="AI940" s="6"/>
      <c r="AJ940" s="11" t="s">
        <v>77</v>
      </c>
    </row>
    <row r="941" spans="1:36" ht="15.75" customHeight="1" x14ac:dyDescent="0.25">
      <c r="A941" s="7">
        <v>43420.170151574071</v>
      </c>
      <c r="B941" s="6" t="s">
        <v>305</v>
      </c>
      <c r="C941" s="6" t="s">
        <v>79</v>
      </c>
      <c r="D941" s="6" t="s">
        <v>163</v>
      </c>
      <c r="E941" s="6" t="s">
        <v>81</v>
      </c>
      <c r="G941" s="6" t="s">
        <v>87</v>
      </c>
      <c r="H941" s="6" t="s">
        <v>3328</v>
      </c>
      <c r="I941" s="6"/>
      <c r="J941" s="6" t="s">
        <v>184</v>
      </c>
      <c r="K941" s="6"/>
      <c r="L941" s="6" t="s">
        <v>2612</v>
      </c>
      <c r="M941" s="6"/>
      <c r="N941" s="6" t="s">
        <v>112</v>
      </c>
      <c r="O941" s="6"/>
      <c r="P941" s="6" t="s">
        <v>99</v>
      </c>
      <c r="Q941" s="6"/>
      <c r="R941" s="47" t="s">
        <v>5492</v>
      </c>
      <c r="S941" s="14" t="s">
        <v>5493</v>
      </c>
      <c r="T941" s="14" t="s">
        <v>5494</v>
      </c>
      <c r="U941" s="14" t="s">
        <v>5495</v>
      </c>
      <c r="AA941" s="6"/>
      <c r="AB941" s="6" t="s">
        <v>55</v>
      </c>
      <c r="AC941" s="6"/>
      <c r="AD941" s="6" t="s">
        <v>56</v>
      </c>
      <c r="AE941" s="6"/>
      <c r="AF941" s="6" t="s">
        <v>68</v>
      </c>
      <c r="AG941" s="6"/>
      <c r="AH941" s="6" t="s">
        <v>126</v>
      </c>
      <c r="AI941" s="6"/>
      <c r="AJ941" s="6" t="s">
        <v>295</v>
      </c>
    </row>
    <row r="942" spans="1:36" ht="15.75" customHeight="1" x14ac:dyDescent="0.25">
      <c r="A942" s="7">
        <v>43420.174368217587</v>
      </c>
      <c r="B942" s="6" t="s">
        <v>60</v>
      </c>
      <c r="C942" s="6" t="s">
        <v>116</v>
      </c>
      <c r="D942" s="6" t="s">
        <v>91</v>
      </c>
      <c r="E942" s="6" t="s">
        <v>48</v>
      </c>
      <c r="F942" s="6" t="s">
        <v>3331</v>
      </c>
      <c r="G942" s="6" t="s">
        <v>48</v>
      </c>
      <c r="H942" s="6" t="s">
        <v>3332</v>
      </c>
      <c r="I942" s="6"/>
      <c r="J942" s="6" t="s">
        <v>110</v>
      </c>
      <c r="K942" s="6"/>
      <c r="L942" s="6" t="s">
        <v>2447</v>
      </c>
      <c r="M942" s="6"/>
      <c r="N942" s="6" t="s">
        <v>181</v>
      </c>
      <c r="O942" s="6"/>
      <c r="P942" s="6" t="s">
        <v>94</v>
      </c>
      <c r="Q942" s="6"/>
      <c r="R942" s="47" t="s">
        <v>1971</v>
      </c>
      <c r="AA942" s="6"/>
      <c r="AB942" s="6" t="s">
        <v>67</v>
      </c>
      <c r="AC942" s="6"/>
      <c r="AD942" s="6" t="s">
        <v>56</v>
      </c>
      <c r="AE942" s="6"/>
      <c r="AF942" s="6" t="s">
        <v>68</v>
      </c>
      <c r="AG942" s="6"/>
      <c r="AH942" s="6" t="s">
        <v>58</v>
      </c>
      <c r="AI942" s="6"/>
      <c r="AJ942" s="11" t="s">
        <v>77</v>
      </c>
    </row>
    <row r="943" spans="1:36" ht="15.75" customHeight="1" x14ac:dyDescent="0.25">
      <c r="A943" s="7">
        <v>43420.190475219904</v>
      </c>
      <c r="B943" s="6" t="s">
        <v>30</v>
      </c>
      <c r="C943" s="6" t="s">
        <v>95</v>
      </c>
      <c r="D943" s="6" t="s">
        <v>165</v>
      </c>
      <c r="E943" s="6" t="s">
        <v>81</v>
      </c>
      <c r="G943" s="6" t="s">
        <v>87</v>
      </c>
      <c r="H943" s="6" t="s">
        <v>3334</v>
      </c>
      <c r="I943" s="6"/>
      <c r="J943" s="6" t="s">
        <v>73</v>
      </c>
      <c r="K943" s="6"/>
      <c r="L943" s="6" t="s">
        <v>2919</v>
      </c>
      <c r="M943" s="6"/>
      <c r="N943" s="6" t="s">
        <v>212</v>
      </c>
      <c r="O943" s="6"/>
      <c r="P943" s="6" t="s">
        <v>94</v>
      </c>
      <c r="Q943" s="6"/>
      <c r="R943" s="47" t="s">
        <v>1971</v>
      </c>
      <c r="S943" s="14" t="s">
        <v>5496</v>
      </c>
      <c r="T943" s="14" t="s">
        <v>5497</v>
      </c>
      <c r="AA943" s="6"/>
      <c r="AB943" s="6" t="s">
        <v>67</v>
      </c>
      <c r="AC943" s="6"/>
      <c r="AD943" s="6" t="s">
        <v>109</v>
      </c>
      <c r="AE943" s="6"/>
      <c r="AF943" s="6" t="s">
        <v>75</v>
      </c>
      <c r="AG943" s="6"/>
      <c r="AH943" s="6" t="s">
        <v>57</v>
      </c>
      <c r="AI943" s="6"/>
      <c r="AJ943" s="6" t="s">
        <v>335</v>
      </c>
    </row>
    <row r="944" spans="1:36" ht="15.75" customHeight="1" x14ac:dyDescent="0.25">
      <c r="A944" s="7">
        <v>43420.196509861111</v>
      </c>
      <c r="B944" s="6" t="s">
        <v>3337</v>
      </c>
      <c r="C944" s="6" t="s">
        <v>971</v>
      </c>
      <c r="D944" s="6" t="s">
        <v>163</v>
      </c>
      <c r="E944" s="6" t="s">
        <v>81</v>
      </c>
      <c r="G944" s="6" t="s">
        <v>87</v>
      </c>
      <c r="H944" s="6" t="s">
        <v>3338</v>
      </c>
      <c r="I944" s="6"/>
      <c r="J944" s="6" t="s">
        <v>184</v>
      </c>
      <c r="K944" s="6"/>
      <c r="L944" s="6" t="s">
        <v>2614</v>
      </c>
      <c r="M944" s="6"/>
      <c r="N944" s="6" t="s">
        <v>121</v>
      </c>
      <c r="O944" s="6"/>
      <c r="P944" s="6" t="s">
        <v>94</v>
      </c>
      <c r="Q944" s="6"/>
      <c r="R944" s="47" t="s">
        <v>5498</v>
      </c>
      <c r="S944" s="14" t="s">
        <v>4518</v>
      </c>
      <c r="T944" s="14" t="s">
        <v>4393</v>
      </c>
      <c r="U944" s="14" t="s">
        <v>5499</v>
      </c>
      <c r="V944" s="14" t="s">
        <v>4734</v>
      </c>
      <c r="W944" s="14" t="s">
        <v>4396</v>
      </c>
      <c r="AA944" s="6"/>
      <c r="AB944" s="6" t="s">
        <v>101</v>
      </c>
      <c r="AC944" s="6"/>
      <c r="AD944" s="6" t="s">
        <v>57</v>
      </c>
      <c r="AE944" s="6"/>
      <c r="AF944" s="6" t="s">
        <v>57</v>
      </c>
      <c r="AG944" s="6"/>
      <c r="AH944" s="6" t="s">
        <v>76</v>
      </c>
      <c r="AI944" s="6"/>
      <c r="AJ944" s="11" t="s">
        <v>77</v>
      </c>
    </row>
    <row r="945" spans="1:36" ht="15.75" customHeight="1" x14ac:dyDescent="0.25">
      <c r="A945" s="7">
        <v>43420.198636307869</v>
      </c>
      <c r="B945" s="6" t="s">
        <v>30</v>
      </c>
      <c r="C945" s="6" t="s">
        <v>116</v>
      </c>
      <c r="D945" s="6" t="s">
        <v>46</v>
      </c>
      <c r="E945" s="6" t="s">
        <v>48</v>
      </c>
      <c r="F945" s="6" t="s">
        <v>2589</v>
      </c>
      <c r="G945" s="6" t="s">
        <v>48</v>
      </c>
      <c r="H945" s="6" t="s">
        <v>3340</v>
      </c>
      <c r="I945" s="6"/>
      <c r="J945" s="6" t="s">
        <v>92</v>
      </c>
      <c r="K945" s="6"/>
      <c r="L945" s="6" t="s">
        <v>2921</v>
      </c>
      <c r="M945" s="6"/>
      <c r="N945" s="6" t="s">
        <v>212</v>
      </c>
      <c r="O945" s="6"/>
      <c r="P945" s="6" t="s">
        <v>99</v>
      </c>
      <c r="Q945" s="6"/>
      <c r="AA945" s="6"/>
      <c r="AB945" s="6" t="s">
        <v>67</v>
      </c>
      <c r="AC945" s="6"/>
      <c r="AD945" s="6" t="s">
        <v>56</v>
      </c>
      <c r="AE945" s="6"/>
      <c r="AF945" s="6" t="s">
        <v>205</v>
      </c>
      <c r="AG945" s="6"/>
      <c r="AH945" s="11" t="s">
        <v>58</v>
      </c>
      <c r="AI945" s="6"/>
      <c r="AJ945" s="6" t="s">
        <v>77</v>
      </c>
    </row>
    <row r="946" spans="1:36" ht="15.75" customHeight="1" x14ac:dyDescent="0.25">
      <c r="A946" s="7">
        <v>43420.201864988427</v>
      </c>
      <c r="B946" s="6" t="s">
        <v>103</v>
      </c>
      <c r="C946" s="6" t="s">
        <v>95</v>
      </c>
      <c r="D946" s="6" t="s">
        <v>91</v>
      </c>
      <c r="E946" s="6" t="s">
        <v>81</v>
      </c>
      <c r="G946" s="6" t="s">
        <v>48</v>
      </c>
      <c r="J946" s="6" t="s">
        <v>64</v>
      </c>
      <c r="K946" s="6"/>
      <c r="L946" s="6" t="s">
        <v>2617</v>
      </c>
      <c r="M946" s="6"/>
      <c r="N946" s="6" t="s">
        <v>112</v>
      </c>
      <c r="O946" s="6"/>
      <c r="P946" s="6" t="s">
        <v>52</v>
      </c>
      <c r="Q946" s="6"/>
      <c r="AA946" s="6"/>
      <c r="AB946" s="6" t="s">
        <v>67</v>
      </c>
      <c r="AC946" s="6"/>
      <c r="AD946" s="6" t="s">
        <v>56</v>
      </c>
      <c r="AE946" s="6"/>
      <c r="AF946" s="6" t="s">
        <v>75</v>
      </c>
      <c r="AG946" s="6"/>
      <c r="AH946" s="6" t="s">
        <v>58</v>
      </c>
      <c r="AI946" s="6"/>
      <c r="AJ946" s="11" t="s">
        <v>77</v>
      </c>
    </row>
    <row r="947" spans="1:36" ht="15.75" customHeight="1" x14ac:dyDescent="0.25">
      <c r="A947" s="7">
        <v>43420.206352696754</v>
      </c>
      <c r="B947" s="6" t="s">
        <v>30</v>
      </c>
      <c r="C947" s="6" t="s">
        <v>116</v>
      </c>
      <c r="D947" s="6" t="s">
        <v>165</v>
      </c>
      <c r="E947" s="6" t="s">
        <v>48</v>
      </c>
      <c r="F947" s="6" t="s">
        <v>3342</v>
      </c>
      <c r="G947" s="6" t="s">
        <v>48</v>
      </c>
      <c r="H947" s="6" t="s">
        <v>3343</v>
      </c>
      <c r="I947" s="6"/>
      <c r="J947" s="6" t="s">
        <v>92</v>
      </c>
      <c r="K947" s="6"/>
      <c r="L947" s="6" t="s">
        <v>2922</v>
      </c>
      <c r="M947" s="6"/>
      <c r="N947" s="6" t="s">
        <v>112</v>
      </c>
      <c r="O947" s="6"/>
      <c r="P947" s="6" t="s">
        <v>131</v>
      </c>
      <c r="Q947" s="6"/>
      <c r="R947" s="47" t="s">
        <v>5500</v>
      </c>
      <c r="S947" s="14" t="s">
        <v>4425</v>
      </c>
      <c r="T947" s="14" t="s">
        <v>5501</v>
      </c>
      <c r="U947" s="14" t="s">
        <v>5502</v>
      </c>
      <c r="AA947" s="6"/>
      <c r="AB947" s="6" t="s">
        <v>67</v>
      </c>
      <c r="AC947" s="6"/>
      <c r="AD947" s="6" t="s">
        <v>56</v>
      </c>
      <c r="AE947" s="6"/>
      <c r="AF947" s="6" t="s">
        <v>68</v>
      </c>
      <c r="AG947" s="6"/>
      <c r="AH947" s="6" t="s">
        <v>76</v>
      </c>
      <c r="AI947" s="6"/>
      <c r="AJ947" s="11" t="s">
        <v>77</v>
      </c>
    </row>
    <row r="948" spans="1:36" ht="15.75" customHeight="1" x14ac:dyDescent="0.25">
      <c r="A948" s="7">
        <v>43420.207253738423</v>
      </c>
      <c r="B948" s="6" t="s">
        <v>154</v>
      </c>
      <c r="C948" s="6" t="s">
        <v>829</v>
      </c>
      <c r="D948" s="6" t="s">
        <v>163</v>
      </c>
      <c r="E948" s="6" t="s">
        <v>81</v>
      </c>
      <c r="G948" s="6" t="s">
        <v>87</v>
      </c>
      <c r="H948" s="6" t="s">
        <v>3346</v>
      </c>
      <c r="I948" s="6"/>
      <c r="J948" s="6" t="s">
        <v>110</v>
      </c>
      <c r="K948" s="6"/>
      <c r="L948" s="6" t="s">
        <v>2924</v>
      </c>
      <c r="M948" s="6"/>
      <c r="N948" s="6" t="s">
        <v>181</v>
      </c>
      <c r="O948" s="6"/>
      <c r="P948" s="6" t="s">
        <v>94</v>
      </c>
      <c r="Q948" s="6"/>
      <c r="R948" s="47" t="s">
        <v>5503</v>
      </c>
      <c r="S948" s="14" t="s">
        <v>5504</v>
      </c>
      <c r="T948" s="14" t="s">
        <v>5505</v>
      </c>
      <c r="U948" s="14" t="s">
        <v>4911</v>
      </c>
      <c r="V948" s="14" t="s">
        <v>5081</v>
      </c>
      <c r="W948" s="14" t="s">
        <v>5506</v>
      </c>
      <c r="X948" s="14" t="s">
        <v>4960</v>
      </c>
      <c r="Y948" s="14" t="s">
        <v>3994</v>
      </c>
      <c r="AA948" s="6"/>
      <c r="AB948" s="6" t="s">
        <v>67</v>
      </c>
      <c r="AC948" s="6"/>
      <c r="AD948" s="6" t="s">
        <v>56</v>
      </c>
      <c r="AE948" s="6"/>
      <c r="AF948" s="6" t="s">
        <v>75</v>
      </c>
      <c r="AG948" s="6"/>
      <c r="AH948" s="6" t="s">
        <v>58</v>
      </c>
      <c r="AI948" s="6"/>
      <c r="AJ948" s="6" t="s">
        <v>187</v>
      </c>
    </row>
    <row r="949" spans="1:36" ht="15.75" customHeight="1" x14ac:dyDescent="0.25">
      <c r="A949" s="7">
        <v>43420.218211736108</v>
      </c>
      <c r="B949" s="6" t="s">
        <v>1533</v>
      </c>
      <c r="C949" s="6" t="s">
        <v>116</v>
      </c>
      <c r="D949" s="6" t="s">
        <v>165</v>
      </c>
      <c r="E949" s="6" t="s">
        <v>81</v>
      </c>
      <c r="G949" s="6" t="s">
        <v>87</v>
      </c>
      <c r="H949" s="6" t="s">
        <v>3348</v>
      </c>
      <c r="I949" s="6"/>
      <c r="J949" s="6" t="s">
        <v>92</v>
      </c>
      <c r="K949" s="6"/>
      <c r="L949" s="6" t="s">
        <v>2925</v>
      </c>
      <c r="M949" s="6"/>
      <c r="N949" s="6" t="s">
        <v>98</v>
      </c>
      <c r="O949" s="6"/>
      <c r="P949" s="6" t="s">
        <v>131</v>
      </c>
      <c r="Q949" s="6"/>
      <c r="R949" s="47" t="s">
        <v>766</v>
      </c>
      <c r="S949" s="14" t="s">
        <v>4628</v>
      </c>
      <c r="AA949" s="6"/>
      <c r="AB949" s="6" t="s">
        <v>101</v>
      </c>
      <c r="AC949" s="6"/>
      <c r="AD949" s="6" t="s">
        <v>56</v>
      </c>
      <c r="AE949" s="6"/>
      <c r="AF949" s="6" t="s">
        <v>161</v>
      </c>
      <c r="AG949" s="6"/>
      <c r="AH949" s="6" t="s">
        <v>76</v>
      </c>
      <c r="AI949" s="6"/>
      <c r="AJ949" s="11" t="s">
        <v>375</v>
      </c>
    </row>
    <row r="950" spans="1:36" ht="15.75" customHeight="1" x14ac:dyDescent="0.25">
      <c r="A950" s="7">
        <v>43420.228173217591</v>
      </c>
      <c r="B950" s="6" t="s">
        <v>30</v>
      </c>
      <c r="C950" s="6" t="s">
        <v>116</v>
      </c>
      <c r="D950" s="6" t="s">
        <v>91</v>
      </c>
      <c r="E950" s="6" t="s">
        <v>48</v>
      </c>
      <c r="F950" s="6" t="s">
        <v>36</v>
      </c>
      <c r="G950" s="6" t="s">
        <v>48</v>
      </c>
      <c r="H950" s="6" t="s">
        <v>3351</v>
      </c>
      <c r="I950" s="6"/>
      <c r="J950" s="6" t="s">
        <v>64</v>
      </c>
      <c r="K950" s="6"/>
      <c r="L950" s="6" t="s">
        <v>2926</v>
      </c>
      <c r="M950" s="6"/>
      <c r="N950" s="6" t="s">
        <v>112</v>
      </c>
      <c r="O950" s="6"/>
      <c r="P950" s="6" t="s">
        <v>52</v>
      </c>
      <c r="Q950" s="6"/>
      <c r="R950" s="47" t="s">
        <v>3352</v>
      </c>
      <c r="AA950" s="6"/>
      <c r="AB950" s="6" t="s">
        <v>101</v>
      </c>
      <c r="AC950" s="6"/>
      <c r="AD950" s="6" t="s">
        <v>56</v>
      </c>
      <c r="AE950" s="6"/>
      <c r="AF950" s="6" t="s">
        <v>68</v>
      </c>
      <c r="AG950" s="6"/>
      <c r="AH950" s="6" t="s">
        <v>58</v>
      </c>
      <c r="AI950" s="6"/>
      <c r="AJ950" s="11" t="s">
        <v>77</v>
      </c>
    </row>
    <row r="951" spans="1:36" ht="15.75" customHeight="1" x14ac:dyDescent="0.25">
      <c r="A951" s="7">
        <v>43420.234628229169</v>
      </c>
      <c r="B951" s="6" t="s">
        <v>30</v>
      </c>
      <c r="C951" s="6" t="s">
        <v>116</v>
      </c>
      <c r="D951" s="6" t="s">
        <v>165</v>
      </c>
      <c r="E951" s="6" t="s">
        <v>81</v>
      </c>
      <c r="G951" s="6" t="s">
        <v>87</v>
      </c>
      <c r="J951" s="6" t="s">
        <v>92</v>
      </c>
      <c r="K951" s="6"/>
      <c r="L951" s="6" t="s">
        <v>2928</v>
      </c>
      <c r="M951" s="6"/>
      <c r="N951" s="6" t="s">
        <v>181</v>
      </c>
      <c r="O951" s="6"/>
      <c r="P951" s="6" t="s">
        <v>131</v>
      </c>
      <c r="Q951" s="6"/>
      <c r="R951" s="47" t="s">
        <v>3221</v>
      </c>
      <c r="S951" s="14" t="s">
        <v>4806</v>
      </c>
      <c r="T951" s="14" t="s">
        <v>4721</v>
      </c>
      <c r="U951" s="14" t="s">
        <v>5507</v>
      </c>
      <c r="V951" s="14" t="s">
        <v>5508</v>
      </c>
      <c r="AA951" s="6"/>
      <c r="AB951" s="6" t="s">
        <v>67</v>
      </c>
      <c r="AC951" s="6"/>
      <c r="AD951" s="6" t="s">
        <v>109</v>
      </c>
      <c r="AE951" s="6"/>
      <c r="AF951" s="6" t="s">
        <v>75</v>
      </c>
      <c r="AG951" s="6"/>
      <c r="AH951" s="6" t="s">
        <v>126</v>
      </c>
      <c r="AI951" s="6"/>
      <c r="AJ951" s="11" t="s">
        <v>77</v>
      </c>
    </row>
    <row r="952" spans="1:36" ht="15.75" customHeight="1" x14ac:dyDescent="0.25">
      <c r="A952" s="7">
        <v>43420.240263599539</v>
      </c>
      <c r="B952" s="6" t="s">
        <v>30</v>
      </c>
      <c r="C952" s="6" t="s">
        <v>215</v>
      </c>
      <c r="D952" s="6" t="s">
        <v>165</v>
      </c>
      <c r="E952" s="6" t="s">
        <v>48</v>
      </c>
      <c r="F952" s="6" t="s">
        <v>3355</v>
      </c>
      <c r="G952" s="6" t="s">
        <v>48</v>
      </c>
      <c r="H952" s="6" t="s">
        <v>3356</v>
      </c>
      <c r="I952" s="6"/>
      <c r="J952" s="6" t="s">
        <v>106</v>
      </c>
      <c r="K952" s="6"/>
      <c r="L952" s="6" t="s">
        <v>2619</v>
      </c>
      <c r="M952" s="6"/>
      <c r="N952" s="6" t="s">
        <v>98</v>
      </c>
      <c r="O952" s="6"/>
      <c r="P952" s="6" t="s">
        <v>131</v>
      </c>
      <c r="Q952" s="6"/>
      <c r="R952" s="47" t="s">
        <v>3358</v>
      </c>
      <c r="AA952" s="6"/>
      <c r="AB952" s="6" t="s">
        <v>55</v>
      </c>
      <c r="AC952" s="6"/>
      <c r="AD952" s="6" t="s">
        <v>109</v>
      </c>
      <c r="AE952" s="6"/>
      <c r="AF952" s="6" t="s">
        <v>75</v>
      </c>
      <c r="AG952" s="6"/>
      <c r="AH952" s="11" t="s">
        <v>144</v>
      </c>
      <c r="AI952" s="6"/>
      <c r="AJ952" s="11" t="s">
        <v>77</v>
      </c>
    </row>
    <row r="953" spans="1:36" ht="15.75" customHeight="1" x14ac:dyDescent="0.25">
      <c r="A953" s="7">
        <v>43420.250691655092</v>
      </c>
      <c r="B953" s="6" t="s">
        <v>30</v>
      </c>
      <c r="C953" s="6" t="s">
        <v>1864</v>
      </c>
      <c r="D953" s="6" t="s">
        <v>165</v>
      </c>
      <c r="E953" s="6" t="s">
        <v>48</v>
      </c>
      <c r="F953" s="6" t="s">
        <v>1186</v>
      </c>
      <c r="G953" s="6" t="s">
        <v>48</v>
      </c>
      <c r="H953" s="6" t="s">
        <v>3359</v>
      </c>
      <c r="I953" s="6"/>
      <c r="J953" s="6" t="s">
        <v>73</v>
      </c>
      <c r="K953" s="6"/>
      <c r="L953" s="6" t="s">
        <v>2620</v>
      </c>
      <c r="M953" s="6"/>
      <c r="N953" s="6" t="s">
        <v>112</v>
      </c>
      <c r="O953" s="6"/>
      <c r="P953" s="6" t="s">
        <v>99</v>
      </c>
      <c r="Q953" s="6"/>
      <c r="R953" s="47" t="s">
        <v>3360</v>
      </c>
      <c r="AA953" s="6"/>
      <c r="AB953" s="6" t="s">
        <v>101</v>
      </c>
      <c r="AC953" s="6"/>
      <c r="AD953" s="6" t="s">
        <v>56</v>
      </c>
      <c r="AE953" s="6"/>
      <c r="AF953" s="6" t="s">
        <v>75</v>
      </c>
      <c r="AG953" s="6"/>
      <c r="AH953" s="6" t="s">
        <v>58</v>
      </c>
      <c r="AI953" s="6"/>
      <c r="AJ953" s="6" t="s">
        <v>259</v>
      </c>
    </row>
    <row r="954" spans="1:36" ht="15.75" customHeight="1" x14ac:dyDescent="0.25">
      <c r="A954" s="7">
        <v>43420.254871354162</v>
      </c>
      <c r="B954" s="6" t="s">
        <v>60</v>
      </c>
      <c r="C954" s="6" t="s">
        <v>482</v>
      </c>
      <c r="D954" s="6" t="s">
        <v>163</v>
      </c>
      <c r="E954" s="6" t="s">
        <v>81</v>
      </c>
      <c r="G954" s="6" t="s">
        <v>87</v>
      </c>
      <c r="J954" s="6" t="s">
        <v>110</v>
      </c>
      <c r="K954" s="6"/>
      <c r="L954" s="6" t="s">
        <v>2449</v>
      </c>
      <c r="M954" s="6"/>
      <c r="N954" s="6" t="s">
        <v>167</v>
      </c>
      <c r="O954" s="6"/>
      <c r="P954" s="6" t="s">
        <v>168</v>
      </c>
      <c r="Q954" s="6"/>
      <c r="R954" s="47" t="s">
        <v>5509</v>
      </c>
      <c r="S954" s="14" t="s">
        <v>5510</v>
      </c>
      <c r="T954" s="14" t="s">
        <v>4734</v>
      </c>
      <c r="U954" s="14" t="s">
        <v>4472</v>
      </c>
      <c r="V954" s="14" t="s">
        <v>4425</v>
      </c>
      <c r="W954" s="14" t="s">
        <v>4393</v>
      </c>
      <c r="X954" s="14" t="s">
        <v>5511</v>
      </c>
      <c r="Y954" s="14" t="s">
        <v>5512</v>
      </c>
      <c r="AA954" s="6"/>
      <c r="AB954" s="6" t="s">
        <v>55</v>
      </c>
      <c r="AC954" s="6"/>
      <c r="AD954" s="6" t="s">
        <v>56</v>
      </c>
      <c r="AE954" s="6"/>
      <c r="AF954" s="6" t="s">
        <v>161</v>
      </c>
      <c r="AG954" s="6"/>
      <c r="AH954" s="6" t="s">
        <v>76</v>
      </c>
      <c r="AI954" s="6"/>
      <c r="AJ954" s="11" t="s">
        <v>77</v>
      </c>
    </row>
    <row r="955" spans="1:36" ht="15.75" customHeight="1" x14ac:dyDescent="0.25">
      <c r="A955" s="7">
        <v>43420.264531111112</v>
      </c>
      <c r="B955" s="6" t="s">
        <v>26</v>
      </c>
      <c r="C955" s="6" t="s">
        <v>756</v>
      </c>
      <c r="D955" s="6" t="s">
        <v>155</v>
      </c>
      <c r="E955" s="6" t="s">
        <v>48</v>
      </c>
      <c r="F955" s="6" t="s">
        <v>3364</v>
      </c>
      <c r="G955" s="6" t="s">
        <v>81</v>
      </c>
      <c r="H955" s="6" t="s">
        <v>3365</v>
      </c>
      <c r="I955" s="6"/>
      <c r="J955" s="6" t="s">
        <v>110</v>
      </c>
      <c r="K955" s="6"/>
      <c r="L955" s="6" t="s">
        <v>2452</v>
      </c>
      <c r="M955" s="6"/>
      <c r="N955" s="6" t="s">
        <v>93</v>
      </c>
      <c r="O955" s="6"/>
      <c r="P955" s="6" t="s">
        <v>94</v>
      </c>
      <c r="Q955" s="6"/>
      <c r="AA955" s="6"/>
      <c r="AB955" s="6" t="s">
        <v>101</v>
      </c>
      <c r="AC955" s="6"/>
      <c r="AD955" s="6" t="s">
        <v>56</v>
      </c>
      <c r="AE955" s="6"/>
      <c r="AF955" s="6" t="s">
        <v>161</v>
      </c>
      <c r="AG955" s="6"/>
      <c r="AH955" s="6" t="s">
        <v>76</v>
      </c>
      <c r="AI955" s="6"/>
      <c r="AJ955" s="11" t="s">
        <v>77</v>
      </c>
    </row>
    <row r="956" spans="1:36" ht="15.75" customHeight="1" x14ac:dyDescent="0.25">
      <c r="A956" s="7">
        <v>43420.274726261574</v>
      </c>
      <c r="B956" s="6" t="s">
        <v>26</v>
      </c>
      <c r="C956" s="6" t="s">
        <v>116</v>
      </c>
      <c r="D956" s="6" t="s">
        <v>165</v>
      </c>
      <c r="E956" s="6" t="s">
        <v>81</v>
      </c>
      <c r="G956" s="6" t="s">
        <v>87</v>
      </c>
      <c r="J956" s="6" t="s">
        <v>89</v>
      </c>
      <c r="K956" s="6"/>
      <c r="N956" s="6" t="s">
        <v>121</v>
      </c>
      <c r="O956" s="6"/>
      <c r="P956" s="6" t="s">
        <v>168</v>
      </c>
      <c r="Q956" s="6"/>
      <c r="AA956" s="6"/>
      <c r="AB956" s="6" t="s">
        <v>203</v>
      </c>
      <c r="AC956" s="6"/>
      <c r="AD956" s="6" t="s">
        <v>56</v>
      </c>
      <c r="AE956" s="6"/>
      <c r="AF956" s="6" t="s">
        <v>68</v>
      </c>
      <c r="AG956" s="6"/>
      <c r="AH956" s="6" t="s">
        <v>58</v>
      </c>
      <c r="AI956" s="6"/>
      <c r="AJ956" s="6" t="s">
        <v>115</v>
      </c>
    </row>
    <row r="957" spans="1:36" ht="15.75" customHeight="1" x14ac:dyDescent="0.25">
      <c r="A957" s="7">
        <v>43420.279694756944</v>
      </c>
      <c r="B957" s="6" t="s">
        <v>3367</v>
      </c>
      <c r="C957" s="6" t="s">
        <v>756</v>
      </c>
      <c r="E957" s="6" t="s">
        <v>48</v>
      </c>
      <c r="F957" s="6" t="s">
        <v>3368</v>
      </c>
      <c r="G957" s="6" t="s">
        <v>81</v>
      </c>
      <c r="H957" s="6" t="s">
        <v>3369</v>
      </c>
      <c r="I957" s="6"/>
      <c r="J957" s="6" t="s">
        <v>106</v>
      </c>
      <c r="K957" s="6"/>
      <c r="L957" s="6" t="s">
        <v>2931</v>
      </c>
      <c r="M957" s="6"/>
      <c r="N957" s="6" t="s">
        <v>181</v>
      </c>
      <c r="O957" s="6"/>
      <c r="P957" s="6" t="s">
        <v>94</v>
      </c>
      <c r="Q957" s="6"/>
      <c r="AA957" s="6"/>
      <c r="AB957" s="6" t="s">
        <v>203</v>
      </c>
      <c r="AC957" s="6"/>
      <c r="AD957" s="6" t="s">
        <v>56</v>
      </c>
      <c r="AE957" s="6"/>
      <c r="AF957" s="6" t="s">
        <v>75</v>
      </c>
      <c r="AG957" s="6"/>
      <c r="AH957" s="6" t="s">
        <v>76</v>
      </c>
      <c r="AI957" s="6"/>
      <c r="AJ957" s="6" t="s">
        <v>115</v>
      </c>
    </row>
    <row r="958" spans="1:36" ht="15.75" customHeight="1" x14ac:dyDescent="0.25">
      <c r="A958" s="7">
        <v>43420.281027962963</v>
      </c>
      <c r="B958" s="6" t="s">
        <v>103</v>
      </c>
      <c r="D958" s="6" t="s">
        <v>163</v>
      </c>
      <c r="E958" s="6" t="s">
        <v>48</v>
      </c>
      <c r="F958" s="6" t="s">
        <v>3370</v>
      </c>
      <c r="G958" s="6" t="s">
        <v>48</v>
      </c>
      <c r="H958" s="6" t="s">
        <v>3371</v>
      </c>
      <c r="I958" s="6"/>
      <c r="J958" s="6" t="s">
        <v>89</v>
      </c>
      <c r="K958" s="6"/>
      <c r="L958" s="6" t="s">
        <v>2454</v>
      </c>
      <c r="M958" s="6"/>
      <c r="N958" s="6" t="s">
        <v>98</v>
      </c>
      <c r="O958" s="6"/>
      <c r="P958" s="6" t="s">
        <v>131</v>
      </c>
      <c r="Q958" s="6"/>
      <c r="R958" s="47" t="s">
        <v>5513</v>
      </c>
      <c r="S958" s="14" t="s">
        <v>5514</v>
      </c>
      <c r="T958" s="14" t="s">
        <v>5515</v>
      </c>
      <c r="AA958" s="6"/>
      <c r="AB958" s="6" t="s">
        <v>67</v>
      </c>
      <c r="AC958" s="6"/>
      <c r="AD958" s="6" t="s">
        <v>109</v>
      </c>
      <c r="AE958" s="6"/>
      <c r="AF958" s="6" t="s">
        <v>68</v>
      </c>
      <c r="AG958" s="6"/>
      <c r="AH958" s="6" t="s">
        <v>58</v>
      </c>
      <c r="AI958" s="6"/>
      <c r="AJ958" s="11" t="s">
        <v>77</v>
      </c>
    </row>
    <row r="959" spans="1:36" ht="15.75" customHeight="1" x14ac:dyDescent="0.25">
      <c r="A959" s="7">
        <v>43420.284109942135</v>
      </c>
      <c r="B959" s="6" t="s">
        <v>60</v>
      </c>
      <c r="C959" s="6" t="s">
        <v>116</v>
      </c>
      <c r="D959" s="6" t="s">
        <v>163</v>
      </c>
      <c r="E959" s="6" t="s">
        <v>81</v>
      </c>
      <c r="G959" s="6" t="s">
        <v>87</v>
      </c>
      <c r="H959" s="6" t="s">
        <v>3374</v>
      </c>
      <c r="I959" s="6"/>
      <c r="J959" s="6" t="s">
        <v>184</v>
      </c>
      <c r="K959" s="6"/>
      <c r="L959" s="6" t="s">
        <v>2318</v>
      </c>
      <c r="M959" s="6"/>
      <c r="N959" s="6" t="s">
        <v>167</v>
      </c>
      <c r="O959" s="6"/>
      <c r="P959" s="6" t="s">
        <v>94</v>
      </c>
      <c r="Q959" s="6"/>
      <c r="R959" s="47" t="s">
        <v>2346</v>
      </c>
      <c r="S959" s="14" t="s">
        <v>5516</v>
      </c>
      <c r="T959" s="14" t="s">
        <v>5517</v>
      </c>
      <c r="AA959" s="6"/>
      <c r="AB959" s="6" t="s">
        <v>101</v>
      </c>
      <c r="AC959" s="6"/>
      <c r="AD959" s="6" t="s">
        <v>56</v>
      </c>
      <c r="AE959" s="6"/>
      <c r="AF959" s="6" t="s">
        <v>205</v>
      </c>
      <c r="AG959" s="6"/>
      <c r="AH959" s="6" t="s">
        <v>126</v>
      </c>
      <c r="AI959" s="6"/>
      <c r="AJ959" s="6" t="s">
        <v>338</v>
      </c>
    </row>
    <row r="960" spans="1:36" ht="15.75" customHeight="1" x14ac:dyDescent="0.25">
      <c r="A960" s="7">
        <v>43420.290580613422</v>
      </c>
      <c r="B960" s="6" t="s">
        <v>60</v>
      </c>
      <c r="C960" s="6" t="s">
        <v>79</v>
      </c>
      <c r="D960" s="6" t="s">
        <v>165</v>
      </c>
      <c r="E960" s="6" t="s">
        <v>81</v>
      </c>
      <c r="G960" s="6" t="s">
        <v>87</v>
      </c>
      <c r="J960" s="6" t="s">
        <v>106</v>
      </c>
      <c r="K960" s="6"/>
      <c r="L960" s="6" t="s">
        <v>2621</v>
      </c>
      <c r="M960" s="6"/>
      <c r="N960" s="6" t="s">
        <v>98</v>
      </c>
      <c r="O960" s="6"/>
      <c r="P960" s="6" t="s">
        <v>131</v>
      </c>
      <c r="Q960" s="6"/>
      <c r="R960" s="47" t="s">
        <v>3377</v>
      </c>
      <c r="AA960" s="6"/>
      <c r="AB960" s="6" t="s">
        <v>67</v>
      </c>
      <c r="AC960" s="6"/>
      <c r="AD960" s="6" t="s">
        <v>109</v>
      </c>
      <c r="AE960" s="6"/>
      <c r="AF960" s="6" t="s">
        <v>205</v>
      </c>
      <c r="AG960" s="6"/>
      <c r="AH960" s="6" t="s">
        <v>58</v>
      </c>
      <c r="AJ960" s="12" t="s">
        <v>57</v>
      </c>
    </row>
    <row r="961" spans="1:36" ht="15.75" customHeight="1" x14ac:dyDescent="0.25">
      <c r="A961" s="7">
        <v>43420.294447627311</v>
      </c>
      <c r="B961" s="6" t="s">
        <v>60</v>
      </c>
      <c r="C961" s="6" t="s">
        <v>419</v>
      </c>
      <c r="D961" s="6" t="s">
        <v>138</v>
      </c>
      <c r="E961" s="6" t="s">
        <v>48</v>
      </c>
      <c r="F961" s="6" t="s">
        <v>3379</v>
      </c>
      <c r="G961" s="6" t="s">
        <v>48</v>
      </c>
      <c r="H961" s="6" t="s">
        <v>3380</v>
      </c>
      <c r="I961" s="6"/>
      <c r="J961" s="6" t="s">
        <v>92</v>
      </c>
      <c r="K961" s="6"/>
      <c r="L961" s="6" t="s">
        <v>2317</v>
      </c>
      <c r="M961" s="6"/>
      <c r="N961" s="6" t="s">
        <v>212</v>
      </c>
      <c r="O961" s="6"/>
      <c r="P961" s="6" t="s">
        <v>131</v>
      </c>
      <c r="Q961" s="6"/>
      <c r="R961" s="47" t="s">
        <v>182</v>
      </c>
      <c r="S961" s="14" t="s">
        <v>4393</v>
      </c>
      <c r="T961" s="14" t="s">
        <v>5518</v>
      </c>
      <c r="AA961" s="6"/>
      <c r="AB961" s="6" t="s">
        <v>55</v>
      </c>
      <c r="AC961" s="6"/>
      <c r="AD961" s="6" t="s">
        <v>56</v>
      </c>
      <c r="AE961" s="6"/>
      <c r="AF961" s="6" t="s">
        <v>75</v>
      </c>
      <c r="AG961" s="6"/>
      <c r="AH961" s="6" t="s">
        <v>76</v>
      </c>
      <c r="AI961" s="6"/>
      <c r="AJ961" s="6" t="s">
        <v>77</v>
      </c>
    </row>
    <row r="962" spans="1:36" ht="15.75" customHeight="1" x14ac:dyDescent="0.25">
      <c r="A962" s="7">
        <v>43420.307008391203</v>
      </c>
      <c r="B962" s="6" t="s">
        <v>30</v>
      </c>
      <c r="C962" s="6" t="s">
        <v>116</v>
      </c>
      <c r="D962" s="6" t="s">
        <v>165</v>
      </c>
      <c r="E962" s="6" t="s">
        <v>81</v>
      </c>
      <c r="F962" s="6" t="s">
        <v>3384</v>
      </c>
      <c r="G962" s="6" t="s">
        <v>87</v>
      </c>
      <c r="H962" s="6" t="s">
        <v>3385</v>
      </c>
      <c r="I962" s="6"/>
      <c r="J962" s="6" t="s">
        <v>110</v>
      </c>
      <c r="K962" s="6"/>
      <c r="L962" s="6" t="s">
        <v>2455</v>
      </c>
      <c r="M962" s="6"/>
      <c r="N962" s="6" t="s">
        <v>98</v>
      </c>
      <c r="O962" s="6"/>
      <c r="P962" s="6" t="s">
        <v>94</v>
      </c>
      <c r="Q962" s="6"/>
      <c r="R962" s="47" t="s">
        <v>5519</v>
      </c>
      <c r="S962" s="14" t="s">
        <v>5520</v>
      </c>
      <c r="AA962" s="6"/>
      <c r="AB962" s="6" t="s">
        <v>101</v>
      </c>
      <c r="AC962" s="6"/>
      <c r="AD962" s="6" t="s">
        <v>56</v>
      </c>
      <c r="AE962" s="6"/>
      <c r="AF962" s="6" t="s">
        <v>68</v>
      </c>
      <c r="AG962" s="6"/>
      <c r="AH962" s="6" t="s">
        <v>58</v>
      </c>
      <c r="AI962" s="6"/>
      <c r="AJ962" s="6" t="s">
        <v>115</v>
      </c>
    </row>
    <row r="963" spans="1:36" ht="15.75" customHeight="1" x14ac:dyDescent="0.25">
      <c r="A963" s="7">
        <v>43420.323685671297</v>
      </c>
      <c r="B963" s="6" t="s">
        <v>154</v>
      </c>
      <c r="C963" s="6" t="s">
        <v>971</v>
      </c>
      <c r="D963" s="6" t="s">
        <v>46</v>
      </c>
      <c r="E963" s="6" t="s">
        <v>48</v>
      </c>
      <c r="F963" s="6" t="s">
        <v>3388</v>
      </c>
      <c r="G963" s="6" t="s">
        <v>48</v>
      </c>
      <c r="H963" s="6" t="s">
        <v>3389</v>
      </c>
      <c r="I963" s="6"/>
      <c r="J963" s="6" t="s">
        <v>184</v>
      </c>
      <c r="K963" s="6"/>
      <c r="L963" s="6" t="s">
        <v>2622</v>
      </c>
      <c r="M963" s="6"/>
      <c r="N963" s="6" t="s">
        <v>112</v>
      </c>
      <c r="O963" s="6"/>
      <c r="P963" s="6" t="s">
        <v>52</v>
      </c>
      <c r="Q963" s="6"/>
      <c r="R963" s="47" t="s">
        <v>5521</v>
      </c>
      <c r="S963" s="14" t="s">
        <v>5522</v>
      </c>
      <c r="T963" s="14" t="s">
        <v>5523</v>
      </c>
      <c r="U963" s="14" t="s">
        <v>4877</v>
      </c>
      <c r="V963" s="14" t="s">
        <v>5524</v>
      </c>
      <c r="AA963" s="6"/>
      <c r="AB963" s="6" t="s">
        <v>101</v>
      </c>
      <c r="AC963" s="6"/>
      <c r="AD963" s="6" t="s">
        <v>56</v>
      </c>
      <c r="AE963" s="6"/>
      <c r="AF963" s="6" t="s">
        <v>68</v>
      </c>
      <c r="AG963" s="6"/>
      <c r="AH963" s="6" t="s">
        <v>58</v>
      </c>
      <c r="AI963" s="6"/>
      <c r="AJ963" s="6" t="s">
        <v>361</v>
      </c>
    </row>
    <row r="964" spans="1:36" ht="15.75" customHeight="1" x14ac:dyDescent="0.25">
      <c r="A964" s="7">
        <v>43420.324965763888</v>
      </c>
      <c r="B964" s="6" t="s">
        <v>3391</v>
      </c>
      <c r="C964" s="6" t="s">
        <v>95</v>
      </c>
      <c r="E964" s="6" t="s">
        <v>48</v>
      </c>
      <c r="F964" s="6" t="s">
        <v>3393</v>
      </c>
      <c r="G964" s="6" t="s">
        <v>48</v>
      </c>
      <c r="H964" s="6" t="s">
        <v>3394</v>
      </c>
      <c r="I964" s="6"/>
      <c r="J964" s="6" t="s">
        <v>50</v>
      </c>
      <c r="K964" s="6"/>
      <c r="L964" s="6" t="s">
        <v>2457</v>
      </c>
      <c r="M964" s="6"/>
      <c r="N964" s="6" t="s">
        <v>167</v>
      </c>
      <c r="O964" s="6"/>
      <c r="P964" s="6" t="s">
        <v>168</v>
      </c>
      <c r="Q964" s="6"/>
      <c r="R964" s="47" t="s">
        <v>5525</v>
      </c>
      <c r="S964" s="14" t="s">
        <v>4400</v>
      </c>
      <c r="T964" s="14" t="s">
        <v>4425</v>
      </c>
      <c r="U964" s="14" t="s">
        <v>5526</v>
      </c>
      <c r="AA964" s="6"/>
      <c r="AB964" s="6" t="s">
        <v>101</v>
      </c>
      <c r="AC964" s="6"/>
      <c r="AD964" s="6" t="s">
        <v>56</v>
      </c>
      <c r="AE964" s="6"/>
      <c r="AF964" s="6" t="s">
        <v>68</v>
      </c>
      <c r="AG964" s="6"/>
      <c r="AH964" s="6" t="s">
        <v>58</v>
      </c>
      <c r="AI964" s="6"/>
      <c r="AJ964" s="6" t="s">
        <v>115</v>
      </c>
    </row>
    <row r="965" spans="1:36" ht="15.75" customHeight="1" x14ac:dyDescent="0.25">
      <c r="A965" s="7">
        <v>43420.345412997689</v>
      </c>
      <c r="B965" s="6" t="s">
        <v>30</v>
      </c>
      <c r="C965" s="6" t="s">
        <v>79</v>
      </c>
      <c r="E965" s="6" t="s">
        <v>48</v>
      </c>
      <c r="F965" s="6" t="s">
        <v>993</v>
      </c>
      <c r="G965" s="6" t="s">
        <v>48</v>
      </c>
      <c r="H965" s="6" t="s">
        <v>3396</v>
      </c>
      <c r="I965" s="6"/>
      <c r="J965" s="6" t="s">
        <v>92</v>
      </c>
      <c r="K965" s="6"/>
      <c r="L965" s="6" t="s">
        <v>2932</v>
      </c>
      <c r="M965" s="6"/>
      <c r="N965" s="6" t="s">
        <v>121</v>
      </c>
      <c r="O965" s="6"/>
      <c r="P965" s="6" t="s">
        <v>94</v>
      </c>
      <c r="Q965" s="6"/>
      <c r="R965" s="47" t="s">
        <v>507</v>
      </c>
      <c r="S965" s="14" t="s">
        <v>5527</v>
      </c>
      <c r="T965" s="14" t="s">
        <v>5528</v>
      </c>
      <c r="U965" s="14" t="s">
        <v>5529</v>
      </c>
      <c r="AA965" s="6"/>
      <c r="AB965" s="6" t="s">
        <v>67</v>
      </c>
      <c r="AC965" s="6"/>
      <c r="AD965" s="6" t="s">
        <v>56</v>
      </c>
      <c r="AE965" s="6"/>
      <c r="AF965" s="6" t="s">
        <v>75</v>
      </c>
      <c r="AG965" s="6"/>
      <c r="AH965" s="6" t="s">
        <v>58</v>
      </c>
      <c r="AI965" s="6"/>
      <c r="AJ965" s="11" t="s">
        <v>77</v>
      </c>
    </row>
    <row r="966" spans="1:36" ht="15.75" customHeight="1" x14ac:dyDescent="0.25">
      <c r="A966" s="7">
        <v>43420.351700474537</v>
      </c>
      <c r="B966" s="6" t="s">
        <v>305</v>
      </c>
      <c r="C966" s="6" t="s">
        <v>79</v>
      </c>
      <c r="D966" s="6" t="s">
        <v>163</v>
      </c>
      <c r="E966" s="6" t="s">
        <v>48</v>
      </c>
      <c r="F966" s="6" t="s">
        <v>3400</v>
      </c>
      <c r="G966" s="6" t="s">
        <v>48</v>
      </c>
      <c r="J966" s="6" t="s">
        <v>89</v>
      </c>
      <c r="K966" s="6"/>
      <c r="L966" s="6" t="s">
        <v>2394</v>
      </c>
      <c r="M966" s="6"/>
      <c r="N966" s="6" t="s">
        <v>121</v>
      </c>
      <c r="O966" s="6"/>
      <c r="P966" s="6" t="s">
        <v>94</v>
      </c>
      <c r="Q966" s="6"/>
      <c r="R966" s="47" t="s">
        <v>3401</v>
      </c>
      <c r="AA966" s="6"/>
      <c r="AB966" s="6" t="s">
        <v>67</v>
      </c>
      <c r="AC966" s="6"/>
      <c r="AD966" s="6" t="s">
        <v>56</v>
      </c>
      <c r="AE966" s="6"/>
      <c r="AF966" s="6" t="s">
        <v>68</v>
      </c>
      <c r="AG966" s="6"/>
      <c r="AH966" s="6" t="s">
        <v>58</v>
      </c>
      <c r="AI966" s="6"/>
      <c r="AJ966" s="11" t="s">
        <v>77</v>
      </c>
    </row>
    <row r="967" spans="1:36" ht="15.75" customHeight="1" x14ac:dyDescent="0.25">
      <c r="A967" s="7">
        <v>43420.369893229166</v>
      </c>
      <c r="B967" s="6" t="s">
        <v>30</v>
      </c>
      <c r="C967" s="6" t="s">
        <v>434</v>
      </c>
      <c r="D967" s="6" t="s">
        <v>91</v>
      </c>
      <c r="E967" s="6" t="s">
        <v>81</v>
      </c>
      <c r="F967" s="6" t="s">
        <v>3403</v>
      </c>
      <c r="G967" s="6" t="s">
        <v>87</v>
      </c>
      <c r="H967" s="6" t="s">
        <v>3404</v>
      </c>
      <c r="I967" s="6"/>
      <c r="J967" s="6" t="s">
        <v>50</v>
      </c>
      <c r="K967" s="6"/>
      <c r="L967" s="6" t="s">
        <v>2933</v>
      </c>
      <c r="M967" s="6"/>
      <c r="N967" s="6" t="s">
        <v>181</v>
      </c>
      <c r="O967" s="6"/>
      <c r="P967" s="6" t="s">
        <v>94</v>
      </c>
      <c r="Q967" s="6"/>
      <c r="R967" s="47" t="s">
        <v>201</v>
      </c>
      <c r="S967" s="14" t="s">
        <v>5530</v>
      </c>
      <c r="T967" s="14" t="s">
        <v>5531</v>
      </c>
      <c r="U967" s="14" t="s">
        <v>5532</v>
      </c>
      <c r="V967" s="14" t="s">
        <v>4527</v>
      </c>
      <c r="W967" s="14" t="s">
        <v>5533</v>
      </c>
      <c r="AA967" s="6"/>
      <c r="AB967" s="6" t="s">
        <v>55</v>
      </c>
      <c r="AC967" s="6"/>
      <c r="AD967" s="6" t="s">
        <v>56</v>
      </c>
      <c r="AE967" s="6"/>
      <c r="AF967" s="6" t="s">
        <v>75</v>
      </c>
      <c r="AG967" s="6"/>
      <c r="AH967" s="6" t="s">
        <v>76</v>
      </c>
      <c r="AI967" s="6"/>
      <c r="AJ967" s="11" t="s">
        <v>77</v>
      </c>
    </row>
    <row r="968" spans="1:36" ht="15.75" customHeight="1" x14ac:dyDescent="0.25">
      <c r="A968" s="7">
        <v>43420.370351030091</v>
      </c>
      <c r="B968" s="6" t="s">
        <v>60</v>
      </c>
      <c r="C968" s="6" t="s">
        <v>705</v>
      </c>
      <c r="D968" s="6" t="s">
        <v>165</v>
      </c>
      <c r="E968" s="6" t="s">
        <v>81</v>
      </c>
      <c r="G968" s="6" t="s">
        <v>87</v>
      </c>
      <c r="H968" s="6" t="s">
        <v>3406</v>
      </c>
      <c r="I968" s="6"/>
      <c r="J968" s="6" t="s">
        <v>110</v>
      </c>
      <c r="K968" s="6"/>
      <c r="L968" s="6" t="s">
        <v>2934</v>
      </c>
      <c r="M968" s="6"/>
      <c r="N968" s="6" t="s">
        <v>112</v>
      </c>
      <c r="O968" s="6"/>
      <c r="P968" s="6" t="s">
        <v>131</v>
      </c>
      <c r="Q968" s="6"/>
      <c r="R968" s="47" t="s">
        <v>766</v>
      </c>
      <c r="AA968" s="6"/>
      <c r="AB968" s="6" t="s">
        <v>101</v>
      </c>
      <c r="AC968" s="6"/>
      <c r="AD968" s="6" t="s">
        <v>56</v>
      </c>
      <c r="AE968" s="6"/>
      <c r="AF968" s="6" t="s">
        <v>68</v>
      </c>
      <c r="AG968" s="6"/>
      <c r="AH968" s="6" t="s">
        <v>58</v>
      </c>
      <c r="AI968" s="6"/>
      <c r="AJ968" s="11" t="s">
        <v>59</v>
      </c>
    </row>
    <row r="969" spans="1:36" ht="15.75" customHeight="1" x14ac:dyDescent="0.25">
      <c r="A969" s="7">
        <v>43420.370946932875</v>
      </c>
      <c r="B969" s="6" t="s">
        <v>30</v>
      </c>
      <c r="C969" s="6" t="s">
        <v>61</v>
      </c>
      <c r="D969" s="6" t="s">
        <v>261</v>
      </c>
      <c r="E969" s="6" t="s">
        <v>81</v>
      </c>
      <c r="G969" s="6" t="s">
        <v>48</v>
      </c>
      <c r="H969" s="6" t="s">
        <v>3408</v>
      </c>
      <c r="I969" s="6"/>
      <c r="J969" s="6" t="s">
        <v>92</v>
      </c>
      <c r="K969" s="6"/>
      <c r="L969" s="6" t="s">
        <v>2460</v>
      </c>
      <c r="M969" s="6"/>
      <c r="N969" s="6" t="s">
        <v>51</v>
      </c>
      <c r="O969" s="6"/>
      <c r="P969" s="6" t="s">
        <v>52</v>
      </c>
      <c r="Q969" s="6"/>
      <c r="R969" s="47" t="s">
        <v>3409</v>
      </c>
      <c r="AA969" s="6"/>
      <c r="AB969" s="6" t="s">
        <v>67</v>
      </c>
      <c r="AC969" s="6"/>
      <c r="AD969" s="6" t="s">
        <v>109</v>
      </c>
      <c r="AE969" s="6"/>
      <c r="AF969" s="6" t="s">
        <v>75</v>
      </c>
      <c r="AG969" s="6"/>
      <c r="AH969" s="6" t="s">
        <v>57</v>
      </c>
      <c r="AI969" s="6"/>
      <c r="AJ969" s="6" t="s">
        <v>340</v>
      </c>
    </row>
    <row r="970" spans="1:36" ht="15.75" customHeight="1" x14ac:dyDescent="0.25">
      <c r="A970" s="7">
        <v>43420.375566226852</v>
      </c>
      <c r="B970" s="6" t="s">
        <v>26</v>
      </c>
      <c r="C970" s="6" t="s">
        <v>116</v>
      </c>
      <c r="D970" s="6" t="s">
        <v>165</v>
      </c>
      <c r="E970" s="6" t="s">
        <v>81</v>
      </c>
      <c r="G970" s="6" t="s">
        <v>87</v>
      </c>
      <c r="H970" s="6" t="s">
        <v>3410</v>
      </c>
      <c r="I970" s="6"/>
      <c r="J970" s="6" t="s">
        <v>92</v>
      </c>
      <c r="K970" s="6"/>
      <c r="L970" s="6" t="s">
        <v>2935</v>
      </c>
      <c r="M970" s="6"/>
      <c r="N970" s="6" t="s">
        <v>121</v>
      </c>
      <c r="O970" s="6"/>
      <c r="P970" s="6" t="s">
        <v>94</v>
      </c>
      <c r="Q970" s="6"/>
      <c r="R970" s="47" t="s">
        <v>1261</v>
      </c>
      <c r="AA970" s="6"/>
      <c r="AB970" s="6" t="s">
        <v>67</v>
      </c>
      <c r="AC970" s="6"/>
      <c r="AD970" s="6" t="s">
        <v>56</v>
      </c>
      <c r="AE970" s="6"/>
      <c r="AF970" s="6" t="s">
        <v>68</v>
      </c>
      <c r="AG970" s="6"/>
      <c r="AH970" s="6" t="s">
        <v>58</v>
      </c>
      <c r="AI970" s="6"/>
      <c r="AJ970" s="11" t="s">
        <v>297</v>
      </c>
    </row>
    <row r="971" spans="1:36" ht="15.75" customHeight="1" x14ac:dyDescent="0.25">
      <c r="A971" s="7">
        <v>43420.379334444442</v>
      </c>
      <c r="B971" s="6" t="s">
        <v>127</v>
      </c>
      <c r="C971" s="6" t="s">
        <v>971</v>
      </c>
      <c r="D971" s="6" t="s">
        <v>846</v>
      </c>
      <c r="E971" s="6" t="s">
        <v>81</v>
      </c>
      <c r="G971" s="6" t="s">
        <v>87</v>
      </c>
      <c r="H971" s="6" t="s">
        <v>3413</v>
      </c>
      <c r="I971" s="6"/>
      <c r="J971" s="6" t="s">
        <v>184</v>
      </c>
      <c r="K971" s="6"/>
      <c r="L971" s="6" t="s">
        <v>2937</v>
      </c>
      <c r="M971" s="6"/>
      <c r="N971" s="6" t="s">
        <v>51</v>
      </c>
      <c r="O971" s="6"/>
      <c r="P971" s="6" t="s">
        <v>65</v>
      </c>
      <c r="Q971" s="6"/>
      <c r="R971" s="47" t="s">
        <v>5534</v>
      </c>
      <c r="S971" s="14" t="s">
        <v>5535</v>
      </c>
      <c r="T971" s="14" t="s">
        <v>5536</v>
      </c>
      <c r="AA971" s="6"/>
      <c r="AB971" s="6" t="s">
        <v>67</v>
      </c>
      <c r="AC971" s="6"/>
      <c r="AD971" s="6" t="s">
        <v>56</v>
      </c>
      <c r="AE971" s="6"/>
      <c r="AF971" s="6" t="s">
        <v>68</v>
      </c>
      <c r="AG971" s="6"/>
      <c r="AH971" s="6" t="s">
        <v>58</v>
      </c>
      <c r="AI971" s="6"/>
      <c r="AJ971" s="6" t="s">
        <v>334</v>
      </c>
    </row>
    <row r="972" spans="1:36" ht="15.75" customHeight="1" x14ac:dyDescent="0.25">
      <c r="A972" s="7">
        <v>43420.379414606483</v>
      </c>
      <c r="B972" s="6" t="s">
        <v>60</v>
      </c>
      <c r="C972" s="6" t="s">
        <v>90</v>
      </c>
      <c r="D972" s="6" t="s">
        <v>129</v>
      </c>
      <c r="E972" s="6" t="s">
        <v>81</v>
      </c>
      <c r="G972" s="6" t="s">
        <v>87</v>
      </c>
      <c r="H972" s="6" t="s">
        <v>3416</v>
      </c>
      <c r="I972" s="6"/>
      <c r="J972" s="6" t="s">
        <v>158</v>
      </c>
      <c r="K972" s="6"/>
      <c r="L972" s="6" t="s">
        <v>2938</v>
      </c>
      <c r="M972" s="6"/>
      <c r="N972" s="6" t="s">
        <v>98</v>
      </c>
      <c r="O972" s="6"/>
      <c r="P972" s="6" t="s">
        <v>94</v>
      </c>
      <c r="Q972" s="6"/>
      <c r="R972" s="47" t="s">
        <v>3417</v>
      </c>
      <c r="AA972" s="6"/>
      <c r="AB972" s="6" t="s">
        <v>67</v>
      </c>
      <c r="AC972" s="6"/>
      <c r="AD972" s="6" t="s">
        <v>56</v>
      </c>
      <c r="AE972" s="6"/>
      <c r="AF972" s="6" t="s">
        <v>161</v>
      </c>
      <c r="AG972" s="6"/>
      <c r="AH972" s="6" t="s">
        <v>76</v>
      </c>
      <c r="AI972" s="6"/>
      <c r="AJ972" s="11" t="s">
        <v>291</v>
      </c>
    </row>
    <row r="973" spans="1:36" ht="15.75" customHeight="1" x14ac:dyDescent="0.25">
      <c r="A973" s="7">
        <v>43420.382618009258</v>
      </c>
      <c r="B973" s="6" t="s">
        <v>154</v>
      </c>
      <c r="C973" s="6" t="s">
        <v>227</v>
      </c>
      <c r="D973" s="6" t="s">
        <v>46</v>
      </c>
      <c r="E973" s="6" t="s">
        <v>48</v>
      </c>
      <c r="F973" s="6" t="s">
        <v>566</v>
      </c>
      <c r="G973" s="6" t="s">
        <v>48</v>
      </c>
      <c r="J973" s="6" t="s">
        <v>92</v>
      </c>
      <c r="K973" s="6"/>
      <c r="P973" s="6" t="s">
        <v>168</v>
      </c>
      <c r="Q973" s="6"/>
      <c r="AA973" s="6"/>
      <c r="AB973" s="11" t="s">
        <v>67</v>
      </c>
      <c r="AC973" s="6"/>
      <c r="AD973" s="6" t="s">
        <v>57</v>
      </c>
      <c r="AE973" s="6"/>
      <c r="AF973" s="6" t="s">
        <v>205</v>
      </c>
      <c r="AG973" s="6"/>
      <c r="AH973" s="6" t="s">
        <v>126</v>
      </c>
      <c r="AJ973" s="12" t="s">
        <v>57</v>
      </c>
    </row>
    <row r="974" spans="1:36" ht="15.75" customHeight="1" x14ac:dyDescent="0.25">
      <c r="A974" s="7">
        <v>43420.38609630787</v>
      </c>
      <c r="B974" s="6" t="s">
        <v>30</v>
      </c>
      <c r="C974" s="6" t="s">
        <v>1142</v>
      </c>
      <c r="D974" s="6" t="s">
        <v>46</v>
      </c>
      <c r="E974" s="6" t="s">
        <v>48</v>
      </c>
      <c r="F974" s="6" t="s">
        <v>3419</v>
      </c>
      <c r="G974" s="6" t="s">
        <v>48</v>
      </c>
      <c r="H974" s="6" t="s">
        <v>3420</v>
      </c>
      <c r="I974" s="6"/>
      <c r="J974" s="6" t="s">
        <v>50</v>
      </c>
      <c r="K974" s="6"/>
      <c r="L974" s="6" t="s">
        <v>2940</v>
      </c>
      <c r="M974" s="6"/>
      <c r="N974" s="6" t="s">
        <v>181</v>
      </c>
      <c r="O974" s="6"/>
      <c r="P974" s="6" t="s">
        <v>99</v>
      </c>
      <c r="Q974" s="6"/>
      <c r="R974" s="47" t="s">
        <v>3421</v>
      </c>
      <c r="AA974" s="6"/>
      <c r="AB974" s="6" t="s">
        <v>67</v>
      </c>
      <c r="AC974" s="6"/>
      <c r="AD974" s="6" t="s">
        <v>56</v>
      </c>
      <c r="AE974" s="6"/>
      <c r="AF974" s="6" t="s">
        <v>68</v>
      </c>
      <c r="AG974" s="6"/>
      <c r="AH974" s="6" t="s">
        <v>57</v>
      </c>
      <c r="AI974" s="6"/>
      <c r="AJ974" s="11" t="s">
        <v>69</v>
      </c>
    </row>
    <row r="975" spans="1:36" ht="15.75" customHeight="1" x14ac:dyDescent="0.25">
      <c r="A975" s="7">
        <v>43420.41683480324</v>
      </c>
      <c r="B975" s="6" t="s">
        <v>60</v>
      </c>
      <c r="C975" s="6" t="s">
        <v>128</v>
      </c>
      <c r="D975" s="6" t="s">
        <v>46</v>
      </c>
      <c r="E975" s="6" t="s">
        <v>48</v>
      </c>
      <c r="F975" s="6" t="s">
        <v>665</v>
      </c>
      <c r="G975" s="6" t="s">
        <v>48</v>
      </c>
      <c r="H975" s="6" t="s">
        <v>3423</v>
      </c>
      <c r="I975" s="6"/>
      <c r="J975" s="6" t="s">
        <v>89</v>
      </c>
      <c r="K975" s="6"/>
      <c r="L975" s="6" t="s">
        <v>2623</v>
      </c>
      <c r="M975" s="6"/>
      <c r="N975" s="6" t="s">
        <v>212</v>
      </c>
      <c r="O975" s="6"/>
      <c r="P975" s="6" t="s">
        <v>131</v>
      </c>
      <c r="Q975" s="6"/>
      <c r="R975" s="47" t="s">
        <v>3424</v>
      </c>
      <c r="AA975" s="6"/>
      <c r="AB975" s="6" t="s">
        <v>101</v>
      </c>
      <c r="AC975" s="6"/>
      <c r="AD975" s="6" t="s">
        <v>56</v>
      </c>
      <c r="AE975" s="6"/>
      <c r="AF975" s="6" t="s">
        <v>75</v>
      </c>
      <c r="AG975" s="6"/>
      <c r="AH975" s="6" t="s">
        <v>58</v>
      </c>
      <c r="AI975" s="6"/>
      <c r="AJ975" s="11" t="s">
        <v>174</v>
      </c>
    </row>
    <row r="976" spans="1:36" ht="15.75" customHeight="1" x14ac:dyDescent="0.25">
      <c r="A976" s="7">
        <v>43420.416892488429</v>
      </c>
      <c r="B976" s="6" t="s">
        <v>30</v>
      </c>
      <c r="C976" s="6" t="s">
        <v>237</v>
      </c>
      <c r="D976" s="6" t="s">
        <v>46</v>
      </c>
      <c r="E976" s="6" t="s">
        <v>81</v>
      </c>
      <c r="G976" s="6" t="s">
        <v>87</v>
      </c>
      <c r="J976" s="6" t="s">
        <v>73</v>
      </c>
      <c r="K976" s="6"/>
      <c r="L976" s="6" t="s">
        <v>2939</v>
      </c>
      <c r="M976" s="6"/>
      <c r="N976" s="6" t="s">
        <v>212</v>
      </c>
      <c r="O976" s="6"/>
      <c r="P976" s="6" t="s">
        <v>131</v>
      </c>
      <c r="Q976" s="6"/>
      <c r="R976" s="47" t="s">
        <v>2751</v>
      </c>
      <c r="S976" s="14" t="s">
        <v>5537</v>
      </c>
      <c r="T976" s="14" t="s">
        <v>4400</v>
      </c>
      <c r="U976" s="14" t="s">
        <v>5538</v>
      </c>
      <c r="AA976" s="6"/>
      <c r="AB976" s="6" t="s">
        <v>67</v>
      </c>
      <c r="AC976" s="6"/>
      <c r="AD976" s="6" t="s">
        <v>56</v>
      </c>
      <c r="AE976" s="6"/>
      <c r="AF976" s="6" t="s">
        <v>75</v>
      </c>
      <c r="AG976" s="6"/>
      <c r="AH976" s="6" t="s">
        <v>76</v>
      </c>
      <c r="AI976" s="6"/>
      <c r="AJ976" s="6" t="s">
        <v>244</v>
      </c>
    </row>
    <row r="977" spans="1:36" ht="15.75" customHeight="1" x14ac:dyDescent="0.25">
      <c r="A977" s="7">
        <v>43420.431645416669</v>
      </c>
      <c r="B977" s="6" t="s">
        <v>30</v>
      </c>
      <c r="C977" s="6" t="s">
        <v>90</v>
      </c>
      <c r="D977" s="6" t="s">
        <v>46</v>
      </c>
      <c r="E977" s="6" t="s">
        <v>81</v>
      </c>
      <c r="G977" s="6" t="s">
        <v>48</v>
      </c>
      <c r="J977" s="6" t="s">
        <v>50</v>
      </c>
      <c r="K977" s="6"/>
      <c r="L977" s="6" t="s">
        <v>86</v>
      </c>
      <c r="M977" s="6"/>
      <c r="N977" s="6" t="s">
        <v>248</v>
      </c>
      <c r="O977" s="6"/>
      <c r="P977" s="6" t="s">
        <v>94</v>
      </c>
      <c r="Q977" s="6"/>
      <c r="AA977" s="6"/>
      <c r="AB977" s="6" t="s">
        <v>67</v>
      </c>
      <c r="AC977" s="6"/>
      <c r="AD977" s="6" t="s">
        <v>56</v>
      </c>
      <c r="AE977" s="6"/>
      <c r="AF977" s="6" t="s">
        <v>205</v>
      </c>
      <c r="AG977" s="6"/>
      <c r="AH977" s="11" t="s">
        <v>126</v>
      </c>
      <c r="AI977" s="6"/>
      <c r="AJ977" s="11" t="s">
        <v>256</v>
      </c>
    </row>
    <row r="978" spans="1:36" ht="15.75" customHeight="1" x14ac:dyDescent="0.25">
      <c r="A978" s="7">
        <v>43420.434061203705</v>
      </c>
      <c r="B978" s="6" t="s">
        <v>294</v>
      </c>
      <c r="C978" s="6" t="s">
        <v>306</v>
      </c>
      <c r="D978" s="6" t="s">
        <v>46</v>
      </c>
      <c r="E978" s="6" t="s">
        <v>48</v>
      </c>
      <c r="F978" s="6" t="s">
        <v>3428</v>
      </c>
      <c r="G978" s="6" t="s">
        <v>81</v>
      </c>
      <c r="H978" s="6" t="s">
        <v>3429</v>
      </c>
      <c r="I978" s="6"/>
      <c r="J978" s="6" t="s">
        <v>89</v>
      </c>
      <c r="K978" s="6"/>
      <c r="L978" s="6" t="s">
        <v>2321</v>
      </c>
      <c r="M978" s="6"/>
      <c r="N978" s="6" t="s">
        <v>112</v>
      </c>
      <c r="O978" s="6"/>
      <c r="P978" s="6" t="s">
        <v>131</v>
      </c>
      <c r="Q978" s="6"/>
      <c r="R978" s="47" t="s">
        <v>5539</v>
      </c>
      <c r="S978" s="14" t="s">
        <v>5540</v>
      </c>
      <c r="T978" s="14" t="s">
        <v>4647</v>
      </c>
      <c r="U978" s="14" t="s">
        <v>4649</v>
      </c>
      <c r="V978" s="14" t="s">
        <v>5541</v>
      </c>
      <c r="W978" s="14" t="s">
        <v>4697</v>
      </c>
      <c r="AA978" s="6"/>
      <c r="AB978" s="6" t="s">
        <v>101</v>
      </c>
      <c r="AC978" s="6"/>
      <c r="AD978" s="6" t="s">
        <v>56</v>
      </c>
      <c r="AE978" s="6"/>
      <c r="AF978" s="6" t="s">
        <v>68</v>
      </c>
      <c r="AG978" s="6"/>
      <c r="AH978" s="6" t="s">
        <v>58</v>
      </c>
      <c r="AI978" s="6"/>
      <c r="AJ978" s="6" t="s">
        <v>77</v>
      </c>
    </row>
    <row r="979" spans="1:36" ht="15.75" customHeight="1" x14ac:dyDescent="0.25">
      <c r="A979" s="7">
        <v>43420.440800208336</v>
      </c>
      <c r="B979" s="6" t="s">
        <v>30</v>
      </c>
      <c r="C979" s="6" t="s">
        <v>1118</v>
      </c>
      <c r="D979" s="6" t="s">
        <v>165</v>
      </c>
      <c r="E979" s="6" t="s">
        <v>81</v>
      </c>
      <c r="G979" s="6" t="s">
        <v>87</v>
      </c>
      <c r="H979" s="6" t="s">
        <v>3432</v>
      </c>
      <c r="I979" s="6"/>
      <c r="J979" s="6" t="s">
        <v>89</v>
      </c>
      <c r="K979" s="6"/>
      <c r="L979" s="20" t="s">
        <v>2941</v>
      </c>
      <c r="M979" s="6"/>
      <c r="N979" s="6" t="s">
        <v>181</v>
      </c>
      <c r="O979" s="6"/>
      <c r="P979" s="6" t="s">
        <v>131</v>
      </c>
      <c r="Q979" s="6"/>
      <c r="R979" s="47" t="s">
        <v>149</v>
      </c>
      <c r="AA979" s="6"/>
      <c r="AB979" s="6" t="s">
        <v>101</v>
      </c>
      <c r="AC979" s="6"/>
      <c r="AD979" s="6" t="s">
        <v>56</v>
      </c>
      <c r="AE979" s="6"/>
      <c r="AF979" s="6" t="s">
        <v>75</v>
      </c>
      <c r="AG979" s="6"/>
      <c r="AH979" s="6" t="s">
        <v>76</v>
      </c>
      <c r="AI979" s="6"/>
      <c r="AJ979" s="6" t="s">
        <v>132</v>
      </c>
    </row>
    <row r="980" spans="1:36" ht="15.75" customHeight="1" x14ac:dyDescent="0.25">
      <c r="A980" s="7">
        <v>43420.461100416665</v>
      </c>
      <c r="B980" s="6" t="s">
        <v>30</v>
      </c>
      <c r="C980" s="6" t="s">
        <v>215</v>
      </c>
      <c r="D980" s="6" t="s">
        <v>46</v>
      </c>
      <c r="E980" s="6" t="s">
        <v>48</v>
      </c>
      <c r="F980" s="6" t="s">
        <v>3434</v>
      </c>
      <c r="G980" s="6" t="s">
        <v>48</v>
      </c>
      <c r="J980" s="6" t="s">
        <v>110</v>
      </c>
      <c r="K980" s="6"/>
      <c r="L980" s="6" t="s">
        <v>2942</v>
      </c>
      <c r="M980" s="6"/>
      <c r="N980" s="6" t="s">
        <v>51</v>
      </c>
      <c r="O980" s="6"/>
      <c r="P980" s="6" t="s">
        <v>131</v>
      </c>
      <c r="Q980" s="6"/>
      <c r="R980" s="47" t="s">
        <v>3435</v>
      </c>
      <c r="AA980" s="6"/>
      <c r="AB980" s="6" t="s">
        <v>67</v>
      </c>
      <c r="AC980" s="6"/>
      <c r="AD980" s="6" t="s">
        <v>56</v>
      </c>
      <c r="AE980" s="6"/>
      <c r="AF980" s="6" t="s">
        <v>68</v>
      </c>
      <c r="AG980" s="6"/>
      <c r="AH980" s="6" t="s">
        <v>57</v>
      </c>
      <c r="AI980" s="6"/>
      <c r="AJ980" s="6" t="s">
        <v>244</v>
      </c>
    </row>
    <row r="981" spans="1:36" ht="15.75" customHeight="1" x14ac:dyDescent="0.25">
      <c r="A981" s="7">
        <v>43420.463393148151</v>
      </c>
      <c r="B981" s="6" t="s">
        <v>30</v>
      </c>
      <c r="C981" s="6" t="s">
        <v>116</v>
      </c>
      <c r="D981" s="6" t="s">
        <v>46</v>
      </c>
      <c r="E981" s="6" t="s">
        <v>48</v>
      </c>
      <c r="F981" s="6" t="s">
        <v>3436</v>
      </c>
      <c r="G981" s="6" t="s">
        <v>48</v>
      </c>
      <c r="J981" s="6" t="s">
        <v>73</v>
      </c>
      <c r="K981" s="6"/>
      <c r="L981" s="6" t="s">
        <v>2943</v>
      </c>
      <c r="M981" s="6"/>
      <c r="N981" s="6" t="s">
        <v>112</v>
      </c>
      <c r="O981" s="6"/>
      <c r="P981" s="6" t="s">
        <v>131</v>
      </c>
      <c r="Q981" s="6"/>
      <c r="R981" s="47" t="s">
        <v>4954</v>
      </c>
      <c r="S981" s="14" t="s">
        <v>5542</v>
      </c>
      <c r="T981" s="14" t="s">
        <v>5543</v>
      </c>
      <c r="U981" s="14" t="s">
        <v>5544</v>
      </c>
      <c r="V981" s="14" t="s">
        <v>3994</v>
      </c>
      <c r="AA981" s="6"/>
      <c r="AB981" s="6" t="s">
        <v>203</v>
      </c>
      <c r="AC981" s="6"/>
      <c r="AD981" s="6" t="s">
        <v>109</v>
      </c>
      <c r="AE981" s="6"/>
      <c r="AF981" s="6" t="s">
        <v>75</v>
      </c>
      <c r="AG981" s="6"/>
      <c r="AH981" s="6" t="s">
        <v>58</v>
      </c>
      <c r="AI981" s="6"/>
      <c r="AJ981" s="6" t="s">
        <v>233</v>
      </c>
    </row>
    <row r="982" spans="1:36" ht="15.75" customHeight="1" x14ac:dyDescent="0.25">
      <c r="A982" s="7">
        <v>43420.467011898145</v>
      </c>
      <c r="B982" s="6" t="s">
        <v>294</v>
      </c>
      <c r="C982" s="6" t="s">
        <v>116</v>
      </c>
      <c r="D982" s="6" t="s">
        <v>307</v>
      </c>
      <c r="E982" s="6" t="s">
        <v>81</v>
      </c>
      <c r="G982" s="6" t="s">
        <v>87</v>
      </c>
      <c r="J982" s="6" t="s">
        <v>89</v>
      </c>
      <c r="K982" s="6"/>
      <c r="L982" s="6" t="s">
        <v>2945</v>
      </c>
      <c r="M982" s="6"/>
      <c r="N982" s="6" t="s">
        <v>121</v>
      </c>
      <c r="O982" s="6"/>
      <c r="P982" s="6" t="s">
        <v>94</v>
      </c>
      <c r="Q982" s="6"/>
      <c r="AA982" s="6"/>
      <c r="AB982" s="6" t="s">
        <v>101</v>
      </c>
      <c r="AC982" s="6"/>
      <c r="AD982" s="6" t="s">
        <v>56</v>
      </c>
      <c r="AE982" s="6"/>
      <c r="AF982" s="6" t="s">
        <v>57</v>
      </c>
      <c r="AG982" s="6"/>
      <c r="AH982" s="6" t="s">
        <v>126</v>
      </c>
      <c r="AJ982" s="12" t="s">
        <v>57</v>
      </c>
    </row>
    <row r="983" spans="1:36" ht="15.75" customHeight="1" x14ac:dyDescent="0.25">
      <c r="A983" s="7">
        <v>43420.4707709375</v>
      </c>
      <c r="B983" s="6" t="s">
        <v>127</v>
      </c>
      <c r="C983" s="6" t="s">
        <v>850</v>
      </c>
      <c r="D983" s="6" t="s">
        <v>163</v>
      </c>
      <c r="E983" s="6" t="s">
        <v>81</v>
      </c>
      <c r="G983" s="6" t="s">
        <v>87</v>
      </c>
      <c r="H983" s="6" t="s">
        <v>3440</v>
      </c>
      <c r="I983" s="6"/>
      <c r="J983" s="6" t="s">
        <v>106</v>
      </c>
      <c r="K983" s="6"/>
      <c r="L983" s="6" t="s">
        <v>2946</v>
      </c>
      <c r="M983" s="6"/>
      <c r="N983" s="6" t="s">
        <v>51</v>
      </c>
      <c r="O983" s="6"/>
      <c r="P983" s="6" t="s">
        <v>52</v>
      </c>
      <c r="Q983" s="6"/>
      <c r="R983" s="47" t="s">
        <v>3441</v>
      </c>
      <c r="AA983" s="6"/>
      <c r="AB983" s="6" t="s">
        <v>101</v>
      </c>
      <c r="AC983" s="6"/>
      <c r="AD983" s="6" t="s">
        <v>109</v>
      </c>
      <c r="AE983" s="6"/>
      <c r="AF983" s="6" t="s">
        <v>68</v>
      </c>
      <c r="AG983" s="6"/>
      <c r="AH983" s="6" t="s">
        <v>57</v>
      </c>
      <c r="AI983" s="6"/>
      <c r="AJ983" s="6" t="s">
        <v>424</v>
      </c>
    </row>
    <row r="984" spans="1:36" ht="15.75" customHeight="1" x14ac:dyDescent="0.25">
      <c r="A984" s="7">
        <v>43420.487645856483</v>
      </c>
      <c r="B984" s="6" t="s">
        <v>1110</v>
      </c>
      <c r="C984" s="6" t="s">
        <v>79</v>
      </c>
      <c r="D984" s="6" t="s">
        <v>46</v>
      </c>
      <c r="E984" s="6" t="s">
        <v>48</v>
      </c>
      <c r="F984" s="6" t="s">
        <v>3443</v>
      </c>
      <c r="G984" s="6" t="s">
        <v>48</v>
      </c>
      <c r="H984" s="6" t="s">
        <v>3444</v>
      </c>
      <c r="I984" s="6"/>
      <c r="J984" s="6" t="s">
        <v>50</v>
      </c>
      <c r="K984" s="6"/>
      <c r="L984" s="6" t="s">
        <v>2322</v>
      </c>
      <c r="M984" s="6"/>
      <c r="N984" s="6" t="s">
        <v>98</v>
      </c>
      <c r="O984" s="6"/>
      <c r="P984" s="6" t="s">
        <v>131</v>
      </c>
      <c r="Q984" s="6"/>
      <c r="R984" s="47" t="s">
        <v>3445</v>
      </c>
      <c r="AA984" s="6"/>
      <c r="AB984" s="6" t="s">
        <v>67</v>
      </c>
      <c r="AC984" s="6"/>
      <c r="AD984" s="6" t="s">
        <v>56</v>
      </c>
      <c r="AE984" s="6"/>
      <c r="AF984" s="6" t="s">
        <v>75</v>
      </c>
      <c r="AG984" s="6"/>
      <c r="AH984" s="6" t="s">
        <v>126</v>
      </c>
      <c r="AI984" s="6"/>
      <c r="AJ984" s="11" t="s">
        <v>174</v>
      </c>
    </row>
    <row r="985" spans="1:36" ht="15.75" customHeight="1" x14ac:dyDescent="0.25">
      <c r="A985" s="7">
        <v>43420.50094810185</v>
      </c>
      <c r="B985" s="6" t="s">
        <v>30</v>
      </c>
      <c r="C985" s="6" t="s">
        <v>3446</v>
      </c>
      <c r="D985" s="6" t="s">
        <v>91</v>
      </c>
      <c r="E985" s="6" t="s">
        <v>48</v>
      </c>
      <c r="F985" s="6" t="s">
        <v>3447</v>
      </c>
      <c r="G985" s="6" t="s">
        <v>48</v>
      </c>
      <c r="H985" s="6" t="s">
        <v>3448</v>
      </c>
      <c r="I985" s="6"/>
      <c r="J985" s="6" t="s">
        <v>92</v>
      </c>
      <c r="K985" s="6"/>
      <c r="L985" s="6" t="s">
        <v>2325</v>
      </c>
      <c r="M985" s="6"/>
      <c r="N985" s="6" t="s">
        <v>112</v>
      </c>
      <c r="O985" s="6"/>
      <c r="P985" s="6" t="s">
        <v>131</v>
      </c>
      <c r="Q985" s="6"/>
      <c r="R985" s="47" t="s">
        <v>3476</v>
      </c>
      <c r="S985" s="14" t="s">
        <v>4473</v>
      </c>
      <c r="AA985" s="6"/>
      <c r="AB985" s="6" t="s">
        <v>55</v>
      </c>
      <c r="AC985" s="6"/>
      <c r="AD985" s="6" t="s">
        <v>56</v>
      </c>
      <c r="AE985" s="6"/>
      <c r="AF985" s="6" t="s">
        <v>68</v>
      </c>
      <c r="AG985" s="6"/>
      <c r="AH985" s="6" t="s">
        <v>58</v>
      </c>
      <c r="AI985" s="6"/>
      <c r="AJ985" s="6" t="s">
        <v>115</v>
      </c>
    </row>
    <row r="986" spans="1:36" ht="15.75" customHeight="1" x14ac:dyDescent="0.25">
      <c r="A986" s="7">
        <v>43420.511862060186</v>
      </c>
      <c r="B986" s="6" t="s">
        <v>154</v>
      </c>
      <c r="C986" s="6" t="s">
        <v>756</v>
      </c>
      <c r="E986" s="6" t="s">
        <v>81</v>
      </c>
      <c r="G986" s="6" t="s">
        <v>87</v>
      </c>
      <c r="H986" s="6" t="s">
        <v>3450</v>
      </c>
      <c r="I986" s="6"/>
      <c r="J986" s="6" t="s">
        <v>158</v>
      </c>
      <c r="K986" s="6"/>
      <c r="L986" s="6" t="s">
        <v>2624</v>
      </c>
      <c r="M986" s="6"/>
      <c r="N986" s="6" t="s">
        <v>93</v>
      </c>
      <c r="O986" s="6"/>
      <c r="P986" s="6" t="s">
        <v>131</v>
      </c>
      <c r="Q986" s="6"/>
      <c r="R986" s="47" t="s">
        <v>3285</v>
      </c>
      <c r="S986" s="14" t="s">
        <v>5545</v>
      </c>
      <c r="T986" s="14" t="s">
        <v>5546</v>
      </c>
      <c r="U986" s="14" t="s">
        <v>5547</v>
      </c>
      <c r="V986" s="14" t="s">
        <v>5548</v>
      </c>
      <c r="AA986" s="6"/>
      <c r="AB986" s="6" t="s">
        <v>67</v>
      </c>
      <c r="AC986" s="6"/>
      <c r="AD986" s="6" t="s">
        <v>57</v>
      </c>
      <c r="AE986" s="6"/>
      <c r="AF986" s="6" t="s">
        <v>57</v>
      </c>
      <c r="AG986" s="6"/>
      <c r="AH986" s="6" t="s">
        <v>76</v>
      </c>
      <c r="AI986" s="6"/>
      <c r="AJ986" s="6" t="s">
        <v>344</v>
      </c>
    </row>
    <row r="987" spans="1:36" ht="15.75" customHeight="1" x14ac:dyDescent="0.25">
      <c r="A987" s="7">
        <v>43420.515086226849</v>
      </c>
      <c r="B987" s="6" t="s">
        <v>26</v>
      </c>
      <c r="C987" s="6" t="s">
        <v>95</v>
      </c>
      <c r="D987" s="6" t="s">
        <v>133</v>
      </c>
      <c r="E987" s="6" t="s">
        <v>48</v>
      </c>
      <c r="F987" s="6" t="s">
        <v>3452</v>
      </c>
      <c r="G987" s="6" t="s">
        <v>48</v>
      </c>
      <c r="H987" s="6" t="s">
        <v>3453</v>
      </c>
      <c r="I987" s="6"/>
      <c r="J987" s="6" t="s">
        <v>89</v>
      </c>
      <c r="K987" s="6"/>
      <c r="L987" s="6" t="s">
        <v>2329</v>
      </c>
      <c r="M987" s="6"/>
      <c r="N987" s="6" t="s">
        <v>121</v>
      </c>
      <c r="O987" s="6"/>
      <c r="P987" s="6" t="s">
        <v>94</v>
      </c>
      <c r="Q987" s="6"/>
      <c r="R987" s="47" t="s">
        <v>5549</v>
      </c>
      <c r="S987" s="14" t="s">
        <v>4593</v>
      </c>
      <c r="T987" s="14" t="s">
        <v>5550</v>
      </c>
      <c r="AA987" s="6"/>
      <c r="AB987" s="6" t="s">
        <v>101</v>
      </c>
      <c r="AC987" s="6"/>
      <c r="AD987" s="6" t="s">
        <v>109</v>
      </c>
      <c r="AE987" s="6"/>
      <c r="AF987" s="6" t="s">
        <v>75</v>
      </c>
      <c r="AG987" s="6"/>
      <c r="AH987" s="6" t="s">
        <v>58</v>
      </c>
      <c r="AI987" s="6"/>
      <c r="AJ987" s="11" t="s">
        <v>77</v>
      </c>
    </row>
    <row r="988" spans="1:36" ht="15.75" customHeight="1" x14ac:dyDescent="0.25">
      <c r="A988" s="7">
        <v>43420.515241678237</v>
      </c>
      <c r="B988" s="6" t="s">
        <v>397</v>
      </c>
      <c r="C988" s="6" t="s">
        <v>2631</v>
      </c>
      <c r="D988" s="6" t="s">
        <v>91</v>
      </c>
      <c r="E988" s="6" t="s">
        <v>48</v>
      </c>
      <c r="F988" s="6" t="s">
        <v>3455</v>
      </c>
      <c r="G988" s="6" t="s">
        <v>48</v>
      </c>
      <c r="H988" s="6" t="s">
        <v>3456</v>
      </c>
      <c r="I988" s="6"/>
      <c r="J988" s="6" t="s">
        <v>110</v>
      </c>
      <c r="K988" s="6"/>
      <c r="L988" s="6" t="s">
        <v>2947</v>
      </c>
      <c r="M988" s="6"/>
      <c r="N988" s="6" t="s">
        <v>112</v>
      </c>
      <c r="O988" s="6"/>
      <c r="P988" s="6" t="s">
        <v>99</v>
      </c>
      <c r="Q988" s="6"/>
      <c r="R988" s="47" t="s">
        <v>5551</v>
      </c>
      <c r="S988" s="14" t="s">
        <v>4871</v>
      </c>
      <c r="T988" s="14" t="s">
        <v>5552</v>
      </c>
      <c r="AA988" s="6"/>
      <c r="AB988" s="6" t="s">
        <v>101</v>
      </c>
      <c r="AC988" s="6"/>
      <c r="AD988" s="6" t="s">
        <v>56</v>
      </c>
      <c r="AE988" s="6"/>
      <c r="AF988" s="6" t="s">
        <v>75</v>
      </c>
      <c r="AG988" s="6"/>
      <c r="AH988" s="6" t="s">
        <v>58</v>
      </c>
      <c r="AI988" s="6"/>
      <c r="AJ988" s="6" t="s">
        <v>174</v>
      </c>
    </row>
    <row r="989" spans="1:36" ht="15.75" customHeight="1" x14ac:dyDescent="0.25">
      <c r="A989" s="7">
        <v>43420.519230636579</v>
      </c>
      <c r="B989" s="6" t="s">
        <v>154</v>
      </c>
      <c r="C989" s="6" t="s">
        <v>287</v>
      </c>
      <c r="D989" s="6" t="s">
        <v>190</v>
      </c>
      <c r="E989" s="6" t="s">
        <v>81</v>
      </c>
      <c r="G989" s="6" t="s">
        <v>87</v>
      </c>
      <c r="J989" s="6" t="s">
        <v>89</v>
      </c>
      <c r="K989" s="6"/>
      <c r="L989" s="6" t="s">
        <v>2948</v>
      </c>
      <c r="M989" s="6"/>
      <c r="N989" s="6" t="s">
        <v>121</v>
      </c>
      <c r="O989" s="6"/>
      <c r="P989" s="6" t="s">
        <v>94</v>
      </c>
      <c r="Q989" s="6"/>
      <c r="R989" s="47" t="s">
        <v>5553</v>
      </c>
      <c r="S989" s="14" t="s">
        <v>5554</v>
      </c>
      <c r="T989" s="14" t="s">
        <v>3054</v>
      </c>
      <c r="U989" s="14" t="s">
        <v>4881</v>
      </c>
      <c r="AA989" s="6"/>
      <c r="AB989" s="6" t="s">
        <v>67</v>
      </c>
      <c r="AC989" s="6"/>
      <c r="AD989" s="6" t="s">
        <v>56</v>
      </c>
      <c r="AE989" s="6"/>
      <c r="AF989" s="6" t="s">
        <v>161</v>
      </c>
      <c r="AG989" s="6"/>
      <c r="AH989" s="6" t="s">
        <v>76</v>
      </c>
      <c r="AI989" s="6"/>
      <c r="AJ989" s="6" t="s">
        <v>132</v>
      </c>
    </row>
    <row r="990" spans="1:36" ht="15.75" customHeight="1" x14ac:dyDescent="0.25">
      <c r="A990" s="7">
        <v>43420.525358136569</v>
      </c>
      <c r="B990" s="6" t="s">
        <v>30</v>
      </c>
      <c r="C990" s="6" t="s">
        <v>116</v>
      </c>
      <c r="D990" s="6" t="s">
        <v>165</v>
      </c>
      <c r="E990" s="6" t="s">
        <v>81</v>
      </c>
      <c r="G990" s="6" t="s">
        <v>87</v>
      </c>
      <c r="H990" s="6" t="s">
        <v>86</v>
      </c>
      <c r="I990" s="6"/>
      <c r="J990" s="6" t="s">
        <v>92</v>
      </c>
      <c r="K990" s="6"/>
      <c r="L990" s="6" t="s">
        <v>2332</v>
      </c>
      <c r="M990" s="6"/>
      <c r="N990" s="6" t="s">
        <v>93</v>
      </c>
      <c r="O990" s="6"/>
      <c r="P990" s="6" t="s">
        <v>94</v>
      </c>
      <c r="Q990" s="6"/>
      <c r="R990" s="47" t="s">
        <v>3461</v>
      </c>
      <c r="AA990" s="6"/>
      <c r="AB990" s="6" t="s">
        <v>101</v>
      </c>
      <c r="AC990" s="6"/>
      <c r="AD990" s="6" t="s">
        <v>56</v>
      </c>
      <c r="AE990" s="6"/>
      <c r="AF990" s="6" t="s">
        <v>161</v>
      </c>
      <c r="AG990" s="6"/>
      <c r="AH990" s="6" t="s">
        <v>76</v>
      </c>
      <c r="AI990" s="6"/>
      <c r="AJ990" s="6" t="s">
        <v>225</v>
      </c>
    </row>
    <row r="991" spans="1:36" ht="15.75" customHeight="1" x14ac:dyDescent="0.25">
      <c r="A991" s="7">
        <v>43420.540493715278</v>
      </c>
      <c r="B991" s="6" t="s">
        <v>30</v>
      </c>
      <c r="D991" s="6" t="s">
        <v>46</v>
      </c>
      <c r="G991" s="6" t="s">
        <v>48</v>
      </c>
      <c r="J991" s="6" t="s">
        <v>158</v>
      </c>
      <c r="K991" s="6"/>
      <c r="P991" s="6" t="s">
        <v>52</v>
      </c>
      <c r="Q991" s="6"/>
      <c r="AA991" s="6"/>
      <c r="AB991" s="11" t="s">
        <v>55</v>
      </c>
      <c r="AC991" s="6"/>
      <c r="AD991" s="6" t="s">
        <v>56</v>
      </c>
      <c r="AE991" s="6"/>
      <c r="AF991" s="6" t="s">
        <v>75</v>
      </c>
      <c r="AG991" s="6"/>
      <c r="AH991" s="6" t="s">
        <v>58</v>
      </c>
      <c r="AI991" s="6"/>
      <c r="AJ991" s="11" t="s">
        <v>387</v>
      </c>
    </row>
    <row r="992" spans="1:36" ht="15.75" customHeight="1" x14ac:dyDescent="0.25">
      <c r="A992" s="7">
        <v>43420.544096805555</v>
      </c>
      <c r="B992" s="6" t="s">
        <v>60</v>
      </c>
      <c r="C992" s="6" t="s">
        <v>237</v>
      </c>
      <c r="D992" s="6" t="s">
        <v>133</v>
      </c>
      <c r="E992" s="6" t="s">
        <v>81</v>
      </c>
      <c r="G992" s="6" t="s">
        <v>87</v>
      </c>
      <c r="J992" s="6" t="s">
        <v>106</v>
      </c>
      <c r="K992" s="6"/>
      <c r="N992" s="6" t="s">
        <v>121</v>
      </c>
      <c r="O992" s="6"/>
      <c r="P992" s="6" t="s">
        <v>168</v>
      </c>
      <c r="Q992" s="6"/>
      <c r="R992" s="47" t="s">
        <v>192</v>
      </c>
      <c r="S992" s="14" t="s">
        <v>4389</v>
      </c>
      <c r="T992" s="14" t="s">
        <v>4702</v>
      </c>
      <c r="U992" s="14" t="s">
        <v>5555</v>
      </c>
      <c r="V992" s="14" t="s">
        <v>5556</v>
      </c>
      <c r="AA992" s="6"/>
      <c r="AB992" s="6" t="s">
        <v>55</v>
      </c>
      <c r="AC992" s="6"/>
      <c r="AD992" s="6" t="s">
        <v>56</v>
      </c>
      <c r="AE992" s="6"/>
      <c r="AF992" s="6" t="s">
        <v>68</v>
      </c>
      <c r="AG992" s="6"/>
      <c r="AH992" s="6" t="s">
        <v>58</v>
      </c>
      <c r="AI992" s="6"/>
      <c r="AJ992" s="6" t="s">
        <v>348</v>
      </c>
    </row>
    <row r="993" spans="1:36" ht="15.75" customHeight="1" x14ac:dyDescent="0.25">
      <c r="A993" s="7">
        <v>43420.548765717591</v>
      </c>
      <c r="B993" s="6" t="s">
        <v>294</v>
      </c>
      <c r="C993" s="6" t="s">
        <v>128</v>
      </c>
      <c r="D993" s="6" t="s">
        <v>163</v>
      </c>
      <c r="E993" s="6" t="s">
        <v>48</v>
      </c>
      <c r="F993" s="6" t="s">
        <v>3464</v>
      </c>
      <c r="G993" s="6" t="s">
        <v>48</v>
      </c>
      <c r="H993" s="6" t="s">
        <v>3465</v>
      </c>
      <c r="I993" s="6"/>
      <c r="J993" s="6" t="s">
        <v>50</v>
      </c>
      <c r="K993" s="6"/>
      <c r="L993" s="6" t="s">
        <v>2461</v>
      </c>
      <c r="M993" s="6"/>
      <c r="N993" s="6" t="s">
        <v>181</v>
      </c>
      <c r="O993" s="6"/>
      <c r="P993" s="6" t="s">
        <v>94</v>
      </c>
      <c r="Q993" s="6"/>
      <c r="R993" s="47" t="s">
        <v>224</v>
      </c>
      <c r="S993" s="14" t="s">
        <v>5557</v>
      </c>
      <c r="AA993" s="6"/>
      <c r="AB993" s="6" t="s">
        <v>55</v>
      </c>
      <c r="AC993" s="6"/>
      <c r="AD993" s="6" t="s">
        <v>109</v>
      </c>
      <c r="AE993" s="6"/>
      <c r="AF993" s="6" t="s">
        <v>161</v>
      </c>
      <c r="AG993" s="6"/>
      <c r="AH993" s="6" t="s">
        <v>76</v>
      </c>
      <c r="AI993" s="6"/>
      <c r="AJ993" s="11" t="s">
        <v>174</v>
      </c>
    </row>
    <row r="994" spans="1:36" ht="15.75" customHeight="1" x14ac:dyDescent="0.25">
      <c r="A994" s="7">
        <v>43420.549783009265</v>
      </c>
      <c r="B994" s="6" t="s">
        <v>60</v>
      </c>
      <c r="C994" s="6" t="s">
        <v>749</v>
      </c>
      <c r="D994" s="6" t="s">
        <v>46</v>
      </c>
      <c r="E994" s="6" t="s">
        <v>81</v>
      </c>
      <c r="G994" s="6" t="s">
        <v>87</v>
      </c>
      <c r="H994" s="6" t="s">
        <v>3467</v>
      </c>
      <c r="I994" s="6"/>
      <c r="J994" s="6" t="s">
        <v>64</v>
      </c>
      <c r="K994" s="6"/>
      <c r="L994" s="6" t="s">
        <v>2626</v>
      </c>
      <c r="M994" s="6"/>
      <c r="N994" s="6" t="s">
        <v>181</v>
      </c>
      <c r="O994" s="6"/>
      <c r="P994" s="6" t="s">
        <v>94</v>
      </c>
      <c r="Q994" s="6"/>
      <c r="R994" s="47" t="s">
        <v>3713</v>
      </c>
      <c r="S994" s="14" t="s">
        <v>4921</v>
      </c>
      <c r="T994" s="14" t="s">
        <v>4400</v>
      </c>
      <c r="U994" s="14" t="s">
        <v>4556</v>
      </c>
      <c r="AA994" s="6"/>
      <c r="AB994" s="6" t="s">
        <v>101</v>
      </c>
      <c r="AC994" s="6"/>
      <c r="AD994" s="6" t="s">
        <v>56</v>
      </c>
      <c r="AE994" s="6"/>
      <c r="AF994" s="6" t="s">
        <v>68</v>
      </c>
      <c r="AG994" s="6"/>
      <c r="AH994" s="6" t="s">
        <v>58</v>
      </c>
      <c r="AI994" s="6"/>
      <c r="AJ994" s="6" t="s">
        <v>59</v>
      </c>
    </row>
    <row r="995" spans="1:36" ht="15.75" customHeight="1" x14ac:dyDescent="0.25">
      <c r="A995" s="7">
        <v>43420.555945196757</v>
      </c>
      <c r="B995" s="6" t="s">
        <v>154</v>
      </c>
      <c r="C995" s="6" t="s">
        <v>477</v>
      </c>
      <c r="D995" s="6" t="s">
        <v>163</v>
      </c>
      <c r="E995" s="6" t="s">
        <v>48</v>
      </c>
      <c r="F995" s="6" t="s">
        <v>3470</v>
      </c>
      <c r="G995" s="6" t="s">
        <v>48</v>
      </c>
      <c r="H995" s="6" t="s">
        <v>3471</v>
      </c>
      <c r="I995" s="6"/>
      <c r="J995" s="6" t="s">
        <v>64</v>
      </c>
      <c r="K995" s="6"/>
      <c r="L995" s="6" t="s">
        <v>2463</v>
      </c>
      <c r="M995" s="6"/>
      <c r="N995" s="6" t="s">
        <v>121</v>
      </c>
      <c r="O995" s="6"/>
      <c r="P995" s="6" t="s">
        <v>94</v>
      </c>
      <c r="Q995" s="6"/>
      <c r="R995" s="47" t="s">
        <v>3341</v>
      </c>
      <c r="S995" s="14" t="s">
        <v>4494</v>
      </c>
      <c r="T995" s="14" t="s">
        <v>5180</v>
      </c>
      <c r="AA995" s="6"/>
      <c r="AB995" s="6" t="s">
        <v>101</v>
      </c>
      <c r="AC995" s="6"/>
      <c r="AD995" s="6" t="s">
        <v>56</v>
      </c>
      <c r="AE995" s="6"/>
      <c r="AF995" s="6" t="s">
        <v>75</v>
      </c>
      <c r="AG995" s="6"/>
      <c r="AH995" s="6" t="s">
        <v>76</v>
      </c>
      <c r="AI995" s="6"/>
      <c r="AJ995" s="6" t="s">
        <v>115</v>
      </c>
    </row>
    <row r="996" spans="1:36" ht="15.75" customHeight="1" x14ac:dyDescent="0.25">
      <c r="A996" s="7">
        <v>43420.556010092594</v>
      </c>
      <c r="B996" s="6" t="s">
        <v>31</v>
      </c>
      <c r="C996" s="6" t="s">
        <v>95</v>
      </c>
      <c r="D996" s="6" t="s">
        <v>46</v>
      </c>
      <c r="E996" s="6" t="s">
        <v>81</v>
      </c>
      <c r="G996" s="6" t="s">
        <v>87</v>
      </c>
      <c r="H996" s="6" t="s">
        <v>3474</v>
      </c>
      <c r="I996" s="6"/>
      <c r="J996" s="6" t="s">
        <v>92</v>
      </c>
      <c r="K996" s="6"/>
      <c r="L996" s="6" t="s">
        <v>2336</v>
      </c>
      <c r="M996" s="6"/>
      <c r="N996" s="6" t="s">
        <v>121</v>
      </c>
      <c r="O996" s="6"/>
      <c r="P996" s="6" t="s">
        <v>94</v>
      </c>
      <c r="Q996" s="6"/>
      <c r="R996" s="47" t="s">
        <v>3321</v>
      </c>
      <c r="S996" s="14" t="s">
        <v>4623</v>
      </c>
      <c r="AA996" s="6"/>
      <c r="AB996" s="6" t="s">
        <v>55</v>
      </c>
      <c r="AC996" s="6"/>
      <c r="AD996" s="6" t="s">
        <v>56</v>
      </c>
      <c r="AE996" s="6"/>
      <c r="AF996" s="6" t="s">
        <v>161</v>
      </c>
      <c r="AG996" s="6"/>
      <c r="AH996" s="6" t="s">
        <v>58</v>
      </c>
      <c r="AI996" s="6"/>
      <c r="AJ996" s="11" t="s">
        <v>115</v>
      </c>
    </row>
    <row r="997" spans="1:36" ht="15.75" customHeight="1" x14ac:dyDescent="0.25">
      <c r="A997" s="7">
        <v>43420.559148831017</v>
      </c>
      <c r="B997" s="6" t="s">
        <v>30</v>
      </c>
      <c r="C997" s="6" t="s">
        <v>90</v>
      </c>
      <c r="E997" s="6" t="s">
        <v>81</v>
      </c>
      <c r="G997" s="6" t="s">
        <v>87</v>
      </c>
      <c r="J997" s="6" t="s">
        <v>92</v>
      </c>
      <c r="K997" s="6"/>
      <c r="L997" s="6" t="s">
        <v>2952</v>
      </c>
      <c r="M997" s="6"/>
      <c r="N997" s="6" t="s">
        <v>98</v>
      </c>
      <c r="O997" s="6"/>
      <c r="P997" s="6" t="s">
        <v>168</v>
      </c>
      <c r="Q997" s="6"/>
      <c r="R997" s="47" t="s">
        <v>3477</v>
      </c>
      <c r="AA997" s="6"/>
      <c r="AB997" s="6" t="s">
        <v>55</v>
      </c>
      <c r="AC997" s="6"/>
      <c r="AD997" s="6" t="s">
        <v>56</v>
      </c>
      <c r="AE997" s="6"/>
      <c r="AF997" s="6" t="s">
        <v>75</v>
      </c>
      <c r="AG997" s="6"/>
      <c r="AH997" s="6" t="s">
        <v>76</v>
      </c>
      <c r="AI997" s="6"/>
      <c r="AJ997" s="6" t="s">
        <v>291</v>
      </c>
    </row>
    <row r="998" spans="1:36" ht="15.75" customHeight="1" x14ac:dyDescent="0.25">
      <c r="A998" s="7">
        <v>43420.559356168982</v>
      </c>
      <c r="B998" s="6" t="s">
        <v>463</v>
      </c>
      <c r="C998" s="6" t="s">
        <v>90</v>
      </c>
      <c r="D998" s="6" t="s">
        <v>307</v>
      </c>
      <c r="E998" s="6" t="s">
        <v>81</v>
      </c>
      <c r="G998" s="6" t="s">
        <v>87</v>
      </c>
      <c r="H998" s="6" t="s">
        <v>3478</v>
      </c>
      <c r="I998" s="6"/>
      <c r="J998" s="6" t="s">
        <v>92</v>
      </c>
      <c r="K998" s="6"/>
      <c r="L998" s="6" t="s">
        <v>2324</v>
      </c>
      <c r="M998" s="6"/>
      <c r="N998" s="6" t="s">
        <v>167</v>
      </c>
      <c r="O998" s="6"/>
      <c r="P998" s="6" t="s">
        <v>168</v>
      </c>
      <c r="Q998" s="6"/>
      <c r="R998" s="47" t="s">
        <v>1143</v>
      </c>
      <c r="AA998" s="6"/>
      <c r="AB998" s="6" t="s">
        <v>101</v>
      </c>
      <c r="AC998" s="6"/>
      <c r="AD998" s="6" t="s">
        <v>56</v>
      </c>
      <c r="AE998" s="6"/>
      <c r="AF998" s="6" t="s">
        <v>75</v>
      </c>
      <c r="AG998" s="6"/>
      <c r="AH998" s="6" t="s">
        <v>76</v>
      </c>
      <c r="AI998" s="6"/>
      <c r="AJ998" s="11" t="s">
        <v>256</v>
      </c>
    </row>
    <row r="999" spans="1:36" ht="15.75" customHeight="1" x14ac:dyDescent="0.25">
      <c r="A999" s="7">
        <v>43420.589636192133</v>
      </c>
      <c r="B999" s="6" t="s">
        <v>26</v>
      </c>
      <c r="C999" s="6" t="s">
        <v>116</v>
      </c>
      <c r="D999" s="6" t="s">
        <v>165</v>
      </c>
      <c r="E999" s="6" t="s">
        <v>81</v>
      </c>
      <c r="G999" s="6" t="s">
        <v>87</v>
      </c>
      <c r="H999" s="6" t="s">
        <v>3480</v>
      </c>
      <c r="I999" s="6"/>
      <c r="J999" s="6" t="s">
        <v>110</v>
      </c>
      <c r="K999" s="6"/>
      <c r="L999" s="6" t="s">
        <v>298</v>
      </c>
      <c r="M999" s="6"/>
      <c r="N999" s="6" t="s">
        <v>98</v>
      </c>
      <c r="O999" s="6"/>
      <c r="P999" s="6" t="s">
        <v>131</v>
      </c>
      <c r="Q999" s="6"/>
      <c r="R999" s="47" t="s">
        <v>192</v>
      </c>
      <c r="S999" s="14" t="s">
        <v>5558</v>
      </c>
      <c r="T999" s="14" t="s">
        <v>5082</v>
      </c>
      <c r="AA999" s="6"/>
      <c r="AB999" s="6" t="s">
        <v>101</v>
      </c>
      <c r="AC999" s="6"/>
      <c r="AD999" s="6" t="s">
        <v>56</v>
      </c>
      <c r="AE999" s="6"/>
      <c r="AF999" s="6" t="s">
        <v>75</v>
      </c>
      <c r="AG999" s="6"/>
      <c r="AH999" s="6" t="s">
        <v>57</v>
      </c>
      <c r="AI999" s="6"/>
      <c r="AJ999" s="6" t="s">
        <v>115</v>
      </c>
    </row>
    <row r="1000" spans="1:36" ht="15.75" customHeight="1" x14ac:dyDescent="0.25">
      <c r="A1000" s="7">
        <v>43420.590135960651</v>
      </c>
      <c r="B1000" s="6" t="s">
        <v>30</v>
      </c>
      <c r="C1000" s="6" t="s">
        <v>349</v>
      </c>
      <c r="E1000" s="6" t="s">
        <v>81</v>
      </c>
      <c r="N1000" s="6" t="s">
        <v>112</v>
      </c>
      <c r="O1000" s="6"/>
      <c r="P1000" s="6" t="s">
        <v>99</v>
      </c>
      <c r="Q1000" s="6"/>
      <c r="AA1000" s="6"/>
      <c r="AB1000" s="6" t="s">
        <v>101</v>
      </c>
      <c r="AC1000" s="6"/>
      <c r="AD1000" s="6" t="s">
        <v>56</v>
      </c>
      <c r="AE1000" s="6"/>
      <c r="AF1000" s="6" t="s">
        <v>205</v>
      </c>
      <c r="AG1000" s="6"/>
      <c r="AH1000" s="6" t="s">
        <v>58</v>
      </c>
      <c r="AI1000" s="6"/>
      <c r="AJ1000" s="6" t="s">
        <v>77</v>
      </c>
    </row>
    <row r="1001" spans="1:36" ht="15.75" customHeight="1" x14ac:dyDescent="0.25">
      <c r="A1001" s="7">
        <v>43420.599642337962</v>
      </c>
      <c r="B1001" s="6" t="s">
        <v>30</v>
      </c>
      <c r="C1001" s="6" t="s">
        <v>45</v>
      </c>
      <c r="D1001" s="6" t="s">
        <v>133</v>
      </c>
      <c r="E1001" s="6" t="s">
        <v>81</v>
      </c>
      <c r="G1001" s="6" t="s">
        <v>81</v>
      </c>
      <c r="J1001" s="6" t="s">
        <v>89</v>
      </c>
      <c r="K1001" s="6"/>
      <c r="N1001" s="6" t="s">
        <v>212</v>
      </c>
      <c r="O1001" s="6"/>
      <c r="P1001" s="6" t="s">
        <v>131</v>
      </c>
      <c r="Q1001" s="6"/>
      <c r="R1001" s="47" t="s">
        <v>3486</v>
      </c>
      <c r="AA1001" s="6"/>
      <c r="AB1001" s="6" t="s">
        <v>67</v>
      </c>
      <c r="AC1001" s="6"/>
      <c r="AD1001" s="6" t="s">
        <v>56</v>
      </c>
      <c r="AE1001" s="6"/>
      <c r="AF1001" s="6" t="s">
        <v>75</v>
      </c>
      <c r="AG1001" s="6"/>
      <c r="AH1001" s="6" t="s">
        <v>58</v>
      </c>
      <c r="AI1001" s="6"/>
      <c r="AJ1001" s="6" t="s">
        <v>329</v>
      </c>
    </row>
    <row r="1002" spans="1:36" ht="15.75" customHeight="1" x14ac:dyDescent="0.25">
      <c r="A1002" s="7">
        <v>43420.613899270829</v>
      </c>
      <c r="B1002" s="6" t="s">
        <v>30</v>
      </c>
      <c r="C1002" s="6" t="s">
        <v>95</v>
      </c>
      <c r="D1002" s="6" t="s">
        <v>46</v>
      </c>
      <c r="E1002" s="6" t="s">
        <v>81</v>
      </c>
      <c r="F1002" s="6" t="s">
        <v>3487</v>
      </c>
      <c r="G1002" s="6" t="s">
        <v>48</v>
      </c>
      <c r="H1002" s="6" t="s">
        <v>3488</v>
      </c>
      <c r="I1002" s="6"/>
      <c r="J1002" s="6" t="s">
        <v>110</v>
      </c>
      <c r="K1002" s="6"/>
      <c r="L1002" s="6" t="s">
        <v>2465</v>
      </c>
      <c r="M1002" s="6"/>
      <c r="N1002" s="6" t="s">
        <v>51</v>
      </c>
      <c r="O1002" s="6"/>
      <c r="P1002" s="6" t="s">
        <v>52</v>
      </c>
      <c r="Q1002" s="6"/>
      <c r="R1002" s="47" t="s">
        <v>254</v>
      </c>
      <c r="S1002" s="14" t="s">
        <v>5559</v>
      </c>
      <c r="AA1002" s="6"/>
      <c r="AB1002" s="6" t="s">
        <v>55</v>
      </c>
      <c r="AC1002" s="6"/>
      <c r="AD1002" s="6" t="s">
        <v>56</v>
      </c>
      <c r="AE1002" s="6"/>
      <c r="AF1002" s="6" t="s">
        <v>161</v>
      </c>
      <c r="AG1002" s="6"/>
      <c r="AH1002" s="6" t="s">
        <v>76</v>
      </c>
      <c r="AI1002" s="6"/>
      <c r="AJ1002" s="6" t="s">
        <v>115</v>
      </c>
    </row>
    <row r="1003" spans="1:36" ht="15.75" customHeight="1" x14ac:dyDescent="0.25">
      <c r="A1003" s="7">
        <v>43420.614145706015</v>
      </c>
      <c r="B1003" s="6" t="s">
        <v>103</v>
      </c>
      <c r="C1003" s="6" t="s">
        <v>95</v>
      </c>
      <c r="D1003" s="6" t="s">
        <v>46</v>
      </c>
      <c r="E1003" s="6" t="s">
        <v>81</v>
      </c>
      <c r="G1003" s="6" t="s">
        <v>87</v>
      </c>
      <c r="H1003" s="6" t="s">
        <v>3490</v>
      </c>
      <c r="I1003" s="6"/>
      <c r="J1003" s="6" t="s">
        <v>64</v>
      </c>
      <c r="K1003" s="6"/>
      <c r="L1003" s="6" t="s">
        <v>2629</v>
      </c>
      <c r="M1003" s="6"/>
      <c r="N1003" s="6" t="s">
        <v>98</v>
      </c>
      <c r="O1003" s="6"/>
      <c r="P1003" s="6" t="s">
        <v>131</v>
      </c>
      <c r="Q1003" s="6"/>
      <c r="R1003" s="47" t="s">
        <v>5560</v>
      </c>
      <c r="S1003" s="14" t="s">
        <v>5561</v>
      </c>
      <c r="T1003" s="14" t="s">
        <v>5562</v>
      </c>
      <c r="AA1003" s="6"/>
      <c r="AB1003" s="6" t="s">
        <v>67</v>
      </c>
      <c r="AC1003" s="6"/>
      <c r="AD1003" s="6" t="s">
        <v>56</v>
      </c>
      <c r="AE1003" s="6"/>
      <c r="AF1003" s="6" t="s">
        <v>161</v>
      </c>
      <c r="AG1003" s="6"/>
      <c r="AH1003" s="6" t="s">
        <v>76</v>
      </c>
      <c r="AI1003" s="6"/>
      <c r="AJ1003" s="11" t="s">
        <v>361</v>
      </c>
    </row>
    <row r="1004" spans="1:36" ht="15.75" customHeight="1" x14ac:dyDescent="0.25">
      <c r="A1004" s="7">
        <v>43420.622985972223</v>
      </c>
      <c r="B1004" s="6" t="s">
        <v>30</v>
      </c>
      <c r="C1004" s="6" t="s">
        <v>116</v>
      </c>
      <c r="D1004" s="6" t="s">
        <v>165</v>
      </c>
      <c r="E1004" s="6" t="s">
        <v>81</v>
      </c>
      <c r="G1004" s="6" t="s">
        <v>87</v>
      </c>
      <c r="J1004" s="6" t="s">
        <v>92</v>
      </c>
      <c r="K1004" s="6"/>
      <c r="L1004" s="6" t="s">
        <v>2339</v>
      </c>
      <c r="M1004" s="6"/>
      <c r="N1004" s="6" t="s">
        <v>181</v>
      </c>
      <c r="O1004" s="6"/>
      <c r="P1004" s="6" t="s">
        <v>94</v>
      </c>
      <c r="Q1004" s="6"/>
      <c r="R1004" s="47" t="s">
        <v>3492</v>
      </c>
      <c r="AA1004" s="6"/>
      <c r="AB1004" s="6" t="s">
        <v>101</v>
      </c>
      <c r="AC1004" s="6"/>
      <c r="AD1004" s="6" t="s">
        <v>56</v>
      </c>
      <c r="AE1004" s="6"/>
      <c r="AF1004" s="6" t="s">
        <v>75</v>
      </c>
      <c r="AG1004" s="6"/>
      <c r="AH1004" s="6" t="s">
        <v>76</v>
      </c>
      <c r="AI1004" s="6"/>
      <c r="AJ1004" s="6" t="s">
        <v>77</v>
      </c>
    </row>
    <row r="1005" spans="1:36" ht="15.75" customHeight="1" x14ac:dyDescent="0.25">
      <c r="A1005" s="7">
        <v>43420.62834974537</v>
      </c>
      <c r="B1005" s="6" t="s">
        <v>26</v>
      </c>
      <c r="C1005" s="6" t="s">
        <v>128</v>
      </c>
      <c r="D1005" s="6" t="s">
        <v>155</v>
      </c>
      <c r="E1005" s="6" t="s">
        <v>81</v>
      </c>
      <c r="G1005" s="6" t="s">
        <v>87</v>
      </c>
      <c r="J1005" s="6" t="s">
        <v>64</v>
      </c>
      <c r="K1005" s="6"/>
      <c r="N1005" s="6" t="s">
        <v>121</v>
      </c>
      <c r="O1005" s="6"/>
      <c r="P1005" s="6" t="s">
        <v>94</v>
      </c>
      <c r="Q1005" s="6"/>
      <c r="AA1005" s="6"/>
      <c r="AC1005" s="6"/>
      <c r="AD1005" s="6" t="s">
        <v>56</v>
      </c>
      <c r="AE1005" s="6"/>
      <c r="AF1005" s="6" t="s">
        <v>57</v>
      </c>
      <c r="AG1005" s="6"/>
      <c r="AH1005" s="6" t="s">
        <v>76</v>
      </c>
      <c r="AI1005" s="6"/>
      <c r="AJ1005" s="6" t="s">
        <v>187</v>
      </c>
    </row>
    <row r="1006" spans="1:36" ht="15.75" customHeight="1" x14ac:dyDescent="0.25">
      <c r="A1006" s="7">
        <v>43420.638632442133</v>
      </c>
      <c r="B1006" s="6" t="s">
        <v>60</v>
      </c>
      <c r="C1006" s="6" t="s">
        <v>90</v>
      </c>
      <c r="D1006" s="6" t="s">
        <v>165</v>
      </c>
      <c r="E1006" s="6" t="s">
        <v>81</v>
      </c>
      <c r="G1006" s="6" t="s">
        <v>87</v>
      </c>
      <c r="J1006" s="6" t="s">
        <v>92</v>
      </c>
      <c r="K1006" s="6"/>
      <c r="L1006" s="6" t="s">
        <v>2956</v>
      </c>
      <c r="M1006" s="6"/>
      <c r="N1006" s="6" t="s">
        <v>93</v>
      </c>
      <c r="O1006" s="6"/>
      <c r="P1006" s="6" t="s">
        <v>94</v>
      </c>
      <c r="Q1006" s="6"/>
      <c r="R1006" s="47" t="s">
        <v>3494</v>
      </c>
      <c r="AA1006" s="6"/>
      <c r="AB1006" s="6" t="s">
        <v>55</v>
      </c>
      <c r="AC1006" s="6"/>
      <c r="AD1006" s="6" t="s">
        <v>56</v>
      </c>
      <c r="AE1006" s="6"/>
      <c r="AF1006" s="6" t="s">
        <v>205</v>
      </c>
      <c r="AG1006" s="6"/>
      <c r="AH1006" s="6" t="s">
        <v>58</v>
      </c>
      <c r="AI1006" s="6"/>
      <c r="AJ1006" s="6" t="s">
        <v>69</v>
      </c>
    </row>
    <row r="1007" spans="1:36" ht="15.75" customHeight="1" x14ac:dyDescent="0.25">
      <c r="A1007" s="7">
        <v>43420.642442928242</v>
      </c>
      <c r="B1007" s="6" t="s">
        <v>30</v>
      </c>
      <c r="C1007" s="6" t="s">
        <v>116</v>
      </c>
      <c r="D1007" s="6" t="s">
        <v>165</v>
      </c>
      <c r="E1007" s="6" t="s">
        <v>81</v>
      </c>
      <c r="G1007" s="6" t="s">
        <v>87</v>
      </c>
      <c r="J1007" s="6" t="s">
        <v>106</v>
      </c>
      <c r="K1007" s="6"/>
      <c r="L1007" s="6" t="s">
        <v>2468</v>
      </c>
      <c r="M1007" s="6"/>
      <c r="N1007" s="6" t="s">
        <v>121</v>
      </c>
      <c r="O1007" s="6"/>
      <c r="P1007" s="6" t="s">
        <v>99</v>
      </c>
      <c r="Q1007" s="6"/>
      <c r="R1007" s="47" t="s">
        <v>3496</v>
      </c>
      <c r="AA1007" s="6"/>
      <c r="AB1007" s="6" t="s">
        <v>101</v>
      </c>
      <c r="AC1007" s="6"/>
      <c r="AD1007" s="6" t="s">
        <v>56</v>
      </c>
      <c r="AE1007" s="6"/>
      <c r="AF1007" s="6" t="s">
        <v>161</v>
      </c>
      <c r="AG1007" s="6"/>
      <c r="AH1007" s="6" t="s">
        <v>76</v>
      </c>
      <c r="AI1007" s="6"/>
      <c r="AJ1007" s="6" t="s">
        <v>371</v>
      </c>
    </row>
    <row r="1008" spans="1:36" ht="15.75" customHeight="1" x14ac:dyDescent="0.25">
      <c r="A1008" s="7">
        <v>43420.643822835649</v>
      </c>
      <c r="B1008" s="6" t="s">
        <v>30</v>
      </c>
      <c r="C1008" s="6" t="s">
        <v>95</v>
      </c>
      <c r="D1008" s="6" t="s">
        <v>46</v>
      </c>
      <c r="E1008" s="6" t="s">
        <v>81</v>
      </c>
      <c r="G1008" s="6" t="s">
        <v>87</v>
      </c>
      <c r="H1008" s="6" t="s">
        <v>3497</v>
      </c>
      <c r="I1008" s="6"/>
      <c r="J1008" s="6" t="s">
        <v>106</v>
      </c>
      <c r="K1008" s="6"/>
      <c r="L1008" s="6" t="s">
        <v>2630</v>
      </c>
      <c r="M1008" s="6"/>
      <c r="N1008" s="6" t="s">
        <v>112</v>
      </c>
      <c r="O1008" s="6"/>
      <c r="P1008" s="6" t="s">
        <v>52</v>
      </c>
      <c r="Q1008" s="6"/>
      <c r="R1008" s="47" t="s">
        <v>182</v>
      </c>
      <c r="S1008" s="14" t="s">
        <v>5195</v>
      </c>
      <c r="T1008" s="14" t="s">
        <v>5563</v>
      </c>
      <c r="U1008" s="14" t="s">
        <v>5564</v>
      </c>
      <c r="V1008" s="14" t="s">
        <v>5565</v>
      </c>
      <c r="AA1008" s="6"/>
      <c r="AB1008" s="6" t="s">
        <v>101</v>
      </c>
      <c r="AC1008" s="6"/>
      <c r="AD1008" s="6" t="s">
        <v>56</v>
      </c>
      <c r="AE1008" s="6"/>
      <c r="AF1008" s="6" t="s">
        <v>205</v>
      </c>
      <c r="AG1008" s="6"/>
      <c r="AH1008" s="6" t="s">
        <v>58</v>
      </c>
      <c r="AI1008" s="6"/>
      <c r="AJ1008" s="6" t="s">
        <v>115</v>
      </c>
    </row>
    <row r="1009" spans="1:36" ht="15.75" customHeight="1" x14ac:dyDescent="0.25">
      <c r="A1009" s="7">
        <v>43420.644962916667</v>
      </c>
      <c r="B1009" s="6" t="s">
        <v>3500</v>
      </c>
      <c r="C1009" s="6" t="s">
        <v>116</v>
      </c>
      <c r="D1009" s="6" t="s">
        <v>46</v>
      </c>
      <c r="E1009" s="6" t="s">
        <v>81</v>
      </c>
      <c r="G1009" s="6" t="s">
        <v>87</v>
      </c>
      <c r="H1009" s="6" t="s">
        <v>3501</v>
      </c>
      <c r="I1009" s="6"/>
      <c r="J1009" s="6" t="s">
        <v>92</v>
      </c>
      <c r="K1009" s="6"/>
      <c r="L1009" s="6" t="s">
        <v>2958</v>
      </c>
      <c r="M1009" s="6"/>
      <c r="N1009" s="6" t="s">
        <v>112</v>
      </c>
      <c r="O1009" s="6"/>
      <c r="P1009" s="6" t="s">
        <v>131</v>
      </c>
      <c r="Q1009" s="6"/>
      <c r="R1009" s="47" t="s">
        <v>5566</v>
      </c>
      <c r="S1009" s="14" t="s">
        <v>5567</v>
      </c>
      <c r="T1009" s="14" t="s">
        <v>5568</v>
      </c>
      <c r="U1009" s="14" t="s">
        <v>5398</v>
      </c>
      <c r="V1009" s="14" t="s">
        <v>5569</v>
      </c>
      <c r="AA1009" s="6"/>
      <c r="AB1009" s="6" t="s">
        <v>101</v>
      </c>
      <c r="AC1009" s="6"/>
      <c r="AD1009" s="6" t="s">
        <v>56</v>
      </c>
      <c r="AE1009" s="6"/>
      <c r="AF1009" s="6" t="s">
        <v>68</v>
      </c>
      <c r="AG1009" s="6"/>
      <c r="AH1009" s="6" t="s">
        <v>58</v>
      </c>
      <c r="AI1009" s="6"/>
      <c r="AJ1009" s="11" t="s">
        <v>348</v>
      </c>
    </row>
    <row r="1010" spans="1:36" ht="15.75" customHeight="1" x14ac:dyDescent="0.25">
      <c r="A1010" s="7">
        <v>43420.649197175924</v>
      </c>
      <c r="B1010" s="6" t="s">
        <v>26</v>
      </c>
      <c r="C1010" s="6" t="s">
        <v>90</v>
      </c>
      <c r="D1010" s="6" t="s">
        <v>46</v>
      </c>
      <c r="E1010" s="6" t="s">
        <v>48</v>
      </c>
      <c r="F1010" s="6" t="s">
        <v>3503</v>
      </c>
      <c r="G1010" s="6" t="s">
        <v>81</v>
      </c>
      <c r="H1010" s="6" t="s">
        <v>3504</v>
      </c>
      <c r="I1010" s="6"/>
      <c r="J1010" s="6" t="s">
        <v>92</v>
      </c>
      <c r="K1010" s="6"/>
      <c r="L1010" s="6" t="s">
        <v>2959</v>
      </c>
      <c r="M1010" s="6"/>
      <c r="N1010" s="6" t="s">
        <v>181</v>
      </c>
      <c r="O1010" s="6"/>
      <c r="P1010" s="6" t="s">
        <v>131</v>
      </c>
      <c r="Q1010" s="6"/>
      <c r="R1010" s="47" t="s">
        <v>1417</v>
      </c>
      <c r="AA1010" s="6"/>
      <c r="AB1010" s="6" t="s">
        <v>101</v>
      </c>
      <c r="AC1010" s="6"/>
      <c r="AD1010" s="6" t="s">
        <v>56</v>
      </c>
      <c r="AE1010" s="6"/>
      <c r="AF1010" s="6" t="s">
        <v>205</v>
      </c>
      <c r="AG1010" s="6"/>
      <c r="AH1010" s="6" t="s">
        <v>58</v>
      </c>
      <c r="AI1010" s="6"/>
      <c r="AJ1010" s="6" t="s">
        <v>69</v>
      </c>
    </row>
    <row r="1011" spans="1:36" ht="15.75" customHeight="1" x14ac:dyDescent="0.25">
      <c r="A1011" s="7">
        <v>43420.663187303246</v>
      </c>
      <c r="B1011" s="6" t="s">
        <v>30</v>
      </c>
      <c r="C1011" s="6" t="s">
        <v>79</v>
      </c>
      <c r="E1011" s="6" t="s">
        <v>81</v>
      </c>
      <c r="G1011" s="6" t="s">
        <v>87</v>
      </c>
      <c r="N1011" s="6" t="s">
        <v>181</v>
      </c>
      <c r="O1011" s="6"/>
      <c r="P1011" s="6" t="s">
        <v>131</v>
      </c>
      <c r="Q1011" s="6"/>
      <c r="AA1011" s="6"/>
      <c r="AB1011" s="6" t="s">
        <v>101</v>
      </c>
      <c r="AC1011" s="6"/>
      <c r="AD1011" s="6" t="s">
        <v>56</v>
      </c>
      <c r="AE1011" s="6"/>
      <c r="AF1011" s="6" t="s">
        <v>75</v>
      </c>
      <c r="AG1011" s="6"/>
      <c r="AH1011" s="6" t="s">
        <v>58</v>
      </c>
      <c r="AI1011" s="6"/>
      <c r="AJ1011" s="6" t="s">
        <v>115</v>
      </c>
    </row>
    <row r="1012" spans="1:36" ht="15.75" customHeight="1" x14ac:dyDescent="0.25">
      <c r="A1012" s="7">
        <v>43420.664757233797</v>
      </c>
      <c r="B1012" s="6" t="s">
        <v>30</v>
      </c>
      <c r="C1012" s="6" t="s">
        <v>95</v>
      </c>
      <c r="D1012" s="6" t="s">
        <v>165</v>
      </c>
      <c r="E1012" s="6" t="s">
        <v>48</v>
      </c>
      <c r="F1012" s="6" t="s">
        <v>3507</v>
      </c>
      <c r="G1012" s="6" t="s">
        <v>48</v>
      </c>
      <c r="H1012" s="6" t="s">
        <v>3508</v>
      </c>
      <c r="I1012" s="6"/>
      <c r="J1012" s="6" t="s">
        <v>64</v>
      </c>
      <c r="K1012" s="6"/>
      <c r="L1012" s="6" t="s">
        <v>2635</v>
      </c>
      <c r="M1012" s="6"/>
      <c r="N1012" s="6" t="s">
        <v>112</v>
      </c>
      <c r="O1012" s="6"/>
      <c r="P1012" s="6" t="s">
        <v>99</v>
      </c>
      <c r="Q1012" s="6"/>
      <c r="R1012" s="47" t="s">
        <v>3614</v>
      </c>
      <c r="S1012" s="14" t="s">
        <v>5570</v>
      </c>
      <c r="AA1012" s="6"/>
      <c r="AB1012" s="6" t="s">
        <v>203</v>
      </c>
      <c r="AC1012" s="6"/>
      <c r="AD1012" s="6" t="s">
        <v>56</v>
      </c>
      <c r="AE1012" s="6"/>
      <c r="AF1012" s="6" t="s">
        <v>68</v>
      </c>
      <c r="AG1012" s="6"/>
      <c r="AH1012" s="6" t="s">
        <v>58</v>
      </c>
      <c r="AI1012" s="6"/>
      <c r="AJ1012" s="6" t="s">
        <v>115</v>
      </c>
    </row>
    <row r="1013" spans="1:36" ht="15.75" customHeight="1" x14ac:dyDescent="0.25">
      <c r="A1013" s="7">
        <v>43420.665088819442</v>
      </c>
      <c r="B1013" s="6" t="s">
        <v>60</v>
      </c>
      <c r="C1013" s="6" t="s">
        <v>116</v>
      </c>
      <c r="D1013" s="6" t="s">
        <v>138</v>
      </c>
      <c r="E1013" s="6" t="s">
        <v>81</v>
      </c>
      <c r="G1013" s="6" t="s">
        <v>87</v>
      </c>
      <c r="H1013" s="6" t="s">
        <v>3512</v>
      </c>
      <c r="I1013" s="6"/>
      <c r="J1013" s="6" t="s">
        <v>110</v>
      </c>
      <c r="K1013" s="6"/>
      <c r="L1013" s="6" t="s">
        <v>2960</v>
      </c>
      <c r="M1013" s="6"/>
      <c r="N1013" s="6" t="s">
        <v>112</v>
      </c>
      <c r="O1013" s="6"/>
      <c r="P1013" s="6" t="s">
        <v>52</v>
      </c>
      <c r="Q1013" s="6"/>
      <c r="AA1013" s="6"/>
      <c r="AB1013" s="6" t="s">
        <v>55</v>
      </c>
      <c r="AC1013" s="6"/>
      <c r="AD1013" s="6" t="s">
        <v>56</v>
      </c>
      <c r="AE1013" s="6"/>
      <c r="AF1013" s="6" t="s">
        <v>161</v>
      </c>
      <c r="AG1013" s="6"/>
      <c r="AH1013" s="6" t="s">
        <v>76</v>
      </c>
      <c r="AI1013" s="6"/>
      <c r="AJ1013" s="6" t="s">
        <v>115</v>
      </c>
    </row>
    <row r="1014" spans="1:36" ht="15.75" customHeight="1" x14ac:dyDescent="0.25">
      <c r="A1014" s="7">
        <v>43420.66791167824</v>
      </c>
      <c r="B1014" s="6" t="s">
        <v>30</v>
      </c>
      <c r="C1014" s="6" t="s">
        <v>90</v>
      </c>
      <c r="D1014" s="6" t="s">
        <v>165</v>
      </c>
      <c r="E1014" s="6" t="s">
        <v>81</v>
      </c>
      <c r="G1014" s="6" t="s">
        <v>87</v>
      </c>
      <c r="H1014" s="6" t="s">
        <v>3514</v>
      </c>
      <c r="I1014" s="6"/>
      <c r="J1014" s="6" t="s">
        <v>158</v>
      </c>
      <c r="K1014" s="6"/>
      <c r="L1014" s="6" t="s">
        <v>2962</v>
      </c>
      <c r="M1014" s="6"/>
      <c r="N1014" s="6" t="s">
        <v>121</v>
      </c>
      <c r="O1014" s="6"/>
      <c r="P1014" s="6" t="s">
        <v>94</v>
      </c>
      <c r="Q1014" s="6"/>
      <c r="R1014" s="47" t="s">
        <v>3319</v>
      </c>
      <c r="S1014" s="14" t="s">
        <v>5571</v>
      </c>
      <c r="T1014" s="14" t="s">
        <v>4400</v>
      </c>
      <c r="AA1014" s="6"/>
      <c r="AB1014" s="6" t="s">
        <v>67</v>
      </c>
      <c r="AC1014" s="6"/>
      <c r="AD1014" s="6" t="s">
        <v>56</v>
      </c>
      <c r="AE1014" s="6"/>
      <c r="AF1014" s="6" t="s">
        <v>161</v>
      </c>
      <c r="AG1014" s="6"/>
      <c r="AH1014" s="6" t="s">
        <v>76</v>
      </c>
      <c r="AI1014" s="6"/>
      <c r="AJ1014" s="11" t="s">
        <v>256</v>
      </c>
    </row>
    <row r="1015" spans="1:36" ht="15.75" customHeight="1" x14ac:dyDescent="0.25">
      <c r="A1015" s="7">
        <v>43420.668343506943</v>
      </c>
      <c r="B1015" s="6" t="s">
        <v>3518</v>
      </c>
      <c r="C1015" s="6" t="s">
        <v>90</v>
      </c>
      <c r="D1015" s="6" t="s">
        <v>133</v>
      </c>
      <c r="E1015" s="6" t="s">
        <v>81</v>
      </c>
      <c r="G1015" s="6" t="s">
        <v>87</v>
      </c>
      <c r="H1015" s="6" t="s">
        <v>3519</v>
      </c>
      <c r="I1015" s="6"/>
      <c r="J1015" s="6" t="s">
        <v>89</v>
      </c>
      <c r="K1015" s="6"/>
      <c r="L1015" s="6" t="s">
        <v>2470</v>
      </c>
      <c r="M1015" s="6"/>
      <c r="N1015" s="6" t="s">
        <v>98</v>
      </c>
      <c r="O1015" s="6"/>
      <c r="P1015" s="6" t="s">
        <v>131</v>
      </c>
      <c r="Q1015" s="6"/>
      <c r="R1015" s="47" t="s">
        <v>5572</v>
      </c>
      <c r="S1015" s="14" t="s">
        <v>5573</v>
      </c>
      <c r="AA1015" s="6"/>
      <c r="AB1015" s="6" t="s">
        <v>67</v>
      </c>
      <c r="AC1015" s="6"/>
      <c r="AD1015" s="6" t="s">
        <v>57</v>
      </c>
      <c r="AE1015" s="6"/>
      <c r="AF1015" s="6" t="s">
        <v>57</v>
      </c>
      <c r="AG1015" s="6"/>
      <c r="AH1015" s="6" t="s">
        <v>57</v>
      </c>
      <c r="AI1015" s="6"/>
      <c r="AJ1015" s="6" t="s">
        <v>77</v>
      </c>
    </row>
    <row r="1016" spans="1:36" ht="15.75" customHeight="1" x14ac:dyDescent="0.25">
      <c r="A1016" s="7">
        <v>43420.668623194448</v>
      </c>
      <c r="B1016" s="6" t="s">
        <v>26</v>
      </c>
      <c r="C1016" s="6" t="s">
        <v>378</v>
      </c>
      <c r="D1016" s="6" t="s">
        <v>165</v>
      </c>
      <c r="E1016" s="6" t="s">
        <v>48</v>
      </c>
      <c r="F1016" s="6" t="s">
        <v>3521</v>
      </c>
      <c r="G1016" s="6" t="s">
        <v>48</v>
      </c>
      <c r="H1016" s="6" t="s">
        <v>3522</v>
      </c>
      <c r="I1016" s="6"/>
      <c r="J1016" s="6" t="s">
        <v>92</v>
      </c>
      <c r="K1016" s="6"/>
      <c r="L1016" s="6" t="s">
        <v>2963</v>
      </c>
      <c r="M1016" s="6"/>
      <c r="N1016" s="6" t="s">
        <v>181</v>
      </c>
      <c r="O1016" s="6"/>
      <c r="P1016" s="6" t="s">
        <v>99</v>
      </c>
      <c r="Q1016" s="6"/>
      <c r="R1016" s="47" t="s">
        <v>5574</v>
      </c>
      <c r="S1016" s="14" t="s">
        <v>4407</v>
      </c>
      <c r="T1016" s="14" t="s">
        <v>4473</v>
      </c>
      <c r="U1016" s="14" t="s">
        <v>4911</v>
      </c>
      <c r="V1016" s="14" t="s">
        <v>4400</v>
      </c>
      <c r="W1016" s="14" t="s">
        <v>4640</v>
      </c>
      <c r="X1016" s="14" t="s">
        <v>4871</v>
      </c>
      <c r="Y1016" s="14" t="s">
        <v>4806</v>
      </c>
      <c r="Z1016" s="14" t="s">
        <v>4421</v>
      </c>
      <c r="AA1016" s="6"/>
      <c r="AB1016" s="6" t="s">
        <v>55</v>
      </c>
      <c r="AC1016" s="6"/>
      <c r="AD1016" s="6" t="s">
        <v>109</v>
      </c>
      <c r="AE1016" s="6"/>
      <c r="AF1016" s="6" t="s">
        <v>75</v>
      </c>
      <c r="AG1016" s="6"/>
      <c r="AH1016" s="6" t="s">
        <v>58</v>
      </c>
      <c r="AI1016" s="6"/>
      <c r="AJ1016" s="6" t="s">
        <v>77</v>
      </c>
    </row>
    <row r="1017" spans="1:36" ht="15.75" customHeight="1" x14ac:dyDescent="0.25">
      <c r="A1017" s="7">
        <v>43420.674893912037</v>
      </c>
      <c r="B1017" s="6" t="s">
        <v>30</v>
      </c>
      <c r="C1017" s="6" t="s">
        <v>829</v>
      </c>
      <c r="D1017" s="6" t="s">
        <v>46</v>
      </c>
      <c r="E1017" s="6" t="s">
        <v>81</v>
      </c>
      <c r="G1017" s="6" t="s">
        <v>87</v>
      </c>
      <c r="H1017" s="6" t="s">
        <v>3526</v>
      </c>
      <c r="I1017" s="6"/>
      <c r="J1017" s="6" t="s">
        <v>110</v>
      </c>
      <c r="K1017" s="6"/>
      <c r="L1017" s="6" t="s">
        <v>2965</v>
      </c>
      <c r="M1017" s="6"/>
      <c r="N1017" s="6" t="s">
        <v>181</v>
      </c>
      <c r="O1017" s="6"/>
      <c r="P1017" s="6" t="s">
        <v>131</v>
      </c>
      <c r="Q1017" s="6"/>
      <c r="R1017" s="47" t="s">
        <v>192</v>
      </c>
      <c r="S1017" s="14" t="s">
        <v>4400</v>
      </c>
      <c r="T1017" s="14" t="s">
        <v>5575</v>
      </c>
      <c r="AA1017" s="6"/>
      <c r="AB1017" s="6" t="s">
        <v>67</v>
      </c>
      <c r="AC1017" s="6"/>
      <c r="AD1017" s="6" t="s">
        <v>56</v>
      </c>
      <c r="AE1017" s="6"/>
      <c r="AF1017" s="6" t="s">
        <v>75</v>
      </c>
      <c r="AG1017" s="6"/>
      <c r="AH1017" s="6" t="s">
        <v>76</v>
      </c>
      <c r="AI1017" s="6"/>
      <c r="AJ1017" s="6" t="s">
        <v>132</v>
      </c>
    </row>
    <row r="1018" spans="1:36" ht="15.75" customHeight="1" x14ac:dyDescent="0.25">
      <c r="A1018" s="7">
        <v>43420.677282233795</v>
      </c>
      <c r="B1018" s="6" t="s">
        <v>127</v>
      </c>
      <c r="C1018" s="6" t="s">
        <v>90</v>
      </c>
      <c r="D1018" s="6" t="s">
        <v>307</v>
      </c>
      <c r="E1018" s="6" t="s">
        <v>81</v>
      </c>
      <c r="G1018" s="6" t="s">
        <v>87</v>
      </c>
      <c r="H1018" s="6" t="s">
        <v>3530</v>
      </c>
      <c r="I1018" s="6"/>
      <c r="J1018" s="6" t="s">
        <v>158</v>
      </c>
      <c r="K1018" s="6"/>
      <c r="L1018" s="6" t="s">
        <v>2966</v>
      </c>
      <c r="M1018" s="6"/>
      <c r="N1018" s="6" t="s">
        <v>93</v>
      </c>
      <c r="O1018" s="6"/>
      <c r="P1018" s="6" t="s">
        <v>131</v>
      </c>
      <c r="Q1018" s="6"/>
      <c r="R1018" s="47" t="s">
        <v>5576</v>
      </c>
      <c r="S1018" s="14" t="s">
        <v>5577</v>
      </c>
      <c r="T1018" s="14" t="s">
        <v>5578</v>
      </c>
      <c r="U1018" s="14" t="s">
        <v>4573</v>
      </c>
      <c r="V1018" s="14" t="s">
        <v>5015</v>
      </c>
      <c r="W1018" s="14" t="s">
        <v>5579</v>
      </c>
      <c r="AA1018" s="6"/>
      <c r="AB1018" s="6" t="s">
        <v>101</v>
      </c>
      <c r="AC1018" s="6"/>
      <c r="AD1018" s="6" t="s">
        <v>109</v>
      </c>
      <c r="AE1018" s="6"/>
      <c r="AF1018" s="6" t="s">
        <v>75</v>
      </c>
      <c r="AG1018" s="6"/>
      <c r="AH1018" s="6" t="s">
        <v>76</v>
      </c>
      <c r="AI1018" s="6"/>
      <c r="AJ1018" s="6" t="s">
        <v>77</v>
      </c>
    </row>
    <row r="1019" spans="1:36" ht="15.75" customHeight="1" x14ac:dyDescent="0.25">
      <c r="A1019" s="7">
        <v>43420.682524606484</v>
      </c>
      <c r="B1019" s="6" t="s">
        <v>543</v>
      </c>
      <c r="C1019" s="6" t="s">
        <v>749</v>
      </c>
      <c r="D1019" s="6" t="s">
        <v>165</v>
      </c>
      <c r="E1019" s="6" t="s">
        <v>81</v>
      </c>
      <c r="G1019" s="6" t="s">
        <v>87</v>
      </c>
      <c r="H1019" s="6" t="s">
        <v>3533</v>
      </c>
      <c r="I1019" s="6"/>
      <c r="J1019" s="6" t="s">
        <v>106</v>
      </c>
      <c r="K1019" s="6"/>
      <c r="L1019" s="6" t="s">
        <v>2636</v>
      </c>
      <c r="M1019" s="6"/>
      <c r="N1019" s="6" t="s">
        <v>98</v>
      </c>
      <c r="O1019" s="6"/>
      <c r="P1019" s="6" t="s">
        <v>94</v>
      </c>
      <c r="Q1019" s="6"/>
      <c r="R1019" s="47" t="s">
        <v>2905</v>
      </c>
      <c r="S1019" s="14" t="s">
        <v>4573</v>
      </c>
      <c r="T1019" s="14" t="s">
        <v>5580</v>
      </c>
      <c r="AA1019" s="6"/>
      <c r="AB1019" s="6" t="s">
        <v>203</v>
      </c>
      <c r="AC1019" s="6"/>
      <c r="AD1019" s="6" t="s">
        <v>56</v>
      </c>
      <c r="AE1019" s="6"/>
      <c r="AF1019" s="6" t="s">
        <v>161</v>
      </c>
      <c r="AG1019" s="6"/>
      <c r="AH1019" s="6" t="s">
        <v>76</v>
      </c>
      <c r="AI1019" s="6"/>
      <c r="AJ1019" s="6" t="s">
        <v>174</v>
      </c>
    </row>
    <row r="1020" spans="1:36" ht="15.75" customHeight="1" x14ac:dyDescent="0.25">
      <c r="A1020" s="7">
        <v>43420.686337152772</v>
      </c>
      <c r="B1020" s="6" t="s">
        <v>3535</v>
      </c>
      <c r="C1020" s="6" t="s">
        <v>3536</v>
      </c>
      <c r="D1020" s="6" t="s">
        <v>190</v>
      </c>
      <c r="E1020" s="6" t="s">
        <v>81</v>
      </c>
      <c r="G1020" s="6" t="s">
        <v>87</v>
      </c>
      <c r="H1020" s="6" t="s">
        <v>3537</v>
      </c>
      <c r="I1020" s="6"/>
      <c r="J1020" s="6" t="s">
        <v>158</v>
      </c>
      <c r="K1020" s="6"/>
      <c r="L1020" s="6" t="s">
        <v>2967</v>
      </c>
      <c r="M1020" s="6"/>
      <c r="N1020" s="6" t="s">
        <v>51</v>
      </c>
      <c r="O1020" s="6"/>
      <c r="P1020" s="6" t="s">
        <v>99</v>
      </c>
      <c r="Q1020" s="6"/>
      <c r="R1020" s="47" t="s">
        <v>3538</v>
      </c>
      <c r="AA1020" s="6"/>
      <c r="AB1020" s="6" t="s">
        <v>67</v>
      </c>
      <c r="AC1020" s="6"/>
      <c r="AD1020" s="6" t="s">
        <v>56</v>
      </c>
      <c r="AE1020" s="6"/>
      <c r="AF1020" s="6" t="s">
        <v>75</v>
      </c>
      <c r="AG1020" s="6"/>
      <c r="AH1020" s="6" t="s">
        <v>58</v>
      </c>
      <c r="AI1020" s="6"/>
      <c r="AJ1020" s="6" t="s">
        <v>115</v>
      </c>
    </row>
    <row r="1021" spans="1:36" ht="15.75" customHeight="1" x14ac:dyDescent="0.25">
      <c r="A1021" s="7">
        <v>43420.701577592597</v>
      </c>
      <c r="B1021" s="6" t="s">
        <v>127</v>
      </c>
      <c r="C1021" s="6" t="s">
        <v>419</v>
      </c>
      <c r="D1021" s="6" t="s">
        <v>163</v>
      </c>
      <c r="E1021" s="6" t="s">
        <v>81</v>
      </c>
      <c r="F1021" s="6" t="s">
        <v>2370</v>
      </c>
      <c r="G1021" s="6" t="s">
        <v>87</v>
      </c>
      <c r="H1021" s="6" t="s">
        <v>3541</v>
      </c>
      <c r="I1021" s="6"/>
      <c r="J1021" s="6" t="s">
        <v>110</v>
      </c>
      <c r="K1021" s="6"/>
      <c r="L1021" s="6" t="s">
        <v>2637</v>
      </c>
      <c r="M1021" s="6"/>
      <c r="N1021" s="6" t="s">
        <v>98</v>
      </c>
      <c r="O1021" s="6"/>
      <c r="P1021" s="6" t="s">
        <v>131</v>
      </c>
      <c r="Q1021" s="6"/>
      <c r="R1021" s="47" t="s">
        <v>149</v>
      </c>
      <c r="S1021" s="14" t="s">
        <v>4400</v>
      </c>
      <c r="T1021" s="14" t="s">
        <v>4393</v>
      </c>
      <c r="U1021" s="14" t="s">
        <v>4702</v>
      </c>
      <c r="V1021" s="14" t="s">
        <v>5581</v>
      </c>
      <c r="AA1021" s="6"/>
      <c r="AB1021" s="6" t="s">
        <v>55</v>
      </c>
      <c r="AC1021" s="6"/>
      <c r="AD1021" s="6" t="s">
        <v>109</v>
      </c>
      <c r="AE1021" s="6"/>
      <c r="AF1021" s="6" t="s">
        <v>68</v>
      </c>
      <c r="AG1021" s="6"/>
      <c r="AH1021" s="6" t="s">
        <v>58</v>
      </c>
      <c r="AI1021" s="6"/>
      <c r="AJ1021" s="6" t="s">
        <v>77</v>
      </c>
    </row>
    <row r="1022" spans="1:36" ht="15.75" customHeight="1" x14ac:dyDescent="0.25">
      <c r="A1022" s="7">
        <v>43420.706464733797</v>
      </c>
      <c r="B1022" s="6" t="s">
        <v>3544</v>
      </c>
      <c r="C1022" s="6" t="s">
        <v>705</v>
      </c>
      <c r="D1022" s="6" t="s">
        <v>772</v>
      </c>
      <c r="E1022" s="6" t="s">
        <v>81</v>
      </c>
      <c r="G1022" s="6" t="s">
        <v>87</v>
      </c>
      <c r="H1022" s="6" t="s">
        <v>3546</v>
      </c>
      <c r="I1022" s="6"/>
      <c r="J1022" s="6" t="s">
        <v>158</v>
      </c>
      <c r="K1022" s="6"/>
      <c r="L1022" s="6" t="s">
        <v>2472</v>
      </c>
      <c r="M1022" s="6"/>
      <c r="N1022" s="6" t="s">
        <v>248</v>
      </c>
      <c r="O1022" s="6"/>
      <c r="P1022" s="6" t="s">
        <v>168</v>
      </c>
      <c r="Q1022" s="6"/>
      <c r="R1022" s="47" t="s">
        <v>5582</v>
      </c>
      <c r="S1022" s="14" t="s">
        <v>5583</v>
      </c>
      <c r="AA1022" s="6"/>
      <c r="AB1022" s="6" t="s">
        <v>55</v>
      </c>
      <c r="AC1022" s="6"/>
      <c r="AD1022" s="6" t="s">
        <v>56</v>
      </c>
      <c r="AE1022" s="6"/>
      <c r="AF1022" s="6" t="s">
        <v>57</v>
      </c>
      <c r="AG1022" s="6"/>
      <c r="AH1022" s="6" t="s">
        <v>57</v>
      </c>
      <c r="AI1022" s="6"/>
      <c r="AJ1022" s="6" t="s">
        <v>291</v>
      </c>
    </row>
    <row r="1023" spans="1:36" ht="15.75" customHeight="1" x14ac:dyDescent="0.25">
      <c r="A1023" s="7">
        <v>43420.707599317131</v>
      </c>
      <c r="B1023" s="6" t="s">
        <v>30</v>
      </c>
      <c r="C1023" s="6" t="s">
        <v>378</v>
      </c>
      <c r="D1023" s="6" t="s">
        <v>46</v>
      </c>
      <c r="E1023" s="6" t="s">
        <v>81</v>
      </c>
      <c r="G1023" s="6" t="s">
        <v>87</v>
      </c>
      <c r="H1023" s="6" t="s">
        <v>3548</v>
      </c>
      <c r="I1023" s="6"/>
      <c r="J1023" s="6" t="s">
        <v>106</v>
      </c>
      <c r="K1023" s="6"/>
      <c r="L1023" s="6" t="s">
        <v>2970</v>
      </c>
      <c r="M1023" s="6"/>
      <c r="N1023" s="6" t="s">
        <v>212</v>
      </c>
      <c r="O1023" s="6"/>
      <c r="P1023" s="6" t="s">
        <v>52</v>
      </c>
      <c r="Q1023" s="6"/>
      <c r="R1023" s="47" t="s">
        <v>5584</v>
      </c>
      <c r="S1023" s="14" t="s">
        <v>5585</v>
      </c>
      <c r="T1023" s="14" t="s">
        <v>4753</v>
      </c>
      <c r="U1023" s="14" t="s">
        <v>5586</v>
      </c>
      <c r="V1023" s="14" t="s">
        <v>5587</v>
      </c>
      <c r="AA1023" s="6"/>
      <c r="AB1023" s="6" t="s">
        <v>55</v>
      </c>
      <c r="AC1023" s="6"/>
      <c r="AD1023" s="6" t="s">
        <v>109</v>
      </c>
      <c r="AE1023" s="6"/>
      <c r="AF1023" s="6" t="s">
        <v>68</v>
      </c>
      <c r="AG1023" s="6"/>
      <c r="AH1023" s="6" t="s">
        <v>58</v>
      </c>
      <c r="AI1023" s="6"/>
      <c r="AJ1023" s="6" t="s">
        <v>256</v>
      </c>
    </row>
    <row r="1024" spans="1:36" ht="15.75" customHeight="1" x14ac:dyDescent="0.25">
      <c r="A1024" s="7">
        <v>43420.711697256949</v>
      </c>
      <c r="B1024" s="6" t="s">
        <v>30</v>
      </c>
      <c r="C1024" s="6" t="s">
        <v>95</v>
      </c>
      <c r="D1024" s="6" t="s">
        <v>46</v>
      </c>
      <c r="E1024" s="6" t="s">
        <v>81</v>
      </c>
      <c r="G1024" s="6" t="s">
        <v>87</v>
      </c>
      <c r="J1024" s="6" t="s">
        <v>106</v>
      </c>
      <c r="K1024" s="6"/>
      <c r="L1024" s="6" t="s">
        <v>2971</v>
      </c>
      <c r="M1024" s="6"/>
      <c r="N1024" s="6" t="s">
        <v>181</v>
      </c>
      <c r="O1024" s="6"/>
      <c r="P1024" s="6" t="s">
        <v>131</v>
      </c>
      <c r="Q1024" s="6"/>
      <c r="R1024" s="47" t="s">
        <v>5588</v>
      </c>
      <c r="S1024" s="14" t="s">
        <v>4647</v>
      </c>
      <c r="T1024" s="14" t="s">
        <v>5589</v>
      </c>
      <c r="U1024" s="14" t="s">
        <v>5590</v>
      </c>
      <c r="V1024" s="14" t="s">
        <v>5591</v>
      </c>
      <c r="W1024" s="14" t="s">
        <v>5592</v>
      </c>
      <c r="AA1024" s="6"/>
      <c r="AB1024" s="6" t="s">
        <v>67</v>
      </c>
      <c r="AC1024" s="6"/>
      <c r="AD1024" s="6" t="s">
        <v>56</v>
      </c>
      <c r="AE1024" s="6"/>
      <c r="AF1024" s="6" t="s">
        <v>68</v>
      </c>
      <c r="AG1024" s="6"/>
      <c r="AH1024" s="6" t="s">
        <v>58</v>
      </c>
      <c r="AI1024" s="6"/>
      <c r="AJ1024" s="6" t="s">
        <v>132</v>
      </c>
    </row>
    <row r="1025" spans="1:36" ht="15.75" customHeight="1" x14ac:dyDescent="0.25">
      <c r="A1025" s="7">
        <v>43420.716768020837</v>
      </c>
      <c r="B1025" s="6" t="s">
        <v>30</v>
      </c>
      <c r="C1025" s="6" t="s">
        <v>95</v>
      </c>
      <c r="D1025" s="6" t="s">
        <v>165</v>
      </c>
      <c r="E1025" s="6" t="s">
        <v>81</v>
      </c>
      <c r="G1025" s="6" t="s">
        <v>87</v>
      </c>
      <c r="J1025" s="6" t="s">
        <v>184</v>
      </c>
      <c r="K1025" s="6"/>
      <c r="L1025" s="6" t="s">
        <v>2973</v>
      </c>
      <c r="M1025" s="6"/>
      <c r="N1025" s="6" t="s">
        <v>121</v>
      </c>
      <c r="O1025" s="6"/>
      <c r="P1025" s="6" t="s">
        <v>94</v>
      </c>
      <c r="Q1025" s="6"/>
      <c r="R1025" s="47" t="s">
        <v>3555</v>
      </c>
      <c r="AA1025" s="6"/>
      <c r="AB1025" s="6" t="s">
        <v>55</v>
      </c>
      <c r="AC1025" s="6"/>
      <c r="AD1025" s="6" t="s">
        <v>56</v>
      </c>
      <c r="AE1025" s="6"/>
      <c r="AF1025" s="6" t="s">
        <v>57</v>
      </c>
      <c r="AG1025" s="6"/>
      <c r="AH1025" s="6" t="s">
        <v>76</v>
      </c>
      <c r="AI1025" s="6"/>
      <c r="AJ1025" s="6" t="s">
        <v>77</v>
      </c>
    </row>
    <row r="1026" spans="1:36" ht="15.75" customHeight="1" x14ac:dyDescent="0.25">
      <c r="A1026" s="7">
        <v>43420.718723252314</v>
      </c>
      <c r="B1026" s="6" t="s">
        <v>3556</v>
      </c>
      <c r="C1026" s="6" t="s">
        <v>349</v>
      </c>
      <c r="D1026" s="6" t="s">
        <v>129</v>
      </c>
      <c r="E1026" s="6" t="s">
        <v>48</v>
      </c>
      <c r="F1026" s="6" t="s">
        <v>3557</v>
      </c>
      <c r="G1026" s="6" t="s">
        <v>48</v>
      </c>
      <c r="H1026" s="6" t="s">
        <v>3558</v>
      </c>
      <c r="I1026" s="6"/>
      <c r="J1026" s="6" t="s">
        <v>92</v>
      </c>
      <c r="K1026" s="6"/>
      <c r="L1026" s="6" t="s">
        <v>2974</v>
      </c>
      <c r="M1026" s="6"/>
      <c r="N1026" s="6" t="s">
        <v>51</v>
      </c>
      <c r="O1026" s="6"/>
      <c r="P1026" s="6" t="s">
        <v>52</v>
      </c>
      <c r="Q1026" s="6"/>
      <c r="R1026" s="47" t="s">
        <v>169</v>
      </c>
      <c r="S1026" s="14" t="s">
        <v>4393</v>
      </c>
      <c r="T1026" s="14" t="s">
        <v>5593</v>
      </c>
      <c r="U1026" s="14" t="s">
        <v>5594</v>
      </c>
      <c r="V1026" s="14" t="s">
        <v>5254</v>
      </c>
      <c r="W1026" s="14" t="s">
        <v>5595</v>
      </c>
      <c r="X1026" s="14" t="s">
        <v>5596</v>
      </c>
      <c r="AA1026" s="6"/>
      <c r="AB1026" s="6" t="s">
        <v>67</v>
      </c>
      <c r="AC1026" s="6"/>
      <c r="AD1026" s="6" t="s">
        <v>56</v>
      </c>
      <c r="AE1026" s="6"/>
      <c r="AF1026" s="6" t="s">
        <v>68</v>
      </c>
      <c r="AG1026" s="6"/>
      <c r="AH1026" s="6" t="s">
        <v>58</v>
      </c>
      <c r="AI1026" s="6"/>
      <c r="AJ1026" s="6" t="s">
        <v>204</v>
      </c>
    </row>
    <row r="1027" spans="1:36" ht="15.75" customHeight="1" x14ac:dyDescent="0.25">
      <c r="A1027" s="7">
        <v>43420.725713506945</v>
      </c>
      <c r="B1027" s="6" t="s">
        <v>30</v>
      </c>
      <c r="C1027" s="6" t="s">
        <v>95</v>
      </c>
      <c r="D1027" s="6" t="s">
        <v>165</v>
      </c>
      <c r="E1027" s="6" t="s">
        <v>81</v>
      </c>
      <c r="G1027" s="6" t="s">
        <v>87</v>
      </c>
      <c r="H1027" s="6" t="s">
        <v>3561</v>
      </c>
      <c r="I1027" s="6"/>
      <c r="J1027" s="6" t="s">
        <v>64</v>
      </c>
      <c r="K1027" s="6"/>
      <c r="L1027" s="6" t="s">
        <v>2975</v>
      </c>
      <c r="M1027" s="6"/>
      <c r="N1027" s="6" t="s">
        <v>212</v>
      </c>
      <c r="O1027" s="6"/>
      <c r="P1027" s="6" t="s">
        <v>99</v>
      </c>
      <c r="Q1027" s="6"/>
      <c r="R1027" s="47" t="s">
        <v>5597</v>
      </c>
      <c r="S1027" s="14" t="s">
        <v>4415</v>
      </c>
      <c r="T1027" s="14" t="s">
        <v>5292</v>
      </c>
      <c r="U1027" s="14" t="s">
        <v>4734</v>
      </c>
      <c r="V1027" s="14" t="s">
        <v>5598</v>
      </c>
      <c r="W1027" s="14" t="s">
        <v>5599</v>
      </c>
      <c r="AA1027" s="6"/>
      <c r="AB1027" s="6" t="s">
        <v>55</v>
      </c>
      <c r="AC1027" s="6"/>
      <c r="AD1027" s="6" t="s">
        <v>56</v>
      </c>
      <c r="AE1027" s="6"/>
      <c r="AF1027" s="6" t="s">
        <v>161</v>
      </c>
      <c r="AG1027" s="6"/>
      <c r="AH1027" s="6" t="s">
        <v>76</v>
      </c>
      <c r="AI1027" s="6"/>
      <c r="AJ1027" s="6" t="s">
        <v>115</v>
      </c>
    </row>
    <row r="1028" spans="1:36" ht="15.75" customHeight="1" x14ac:dyDescent="0.25">
      <c r="A1028" s="7">
        <v>43420.725957499999</v>
      </c>
      <c r="B1028" s="6" t="s">
        <v>634</v>
      </c>
      <c r="C1028" s="6" t="s">
        <v>378</v>
      </c>
      <c r="D1028" s="6" t="s">
        <v>165</v>
      </c>
      <c r="E1028" s="6" t="s">
        <v>81</v>
      </c>
      <c r="G1028" s="6" t="s">
        <v>87</v>
      </c>
      <c r="H1028" s="6" t="s">
        <v>3564</v>
      </c>
      <c r="I1028" s="6"/>
      <c r="J1028" s="6" t="s">
        <v>92</v>
      </c>
      <c r="K1028" s="6"/>
      <c r="L1028" s="6" t="s">
        <v>2977</v>
      </c>
      <c r="M1028" s="6"/>
      <c r="N1028" s="6" t="s">
        <v>181</v>
      </c>
      <c r="O1028" s="6"/>
      <c r="P1028" s="6" t="s">
        <v>94</v>
      </c>
      <c r="Q1028" s="6"/>
      <c r="R1028" s="47" t="s">
        <v>5600</v>
      </c>
      <c r="S1028" s="14" t="s">
        <v>4473</v>
      </c>
      <c r="T1028" s="14" t="s">
        <v>5601</v>
      </c>
      <c r="AA1028" s="6"/>
      <c r="AB1028" s="6" t="s">
        <v>55</v>
      </c>
      <c r="AC1028" s="6"/>
      <c r="AD1028" s="6" t="s">
        <v>56</v>
      </c>
      <c r="AE1028" s="6"/>
      <c r="AF1028" s="6" t="s">
        <v>75</v>
      </c>
      <c r="AG1028" s="6"/>
      <c r="AH1028" s="6" t="s">
        <v>76</v>
      </c>
      <c r="AI1028" s="6"/>
      <c r="AJ1028" s="6" t="s">
        <v>297</v>
      </c>
    </row>
    <row r="1029" spans="1:36" ht="15.75" customHeight="1" x14ac:dyDescent="0.25">
      <c r="A1029" s="7">
        <v>43420.734755879632</v>
      </c>
      <c r="B1029" s="6" t="s">
        <v>30</v>
      </c>
      <c r="C1029" s="6" t="s">
        <v>829</v>
      </c>
      <c r="D1029" s="6" t="s">
        <v>165</v>
      </c>
      <c r="E1029" s="6" t="s">
        <v>81</v>
      </c>
      <c r="H1029" s="6" t="s">
        <v>3566</v>
      </c>
      <c r="I1029" s="6"/>
      <c r="J1029" s="6" t="s">
        <v>64</v>
      </c>
      <c r="K1029" s="6"/>
      <c r="L1029" s="6" t="s">
        <v>2640</v>
      </c>
      <c r="M1029" s="6"/>
      <c r="N1029" s="6" t="s">
        <v>181</v>
      </c>
      <c r="O1029" s="6"/>
      <c r="P1029" s="6" t="s">
        <v>94</v>
      </c>
      <c r="Q1029" s="6"/>
      <c r="R1029" s="47" t="s">
        <v>149</v>
      </c>
      <c r="S1029" s="14" t="s">
        <v>5602</v>
      </c>
      <c r="T1029" s="14" t="s">
        <v>5603</v>
      </c>
      <c r="U1029" s="14" t="s">
        <v>5604</v>
      </c>
      <c r="AA1029" s="6"/>
      <c r="AB1029" s="6" t="s">
        <v>101</v>
      </c>
      <c r="AC1029" s="6"/>
      <c r="AD1029" s="6" t="s">
        <v>56</v>
      </c>
      <c r="AE1029" s="6"/>
      <c r="AF1029" s="6" t="s">
        <v>68</v>
      </c>
      <c r="AG1029" s="6"/>
      <c r="AH1029" s="6" t="s">
        <v>76</v>
      </c>
      <c r="AI1029" s="6"/>
      <c r="AJ1029" s="6" t="s">
        <v>59</v>
      </c>
    </row>
    <row r="1030" spans="1:36" ht="15.75" customHeight="1" x14ac:dyDescent="0.25">
      <c r="A1030" s="7">
        <v>43420.73763048611</v>
      </c>
      <c r="B1030" s="6" t="s">
        <v>127</v>
      </c>
      <c r="C1030" s="6" t="s">
        <v>90</v>
      </c>
      <c r="D1030" s="6" t="s">
        <v>163</v>
      </c>
      <c r="E1030" s="6" t="s">
        <v>81</v>
      </c>
      <c r="G1030" s="6" t="s">
        <v>87</v>
      </c>
      <c r="J1030" s="6" t="s">
        <v>184</v>
      </c>
      <c r="K1030" s="6"/>
      <c r="L1030" s="6" t="s">
        <v>2290</v>
      </c>
      <c r="M1030" s="6"/>
      <c r="N1030" s="6" t="s">
        <v>121</v>
      </c>
      <c r="O1030" s="6"/>
      <c r="P1030" s="6" t="s">
        <v>94</v>
      </c>
      <c r="Q1030" s="6"/>
      <c r="R1030" s="47" t="s">
        <v>224</v>
      </c>
      <c r="AA1030" s="6"/>
      <c r="AB1030" s="6" t="s">
        <v>101</v>
      </c>
      <c r="AC1030" s="6"/>
      <c r="AD1030" s="6" t="s">
        <v>56</v>
      </c>
      <c r="AE1030" s="6"/>
      <c r="AF1030" s="6" t="s">
        <v>75</v>
      </c>
      <c r="AG1030" s="6"/>
      <c r="AH1030" s="6" t="s">
        <v>76</v>
      </c>
      <c r="AI1030" s="6"/>
      <c r="AJ1030" s="11" t="s">
        <v>244</v>
      </c>
    </row>
    <row r="1031" spans="1:36" ht="15.75" customHeight="1" x14ac:dyDescent="0.25">
      <c r="A1031" s="7">
        <v>43420.741985370369</v>
      </c>
      <c r="B1031" s="6" t="s">
        <v>103</v>
      </c>
      <c r="C1031" s="6" t="s">
        <v>95</v>
      </c>
      <c r="D1031" s="6" t="s">
        <v>165</v>
      </c>
      <c r="E1031" s="6" t="s">
        <v>81</v>
      </c>
      <c r="G1031" s="6" t="s">
        <v>87</v>
      </c>
      <c r="J1031" s="6" t="s">
        <v>92</v>
      </c>
      <c r="K1031" s="6"/>
      <c r="L1031" s="6" t="s">
        <v>2979</v>
      </c>
      <c r="M1031" s="6"/>
      <c r="N1031" s="6" t="s">
        <v>98</v>
      </c>
      <c r="O1031" s="6"/>
      <c r="P1031" s="6" t="s">
        <v>94</v>
      </c>
      <c r="Q1031" s="6"/>
      <c r="R1031" s="47" t="s">
        <v>2905</v>
      </c>
      <c r="S1031" s="14" t="s">
        <v>5605</v>
      </c>
      <c r="AA1031" s="6"/>
      <c r="AB1031" s="6" t="s">
        <v>67</v>
      </c>
      <c r="AC1031" s="6"/>
      <c r="AD1031" s="6" t="s">
        <v>56</v>
      </c>
      <c r="AE1031" s="6"/>
      <c r="AF1031" s="6" t="s">
        <v>75</v>
      </c>
      <c r="AG1031" s="6"/>
      <c r="AH1031" s="6" t="s">
        <v>126</v>
      </c>
      <c r="AI1031" s="6"/>
      <c r="AJ1031" s="6" t="s">
        <v>132</v>
      </c>
    </row>
    <row r="1032" spans="1:36" ht="15.75" customHeight="1" x14ac:dyDescent="0.25">
      <c r="A1032" s="7">
        <v>43420.742182546295</v>
      </c>
      <c r="B1032" s="6" t="s">
        <v>60</v>
      </c>
      <c r="C1032" s="6" t="s">
        <v>90</v>
      </c>
      <c r="D1032" s="6" t="s">
        <v>163</v>
      </c>
      <c r="E1032" s="6" t="s">
        <v>81</v>
      </c>
      <c r="G1032" s="6" t="s">
        <v>87</v>
      </c>
      <c r="J1032" s="6" t="s">
        <v>184</v>
      </c>
      <c r="K1032" s="6"/>
      <c r="L1032" s="6" t="s">
        <v>2642</v>
      </c>
      <c r="M1032" s="6"/>
      <c r="N1032" s="6" t="s">
        <v>93</v>
      </c>
      <c r="O1032" s="6"/>
      <c r="P1032" s="6" t="s">
        <v>94</v>
      </c>
      <c r="Q1032" s="6"/>
      <c r="R1032" s="47" t="s">
        <v>5606</v>
      </c>
      <c r="S1032" s="14" t="s">
        <v>5607</v>
      </c>
      <c r="AA1032" s="6"/>
      <c r="AB1032" s="6" t="s">
        <v>101</v>
      </c>
      <c r="AC1032" s="6"/>
      <c r="AD1032" s="6" t="s">
        <v>56</v>
      </c>
      <c r="AE1032" s="6"/>
      <c r="AF1032" s="6" t="s">
        <v>68</v>
      </c>
      <c r="AG1032" s="6"/>
      <c r="AH1032" s="6" t="s">
        <v>76</v>
      </c>
      <c r="AI1032" s="6"/>
      <c r="AJ1032" s="6" t="s">
        <v>260</v>
      </c>
    </row>
    <row r="1033" spans="1:36" ht="15.75" customHeight="1" x14ac:dyDescent="0.25">
      <c r="A1033" s="7">
        <v>43420.754311759258</v>
      </c>
      <c r="B1033" s="6" t="s">
        <v>154</v>
      </c>
      <c r="C1033" s="6" t="s">
        <v>378</v>
      </c>
      <c r="E1033" s="6" t="s">
        <v>48</v>
      </c>
      <c r="F1033" s="6" t="s">
        <v>3573</v>
      </c>
      <c r="G1033" s="6" t="s">
        <v>48</v>
      </c>
      <c r="H1033" s="6" t="s">
        <v>3574</v>
      </c>
      <c r="I1033" s="6"/>
      <c r="J1033" s="6" t="s">
        <v>106</v>
      </c>
      <c r="K1033" s="6"/>
      <c r="L1033" s="6" t="s">
        <v>2475</v>
      </c>
      <c r="M1033" s="6"/>
      <c r="N1033" s="6" t="s">
        <v>181</v>
      </c>
      <c r="O1033" s="6"/>
      <c r="P1033" s="6" t="s">
        <v>99</v>
      </c>
      <c r="Q1033" s="6"/>
      <c r="R1033" s="47" t="s">
        <v>3839</v>
      </c>
      <c r="S1033" s="14" t="s">
        <v>5608</v>
      </c>
      <c r="T1033" s="14" t="s">
        <v>5609</v>
      </c>
      <c r="U1033" s="14" t="s">
        <v>5016</v>
      </c>
      <c r="V1033" s="14" t="s">
        <v>4599</v>
      </c>
      <c r="W1033" s="14" t="s">
        <v>5195</v>
      </c>
      <c r="X1033" s="14" t="s">
        <v>5496</v>
      </c>
      <c r="Y1033" s="14" t="s">
        <v>4393</v>
      </c>
      <c r="Z1033" s="14" t="s">
        <v>5484</v>
      </c>
      <c r="AA1033" s="6"/>
      <c r="AB1033" s="6" t="s">
        <v>67</v>
      </c>
      <c r="AC1033" s="6"/>
      <c r="AD1033" s="6" t="s">
        <v>56</v>
      </c>
      <c r="AE1033" s="6"/>
      <c r="AF1033" s="6" t="s">
        <v>75</v>
      </c>
      <c r="AG1033" s="6"/>
      <c r="AH1033" s="6" t="s">
        <v>76</v>
      </c>
      <c r="AI1033" s="6"/>
      <c r="AJ1033" s="6" t="s">
        <v>286</v>
      </c>
    </row>
    <row r="1034" spans="1:36" ht="15.75" customHeight="1" x14ac:dyDescent="0.25">
      <c r="A1034" s="7">
        <v>43420.76291099537</v>
      </c>
      <c r="B1034" s="6" t="s">
        <v>60</v>
      </c>
      <c r="C1034" s="6" t="s">
        <v>90</v>
      </c>
      <c r="D1034" s="6" t="s">
        <v>165</v>
      </c>
      <c r="E1034" s="6" t="s">
        <v>81</v>
      </c>
      <c r="G1034" s="6" t="s">
        <v>87</v>
      </c>
      <c r="H1034" s="6" t="s">
        <v>3577</v>
      </c>
      <c r="I1034" s="6"/>
      <c r="J1034" s="6" t="s">
        <v>73</v>
      </c>
      <c r="K1034" s="6"/>
      <c r="L1034" s="6" t="s">
        <v>2643</v>
      </c>
      <c r="M1034" s="6"/>
      <c r="N1034" s="6" t="s">
        <v>121</v>
      </c>
      <c r="O1034" s="6"/>
      <c r="P1034" s="6" t="s">
        <v>94</v>
      </c>
      <c r="Q1034" s="6"/>
      <c r="R1034" s="47" t="s">
        <v>3579</v>
      </c>
      <c r="AA1034" s="6"/>
      <c r="AB1034" s="6" t="s">
        <v>101</v>
      </c>
      <c r="AC1034" s="6"/>
      <c r="AD1034" s="6" t="s">
        <v>56</v>
      </c>
      <c r="AE1034" s="6"/>
      <c r="AF1034" s="6" t="s">
        <v>75</v>
      </c>
      <c r="AG1034" s="6"/>
      <c r="AH1034" s="6" t="s">
        <v>58</v>
      </c>
      <c r="AI1034" s="6"/>
      <c r="AJ1034" s="6" t="s">
        <v>77</v>
      </c>
    </row>
    <row r="1035" spans="1:36" ht="15.75" customHeight="1" x14ac:dyDescent="0.25">
      <c r="A1035" s="7">
        <v>43420.774645833335</v>
      </c>
      <c r="B1035" s="6" t="s">
        <v>60</v>
      </c>
      <c r="C1035" s="6" t="s">
        <v>705</v>
      </c>
      <c r="D1035" s="6" t="s">
        <v>91</v>
      </c>
      <c r="E1035" s="6" t="s">
        <v>81</v>
      </c>
      <c r="G1035" s="6" t="s">
        <v>87</v>
      </c>
      <c r="H1035" s="6" t="s">
        <v>86</v>
      </c>
      <c r="I1035" s="6"/>
      <c r="J1035" s="6" t="s">
        <v>73</v>
      </c>
      <c r="K1035" s="6"/>
      <c r="L1035" s="6" t="s">
        <v>2294</v>
      </c>
      <c r="M1035" s="6"/>
      <c r="N1035" s="6" t="s">
        <v>51</v>
      </c>
      <c r="O1035" s="6"/>
      <c r="P1035" s="6" t="s">
        <v>52</v>
      </c>
      <c r="Q1035" s="6"/>
      <c r="R1035" s="47" t="s">
        <v>3581</v>
      </c>
      <c r="AA1035" s="6"/>
      <c r="AB1035" s="6" t="s">
        <v>55</v>
      </c>
      <c r="AC1035" s="6"/>
      <c r="AD1035" s="6" t="s">
        <v>56</v>
      </c>
      <c r="AE1035" s="6"/>
      <c r="AF1035" s="6" t="s">
        <v>75</v>
      </c>
      <c r="AG1035" s="6"/>
      <c r="AH1035" s="6" t="s">
        <v>76</v>
      </c>
      <c r="AI1035" s="6"/>
      <c r="AJ1035" s="6" t="s">
        <v>132</v>
      </c>
    </row>
    <row r="1036" spans="1:36" ht="15.75" customHeight="1" x14ac:dyDescent="0.25">
      <c r="A1036" s="7">
        <v>43420.787524282408</v>
      </c>
      <c r="B1036" s="6" t="s">
        <v>30</v>
      </c>
      <c r="C1036" s="6" t="s">
        <v>116</v>
      </c>
      <c r="D1036" s="6" t="s">
        <v>46</v>
      </c>
      <c r="E1036" s="6" t="s">
        <v>48</v>
      </c>
      <c r="F1036" s="6" t="s">
        <v>3582</v>
      </c>
      <c r="G1036" s="6" t="s">
        <v>48</v>
      </c>
      <c r="H1036" s="6" t="s">
        <v>3583</v>
      </c>
      <c r="I1036" s="6"/>
      <c r="J1036" s="6" t="s">
        <v>106</v>
      </c>
      <c r="K1036" s="6"/>
      <c r="L1036" s="6" t="s">
        <v>2980</v>
      </c>
      <c r="M1036" s="6"/>
      <c r="N1036" s="6" t="s">
        <v>98</v>
      </c>
      <c r="O1036" s="6"/>
      <c r="P1036" s="6" t="s">
        <v>131</v>
      </c>
      <c r="Q1036" s="6"/>
      <c r="R1036" s="47" t="s">
        <v>5610</v>
      </c>
      <c r="S1036" s="14" t="s">
        <v>4431</v>
      </c>
      <c r="T1036" s="14" t="s">
        <v>4393</v>
      </c>
      <c r="U1036" s="14" t="s">
        <v>5611</v>
      </c>
      <c r="V1036" s="14" t="s">
        <v>5612</v>
      </c>
      <c r="W1036" s="14" t="s">
        <v>5613</v>
      </c>
      <c r="X1036" s="14" t="s">
        <v>5614</v>
      </c>
      <c r="Y1036" s="14" t="s">
        <v>4400</v>
      </c>
      <c r="AA1036" s="6"/>
      <c r="AB1036" s="6" t="s">
        <v>67</v>
      </c>
      <c r="AC1036" s="6"/>
      <c r="AD1036" s="6" t="s">
        <v>56</v>
      </c>
      <c r="AE1036" s="6"/>
      <c r="AF1036" s="6" t="s">
        <v>75</v>
      </c>
      <c r="AG1036" s="6"/>
      <c r="AH1036" s="11" t="s">
        <v>76</v>
      </c>
      <c r="AI1036" s="6"/>
      <c r="AJ1036" s="6" t="s">
        <v>259</v>
      </c>
    </row>
    <row r="1037" spans="1:36" ht="15.75" customHeight="1" x14ac:dyDescent="0.25">
      <c r="A1037" s="7">
        <v>43420.817147870373</v>
      </c>
      <c r="B1037" s="6" t="s">
        <v>30</v>
      </c>
      <c r="C1037" s="6" t="s">
        <v>116</v>
      </c>
      <c r="D1037" s="6" t="s">
        <v>138</v>
      </c>
      <c r="E1037" s="6" t="s">
        <v>48</v>
      </c>
      <c r="F1037" s="6" t="s">
        <v>3586</v>
      </c>
      <c r="G1037" s="6" t="s">
        <v>48</v>
      </c>
      <c r="J1037" s="6" t="s">
        <v>73</v>
      </c>
      <c r="K1037" s="6"/>
      <c r="L1037" s="6" t="s">
        <v>2981</v>
      </c>
      <c r="M1037" s="6"/>
      <c r="N1037" s="6" t="s">
        <v>98</v>
      </c>
      <c r="O1037" s="6"/>
      <c r="P1037" s="6" t="s">
        <v>52</v>
      </c>
      <c r="Q1037" s="6"/>
      <c r="R1037" s="47" t="s">
        <v>3587</v>
      </c>
      <c r="AA1037" s="6"/>
      <c r="AB1037" s="6" t="s">
        <v>101</v>
      </c>
      <c r="AC1037" s="6"/>
      <c r="AD1037" s="6" t="s">
        <v>56</v>
      </c>
      <c r="AE1037" s="6"/>
      <c r="AF1037" s="6" t="s">
        <v>205</v>
      </c>
      <c r="AG1037" s="6"/>
      <c r="AH1037" s="6" t="s">
        <v>58</v>
      </c>
      <c r="AI1037" s="6"/>
      <c r="AJ1037" s="6" t="s">
        <v>77</v>
      </c>
    </row>
    <row r="1038" spans="1:36" ht="15.75" customHeight="1" x14ac:dyDescent="0.25">
      <c r="A1038" s="7">
        <v>43420.817309872684</v>
      </c>
      <c r="B1038" s="6" t="s">
        <v>30</v>
      </c>
      <c r="C1038" s="6" t="s">
        <v>206</v>
      </c>
      <c r="D1038" s="6" t="s">
        <v>46</v>
      </c>
      <c r="E1038" s="6" t="s">
        <v>48</v>
      </c>
      <c r="F1038" s="6" t="s">
        <v>3588</v>
      </c>
      <c r="G1038" s="6" t="s">
        <v>48</v>
      </c>
      <c r="N1038" s="6" t="s">
        <v>112</v>
      </c>
      <c r="O1038" s="6"/>
      <c r="P1038" s="6" t="s">
        <v>99</v>
      </c>
      <c r="Q1038" s="6"/>
      <c r="AA1038" s="6"/>
      <c r="AB1038" s="6" t="s">
        <v>67</v>
      </c>
      <c r="AD1038" s="6" t="s">
        <v>56</v>
      </c>
      <c r="AE1038" s="6"/>
      <c r="AF1038" s="6" t="s">
        <v>68</v>
      </c>
      <c r="AG1038" s="6"/>
      <c r="AH1038" s="6" t="s">
        <v>57</v>
      </c>
      <c r="AI1038" s="6"/>
      <c r="AJ1038" s="11" t="s">
        <v>288</v>
      </c>
    </row>
    <row r="1039" spans="1:36" ht="15.75" customHeight="1" x14ac:dyDescent="0.25">
      <c r="A1039" s="7">
        <v>43420.821581331023</v>
      </c>
      <c r="B1039" s="6" t="s">
        <v>30</v>
      </c>
      <c r="C1039" s="6" t="s">
        <v>90</v>
      </c>
      <c r="D1039" s="6" t="s">
        <v>46</v>
      </c>
      <c r="E1039" s="6" t="s">
        <v>81</v>
      </c>
      <c r="G1039" s="6" t="s">
        <v>87</v>
      </c>
      <c r="J1039" s="6" t="s">
        <v>158</v>
      </c>
      <c r="K1039" s="6"/>
      <c r="N1039" s="6" t="s">
        <v>51</v>
      </c>
      <c r="O1039" s="6"/>
      <c r="P1039" s="6" t="s">
        <v>52</v>
      </c>
      <c r="Q1039" s="6"/>
      <c r="AA1039" s="6"/>
      <c r="AB1039" s="6" t="s">
        <v>101</v>
      </c>
      <c r="AC1039" s="6"/>
      <c r="AD1039" s="6" t="s">
        <v>56</v>
      </c>
      <c r="AE1039" s="6"/>
      <c r="AF1039" s="6" t="s">
        <v>68</v>
      </c>
      <c r="AG1039" s="6"/>
      <c r="AH1039" s="6" t="s">
        <v>76</v>
      </c>
      <c r="AI1039" s="6"/>
      <c r="AJ1039" s="6" t="s">
        <v>115</v>
      </c>
    </row>
    <row r="1040" spans="1:36" ht="15.75" customHeight="1" x14ac:dyDescent="0.25">
      <c r="A1040" s="7">
        <v>43420.835805810188</v>
      </c>
      <c r="B1040" s="6" t="s">
        <v>3590</v>
      </c>
      <c r="C1040" s="6" t="s">
        <v>215</v>
      </c>
      <c r="D1040" s="6" t="s">
        <v>163</v>
      </c>
      <c r="E1040" s="6" t="s">
        <v>48</v>
      </c>
      <c r="F1040" s="6" t="s">
        <v>3591</v>
      </c>
      <c r="G1040" s="6" t="s">
        <v>48</v>
      </c>
      <c r="H1040" s="6" t="s">
        <v>3592</v>
      </c>
      <c r="I1040" s="6"/>
      <c r="J1040" s="6" t="s">
        <v>92</v>
      </c>
      <c r="K1040" s="6"/>
      <c r="L1040" s="6" t="s">
        <v>2644</v>
      </c>
      <c r="M1040" s="6"/>
      <c r="N1040" s="6" t="s">
        <v>51</v>
      </c>
      <c r="O1040" s="6"/>
      <c r="P1040" s="6" t="s">
        <v>99</v>
      </c>
      <c r="Q1040" s="6"/>
      <c r="R1040" s="47" t="s">
        <v>5615</v>
      </c>
      <c r="S1040" s="14" t="s">
        <v>5378</v>
      </c>
      <c r="T1040" s="14" t="s">
        <v>5616</v>
      </c>
      <c r="AA1040" s="6"/>
      <c r="AB1040" s="6" t="s">
        <v>67</v>
      </c>
      <c r="AC1040" s="6"/>
      <c r="AD1040" s="6" t="s">
        <v>56</v>
      </c>
      <c r="AE1040" s="6"/>
      <c r="AF1040" s="6" t="s">
        <v>68</v>
      </c>
      <c r="AG1040" s="6"/>
      <c r="AH1040" s="11" t="s">
        <v>76</v>
      </c>
      <c r="AI1040" s="6"/>
      <c r="AJ1040" s="6" t="s">
        <v>77</v>
      </c>
    </row>
    <row r="1041" spans="1:36" ht="15.75" customHeight="1" x14ac:dyDescent="0.25">
      <c r="A1041" s="7">
        <v>43420.845631863427</v>
      </c>
      <c r="B1041" s="6" t="s">
        <v>26</v>
      </c>
      <c r="C1041" s="6" t="s">
        <v>116</v>
      </c>
      <c r="D1041" s="6" t="s">
        <v>165</v>
      </c>
      <c r="E1041" s="6" t="s">
        <v>81</v>
      </c>
      <c r="G1041" s="6" t="s">
        <v>87</v>
      </c>
      <c r="H1041" s="6" t="s">
        <v>3595</v>
      </c>
      <c r="I1041" s="6"/>
      <c r="J1041" s="6" t="s">
        <v>92</v>
      </c>
      <c r="K1041" s="6"/>
      <c r="L1041" s="6" t="s">
        <v>2982</v>
      </c>
      <c r="M1041" s="6"/>
      <c r="N1041" s="6" t="s">
        <v>121</v>
      </c>
      <c r="O1041" s="6"/>
      <c r="P1041" s="6" t="s">
        <v>94</v>
      </c>
      <c r="Q1041" s="6"/>
      <c r="R1041" s="47" t="s">
        <v>149</v>
      </c>
      <c r="S1041" s="14" t="s">
        <v>5617</v>
      </c>
      <c r="T1041" s="14" t="s">
        <v>5618</v>
      </c>
      <c r="AA1041" s="6"/>
      <c r="AB1041" s="6" t="s">
        <v>101</v>
      </c>
      <c r="AC1041" s="6"/>
      <c r="AD1041" s="6" t="s">
        <v>56</v>
      </c>
      <c r="AE1041" s="6"/>
      <c r="AF1041" s="6" t="s">
        <v>68</v>
      </c>
      <c r="AG1041" s="6"/>
      <c r="AH1041" s="6" t="s">
        <v>57</v>
      </c>
      <c r="AI1041" s="6"/>
      <c r="AJ1041" s="6" t="s">
        <v>77</v>
      </c>
    </row>
    <row r="1042" spans="1:36" ht="15.75" customHeight="1" x14ac:dyDescent="0.25">
      <c r="A1042" s="7">
        <v>43420.855408761578</v>
      </c>
      <c r="B1042" s="6" t="s">
        <v>60</v>
      </c>
      <c r="C1042" s="6" t="s">
        <v>95</v>
      </c>
      <c r="D1042" s="6" t="s">
        <v>307</v>
      </c>
      <c r="E1042" s="6" t="s">
        <v>81</v>
      </c>
      <c r="G1042" s="6" t="s">
        <v>87</v>
      </c>
      <c r="H1042" s="6" t="s">
        <v>3598</v>
      </c>
      <c r="I1042" s="6"/>
      <c r="J1042" s="6" t="s">
        <v>106</v>
      </c>
      <c r="K1042" s="6"/>
      <c r="L1042" s="6" t="s">
        <v>2477</v>
      </c>
      <c r="M1042" s="6"/>
      <c r="N1042" s="6" t="s">
        <v>93</v>
      </c>
      <c r="O1042" s="6"/>
      <c r="P1042" s="6" t="s">
        <v>94</v>
      </c>
      <c r="Q1042" s="6"/>
      <c r="AA1042" s="6"/>
      <c r="AB1042" s="6" t="s">
        <v>101</v>
      </c>
      <c r="AC1042" s="6"/>
      <c r="AD1042" s="6" t="s">
        <v>56</v>
      </c>
      <c r="AE1042" s="6"/>
      <c r="AF1042" s="6" t="s">
        <v>161</v>
      </c>
      <c r="AG1042" s="6"/>
      <c r="AH1042" s="6" t="s">
        <v>76</v>
      </c>
      <c r="AI1042" s="6"/>
      <c r="AJ1042" s="6" t="s">
        <v>347</v>
      </c>
    </row>
    <row r="1043" spans="1:36" ht="15.75" customHeight="1" x14ac:dyDescent="0.25">
      <c r="A1043" s="7">
        <v>43420.863051736116</v>
      </c>
      <c r="B1043" s="6" t="s">
        <v>397</v>
      </c>
      <c r="C1043" s="6" t="s">
        <v>756</v>
      </c>
      <c r="D1043" s="6" t="s">
        <v>163</v>
      </c>
      <c r="E1043" s="6" t="s">
        <v>48</v>
      </c>
      <c r="F1043" s="6" t="s">
        <v>3599</v>
      </c>
      <c r="G1043" s="6" t="s">
        <v>48</v>
      </c>
      <c r="J1043" s="6" t="s">
        <v>64</v>
      </c>
      <c r="K1043" s="6"/>
      <c r="N1043" s="6" t="s">
        <v>98</v>
      </c>
      <c r="O1043" s="6"/>
      <c r="P1043" s="6" t="s">
        <v>94</v>
      </c>
      <c r="Q1043" s="6"/>
      <c r="R1043" s="47" t="s">
        <v>192</v>
      </c>
      <c r="S1043" s="14" t="s">
        <v>5619</v>
      </c>
      <c r="T1043" s="14" t="s">
        <v>4567</v>
      </c>
      <c r="U1043" s="14" t="s">
        <v>5620</v>
      </c>
      <c r="V1043" s="14" t="s">
        <v>4632</v>
      </c>
      <c r="AA1043" s="6"/>
      <c r="AB1043" s="6" t="s">
        <v>101</v>
      </c>
      <c r="AC1043" s="6"/>
      <c r="AD1043" s="6" t="s">
        <v>56</v>
      </c>
      <c r="AE1043" s="6"/>
      <c r="AF1043" s="6" t="s">
        <v>68</v>
      </c>
      <c r="AG1043" s="6"/>
      <c r="AH1043" s="6" t="s">
        <v>58</v>
      </c>
      <c r="AI1043" s="6"/>
      <c r="AJ1043" s="6" t="s">
        <v>314</v>
      </c>
    </row>
    <row r="1044" spans="1:36" ht="15.75" customHeight="1" x14ac:dyDescent="0.25">
      <c r="A1044" s="7">
        <v>43420.863203136571</v>
      </c>
      <c r="B1044" s="6" t="s">
        <v>30</v>
      </c>
      <c r="C1044" s="6" t="s">
        <v>95</v>
      </c>
      <c r="D1044" s="6" t="s">
        <v>46</v>
      </c>
      <c r="E1044" s="6" t="s">
        <v>81</v>
      </c>
      <c r="G1044" s="6" t="s">
        <v>48</v>
      </c>
      <c r="J1044" s="6" t="s">
        <v>184</v>
      </c>
      <c r="K1044" s="6"/>
      <c r="N1044" s="6" t="s">
        <v>98</v>
      </c>
      <c r="O1044" s="6"/>
      <c r="P1044" s="6" t="s">
        <v>94</v>
      </c>
      <c r="Q1044" s="6"/>
      <c r="AA1044" s="6"/>
      <c r="AB1044" s="6" t="s">
        <v>101</v>
      </c>
      <c r="AC1044" s="6"/>
      <c r="AD1044" s="6" t="s">
        <v>56</v>
      </c>
      <c r="AE1044" s="6"/>
      <c r="AF1044" s="6" t="s">
        <v>75</v>
      </c>
      <c r="AG1044" s="6"/>
      <c r="AH1044" s="6" t="s">
        <v>76</v>
      </c>
      <c r="AJ1044" s="12" t="s">
        <v>57</v>
      </c>
    </row>
    <row r="1045" spans="1:36" ht="15.75" customHeight="1" x14ac:dyDescent="0.25">
      <c r="A1045" s="7">
        <v>43420.868055775463</v>
      </c>
      <c r="B1045" s="6" t="s">
        <v>154</v>
      </c>
      <c r="C1045" s="6" t="s">
        <v>95</v>
      </c>
      <c r="D1045" s="6" t="s">
        <v>46</v>
      </c>
      <c r="E1045" s="6" t="s">
        <v>81</v>
      </c>
      <c r="G1045" s="6" t="s">
        <v>87</v>
      </c>
      <c r="H1045" s="6" t="s">
        <v>3602</v>
      </c>
      <c r="I1045" s="6"/>
      <c r="J1045" s="6" t="s">
        <v>106</v>
      </c>
      <c r="K1045" s="6"/>
      <c r="L1045" s="6" t="s">
        <v>3603</v>
      </c>
      <c r="M1045" s="6"/>
      <c r="N1045" s="6" t="s">
        <v>121</v>
      </c>
      <c r="O1045" s="6"/>
      <c r="P1045" s="6" t="s">
        <v>131</v>
      </c>
      <c r="Q1045" s="6"/>
      <c r="R1045" s="47" t="s">
        <v>3604</v>
      </c>
      <c r="AA1045" s="6"/>
      <c r="AB1045" s="6" t="s">
        <v>67</v>
      </c>
      <c r="AC1045" s="6"/>
      <c r="AD1045" s="6" t="s">
        <v>109</v>
      </c>
      <c r="AE1045" s="6"/>
      <c r="AF1045" s="6" t="s">
        <v>161</v>
      </c>
      <c r="AG1045" s="6"/>
      <c r="AH1045" s="6" t="s">
        <v>76</v>
      </c>
      <c r="AI1045" s="6"/>
      <c r="AJ1045" s="6" t="s">
        <v>77</v>
      </c>
    </row>
    <row r="1046" spans="1:36" ht="15.75" customHeight="1" x14ac:dyDescent="0.25">
      <c r="A1046" s="7">
        <v>43420.881634791665</v>
      </c>
      <c r="B1046" s="6" t="s">
        <v>30</v>
      </c>
      <c r="C1046" s="6" t="s">
        <v>3606</v>
      </c>
      <c r="D1046" s="6" t="s">
        <v>165</v>
      </c>
      <c r="E1046" s="6" t="s">
        <v>81</v>
      </c>
      <c r="G1046" s="6" t="s">
        <v>87</v>
      </c>
      <c r="J1046" s="6" t="s">
        <v>106</v>
      </c>
      <c r="K1046" s="6"/>
      <c r="L1046" s="6" t="s">
        <v>2480</v>
      </c>
      <c r="M1046" s="6"/>
      <c r="N1046" s="6" t="s">
        <v>121</v>
      </c>
      <c r="O1046" s="6"/>
      <c r="P1046" s="6" t="s">
        <v>131</v>
      </c>
      <c r="Q1046" s="6"/>
      <c r="R1046" s="47" t="s">
        <v>3607</v>
      </c>
      <c r="AA1046" s="6"/>
      <c r="AB1046" s="6" t="s">
        <v>67</v>
      </c>
      <c r="AC1046" s="6"/>
      <c r="AD1046" s="6" t="s">
        <v>56</v>
      </c>
      <c r="AE1046" s="6"/>
      <c r="AF1046" s="6" t="s">
        <v>161</v>
      </c>
      <c r="AG1046" s="6"/>
      <c r="AH1046" s="6" t="s">
        <v>76</v>
      </c>
      <c r="AI1046" s="6"/>
      <c r="AJ1046" s="6" t="s">
        <v>77</v>
      </c>
    </row>
    <row r="1047" spans="1:36" ht="15.75" customHeight="1" x14ac:dyDescent="0.25">
      <c r="A1047" s="7">
        <v>43420.88792818287</v>
      </c>
      <c r="B1047" s="6" t="s">
        <v>30</v>
      </c>
      <c r="C1047" s="6" t="s">
        <v>95</v>
      </c>
      <c r="E1047" s="6" t="s">
        <v>81</v>
      </c>
      <c r="G1047" s="6" t="s">
        <v>87</v>
      </c>
      <c r="N1047" s="6" t="s">
        <v>98</v>
      </c>
      <c r="O1047" s="6"/>
      <c r="P1047" s="6" t="s">
        <v>94</v>
      </c>
      <c r="Q1047" s="6"/>
      <c r="R1047" s="47" t="s">
        <v>3608</v>
      </c>
      <c r="AA1047" s="6"/>
      <c r="AB1047" s="6" t="s">
        <v>67</v>
      </c>
      <c r="AC1047" s="6"/>
      <c r="AD1047" s="6" t="s">
        <v>56</v>
      </c>
      <c r="AE1047" s="6"/>
      <c r="AF1047" s="6" t="s">
        <v>75</v>
      </c>
      <c r="AG1047" s="6"/>
      <c r="AH1047" s="6" t="s">
        <v>76</v>
      </c>
      <c r="AI1047" s="6"/>
      <c r="AJ1047" s="6" t="s">
        <v>115</v>
      </c>
    </row>
    <row r="1048" spans="1:36" ht="15.75" customHeight="1" x14ac:dyDescent="0.25">
      <c r="A1048" s="7">
        <v>43420.888829027783</v>
      </c>
      <c r="B1048" s="6" t="s">
        <v>30</v>
      </c>
      <c r="C1048" s="6" t="s">
        <v>128</v>
      </c>
      <c r="D1048" s="6" t="s">
        <v>46</v>
      </c>
      <c r="E1048" s="6" t="s">
        <v>48</v>
      </c>
      <c r="F1048" s="6" t="s">
        <v>1772</v>
      </c>
      <c r="G1048" s="6" t="s">
        <v>48</v>
      </c>
      <c r="H1048" s="6" t="s">
        <v>3610</v>
      </c>
      <c r="I1048" s="6"/>
      <c r="J1048" s="6" t="s">
        <v>89</v>
      </c>
      <c r="K1048" s="6"/>
      <c r="L1048" s="6" t="s">
        <v>2647</v>
      </c>
      <c r="M1048" s="6"/>
      <c r="N1048" s="6" t="s">
        <v>212</v>
      </c>
      <c r="O1048" s="6"/>
      <c r="P1048" s="6" t="s">
        <v>99</v>
      </c>
      <c r="Q1048" s="6"/>
      <c r="R1048" s="47" t="s">
        <v>5621</v>
      </c>
      <c r="S1048" s="14" t="s">
        <v>4400</v>
      </c>
      <c r="T1048" s="14" t="s">
        <v>4393</v>
      </c>
      <c r="U1048" s="14" t="s">
        <v>4903</v>
      </c>
      <c r="V1048" s="14" t="s">
        <v>4389</v>
      </c>
      <c r="AA1048" s="6"/>
      <c r="AB1048" s="6" t="s">
        <v>55</v>
      </c>
      <c r="AC1048" s="6"/>
      <c r="AD1048" s="6" t="s">
        <v>56</v>
      </c>
      <c r="AE1048" s="6"/>
      <c r="AF1048" s="6" t="s">
        <v>75</v>
      </c>
      <c r="AG1048" s="6"/>
      <c r="AH1048" s="6" t="s">
        <v>58</v>
      </c>
      <c r="AI1048" s="6"/>
      <c r="AJ1048" s="6" t="s">
        <v>77</v>
      </c>
    </row>
    <row r="1049" spans="1:36" ht="15.75" customHeight="1" x14ac:dyDescent="0.25">
      <c r="A1049" s="7">
        <v>43420.893925625001</v>
      </c>
      <c r="B1049" s="6" t="s">
        <v>543</v>
      </c>
      <c r="C1049" s="6" t="s">
        <v>287</v>
      </c>
      <c r="D1049" s="6" t="s">
        <v>165</v>
      </c>
      <c r="E1049" s="6" t="s">
        <v>81</v>
      </c>
      <c r="G1049" s="6" t="s">
        <v>87</v>
      </c>
      <c r="H1049" s="6" t="s">
        <v>3612</v>
      </c>
      <c r="I1049" s="6"/>
      <c r="J1049" s="6" t="s">
        <v>106</v>
      </c>
      <c r="K1049" s="6"/>
      <c r="L1049" s="6" t="s">
        <v>2648</v>
      </c>
      <c r="M1049" s="6"/>
      <c r="N1049" s="6" t="s">
        <v>98</v>
      </c>
      <c r="O1049" s="6"/>
      <c r="P1049" s="6" t="s">
        <v>94</v>
      </c>
      <c r="Q1049" s="6"/>
      <c r="R1049" s="47" t="s">
        <v>5622</v>
      </c>
      <c r="S1049" s="14" t="s">
        <v>5623</v>
      </c>
      <c r="AA1049" s="6"/>
      <c r="AB1049" s="6" t="s">
        <v>101</v>
      </c>
      <c r="AC1049" s="6"/>
      <c r="AD1049" s="6" t="s">
        <v>56</v>
      </c>
      <c r="AE1049" s="6"/>
      <c r="AF1049" s="6" t="s">
        <v>75</v>
      </c>
      <c r="AG1049" s="6"/>
      <c r="AH1049" s="6" t="s">
        <v>76</v>
      </c>
      <c r="AI1049" s="6"/>
      <c r="AJ1049" s="6" t="s">
        <v>256</v>
      </c>
    </row>
    <row r="1050" spans="1:36" ht="15.75" customHeight="1" x14ac:dyDescent="0.25">
      <c r="A1050" s="7">
        <v>43420.89428493056</v>
      </c>
      <c r="B1050" s="6" t="s">
        <v>397</v>
      </c>
      <c r="C1050" s="6" t="s">
        <v>923</v>
      </c>
      <c r="D1050" s="6" t="s">
        <v>165</v>
      </c>
      <c r="E1050" s="6" t="s">
        <v>48</v>
      </c>
      <c r="F1050" s="6" t="s">
        <v>586</v>
      </c>
      <c r="G1050" s="6" t="s">
        <v>81</v>
      </c>
      <c r="H1050" s="6" t="s">
        <v>3615</v>
      </c>
      <c r="I1050" s="6"/>
      <c r="J1050" s="6" t="s">
        <v>50</v>
      </c>
      <c r="K1050" s="6"/>
      <c r="L1050" s="6" t="s">
        <v>2987</v>
      </c>
      <c r="M1050" s="6"/>
      <c r="N1050" s="6" t="s">
        <v>181</v>
      </c>
      <c r="O1050" s="6"/>
      <c r="P1050" s="6" t="s">
        <v>131</v>
      </c>
      <c r="Q1050" s="6"/>
      <c r="R1050" s="47" t="s">
        <v>4455</v>
      </c>
      <c r="S1050" s="14" t="s">
        <v>5624</v>
      </c>
      <c r="T1050" s="14" t="s">
        <v>4960</v>
      </c>
      <c r="U1050" s="14" t="s">
        <v>5625</v>
      </c>
      <c r="V1050" s="14" t="s">
        <v>5626</v>
      </c>
      <c r="W1050" s="14" t="s">
        <v>4517</v>
      </c>
      <c r="X1050" s="14" t="s">
        <v>5627</v>
      </c>
      <c r="Y1050" s="14" t="s">
        <v>5628</v>
      </c>
      <c r="Z1050" s="14" t="s">
        <v>4593</v>
      </c>
      <c r="AA1050" s="6"/>
      <c r="AB1050" s="6" t="s">
        <v>67</v>
      </c>
      <c r="AC1050" s="6"/>
      <c r="AD1050" s="6" t="s">
        <v>56</v>
      </c>
      <c r="AE1050" s="6"/>
      <c r="AF1050" s="6" t="s">
        <v>68</v>
      </c>
      <c r="AG1050" s="6"/>
      <c r="AH1050" s="6" t="s">
        <v>76</v>
      </c>
      <c r="AI1050" s="6"/>
      <c r="AJ1050" s="6" t="s">
        <v>296</v>
      </c>
    </row>
    <row r="1051" spans="1:36" ht="15.75" customHeight="1" x14ac:dyDescent="0.25">
      <c r="A1051" s="7">
        <v>43420.89880141204</v>
      </c>
      <c r="B1051" s="6" t="s">
        <v>60</v>
      </c>
      <c r="C1051" s="6" t="s">
        <v>128</v>
      </c>
      <c r="D1051" s="6" t="s">
        <v>165</v>
      </c>
      <c r="E1051" s="6" t="s">
        <v>48</v>
      </c>
      <c r="F1051" s="6" t="s">
        <v>3617</v>
      </c>
      <c r="G1051" s="6" t="s">
        <v>48</v>
      </c>
      <c r="J1051" s="6" t="s">
        <v>92</v>
      </c>
      <c r="K1051" s="6"/>
      <c r="L1051" s="6" t="s">
        <v>426</v>
      </c>
      <c r="M1051" s="6"/>
      <c r="N1051" s="6" t="s">
        <v>181</v>
      </c>
      <c r="O1051" s="6"/>
      <c r="P1051" s="6" t="s">
        <v>94</v>
      </c>
      <c r="Q1051" s="6"/>
      <c r="R1051" s="47" t="s">
        <v>3160</v>
      </c>
      <c r="AA1051" s="6"/>
      <c r="AC1051" s="6"/>
      <c r="AD1051" s="6" t="s">
        <v>56</v>
      </c>
      <c r="AE1051" s="6"/>
      <c r="AF1051" s="6" t="s">
        <v>75</v>
      </c>
      <c r="AG1051" s="6"/>
      <c r="AH1051" s="6" t="s">
        <v>58</v>
      </c>
      <c r="AI1051" s="6"/>
      <c r="AJ1051" s="6" t="s">
        <v>77</v>
      </c>
    </row>
    <row r="1052" spans="1:36" ht="15.75" customHeight="1" x14ac:dyDescent="0.25">
      <c r="A1052" s="7">
        <v>43420.90039505787</v>
      </c>
      <c r="B1052" s="6" t="s">
        <v>127</v>
      </c>
      <c r="C1052" s="6" t="s">
        <v>116</v>
      </c>
      <c r="D1052" s="6" t="s">
        <v>247</v>
      </c>
      <c r="E1052" s="6" t="s">
        <v>81</v>
      </c>
      <c r="H1052" s="6" t="s">
        <v>3619</v>
      </c>
      <c r="I1052" s="6"/>
      <c r="J1052" s="6" t="s">
        <v>92</v>
      </c>
      <c r="K1052" s="6"/>
      <c r="L1052" s="6" t="s">
        <v>2988</v>
      </c>
      <c r="M1052" s="6"/>
      <c r="N1052" s="6" t="s">
        <v>98</v>
      </c>
      <c r="O1052" s="6"/>
      <c r="P1052" s="6" t="s">
        <v>94</v>
      </c>
      <c r="Q1052" s="6"/>
      <c r="R1052" s="47" t="s">
        <v>3620</v>
      </c>
      <c r="AA1052" s="6"/>
      <c r="AC1052" s="6"/>
      <c r="AD1052" s="6" t="s">
        <v>56</v>
      </c>
      <c r="AE1052" s="6"/>
      <c r="AF1052" s="6" t="s">
        <v>68</v>
      </c>
      <c r="AG1052" s="6"/>
      <c r="AH1052" s="6" t="s">
        <v>58</v>
      </c>
      <c r="AI1052" s="6"/>
      <c r="AJ1052" s="11" t="s">
        <v>132</v>
      </c>
    </row>
    <row r="1053" spans="1:36" ht="15.75" customHeight="1" x14ac:dyDescent="0.25">
      <c r="A1053" s="7">
        <v>43420.901746296295</v>
      </c>
      <c r="B1053" s="6" t="s">
        <v>1598</v>
      </c>
      <c r="C1053" s="6" t="s">
        <v>90</v>
      </c>
      <c r="D1053" s="6" t="s">
        <v>165</v>
      </c>
      <c r="E1053" s="6" t="s">
        <v>81</v>
      </c>
      <c r="G1053" s="6" t="s">
        <v>87</v>
      </c>
      <c r="H1053" s="6" t="s">
        <v>3621</v>
      </c>
      <c r="I1053" s="6"/>
      <c r="J1053" s="6" t="s">
        <v>89</v>
      </c>
      <c r="K1053" s="6"/>
      <c r="L1053" s="6" t="s">
        <v>2989</v>
      </c>
      <c r="M1053" s="6"/>
      <c r="N1053" s="6" t="s">
        <v>181</v>
      </c>
      <c r="O1053" s="6"/>
      <c r="P1053" s="6" t="s">
        <v>99</v>
      </c>
      <c r="Q1053" s="6"/>
      <c r="R1053" s="47" t="s">
        <v>5629</v>
      </c>
      <c r="S1053" s="14" t="s">
        <v>5134</v>
      </c>
      <c r="AA1053" s="6"/>
      <c r="AB1053" s="6" t="s">
        <v>203</v>
      </c>
      <c r="AC1053" s="6"/>
      <c r="AD1053" s="6" t="s">
        <v>56</v>
      </c>
      <c r="AE1053" s="6"/>
      <c r="AF1053" s="6" t="s">
        <v>68</v>
      </c>
      <c r="AG1053" s="6"/>
      <c r="AH1053" s="6" t="s">
        <v>76</v>
      </c>
      <c r="AI1053" s="6"/>
      <c r="AJ1053" s="11" t="s">
        <v>288</v>
      </c>
    </row>
    <row r="1054" spans="1:36" ht="15.75" customHeight="1" x14ac:dyDescent="0.25">
      <c r="A1054" s="7">
        <v>43420.909510034719</v>
      </c>
      <c r="B1054" s="6" t="s">
        <v>26</v>
      </c>
      <c r="C1054" s="6" t="s">
        <v>45</v>
      </c>
      <c r="E1054" s="6" t="s">
        <v>81</v>
      </c>
      <c r="G1054" s="6" t="s">
        <v>87</v>
      </c>
      <c r="J1054" s="6" t="s">
        <v>184</v>
      </c>
      <c r="K1054" s="6"/>
      <c r="L1054" s="6" t="s">
        <v>2327</v>
      </c>
      <c r="M1054" s="6"/>
      <c r="N1054" s="6" t="s">
        <v>167</v>
      </c>
      <c r="O1054" s="6"/>
      <c r="P1054" s="6" t="s">
        <v>168</v>
      </c>
      <c r="Q1054" s="6"/>
      <c r="R1054" s="47" t="s">
        <v>5630</v>
      </c>
      <c r="S1054" s="14" t="s">
        <v>5631</v>
      </c>
      <c r="T1054" s="14" t="s">
        <v>5068</v>
      </c>
      <c r="AA1054" s="6"/>
      <c r="AB1054" s="6" t="s">
        <v>67</v>
      </c>
      <c r="AC1054" s="6"/>
      <c r="AD1054" s="6" t="s">
        <v>56</v>
      </c>
      <c r="AE1054" s="6"/>
      <c r="AF1054" s="6" t="s">
        <v>205</v>
      </c>
      <c r="AG1054" s="6"/>
      <c r="AH1054" s="6" t="s">
        <v>58</v>
      </c>
      <c r="AI1054" s="6"/>
      <c r="AJ1054" s="6" t="s">
        <v>77</v>
      </c>
    </row>
    <row r="1055" spans="1:36" ht="15.75" customHeight="1" x14ac:dyDescent="0.25">
      <c r="A1055" s="7">
        <v>43420.915386064815</v>
      </c>
      <c r="B1055" s="6" t="s">
        <v>30</v>
      </c>
      <c r="C1055" s="6" t="s">
        <v>116</v>
      </c>
      <c r="E1055" s="6" t="s">
        <v>81</v>
      </c>
      <c r="G1055" s="6" t="s">
        <v>87</v>
      </c>
      <c r="J1055" s="6" t="s">
        <v>50</v>
      </c>
      <c r="K1055" s="6"/>
      <c r="L1055" s="6" t="s">
        <v>2991</v>
      </c>
      <c r="M1055" s="6"/>
      <c r="N1055" s="6" t="s">
        <v>112</v>
      </c>
      <c r="O1055" s="6"/>
      <c r="P1055" s="6" t="s">
        <v>94</v>
      </c>
      <c r="Q1055" s="6"/>
      <c r="AB1055" s="6" t="s">
        <v>101</v>
      </c>
      <c r="AF1055" s="6" t="s">
        <v>68</v>
      </c>
      <c r="AG1055" s="6"/>
      <c r="AH1055" s="6" t="s">
        <v>57</v>
      </c>
      <c r="AJ1055" s="12" t="s">
        <v>57</v>
      </c>
    </row>
    <row r="1056" spans="1:36" ht="15.75" customHeight="1" x14ac:dyDescent="0.25">
      <c r="A1056" s="7">
        <v>43420.91669972222</v>
      </c>
      <c r="B1056" s="6" t="s">
        <v>30</v>
      </c>
      <c r="C1056" s="6" t="s">
        <v>90</v>
      </c>
      <c r="D1056" s="6" t="s">
        <v>46</v>
      </c>
      <c r="E1056" s="6" t="s">
        <v>81</v>
      </c>
      <c r="F1056" s="6" t="s">
        <v>3625</v>
      </c>
      <c r="G1056" s="6" t="s">
        <v>87</v>
      </c>
      <c r="H1056" s="6" t="s">
        <v>3626</v>
      </c>
      <c r="I1056" s="6"/>
      <c r="J1056" s="6" t="s">
        <v>158</v>
      </c>
      <c r="K1056" s="6"/>
      <c r="L1056" s="6" t="s">
        <v>2482</v>
      </c>
      <c r="M1056" s="6"/>
      <c r="N1056" s="6" t="s">
        <v>98</v>
      </c>
      <c r="O1056" s="6"/>
      <c r="P1056" s="6" t="s">
        <v>131</v>
      </c>
      <c r="Q1056" s="6"/>
      <c r="R1056" s="47" t="s">
        <v>3828</v>
      </c>
      <c r="S1056" s="14" t="s">
        <v>4579</v>
      </c>
      <c r="T1056" s="14" t="s">
        <v>4647</v>
      </c>
      <c r="U1056" s="14" t="s">
        <v>4420</v>
      </c>
      <c r="AA1056" s="6"/>
      <c r="AB1056" s="6" t="s">
        <v>67</v>
      </c>
      <c r="AC1056" s="6"/>
      <c r="AD1056" s="6" t="s">
        <v>56</v>
      </c>
      <c r="AE1056" s="6"/>
      <c r="AF1056" s="6" t="s">
        <v>68</v>
      </c>
      <c r="AG1056" s="6"/>
      <c r="AH1056" s="6" t="s">
        <v>58</v>
      </c>
      <c r="AI1056" s="6"/>
      <c r="AJ1056" s="11" t="s">
        <v>256</v>
      </c>
    </row>
    <row r="1057" spans="1:36" ht="15.75" customHeight="1" x14ac:dyDescent="0.25">
      <c r="A1057" s="7">
        <v>43420.934867407406</v>
      </c>
      <c r="B1057" s="6" t="s">
        <v>60</v>
      </c>
      <c r="C1057" s="6" t="s">
        <v>95</v>
      </c>
      <c r="D1057" s="6" t="s">
        <v>46</v>
      </c>
      <c r="E1057" s="6" t="s">
        <v>48</v>
      </c>
      <c r="F1057" s="6" t="s">
        <v>3628</v>
      </c>
      <c r="G1057" s="6" t="s">
        <v>48</v>
      </c>
      <c r="H1057" s="6" t="s">
        <v>3629</v>
      </c>
      <c r="I1057" s="6"/>
      <c r="J1057" s="6" t="s">
        <v>106</v>
      </c>
      <c r="K1057" s="6"/>
      <c r="L1057" s="6" t="s">
        <v>2296</v>
      </c>
      <c r="M1057" s="6"/>
      <c r="N1057" s="6" t="s">
        <v>181</v>
      </c>
      <c r="O1057" s="6"/>
      <c r="P1057" s="6" t="s">
        <v>94</v>
      </c>
      <c r="Q1057" s="6"/>
      <c r="R1057" s="47" t="s">
        <v>3631</v>
      </c>
      <c r="AA1057" s="6"/>
      <c r="AB1057" s="6" t="s">
        <v>67</v>
      </c>
      <c r="AC1057" s="6"/>
      <c r="AD1057" s="6" t="s">
        <v>56</v>
      </c>
      <c r="AE1057" s="6"/>
      <c r="AF1057" s="6" t="s">
        <v>68</v>
      </c>
      <c r="AG1057" s="6"/>
      <c r="AH1057" s="6" t="s">
        <v>58</v>
      </c>
      <c r="AI1057" s="6"/>
      <c r="AJ1057" s="11" t="s">
        <v>295</v>
      </c>
    </row>
    <row r="1058" spans="1:36" ht="15.75" customHeight="1" x14ac:dyDescent="0.25">
      <c r="A1058" s="7">
        <v>43420.938863981486</v>
      </c>
      <c r="B1058" s="6" t="s">
        <v>127</v>
      </c>
      <c r="C1058" s="6" t="s">
        <v>90</v>
      </c>
      <c r="D1058" s="6" t="s">
        <v>91</v>
      </c>
      <c r="E1058" s="6" t="s">
        <v>81</v>
      </c>
      <c r="G1058" s="6" t="s">
        <v>87</v>
      </c>
      <c r="H1058" s="6" t="s">
        <v>3632</v>
      </c>
      <c r="I1058" s="6"/>
      <c r="J1058" s="6" t="s">
        <v>92</v>
      </c>
      <c r="K1058" s="6"/>
      <c r="L1058" s="6" t="s">
        <v>2331</v>
      </c>
      <c r="M1058" s="6"/>
      <c r="P1058" s="6" t="s">
        <v>168</v>
      </c>
      <c r="Q1058" s="6"/>
      <c r="R1058" s="47" t="s">
        <v>5632</v>
      </c>
      <c r="S1058" s="14" t="s">
        <v>5633</v>
      </c>
      <c r="T1058" s="14" t="s">
        <v>4404</v>
      </c>
      <c r="U1058" s="14" t="s">
        <v>5634</v>
      </c>
      <c r="AA1058" s="6"/>
      <c r="AB1058" s="6" t="s">
        <v>101</v>
      </c>
      <c r="AC1058" s="6"/>
      <c r="AD1058" s="6" t="s">
        <v>56</v>
      </c>
      <c r="AE1058" s="6"/>
      <c r="AF1058" s="6" t="s">
        <v>161</v>
      </c>
      <c r="AG1058" s="6"/>
      <c r="AH1058" s="6" t="s">
        <v>76</v>
      </c>
      <c r="AI1058" s="6"/>
      <c r="AJ1058" s="6" t="s">
        <v>77</v>
      </c>
    </row>
    <row r="1059" spans="1:36" ht="15.75" customHeight="1" x14ac:dyDescent="0.25">
      <c r="A1059" s="7">
        <v>43420.942923020833</v>
      </c>
      <c r="B1059" s="6" t="s">
        <v>60</v>
      </c>
      <c r="C1059" s="6" t="s">
        <v>95</v>
      </c>
      <c r="D1059" s="6" t="s">
        <v>91</v>
      </c>
      <c r="E1059" s="6" t="s">
        <v>81</v>
      </c>
      <c r="G1059" s="6" t="s">
        <v>87</v>
      </c>
      <c r="J1059" s="6" t="s">
        <v>106</v>
      </c>
      <c r="K1059" s="6"/>
      <c r="L1059" s="6" t="s">
        <v>2483</v>
      </c>
      <c r="M1059" s="6"/>
      <c r="N1059" s="6" t="s">
        <v>181</v>
      </c>
      <c r="O1059" s="6"/>
      <c r="P1059" s="6" t="s">
        <v>131</v>
      </c>
      <c r="Q1059" s="6"/>
      <c r="R1059" s="47" t="s">
        <v>1971</v>
      </c>
      <c r="S1059" s="14" t="s">
        <v>5635</v>
      </c>
      <c r="T1059" s="14" t="s">
        <v>5636</v>
      </c>
      <c r="AA1059" s="6"/>
      <c r="AB1059" s="6" t="s">
        <v>101</v>
      </c>
      <c r="AC1059" s="6"/>
      <c r="AD1059" s="6" t="s">
        <v>56</v>
      </c>
      <c r="AE1059" s="6"/>
      <c r="AF1059" s="6" t="s">
        <v>161</v>
      </c>
      <c r="AG1059" s="6"/>
      <c r="AH1059" s="6" t="s">
        <v>76</v>
      </c>
      <c r="AI1059" s="6"/>
      <c r="AJ1059" s="6" t="s">
        <v>132</v>
      </c>
    </row>
    <row r="1060" spans="1:36" ht="15.75" customHeight="1" x14ac:dyDescent="0.25">
      <c r="A1060" s="7">
        <v>43420.948633206019</v>
      </c>
      <c r="B1060" s="6" t="s">
        <v>543</v>
      </c>
      <c r="C1060" s="6" t="s">
        <v>1864</v>
      </c>
      <c r="D1060" s="6" t="s">
        <v>138</v>
      </c>
      <c r="E1060" s="6" t="s">
        <v>48</v>
      </c>
      <c r="F1060" s="6" t="s">
        <v>262</v>
      </c>
      <c r="G1060" s="6" t="s">
        <v>48</v>
      </c>
      <c r="H1060" s="6" t="s">
        <v>3635</v>
      </c>
      <c r="I1060" s="6"/>
      <c r="J1060" s="6" t="s">
        <v>158</v>
      </c>
      <c r="K1060" s="6"/>
      <c r="L1060" s="6" t="s">
        <v>2485</v>
      </c>
      <c r="M1060" s="6"/>
      <c r="N1060" s="6" t="s">
        <v>212</v>
      </c>
      <c r="O1060" s="6"/>
      <c r="P1060" s="6" t="s">
        <v>99</v>
      </c>
      <c r="Q1060" s="6"/>
      <c r="R1060" s="47" t="s">
        <v>242</v>
      </c>
      <c r="AA1060" s="6"/>
      <c r="AB1060" s="6" t="s">
        <v>101</v>
      </c>
      <c r="AC1060" s="6"/>
      <c r="AD1060" s="6" t="s">
        <v>56</v>
      </c>
      <c r="AE1060" s="6"/>
      <c r="AF1060" s="6" t="s">
        <v>75</v>
      </c>
      <c r="AG1060" s="6"/>
      <c r="AH1060" s="6" t="s">
        <v>58</v>
      </c>
      <c r="AI1060" s="6"/>
      <c r="AJ1060" s="6" t="s">
        <v>115</v>
      </c>
    </row>
    <row r="1061" spans="1:36" ht="15.75" customHeight="1" x14ac:dyDescent="0.25">
      <c r="A1061" s="7">
        <v>43420.955194594906</v>
      </c>
      <c r="B1061" s="6" t="s">
        <v>127</v>
      </c>
      <c r="C1061" s="6" t="s">
        <v>79</v>
      </c>
      <c r="E1061" s="6" t="s">
        <v>81</v>
      </c>
      <c r="G1061" s="6" t="s">
        <v>87</v>
      </c>
      <c r="J1061" s="6" t="s">
        <v>92</v>
      </c>
      <c r="K1061" s="6"/>
      <c r="L1061" s="6" t="s">
        <v>2358</v>
      </c>
      <c r="M1061" s="6"/>
      <c r="P1061" s="6" t="s">
        <v>168</v>
      </c>
      <c r="Q1061" s="6"/>
      <c r="R1061" s="47" t="s">
        <v>2751</v>
      </c>
      <c r="S1061" s="14" t="s">
        <v>5637</v>
      </c>
      <c r="T1061" s="14" t="s">
        <v>5638</v>
      </c>
      <c r="U1061" s="14" t="s">
        <v>5639</v>
      </c>
      <c r="AA1061" s="6"/>
      <c r="AB1061" s="6" t="s">
        <v>67</v>
      </c>
      <c r="AC1061" s="6"/>
      <c r="AD1061" s="6" t="s">
        <v>56</v>
      </c>
      <c r="AE1061" s="6"/>
      <c r="AF1061" s="6" t="s">
        <v>75</v>
      </c>
      <c r="AG1061" s="6"/>
      <c r="AH1061" s="6" t="s">
        <v>57</v>
      </c>
      <c r="AI1061" s="6"/>
      <c r="AJ1061" s="6" t="s">
        <v>115</v>
      </c>
    </row>
    <row r="1062" spans="1:36" ht="15.75" customHeight="1" x14ac:dyDescent="0.25">
      <c r="A1062" s="7">
        <v>43420.962077465279</v>
      </c>
      <c r="B1062" s="6" t="s">
        <v>30</v>
      </c>
      <c r="C1062" s="6" t="s">
        <v>116</v>
      </c>
      <c r="E1062" s="6" t="s">
        <v>81</v>
      </c>
      <c r="G1062" s="6" t="s">
        <v>87</v>
      </c>
      <c r="H1062" s="6" t="s">
        <v>86</v>
      </c>
      <c r="I1062" s="6"/>
      <c r="J1062" s="6" t="s">
        <v>92</v>
      </c>
      <c r="K1062" s="6"/>
      <c r="L1062" s="6" t="s">
        <v>3045</v>
      </c>
      <c r="M1062" s="6"/>
      <c r="N1062" s="6" t="s">
        <v>212</v>
      </c>
      <c r="O1062" s="6"/>
      <c r="P1062" s="6" t="s">
        <v>52</v>
      </c>
      <c r="Q1062" s="6"/>
      <c r="R1062" s="47" t="s">
        <v>5640</v>
      </c>
      <c r="S1062" s="14" t="s">
        <v>5641</v>
      </c>
      <c r="T1062" s="14" t="s">
        <v>5642</v>
      </c>
      <c r="AA1062" s="6"/>
      <c r="AB1062" s="6" t="s">
        <v>101</v>
      </c>
      <c r="AC1062" s="6"/>
      <c r="AD1062" s="6" t="s">
        <v>57</v>
      </c>
      <c r="AE1062" s="6"/>
      <c r="AF1062" s="6" t="s">
        <v>57</v>
      </c>
      <c r="AG1062" s="6"/>
      <c r="AH1062" s="6" t="s">
        <v>57</v>
      </c>
      <c r="AI1062" s="6"/>
      <c r="AJ1062" s="6" t="s">
        <v>115</v>
      </c>
    </row>
    <row r="1063" spans="1:36" ht="15.75" customHeight="1" x14ac:dyDescent="0.25">
      <c r="A1063" s="7">
        <v>43420.973720312497</v>
      </c>
      <c r="B1063" s="6" t="s">
        <v>397</v>
      </c>
      <c r="C1063" s="6" t="s">
        <v>116</v>
      </c>
      <c r="D1063" s="6" t="s">
        <v>91</v>
      </c>
      <c r="E1063" s="6" t="s">
        <v>81</v>
      </c>
      <c r="G1063" s="6" t="s">
        <v>87</v>
      </c>
      <c r="J1063" s="6" t="s">
        <v>64</v>
      </c>
      <c r="K1063" s="6"/>
      <c r="L1063" s="6" t="s">
        <v>1629</v>
      </c>
      <c r="M1063" s="6"/>
      <c r="N1063" s="6" t="s">
        <v>93</v>
      </c>
      <c r="O1063" s="6"/>
      <c r="P1063" s="6" t="s">
        <v>168</v>
      </c>
      <c r="Q1063" s="6"/>
      <c r="R1063" s="47" t="s">
        <v>3260</v>
      </c>
      <c r="AA1063" s="6"/>
      <c r="AB1063" s="6" t="s">
        <v>67</v>
      </c>
      <c r="AC1063" s="6"/>
      <c r="AD1063" s="6" t="s">
        <v>57</v>
      </c>
      <c r="AE1063" s="6"/>
      <c r="AF1063" s="6" t="s">
        <v>57</v>
      </c>
      <c r="AG1063" s="6"/>
      <c r="AH1063" s="6" t="s">
        <v>76</v>
      </c>
      <c r="AI1063" s="6"/>
      <c r="AJ1063" s="12" t="s">
        <v>57</v>
      </c>
    </row>
    <row r="1064" spans="1:36" ht="15.75" customHeight="1" x14ac:dyDescent="0.25">
      <c r="A1064" s="7">
        <v>43420.993859178241</v>
      </c>
      <c r="B1064" s="6" t="s">
        <v>30</v>
      </c>
      <c r="C1064" s="6" t="s">
        <v>206</v>
      </c>
      <c r="E1064" s="6" t="s">
        <v>48</v>
      </c>
      <c r="F1064" s="6" t="s">
        <v>1227</v>
      </c>
      <c r="G1064" s="6" t="s">
        <v>48</v>
      </c>
      <c r="J1064" s="6" t="s">
        <v>73</v>
      </c>
      <c r="K1064" s="6"/>
      <c r="L1064" s="6" t="s">
        <v>3046</v>
      </c>
      <c r="M1064" s="6"/>
      <c r="N1064" s="6" t="s">
        <v>112</v>
      </c>
      <c r="O1064" s="6"/>
      <c r="P1064" s="6" t="s">
        <v>131</v>
      </c>
      <c r="Q1064" s="6"/>
      <c r="AH1064" s="6" t="s">
        <v>57</v>
      </c>
      <c r="AJ1064" s="12" t="s">
        <v>57</v>
      </c>
    </row>
    <row r="1065" spans="1:36" ht="15.75" customHeight="1" x14ac:dyDescent="0.25">
      <c r="A1065" s="7">
        <v>43421.002042777778</v>
      </c>
      <c r="B1065" s="6" t="s">
        <v>127</v>
      </c>
      <c r="C1065" s="6" t="s">
        <v>116</v>
      </c>
      <c r="D1065" s="6" t="s">
        <v>163</v>
      </c>
      <c r="E1065" s="6" t="s">
        <v>81</v>
      </c>
      <c r="G1065" s="6" t="s">
        <v>87</v>
      </c>
      <c r="J1065" s="6" t="s">
        <v>92</v>
      </c>
      <c r="K1065" s="6"/>
      <c r="L1065" s="6" t="s">
        <v>2361</v>
      </c>
      <c r="M1065" s="6"/>
      <c r="N1065" s="6" t="s">
        <v>248</v>
      </c>
      <c r="O1065" s="6"/>
      <c r="P1065" s="6" t="s">
        <v>168</v>
      </c>
      <c r="Q1065" s="6"/>
      <c r="AA1065" s="6"/>
      <c r="AB1065" s="6" t="s">
        <v>67</v>
      </c>
      <c r="AC1065" s="6"/>
      <c r="AD1065" s="6" t="s">
        <v>57</v>
      </c>
      <c r="AE1065" s="6"/>
      <c r="AF1065" s="6" t="s">
        <v>57</v>
      </c>
      <c r="AG1065" s="6"/>
      <c r="AH1065" s="6" t="s">
        <v>57</v>
      </c>
      <c r="AJ1065" s="12" t="s">
        <v>57</v>
      </c>
    </row>
    <row r="1066" spans="1:36" ht="15.75" customHeight="1" x14ac:dyDescent="0.25">
      <c r="A1066" s="7">
        <v>43421.004149502318</v>
      </c>
      <c r="B1066" s="6" t="s">
        <v>26</v>
      </c>
      <c r="C1066" s="6" t="s">
        <v>116</v>
      </c>
      <c r="D1066" s="6" t="s">
        <v>165</v>
      </c>
      <c r="E1066" s="6" t="s">
        <v>81</v>
      </c>
      <c r="G1066" s="6" t="s">
        <v>87</v>
      </c>
      <c r="J1066" s="6" t="s">
        <v>158</v>
      </c>
      <c r="K1066" s="6"/>
      <c r="N1066" s="6" t="s">
        <v>121</v>
      </c>
      <c r="O1066" s="6"/>
      <c r="P1066" s="6" t="s">
        <v>94</v>
      </c>
      <c r="Q1066" s="6"/>
      <c r="AA1066" s="6"/>
      <c r="AB1066" s="6" t="s">
        <v>55</v>
      </c>
      <c r="AC1066" s="6"/>
      <c r="AD1066" s="6" t="s">
        <v>56</v>
      </c>
      <c r="AE1066" s="6"/>
      <c r="AF1066" s="6" t="s">
        <v>75</v>
      </c>
      <c r="AG1066" s="6"/>
      <c r="AH1066" s="6" t="s">
        <v>58</v>
      </c>
      <c r="AJ1066" s="12" t="s">
        <v>57</v>
      </c>
    </row>
    <row r="1067" spans="1:36" ht="15.75" customHeight="1" x14ac:dyDescent="0.25">
      <c r="A1067" s="7">
        <v>43421.020020277778</v>
      </c>
      <c r="B1067" s="6" t="s">
        <v>1598</v>
      </c>
      <c r="C1067" s="6" t="s">
        <v>45</v>
      </c>
      <c r="D1067" s="6" t="s">
        <v>138</v>
      </c>
      <c r="E1067" s="6" t="s">
        <v>81</v>
      </c>
      <c r="G1067" s="6" t="s">
        <v>48</v>
      </c>
      <c r="J1067" s="6" t="s">
        <v>92</v>
      </c>
      <c r="K1067" s="6"/>
      <c r="L1067" s="6" t="s">
        <v>2366</v>
      </c>
      <c r="M1067" s="6"/>
      <c r="N1067" s="6" t="s">
        <v>93</v>
      </c>
      <c r="O1067" s="6"/>
      <c r="P1067" s="6" t="s">
        <v>94</v>
      </c>
      <c r="Q1067" s="6"/>
      <c r="R1067" s="47" t="s">
        <v>192</v>
      </c>
      <c r="S1067" s="14" t="s">
        <v>4400</v>
      </c>
      <c r="T1067" s="14" t="s">
        <v>4734</v>
      </c>
      <c r="AA1067" s="6"/>
      <c r="AB1067" s="6" t="s">
        <v>67</v>
      </c>
      <c r="AC1067" s="6"/>
      <c r="AD1067" s="6" t="s">
        <v>56</v>
      </c>
      <c r="AE1067" s="6"/>
      <c r="AF1067" s="6" t="s">
        <v>68</v>
      </c>
      <c r="AG1067" s="6"/>
      <c r="AH1067" s="6" t="s">
        <v>58</v>
      </c>
      <c r="AI1067" s="6"/>
      <c r="AJ1067" s="6" t="s">
        <v>77</v>
      </c>
    </row>
    <row r="1068" spans="1:36" ht="15.75" customHeight="1" x14ac:dyDescent="0.25">
      <c r="A1068" s="7">
        <v>43421.023013495374</v>
      </c>
      <c r="B1068" s="6" t="s">
        <v>30</v>
      </c>
      <c r="C1068" s="6" t="s">
        <v>95</v>
      </c>
      <c r="D1068" s="6" t="s">
        <v>165</v>
      </c>
      <c r="E1068" s="6" t="s">
        <v>81</v>
      </c>
      <c r="G1068" s="6" t="s">
        <v>87</v>
      </c>
      <c r="H1068" s="6" t="s">
        <v>3643</v>
      </c>
      <c r="I1068" s="6"/>
      <c r="J1068" s="6" t="s">
        <v>89</v>
      </c>
      <c r="K1068" s="6"/>
      <c r="L1068" s="6" t="s">
        <v>2672</v>
      </c>
      <c r="M1068" s="6"/>
      <c r="N1068" s="6" t="s">
        <v>121</v>
      </c>
      <c r="O1068" s="6"/>
      <c r="P1068" s="6" t="s">
        <v>131</v>
      </c>
      <c r="Q1068" s="6"/>
      <c r="R1068" s="47" t="s">
        <v>2905</v>
      </c>
      <c r="S1068" s="14" t="s">
        <v>5643</v>
      </c>
      <c r="AA1068" s="6"/>
      <c r="AB1068" s="6" t="s">
        <v>101</v>
      </c>
      <c r="AC1068" s="6"/>
      <c r="AD1068" s="6" t="s">
        <v>56</v>
      </c>
      <c r="AE1068" s="6"/>
      <c r="AF1068" s="6" t="s">
        <v>161</v>
      </c>
      <c r="AG1068" s="6"/>
      <c r="AH1068" s="6" t="s">
        <v>76</v>
      </c>
      <c r="AI1068" s="6"/>
      <c r="AJ1068" s="6" t="s">
        <v>77</v>
      </c>
    </row>
    <row r="1069" spans="1:36" ht="15.75" customHeight="1" x14ac:dyDescent="0.25">
      <c r="A1069" s="7">
        <v>43421.039664293981</v>
      </c>
      <c r="B1069" s="6" t="s">
        <v>30</v>
      </c>
      <c r="C1069" s="6" t="s">
        <v>282</v>
      </c>
      <c r="D1069" s="6" t="s">
        <v>91</v>
      </c>
      <c r="E1069" s="6" t="s">
        <v>81</v>
      </c>
      <c r="G1069" s="6" t="s">
        <v>87</v>
      </c>
      <c r="H1069" s="6" t="s">
        <v>3646</v>
      </c>
      <c r="I1069" s="6"/>
      <c r="J1069" s="6" t="s">
        <v>92</v>
      </c>
      <c r="K1069" s="6"/>
      <c r="L1069" s="6" t="s">
        <v>2362</v>
      </c>
      <c r="M1069" s="6"/>
      <c r="N1069" s="6" t="s">
        <v>112</v>
      </c>
      <c r="O1069" s="6"/>
      <c r="P1069" s="6" t="s">
        <v>99</v>
      </c>
      <c r="Q1069" s="6"/>
      <c r="R1069" s="47" t="s">
        <v>149</v>
      </c>
      <c r="S1069" s="14" t="s">
        <v>4514</v>
      </c>
      <c r="T1069" s="14" t="s">
        <v>4393</v>
      </c>
      <c r="U1069" s="14" t="s">
        <v>4502</v>
      </c>
      <c r="V1069" s="14" t="s">
        <v>4632</v>
      </c>
      <c r="AA1069" s="6"/>
      <c r="AB1069" s="6" t="s">
        <v>55</v>
      </c>
      <c r="AC1069" s="6"/>
      <c r="AD1069" s="6" t="s">
        <v>56</v>
      </c>
      <c r="AE1069" s="6"/>
      <c r="AF1069" s="6" t="s">
        <v>68</v>
      </c>
      <c r="AG1069" s="6"/>
      <c r="AH1069" s="6" t="s">
        <v>126</v>
      </c>
      <c r="AI1069" s="6"/>
      <c r="AJ1069" s="6" t="s">
        <v>260</v>
      </c>
    </row>
    <row r="1070" spans="1:36" ht="15.75" customHeight="1" x14ac:dyDescent="0.25">
      <c r="A1070" s="7">
        <v>43421.043490798613</v>
      </c>
      <c r="B1070" s="6" t="s">
        <v>127</v>
      </c>
      <c r="C1070" s="6" t="s">
        <v>378</v>
      </c>
      <c r="D1070" s="6" t="s">
        <v>163</v>
      </c>
      <c r="E1070" s="6" t="s">
        <v>81</v>
      </c>
      <c r="F1070" s="6" t="s">
        <v>3649</v>
      </c>
      <c r="G1070" s="6" t="s">
        <v>48</v>
      </c>
      <c r="H1070" s="6" t="s">
        <v>3650</v>
      </c>
      <c r="I1070" s="6"/>
      <c r="J1070" s="6" t="s">
        <v>73</v>
      </c>
      <c r="K1070" s="6"/>
      <c r="L1070" s="6" t="s">
        <v>3048</v>
      </c>
      <c r="M1070" s="6"/>
      <c r="N1070" s="6" t="s">
        <v>212</v>
      </c>
      <c r="O1070" s="6"/>
      <c r="P1070" s="6" t="s">
        <v>99</v>
      </c>
      <c r="Q1070" s="6"/>
      <c r="R1070" s="47" t="s">
        <v>3651</v>
      </c>
      <c r="AA1070" s="6"/>
      <c r="AB1070" s="6" t="s">
        <v>67</v>
      </c>
      <c r="AC1070" s="6"/>
      <c r="AD1070" s="6" t="s">
        <v>109</v>
      </c>
      <c r="AE1070" s="6"/>
      <c r="AF1070" s="6" t="s">
        <v>75</v>
      </c>
      <c r="AG1070" s="6"/>
      <c r="AH1070" s="6" t="s">
        <v>76</v>
      </c>
      <c r="AI1070" s="6"/>
      <c r="AJ1070" s="6" t="s">
        <v>376</v>
      </c>
    </row>
    <row r="1071" spans="1:36" ht="15.75" customHeight="1" x14ac:dyDescent="0.25">
      <c r="A1071" s="7">
        <v>43421.049486296295</v>
      </c>
      <c r="B1071" s="6" t="s">
        <v>60</v>
      </c>
      <c r="C1071" s="6" t="s">
        <v>2116</v>
      </c>
      <c r="D1071" s="6" t="s">
        <v>163</v>
      </c>
      <c r="E1071" s="6" t="s">
        <v>48</v>
      </c>
      <c r="F1071" s="6" t="s">
        <v>3653</v>
      </c>
      <c r="G1071" s="6" t="s">
        <v>48</v>
      </c>
      <c r="H1071" s="6" t="s">
        <v>3655</v>
      </c>
      <c r="I1071" s="6"/>
      <c r="J1071" s="6" t="s">
        <v>64</v>
      </c>
      <c r="K1071" s="6"/>
      <c r="L1071" s="6" t="s">
        <v>2673</v>
      </c>
      <c r="M1071" s="6"/>
      <c r="N1071" s="6" t="s">
        <v>98</v>
      </c>
      <c r="O1071" s="6"/>
      <c r="P1071" s="6" t="s">
        <v>131</v>
      </c>
      <c r="Q1071" s="6"/>
      <c r="R1071" s="47" t="s">
        <v>3225</v>
      </c>
      <c r="S1071" s="14" t="s">
        <v>5644</v>
      </c>
      <c r="T1071" s="14" t="s">
        <v>5645</v>
      </c>
      <c r="U1071" s="14" t="s">
        <v>5646</v>
      </c>
      <c r="V1071" s="14" t="s">
        <v>5647</v>
      </c>
      <c r="AA1071" s="6"/>
      <c r="AB1071" s="6" t="s">
        <v>67</v>
      </c>
      <c r="AC1071" s="6"/>
      <c r="AD1071" s="6" t="s">
        <v>56</v>
      </c>
      <c r="AE1071" s="6"/>
      <c r="AF1071" s="6" t="s">
        <v>75</v>
      </c>
      <c r="AG1071" s="6"/>
      <c r="AH1071" s="6" t="s">
        <v>76</v>
      </c>
      <c r="AI1071" s="6"/>
      <c r="AJ1071" s="6" t="s">
        <v>187</v>
      </c>
    </row>
    <row r="1072" spans="1:36" ht="15.75" customHeight="1" x14ac:dyDescent="0.25">
      <c r="A1072" s="7">
        <v>43421.058053449073</v>
      </c>
      <c r="B1072" s="6" t="s">
        <v>30</v>
      </c>
      <c r="C1072" s="6" t="s">
        <v>45</v>
      </c>
      <c r="D1072" s="6" t="s">
        <v>165</v>
      </c>
      <c r="E1072" s="6" t="s">
        <v>48</v>
      </c>
      <c r="F1072" s="6" t="s">
        <v>1503</v>
      </c>
      <c r="G1072" s="6" t="s">
        <v>48</v>
      </c>
      <c r="H1072" s="6" t="s">
        <v>3658</v>
      </c>
      <c r="I1072" s="6"/>
      <c r="J1072" s="6" t="s">
        <v>89</v>
      </c>
      <c r="K1072" s="6"/>
      <c r="L1072" s="6" t="s">
        <v>2504</v>
      </c>
      <c r="M1072" s="6"/>
      <c r="N1072" s="6" t="s">
        <v>98</v>
      </c>
      <c r="O1072" s="6"/>
      <c r="P1072" s="6" t="s">
        <v>131</v>
      </c>
      <c r="Q1072" s="6"/>
      <c r="R1072" s="47" t="s">
        <v>5562</v>
      </c>
      <c r="S1072" s="14" t="s">
        <v>5306</v>
      </c>
      <c r="T1072" s="14" t="s">
        <v>5648</v>
      </c>
      <c r="AA1072" s="6"/>
      <c r="AB1072" s="6" t="s">
        <v>55</v>
      </c>
      <c r="AC1072" s="6"/>
      <c r="AD1072" s="6" t="s">
        <v>56</v>
      </c>
      <c r="AE1072" s="6"/>
      <c r="AF1072" s="6" t="s">
        <v>75</v>
      </c>
      <c r="AG1072" s="6"/>
      <c r="AH1072" s="6" t="s">
        <v>76</v>
      </c>
      <c r="AI1072" s="6"/>
      <c r="AJ1072" s="6" t="s">
        <v>187</v>
      </c>
    </row>
    <row r="1073" spans="1:36" ht="15.75" customHeight="1" x14ac:dyDescent="0.25">
      <c r="A1073" s="7">
        <v>43421.060072499997</v>
      </c>
      <c r="B1073" s="6" t="s">
        <v>127</v>
      </c>
      <c r="C1073" s="6" t="s">
        <v>90</v>
      </c>
      <c r="D1073" s="6" t="s">
        <v>46</v>
      </c>
      <c r="E1073" s="6" t="s">
        <v>81</v>
      </c>
      <c r="F1073" s="6" t="s">
        <v>3660</v>
      </c>
      <c r="G1073" s="6" t="s">
        <v>87</v>
      </c>
      <c r="H1073" s="6" t="s">
        <v>3661</v>
      </c>
      <c r="I1073" s="6"/>
      <c r="J1073" s="6" t="s">
        <v>64</v>
      </c>
      <c r="K1073" s="6"/>
      <c r="L1073" s="6" t="s">
        <v>2671</v>
      </c>
      <c r="M1073" s="6"/>
      <c r="N1073" s="6" t="s">
        <v>93</v>
      </c>
      <c r="O1073" s="6"/>
      <c r="P1073" s="6" t="s">
        <v>168</v>
      </c>
      <c r="Q1073" s="6"/>
      <c r="R1073" s="47" t="s">
        <v>3663</v>
      </c>
      <c r="AA1073" s="6"/>
      <c r="AB1073" s="6" t="s">
        <v>101</v>
      </c>
      <c r="AC1073" s="6"/>
      <c r="AD1073" s="6" t="s">
        <v>57</v>
      </c>
      <c r="AE1073" s="6"/>
      <c r="AF1073" s="6" t="s">
        <v>161</v>
      </c>
      <c r="AG1073" s="6"/>
      <c r="AH1073" s="6" t="s">
        <v>76</v>
      </c>
      <c r="AI1073" s="6"/>
      <c r="AJ1073" s="6" t="s">
        <v>77</v>
      </c>
    </row>
    <row r="1074" spans="1:36" ht="15.75" customHeight="1" x14ac:dyDescent="0.25">
      <c r="A1074" s="7">
        <v>43421.06718795139</v>
      </c>
      <c r="B1074" s="6" t="s">
        <v>60</v>
      </c>
      <c r="C1074" s="6" t="s">
        <v>2116</v>
      </c>
      <c r="D1074" s="6" t="s">
        <v>91</v>
      </c>
      <c r="E1074" s="6" t="s">
        <v>48</v>
      </c>
      <c r="G1074" s="6" t="s">
        <v>48</v>
      </c>
      <c r="J1074" s="6" t="s">
        <v>92</v>
      </c>
      <c r="K1074" s="6"/>
      <c r="N1074" s="6" t="s">
        <v>112</v>
      </c>
      <c r="O1074" s="6"/>
      <c r="P1074" s="6" t="s">
        <v>52</v>
      </c>
      <c r="Q1074" s="6"/>
      <c r="AA1074" s="6"/>
      <c r="AB1074" s="6" t="s">
        <v>101</v>
      </c>
      <c r="AC1074" s="6"/>
      <c r="AD1074" s="6" t="s">
        <v>56</v>
      </c>
      <c r="AE1074" s="6"/>
      <c r="AF1074" s="6" t="s">
        <v>68</v>
      </c>
      <c r="AG1074" s="6"/>
      <c r="AH1074" s="6" t="s">
        <v>58</v>
      </c>
      <c r="AI1074" s="6"/>
      <c r="AJ1074" s="6" t="s">
        <v>244</v>
      </c>
    </row>
    <row r="1075" spans="1:36" ht="15.75" customHeight="1" x14ac:dyDescent="0.25">
      <c r="A1075" s="7">
        <v>43421.080432824077</v>
      </c>
      <c r="B1075" s="6" t="s">
        <v>30</v>
      </c>
      <c r="C1075" s="6" t="s">
        <v>95</v>
      </c>
      <c r="D1075" s="6" t="s">
        <v>155</v>
      </c>
      <c r="E1075" s="6" t="s">
        <v>81</v>
      </c>
      <c r="G1075" s="6" t="s">
        <v>87</v>
      </c>
      <c r="H1075" s="6" t="s">
        <v>3665</v>
      </c>
      <c r="I1075" s="6"/>
      <c r="J1075" s="6" t="s">
        <v>92</v>
      </c>
      <c r="K1075" s="6"/>
      <c r="L1075" s="6" t="s">
        <v>2355</v>
      </c>
      <c r="M1075" s="6"/>
      <c r="N1075" s="6" t="s">
        <v>167</v>
      </c>
      <c r="O1075" s="6"/>
      <c r="P1075" s="6" t="s">
        <v>94</v>
      </c>
      <c r="Q1075" s="6"/>
      <c r="AA1075" s="6"/>
      <c r="AB1075" s="6" t="s">
        <v>67</v>
      </c>
      <c r="AC1075" s="6"/>
      <c r="AD1075" s="6" t="s">
        <v>109</v>
      </c>
      <c r="AE1075" s="6"/>
      <c r="AF1075" s="6" t="s">
        <v>57</v>
      </c>
      <c r="AG1075" s="6"/>
      <c r="AH1075" s="6" t="s">
        <v>76</v>
      </c>
      <c r="AI1075" s="6"/>
      <c r="AJ1075" s="6" t="s">
        <v>77</v>
      </c>
    </row>
    <row r="1076" spans="1:36" ht="15.75" customHeight="1" x14ac:dyDescent="0.25">
      <c r="A1076" s="7">
        <v>43421.089993402777</v>
      </c>
      <c r="B1076" s="6" t="s">
        <v>30</v>
      </c>
      <c r="C1076" s="6" t="s">
        <v>128</v>
      </c>
      <c r="D1076" s="6" t="s">
        <v>46</v>
      </c>
      <c r="E1076" s="6" t="s">
        <v>48</v>
      </c>
      <c r="F1076" s="6" t="s">
        <v>3666</v>
      </c>
      <c r="G1076" s="6" t="s">
        <v>81</v>
      </c>
      <c r="H1076" s="6" t="s">
        <v>3667</v>
      </c>
      <c r="I1076" s="6"/>
      <c r="J1076" s="6" t="s">
        <v>92</v>
      </c>
      <c r="K1076" s="6"/>
      <c r="L1076" s="6" t="s">
        <v>3050</v>
      </c>
      <c r="M1076" s="6"/>
      <c r="N1076" s="6" t="s">
        <v>212</v>
      </c>
      <c r="O1076" s="6"/>
      <c r="P1076" s="6" t="s">
        <v>131</v>
      </c>
      <c r="Q1076" s="6"/>
      <c r="R1076" s="47" t="s">
        <v>3238</v>
      </c>
      <c r="S1076" s="14" t="s">
        <v>4412</v>
      </c>
      <c r="T1076" s="14" t="s">
        <v>4649</v>
      </c>
      <c r="AA1076" s="6"/>
      <c r="AB1076" s="6" t="s">
        <v>101</v>
      </c>
      <c r="AC1076" s="6"/>
      <c r="AD1076" s="6" t="s">
        <v>56</v>
      </c>
      <c r="AE1076" s="6"/>
      <c r="AF1076" s="6" t="s">
        <v>68</v>
      </c>
      <c r="AG1076" s="6"/>
      <c r="AH1076" s="6" t="s">
        <v>58</v>
      </c>
      <c r="AI1076" s="6"/>
      <c r="AJ1076" s="6" t="s">
        <v>187</v>
      </c>
    </row>
    <row r="1077" spans="1:36" ht="15.75" customHeight="1" x14ac:dyDescent="0.25">
      <c r="A1077" s="7">
        <v>43421.099188622684</v>
      </c>
      <c r="B1077" s="6" t="s">
        <v>30</v>
      </c>
      <c r="C1077" s="6" t="s">
        <v>116</v>
      </c>
      <c r="D1077" s="6" t="s">
        <v>165</v>
      </c>
      <c r="E1077" s="6" t="s">
        <v>48</v>
      </c>
      <c r="F1077" s="6" t="s">
        <v>3670</v>
      </c>
      <c r="G1077" s="6" t="s">
        <v>48</v>
      </c>
      <c r="H1077" s="6" t="s">
        <v>3671</v>
      </c>
      <c r="I1077" s="6"/>
      <c r="J1077" s="6" t="s">
        <v>158</v>
      </c>
      <c r="K1077" s="6"/>
      <c r="L1077" s="6" t="s">
        <v>3670</v>
      </c>
      <c r="M1077" s="6"/>
      <c r="N1077" s="6" t="s">
        <v>93</v>
      </c>
      <c r="O1077" s="6"/>
      <c r="P1077" s="6" t="s">
        <v>94</v>
      </c>
      <c r="Q1077" s="6"/>
      <c r="AA1077" s="6"/>
      <c r="AB1077" s="6" t="s">
        <v>67</v>
      </c>
      <c r="AC1077" s="6"/>
      <c r="AD1077" s="6" t="s">
        <v>56</v>
      </c>
      <c r="AE1077" s="6"/>
      <c r="AF1077" s="6" t="s">
        <v>68</v>
      </c>
      <c r="AG1077" s="6"/>
      <c r="AH1077" s="6" t="s">
        <v>58</v>
      </c>
      <c r="AI1077" s="6"/>
      <c r="AJ1077" s="12" t="s">
        <v>57</v>
      </c>
    </row>
    <row r="1078" spans="1:36" ht="15.75" customHeight="1" x14ac:dyDescent="0.25">
      <c r="A1078" s="7">
        <v>43421.129263298615</v>
      </c>
      <c r="B1078" s="6" t="s">
        <v>154</v>
      </c>
      <c r="C1078" s="6" t="s">
        <v>79</v>
      </c>
      <c r="D1078" s="6" t="s">
        <v>165</v>
      </c>
      <c r="E1078" s="6" t="s">
        <v>81</v>
      </c>
      <c r="G1078" s="6" t="s">
        <v>87</v>
      </c>
      <c r="H1078" s="6" t="s">
        <v>3673</v>
      </c>
      <c r="I1078" s="6"/>
      <c r="J1078" s="6" t="s">
        <v>92</v>
      </c>
      <c r="K1078" s="6"/>
      <c r="L1078" s="6" t="s">
        <v>2352</v>
      </c>
      <c r="M1078" s="6"/>
      <c r="N1078" s="6" t="s">
        <v>121</v>
      </c>
      <c r="O1078" s="6"/>
      <c r="P1078" s="6" t="s">
        <v>94</v>
      </c>
      <c r="Q1078" s="6"/>
      <c r="R1078" s="47" t="s">
        <v>149</v>
      </c>
      <c r="S1078" s="14" t="s">
        <v>5649</v>
      </c>
      <c r="AA1078" s="6"/>
      <c r="AB1078" s="6" t="s">
        <v>67</v>
      </c>
      <c r="AC1078" s="6"/>
      <c r="AD1078" s="6" t="s">
        <v>109</v>
      </c>
      <c r="AE1078" s="6"/>
      <c r="AF1078" s="6" t="s">
        <v>68</v>
      </c>
      <c r="AG1078" s="6"/>
      <c r="AH1078" s="6" t="s">
        <v>57</v>
      </c>
      <c r="AI1078" s="6"/>
      <c r="AJ1078" s="6" t="s">
        <v>77</v>
      </c>
    </row>
    <row r="1079" spans="1:36" ht="15.75" customHeight="1" x14ac:dyDescent="0.25">
      <c r="A1079" s="7">
        <v>43421.129549120371</v>
      </c>
      <c r="B1079" s="6" t="s">
        <v>127</v>
      </c>
      <c r="C1079" s="6" t="s">
        <v>3675</v>
      </c>
      <c r="D1079" s="6" t="s">
        <v>163</v>
      </c>
      <c r="E1079" s="6" t="s">
        <v>81</v>
      </c>
      <c r="G1079" s="6" t="s">
        <v>87</v>
      </c>
      <c r="H1079" s="6" t="s">
        <v>3676</v>
      </c>
      <c r="I1079" s="6"/>
      <c r="J1079" s="6" t="s">
        <v>110</v>
      </c>
      <c r="K1079" s="6"/>
      <c r="L1079" s="6" t="s">
        <v>3051</v>
      </c>
      <c r="M1079" s="6"/>
      <c r="N1079" s="6" t="s">
        <v>212</v>
      </c>
      <c r="O1079" s="6"/>
      <c r="P1079" s="6" t="s">
        <v>52</v>
      </c>
      <c r="Q1079" s="6"/>
      <c r="R1079" s="47" t="s">
        <v>5650</v>
      </c>
      <c r="S1079" s="14" t="s">
        <v>5651</v>
      </c>
      <c r="T1079" s="14" t="s">
        <v>5652</v>
      </c>
      <c r="U1079" s="14" t="s">
        <v>5653</v>
      </c>
      <c r="V1079" s="14" t="s">
        <v>4552</v>
      </c>
      <c r="AA1079" s="6"/>
      <c r="AB1079" s="6" t="s">
        <v>101</v>
      </c>
      <c r="AC1079" s="6"/>
      <c r="AD1079" s="6" t="s">
        <v>56</v>
      </c>
      <c r="AE1079" s="6"/>
      <c r="AF1079" s="6" t="s">
        <v>75</v>
      </c>
      <c r="AG1079" s="6"/>
      <c r="AH1079" s="6" t="s">
        <v>58</v>
      </c>
      <c r="AI1079" s="6"/>
      <c r="AJ1079" s="6" t="s">
        <v>187</v>
      </c>
    </row>
    <row r="1080" spans="1:36" ht="15.75" customHeight="1" x14ac:dyDescent="0.25">
      <c r="A1080" s="7">
        <v>43421.153132627311</v>
      </c>
      <c r="B1080" s="6" t="s">
        <v>30</v>
      </c>
      <c r="C1080" s="6" t="s">
        <v>116</v>
      </c>
      <c r="D1080" s="6" t="s">
        <v>46</v>
      </c>
      <c r="E1080" s="6" t="s">
        <v>81</v>
      </c>
      <c r="G1080" s="6" t="s">
        <v>87</v>
      </c>
      <c r="J1080" s="6" t="s">
        <v>92</v>
      </c>
      <c r="K1080" s="6"/>
      <c r="L1080" s="6" t="s">
        <v>3053</v>
      </c>
      <c r="M1080" s="6"/>
      <c r="N1080" s="6" t="s">
        <v>181</v>
      </c>
      <c r="O1080" s="6"/>
      <c r="P1080" s="6" t="s">
        <v>131</v>
      </c>
      <c r="Q1080" s="6"/>
      <c r="R1080" s="47" t="s">
        <v>254</v>
      </c>
      <c r="S1080" s="14" t="s">
        <v>4472</v>
      </c>
      <c r="T1080" s="14" t="s">
        <v>4400</v>
      </c>
      <c r="U1080" s="14" t="s">
        <v>5654</v>
      </c>
      <c r="AA1080" s="6"/>
      <c r="AB1080" s="6" t="s">
        <v>67</v>
      </c>
      <c r="AC1080" s="6"/>
      <c r="AD1080" s="6" t="s">
        <v>56</v>
      </c>
      <c r="AE1080" s="6"/>
      <c r="AF1080" s="6" t="s">
        <v>68</v>
      </c>
      <c r="AG1080" s="6"/>
      <c r="AH1080" s="6" t="s">
        <v>58</v>
      </c>
      <c r="AI1080" s="6"/>
      <c r="AJ1080" s="6" t="s">
        <v>77</v>
      </c>
    </row>
    <row r="1081" spans="1:36" ht="15.75" customHeight="1" x14ac:dyDescent="0.25">
      <c r="A1081" s="7">
        <v>43421.162725254631</v>
      </c>
      <c r="B1081" s="6" t="s">
        <v>127</v>
      </c>
      <c r="C1081" s="6" t="s">
        <v>1422</v>
      </c>
      <c r="D1081" s="6" t="s">
        <v>46</v>
      </c>
      <c r="E1081" s="6" t="s">
        <v>48</v>
      </c>
      <c r="F1081" s="6" t="s">
        <v>3680</v>
      </c>
      <c r="G1081" s="6" t="s">
        <v>48</v>
      </c>
      <c r="H1081" s="6" t="s">
        <v>3681</v>
      </c>
      <c r="I1081" s="6"/>
      <c r="J1081" s="6" t="s">
        <v>106</v>
      </c>
      <c r="K1081" s="6"/>
      <c r="L1081" s="6" t="s">
        <v>2507</v>
      </c>
      <c r="M1081" s="6"/>
      <c r="N1081" s="6" t="s">
        <v>181</v>
      </c>
      <c r="O1081" s="6"/>
      <c r="P1081" s="6" t="s">
        <v>99</v>
      </c>
      <c r="Q1081" s="6"/>
      <c r="R1081" s="47" t="s">
        <v>4145</v>
      </c>
      <c r="S1081" s="14" t="s">
        <v>5655</v>
      </c>
      <c r="T1081" s="14" t="s">
        <v>5496</v>
      </c>
      <c r="U1081" s="14" t="s">
        <v>4415</v>
      </c>
      <c r="AA1081" s="6"/>
      <c r="AB1081" s="6" t="s">
        <v>101</v>
      </c>
      <c r="AC1081" s="6"/>
      <c r="AD1081" s="6" t="s">
        <v>109</v>
      </c>
      <c r="AE1081" s="6"/>
      <c r="AF1081" s="6" t="s">
        <v>68</v>
      </c>
      <c r="AG1081" s="6"/>
      <c r="AH1081" s="6" t="s">
        <v>58</v>
      </c>
      <c r="AI1081" s="6"/>
      <c r="AJ1081" s="6" t="s">
        <v>296</v>
      </c>
    </row>
    <row r="1082" spans="1:36" ht="15.75" customHeight="1" x14ac:dyDescent="0.25">
      <c r="A1082" s="7">
        <v>43421.164725358802</v>
      </c>
      <c r="B1082" s="6" t="s">
        <v>30</v>
      </c>
      <c r="C1082" s="6" t="s">
        <v>287</v>
      </c>
      <c r="D1082" s="6" t="s">
        <v>165</v>
      </c>
      <c r="E1082" s="6" t="s">
        <v>81</v>
      </c>
      <c r="F1082" s="6" t="s">
        <v>2370</v>
      </c>
      <c r="G1082" s="6" t="s">
        <v>87</v>
      </c>
      <c r="J1082" s="6" t="s">
        <v>64</v>
      </c>
      <c r="K1082" s="6"/>
      <c r="L1082" s="6" t="s">
        <v>2675</v>
      </c>
      <c r="M1082" s="6"/>
      <c r="N1082" s="6" t="s">
        <v>181</v>
      </c>
      <c r="O1082" s="6"/>
      <c r="P1082" s="6" t="s">
        <v>99</v>
      </c>
      <c r="Q1082" s="6"/>
      <c r="R1082" s="47" t="s">
        <v>5656</v>
      </c>
      <c r="S1082" s="14" t="s">
        <v>5657</v>
      </c>
      <c r="AA1082" s="6"/>
      <c r="AB1082" s="6" t="s">
        <v>101</v>
      </c>
      <c r="AC1082" s="6"/>
      <c r="AD1082" s="6" t="s">
        <v>56</v>
      </c>
      <c r="AE1082" s="6"/>
      <c r="AF1082" s="6" t="s">
        <v>205</v>
      </c>
      <c r="AG1082" s="6"/>
      <c r="AH1082" s="6" t="s">
        <v>58</v>
      </c>
      <c r="AI1082" s="6"/>
      <c r="AJ1082" s="11" t="s">
        <v>187</v>
      </c>
    </row>
    <row r="1083" spans="1:36" ht="15.75" customHeight="1" x14ac:dyDescent="0.25">
      <c r="A1083" s="7">
        <v>43421.166718067128</v>
      </c>
      <c r="B1083" s="6" t="s">
        <v>305</v>
      </c>
      <c r="C1083" s="6" t="s">
        <v>306</v>
      </c>
      <c r="D1083" s="6" t="s">
        <v>163</v>
      </c>
      <c r="E1083" s="6" t="s">
        <v>81</v>
      </c>
      <c r="G1083" s="6" t="s">
        <v>48</v>
      </c>
      <c r="J1083" s="6" t="s">
        <v>92</v>
      </c>
      <c r="K1083" s="6"/>
      <c r="N1083" s="6" t="s">
        <v>248</v>
      </c>
      <c r="O1083" s="6"/>
      <c r="P1083" s="6" t="s">
        <v>168</v>
      </c>
      <c r="Q1083" s="6"/>
      <c r="R1083" s="47" t="s">
        <v>3686</v>
      </c>
      <c r="AA1083" s="6"/>
      <c r="AB1083" s="6" t="s">
        <v>67</v>
      </c>
      <c r="AC1083" s="6"/>
      <c r="AD1083" s="6" t="s">
        <v>56</v>
      </c>
      <c r="AE1083" s="6"/>
      <c r="AF1083" s="6" t="s">
        <v>75</v>
      </c>
      <c r="AG1083" s="6"/>
      <c r="AH1083" s="6" t="s">
        <v>58</v>
      </c>
      <c r="AI1083" s="6"/>
      <c r="AJ1083" s="11" t="s">
        <v>353</v>
      </c>
    </row>
    <row r="1084" spans="1:36" ht="15.75" customHeight="1" x14ac:dyDescent="0.25">
      <c r="A1084" s="7">
        <v>43421.17204326389</v>
      </c>
      <c r="B1084" s="6" t="s">
        <v>28</v>
      </c>
      <c r="C1084" s="6" t="s">
        <v>116</v>
      </c>
      <c r="D1084" s="6" t="s">
        <v>46</v>
      </c>
      <c r="E1084" s="6" t="s">
        <v>81</v>
      </c>
      <c r="G1084" s="6" t="s">
        <v>87</v>
      </c>
      <c r="H1084" s="6" t="s">
        <v>81</v>
      </c>
      <c r="I1084" s="6"/>
      <c r="J1084" s="6" t="s">
        <v>184</v>
      </c>
      <c r="K1084" s="6"/>
      <c r="L1084" s="6" t="s">
        <v>2509</v>
      </c>
      <c r="M1084" s="6"/>
      <c r="N1084" s="6" t="s">
        <v>167</v>
      </c>
      <c r="O1084" s="6"/>
      <c r="P1084" s="6" t="s">
        <v>94</v>
      </c>
      <c r="Q1084" s="6"/>
      <c r="R1084" s="47" t="s">
        <v>3688</v>
      </c>
      <c r="AA1084" s="6"/>
      <c r="AB1084" s="6" t="s">
        <v>101</v>
      </c>
      <c r="AC1084" s="6"/>
      <c r="AD1084" s="6" t="s">
        <v>57</v>
      </c>
      <c r="AE1084" s="6"/>
      <c r="AF1084" s="6" t="s">
        <v>57</v>
      </c>
      <c r="AG1084" s="6"/>
      <c r="AH1084" s="6" t="s">
        <v>57</v>
      </c>
      <c r="AI1084" s="6"/>
      <c r="AJ1084" s="6" t="s">
        <v>57</v>
      </c>
    </row>
    <row r="1085" spans="1:36" ht="15.75" customHeight="1" x14ac:dyDescent="0.25">
      <c r="A1085" s="7">
        <v>43421.191296354169</v>
      </c>
      <c r="B1085" s="6" t="s">
        <v>127</v>
      </c>
      <c r="C1085" s="6" t="s">
        <v>128</v>
      </c>
      <c r="D1085" s="6" t="s">
        <v>163</v>
      </c>
      <c r="E1085" s="6" t="s">
        <v>81</v>
      </c>
      <c r="J1085" s="6" t="s">
        <v>64</v>
      </c>
      <c r="K1085" s="6"/>
      <c r="L1085" s="6" t="s">
        <v>3055</v>
      </c>
      <c r="M1085" s="6"/>
      <c r="N1085" s="6" t="s">
        <v>98</v>
      </c>
      <c r="O1085" s="6"/>
      <c r="P1085" s="6" t="s">
        <v>94</v>
      </c>
      <c r="Q1085" s="6"/>
      <c r="R1085" s="47" t="s">
        <v>3366</v>
      </c>
      <c r="S1085" s="14" t="s">
        <v>4404</v>
      </c>
      <c r="T1085" s="14" t="s">
        <v>4393</v>
      </c>
      <c r="AA1085" s="6"/>
      <c r="AB1085" s="6" t="s">
        <v>67</v>
      </c>
      <c r="AC1085" s="6"/>
      <c r="AD1085" s="6" t="s">
        <v>56</v>
      </c>
      <c r="AE1085" s="6"/>
      <c r="AF1085" s="6" t="s">
        <v>75</v>
      </c>
      <c r="AG1085" s="6"/>
      <c r="AH1085" s="6" t="s">
        <v>58</v>
      </c>
      <c r="AI1085" s="6"/>
      <c r="AJ1085" s="6" t="s">
        <v>260</v>
      </c>
    </row>
    <row r="1086" spans="1:36" ht="15.75" customHeight="1" x14ac:dyDescent="0.25">
      <c r="A1086" s="7">
        <v>43421.196965439813</v>
      </c>
      <c r="B1086" s="6" t="s">
        <v>30</v>
      </c>
      <c r="C1086" s="6" t="s">
        <v>378</v>
      </c>
      <c r="D1086" s="6" t="s">
        <v>46</v>
      </c>
      <c r="E1086" s="6" t="s">
        <v>48</v>
      </c>
      <c r="F1086" s="6" t="s">
        <v>993</v>
      </c>
      <c r="G1086" s="6" t="s">
        <v>48</v>
      </c>
      <c r="H1086" s="6" t="s">
        <v>3692</v>
      </c>
      <c r="I1086" s="6"/>
      <c r="J1086" s="6" t="s">
        <v>64</v>
      </c>
      <c r="K1086" s="6"/>
      <c r="L1086" s="6" t="s">
        <v>2678</v>
      </c>
      <c r="M1086" s="6"/>
      <c r="N1086" s="6" t="s">
        <v>212</v>
      </c>
      <c r="O1086" s="6"/>
      <c r="P1086" s="6" t="s">
        <v>99</v>
      </c>
      <c r="Q1086" s="6"/>
      <c r="R1086" s="47" t="s">
        <v>5658</v>
      </c>
      <c r="S1086" s="14" t="s">
        <v>5659</v>
      </c>
      <c r="AA1086" s="6"/>
      <c r="AB1086" s="6" t="s">
        <v>55</v>
      </c>
      <c r="AC1086" s="6"/>
      <c r="AD1086" s="6" t="s">
        <v>56</v>
      </c>
      <c r="AE1086" s="6"/>
      <c r="AF1086" s="6" t="s">
        <v>68</v>
      </c>
      <c r="AG1086" s="6"/>
      <c r="AH1086" s="6" t="s">
        <v>58</v>
      </c>
      <c r="AI1086" s="6"/>
      <c r="AJ1086" s="11" t="s">
        <v>59</v>
      </c>
    </row>
    <row r="1087" spans="1:36" ht="15.75" customHeight="1" x14ac:dyDescent="0.25">
      <c r="A1087" s="7">
        <v>43421.199642754626</v>
      </c>
      <c r="B1087" s="6" t="s">
        <v>154</v>
      </c>
      <c r="C1087" s="6" t="s">
        <v>790</v>
      </c>
      <c r="D1087" s="6" t="s">
        <v>261</v>
      </c>
      <c r="E1087" s="6" t="s">
        <v>81</v>
      </c>
      <c r="G1087" s="6" t="s">
        <v>87</v>
      </c>
      <c r="H1087" s="6" t="s">
        <v>3695</v>
      </c>
      <c r="I1087" s="6"/>
      <c r="J1087" s="6" t="s">
        <v>64</v>
      </c>
      <c r="K1087" s="6"/>
      <c r="L1087" s="6" t="s">
        <v>3056</v>
      </c>
      <c r="M1087" s="6"/>
      <c r="N1087" s="6" t="s">
        <v>112</v>
      </c>
      <c r="O1087" s="6"/>
      <c r="P1087" s="6" t="s">
        <v>99</v>
      </c>
      <c r="Q1087" s="6"/>
      <c r="R1087" s="47" t="s">
        <v>2905</v>
      </c>
      <c r="S1087" s="14" t="s">
        <v>5660</v>
      </c>
      <c r="T1087" s="14" t="s">
        <v>4407</v>
      </c>
      <c r="U1087" s="14" t="s">
        <v>5661</v>
      </c>
      <c r="AA1087" s="6"/>
      <c r="AB1087" s="6" t="s">
        <v>67</v>
      </c>
      <c r="AC1087" s="6"/>
      <c r="AD1087" s="6" t="s">
        <v>56</v>
      </c>
      <c r="AE1087" s="6"/>
      <c r="AF1087" s="6" t="s">
        <v>75</v>
      </c>
      <c r="AG1087" s="6"/>
      <c r="AH1087" s="6" t="s">
        <v>126</v>
      </c>
      <c r="AI1087" s="6"/>
      <c r="AJ1087" s="6" t="s">
        <v>102</v>
      </c>
    </row>
    <row r="1088" spans="1:36" ht="15.75" customHeight="1" x14ac:dyDescent="0.25">
      <c r="A1088" s="7">
        <v>43421.20311988426</v>
      </c>
      <c r="B1088" s="6" t="s">
        <v>30</v>
      </c>
      <c r="C1088" s="6" t="s">
        <v>116</v>
      </c>
      <c r="D1088" s="6" t="s">
        <v>165</v>
      </c>
      <c r="E1088" s="6" t="s">
        <v>81</v>
      </c>
      <c r="G1088" s="6" t="s">
        <v>87</v>
      </c>
      <c r="H1088" s="6" t="s">
        <v>3698</v>
      </c>
      <c r="I1088" s="6"/>
      <c r="J1088" s="6" t="s">
        <v>158</v>
      </c>
      <c r="K1088" s="6"/>
      <c r="L1088" s="6" t="s">
        <v>2368</v>
      </c>
      <c r="M1088" s="6"/>
      <c r="N1088" s="6" t="s">
        <v>121</v>
      </c>
      <c r="O1088" s="6"/>
      <c r="P1088" s="6" t="s">
        <v>131</v>
      </c>
      <c r="Q1088" s="6"/>
      <c r="R1088" s="47" t="s">
        <v>1764</v>
      </c>
      <c r="S1088" s="14" t="s">
        <v>5224</v>
      </c>
      <c r="T1088" s="14" t="s">
        <v>5662</v>
      </c>
      <c r="AA1088" s="6"/>
      <c r="AB1088" s="6" t="s">
        <v>101</v>
      </c>
      <c r="AC1088" s="6"/>
      <c r="AD1088" s="6" t="s">
        <v>56</v>
      </c>
      <c r="AE1088" s="6"/>
      <c r="AF1088" s="6" t="s">
        <v>161</v>
      </c>
      <c r="AG1088" s="6"/>
      <c r="AH1088" s="6" t="s">
        <v>76</v>
      </c>
      <c r="AJ1088" s="6" t="s">
        <v>57</v>
      </c>
    </row>
    <row r="1089" spans="1:36" ht="15.75" customHeight="1" x14ac:dyDescent="0.25">
      <c r="A1089" s="7">
        <v>43421.215264629631</v>
      </c>
      <c r="B1089" s="6" t="s">
        <v>3700</v>
      </c>
      <c r="C1089" s="6" t="s">
        <v>116</v>
      </c>
      <c r="D1089" s="6" t="s">
        <v>165</v>
      </c>
      <c r="E1089" s="6" t="s">
        <v>81</v>
      </c>
      <c r="G1089" s="6" t="s">
        <v>87</v>
      </c>
      <c r="H1089" s="6" t="s">
        <v>3701</v>
      </c>
      <c r="I1089" s="6"/>
      <c r="J1089" s="6" t="s">
        <v>184</v>
      </c>
      <c r="K1089" s="6"/>
      <c r="L1089" s="6" t="s">
        <v>2510</v>
      </c>
      <c r="M1089" s="6"/>
      <c r="N1089" s="6" t="s">
        <v>181</v>
      </c>
      <c r="O1089" s="6"/>
      <c r="P1089" s="6" t="s">
        <v>131</v>
      </c>
      <c r="Q1089" s="6"/>
      <c r="R1089" s="47" t="s">
        <v>3702</v>
      </c>
      <c r="AA1089" s="6"/>
      <c r="AB1089" s="6" t="s">
        <v>101</v>
      </c>
      <c r="AD1089" s="6" t="s">
        <v>56</v>
      </c>
      <c r="AE1089" s="6"/>
      <c r="AF1089" s="6" t="s">
        <v>75</v>
      </c>
      <c r="AG1089" s="6"/>
      <c r="AH1089" s="6" t="s">
        <v>57</v>
      </c>
      <c r="AI1089" s="6"/>
      <c r="AJ1089" s="6" t="s">
        <v>77</v>
      </c>
    </row>
    <row r="1090" spans="1:36" ht="15.75" customHeight="1" x14ac:dyDescent="0.25">
      <c r="A1090" s="7">
        <v>43421.219865370367</v>
      </c>
      <c r="B1090" s="6" t="s">
        <v>30</v>
      </c>
      <c r="C1090" s="6" t="s">
        <v>95</v>
      </c>
      <c r="D1090" s="6" t="s">
        <v>165</v>
      </c>
      <c r="E1090" s="6" t="s">
        <v>81</v>
      </c>
      <c r="G1090" s="6" t="s">
        <v>87</v>
      </c>
      <c r="J1090" s="6" t="s">
        <v>106</v>
      </c>
      <c r="K1090" s="6"/>
      <c r="N1090" s="6" t="s">
        <v>181</v>
      </c>
      <c r="O1090" s="6"/>
      <c r="P1090" s="6" t="s">
        <v>94</v>
      </c>
      <c r="Q1090" s="6"/>
      <c r="R1090" s="47" t="s">
        <v>5663</v>
      </c>
      <c r="S1090" s="14" t="s">
        <v>5664</v>
      </c>
      <c r="T1090" s="14" t="s">
        <v>5665</v>
      </c>
      <c r="U1090" s="14" t="s">
        <v>4614</v>
      </c>
      <c r="V1090" s="14" t="s">
        <v>5666</v>
      </c>
      <c r="AA1090" s="6"/>
      <c r="AB1090" s="6" t="s">
        <v>67</v>
      </c>
      <c r="AC1090" s="6"/>
      <c r="AD1090" s="6" t="s">
        <v>56</v>
      </c>
      <c r="AE1090" s="6"/>
      <c r="AF1090" s="6" t="s">
        <v>75</v>
      </c>
      <c r="AG1090" s="6"/>
      <c r="AH1090" s="6" t="s">
        <v>58</v>
      </c>
      <c r="AI1090" s="6"/>
      <c r="AJ1090" s="6" t="s">
        <v>77</v>
      </c>
    </row>
    <row r="1091" spans="1:36" ht="15.75" customHeight="1" x14ac:dyDescent="0.25">
      <c r="A1091" s="7">
        <v>43421.238185162038</v>
      </c>
      <c r="B1091" s="6" t="s">
        <v>30</v>
      </c>
      <c r="C1091" s="6" t="s">
        <v>116</v>
      </c>
      <c r="D1091" s="6" t="s">
        <v>163</v>
      </c>
      <c r="E1091" s="6" t="s">
        <v>81</v>
      </c>
      <c r="G1091" s="6" t="s">
        <v>87</v>
      </c>
      <c r="H1091" s="6" t="s">
        <v>3705</v>
      </c>
      <c r="I1091" s="6"/>
      <c r="J1091" s="6" t="s">
        <v>92</v>
      </c>
      <c r="K1091" s="6"/>
      <c r="L1091" s="6" t="s">
        <v>2680</v>
      </c>
      <c r="M1091" s="6"/>
      <c r="N1091" s="6" t="s">
        <v>93</v>
      </c>
      <c r="O1091" s="6"/>
      <c r="P1091" s="6" t="s">
        <v>168</v>
      </c>
      <c r="Q1091" s="6"/>
      <c r="R1091" s="47" t="s">
        <v>201</v>
      </c>
      <c r="S1091" s="14" t="s">
        <v>4400</v>
      </c>
      <c r="T1091" s="14" t="s">
        <v>5667</v>
      </c>
      <c r="U1091" s="14" t="s">
        <v>4438</v>
      </c>
      <c r="V1091" s="14" t="s">
        <v>5668</v>
      </c>
      <c r="AA1091" s="6"/>
      <c r="AB1091" s="6" t="s">
        <v>101</v>
      </c>
      <c r="AC1091" s="6"/>
      <c r="AD1091" s="6" t="s">
        <v>56</v>
      </c>
      <c r="AE1091" s="6"/>
      <c r="AF1091" s="6" t="s">
        <v>75</v>
      </c>
      <c r="AG1091" s="6"/>
      <c r="AH1091" s="6" t="s">
        <v>126</v>
      </c>
      <c r="AI1091" s="6"/>
      <c r="AJ1091" s="6" t="s">
        <v>329</v>
      </c>
    </row>
    <row r="1092" spans="1:36" ht="15.75" customHeight="1" x14ac:dyDescent="0.25">
      <c r="A1092" s="7">
        <v>43421.264601226852</v>
      </c>
      <c r="B1092" s="6" t="s">
        <v>60</v>
      </c>
      <c r="C1092" s="6" t="s">
        <v>90</v>
      </c>
      <c r="D1092" s="6" t="s">
        <v>46</v>
      </c>
      <c r="E1092" s="6" t="s">
        <v>48</v>
      </c>
      <c r="F1092" s="6" t="s">
        <v>3708</v>
      </c>
      <c r="G1092" s="6" t="s">
        <v>48</v>
      </c>
      <c r="H1092" s="6" t="s">
        <v>3709</v>
      </c>
      <c r="I1092" s="6"/>
      <c r="J1092" s="6" t="s">
        <v>92</v>
      </c>
      <c r="K1092" s="6"/>
      <c r="L1092" s="6" t="s">
        <v>3057</v>
      </c>
      <c r="M1092" s="6"/>
      <c r="N1092" s="6" t="s">
        <v>98</v>
      </c>
      <c r="O1092" s="6"/>
      <c r="P1092" s="6" t="s">
        <v>131</v>
      </c>
      <c r="Q1092" s="6"/>
      <c r="R1092" s="47" t="s">
        <v>182</v>
      </c>
      <c r="AA1092" s="6"/>
      <c r="AB1092" s="6" t="s">
        <v>67</v>
      </c>
      <c r="AC1092" s="6"/>
      <c r="AD1092" s="6" t="s">
        <v>56</v>
      </c>
      <c r="AE1092" s="6"/>
      <c r="AF1092" s="6" t="s">
        <v>205</v>
      </c>
      <c r="AG1092" s="6"/>
      <c r="AH1092" s="6" t="s">
        <v>57</v>
      </c>
      <c r="AI1092" s="6"/>
      <c r="AJ1092" s="6" t="s">
        <v>77</v>
      </c>
    </row>
    <row r="1093" spans="1:36" ht="15.75" customHeight="1" x14ac:dyDescent="0.25">
      <c r="A1093" s="7">
        <v>43421.315285578705</v>
      </c>
      <c r="B1093" s="6" t="s">
        <v>60</v>
      </c>
      <c r="C1093" s="6" t="s">
        <v>90</v>
      </c>
      <c r="D1093" s="6" t="s">
        <v>138</v>
      </c>
      <c r="E1093" s="6" t="s">
        <v>81</v>
      </c>
      <c r="G1093" s="6" t="s">
        <v>87</v>
      </c>
      <c r="J1093" s="6" t="s">
        <v>106</v>
      </c>
      <c r="K1093" s="6"/>
      <c r="N1093" s="6" t="s">
        <v>167</v>
      </c>
      <c r="O1093" s="6"/>
      <c r="P1093" s="6" t="s">
        <v>168</v>
      </c>
      <c r="Q1093" s="6"/>
      <c r="AA1093" s="6"/>
      <c r="AB1093" s="6" t="s">
        <v>67</v>
      </c>
      <c r="AC1093" s="6"/>
      <c r="AD1093" s="6" t="s">
        <v>56</v>
      </c>
      <c r="AE1093" s="6"/>
      <c r="AF1093" s="6" t="s">
        <v>57</v>
      </c>
      <c r="AG1093" s="6"/>
      <c r="AH1093" s="6" t="s">
        <v>57</v>
      </c>
      <c r="AJ1093" s="6" t="s">
        <v>57</v>
      </c>
    </row>
    <row r="1094" spans="1:36" ht="15.75" customHeight="1" x14ac:dyDescent="0.25">
      <c r="A1094" s="7">
        <v>43421.364729039356</v>
      </c>
      <c r="B1094" s="6" t="s">
        <v>30</v>
      </c>
      <c r="C1094" s="6" t="s">
        <v>971</v>
      </c>
      <c r="D1094" s="6" t="s">
        <v>91</v>
      </c>
      <c r="E1094" s="6" t="s">
        <v>81</v>
      </c>
      <c r="G1094" s="6" t="s">
        <v>87</v>
      </c>
      <c r="J1094" s="6" t="s">
        <v>92</v>
      </c>
      <c r="K1094" s="6"/>
      <c r="L1094" s="6" t="s">
        <v>3058</v>
      </c>
      <c r="M1094" s="6"/>
      <c r="N1094" s="6" t="s">
        <v>212</v>
      </c>
      <c r="O1094" s="6"/>
      <c r="P1094" s="6" t="s">
        <v>99</v>
      </c>
      <c r="Q1094" s="6"/>
      <c r="R1094" s="47" t="s">
        <v>5669</v>
      </c>
      <c r="S1094" s="14" t="s">
        <v>5670</v>
      </c>
      <c r="T1094" s="14" t="s">
        <v>5671</v>
      </c>
      <c r="AA1094" s="6"/>
      <c r="AB1094" s="6" t="s">
        <v>67</v>
      </c>
      <c r="AC1094" s="6"/>
      <c r="AD1094" s="6" t="s">
        <v>56</v>
      </c>
      <c r="AE1094" s="6"/>
      <c r="AF1094" s="6" t="s">
        <v>68</v>
      </c>
      <c r="AG1094" s="6"/>
      <c r="AH1094" s="11" t="s">
        <v>144</v>
      </c>
      <c r="AI1094" s="6"/>
      <c r="AJ1094" s="6" t="s">
        <v>259</v>
      </c>
    </row>
    <row r="1095" spans="1:36" ht="15.75" customHeight="1" x14ac:dyDescent="0.25">
      <c r="A1095" s="7">
        <v>43421.377442662037</v>
      </c>
      <c r="B1095" s="6" t="s">
        <v>305</v>
      </c>
      <c r="C1095" s="6" t="s">
        <v>3146</v>
      </c>
      <c r="E1095" s="6" t="s">
        <v>81</v>
      </c>
      <c r="G1095" s="6" t="s">
        <v>87</v>
      </c>
      <c r="L1095" s="6" t="s">
        <v>2342</v>
      </c>
      <c r="M1095" s="6"/>
      <c r="N1095" s="6" t="s">
        <v>112</v>
      </c>
      <c r="O1095" s="6"/>
      <c r="P1095" s="6" t="s">
        <v>99</v>
      </c>
      <c r="Q1095" s="6"/>
      <c r="AA1095" s="6"/>
      <c r="AB1095" s="6" t="s">
        <v>55</v>
      </c>
      <c r="AC1095" s="6"/>
      <c r="AD1095" s="6" t="s">
        <v>56</v>
      </c>
      <c r="AE1095" s="6"/>
      <c r="AF1095" s="6" t="s">
        <v>75</v>
      </c>
      <c r="AG1095" s="6"/>
      <c r="AH1095" s="6" t="s">
        <v>57</v>
      </c>
      <c r="AI1095" s="6"/>
      <c r="AJ1095" s="6" t="s">
        <v>77</v>
      </c>
    </row>
    <row r="1096" spans="1:36" ht="15.75" customHeight="1" x14ac:dyDescent="0.25">
      <c r="A1096" s="7">
        <v>43421.38052071759</v>
      </c>
      <c r="B1096" s="6" t="s">
        <v>60</v>
      </c>
      <c r="C1096" s="6" t="s">
        <v>45</v>
      </c>
      <c r="D1096" s="6" t="s">
        <v>155</v>
      </c>
      <c r="E1096" s="6" t="s">
        <v>81</v>
      </c>
      <c r="G1096" s="6" t="s">
        <v>87</v>
      </c>
      <c r="N1096" s="6" t="s">
        <v>248</v>
      </c>
      <c r="O1096" s="6"/>
      <c r="P1096" s="6" t="s">
        <v>168</v>
      </c>
      <c r="Q1096" s="6"/>
      <c r="AA1096" s="6"/>
      <c r="AB1096" s="6" t="s">
        <v>101</v>
      </c>
      <c r="AC1096" s="6"/>
      <c r="AD1096" s="6" t="s">
        <v>56</v>
      </c>
      <c r="AE1096" s="6"/>
      <c r="AF1096" s="6" t="s">
        <v>205</v>
      </c>
      <c r="AG1096" s="6"/>
      <c r="AH1096" s="6" t="s">
        <v>58</v>
      </c>
      <c r="AI1096" s="6"/>
      <c r="AJ1096" s="6" t="s">
        <v>77</v>
      </c>
    </row>
    <row r="1097" spans="1:36" ht="15.75" customHeight="1" x14ac:dyDescent="0.25">
      <c r="A1097" s="7">
        <v>43421.393495185184</v>
      </c>
      <c r="B1097" s="6" t="s">
        <v>154</v>
      </c>
      <c r="C1097" s="6" t="s">
        <v>477</v>
      </c>
      <c r="D1097" s="6" t="s">
        <v>165</v>
      </c>
      <c r="E1097" s="6" t="s">
        <v>81</v>
      </c>
      <c r="G1097" s="6" t="s">
        <v>87</v>
      </c>
      <c r="H1097" s="6" t="s">
        <v>3715</v>
      </c>
      <c r="I1097" s="6"/>
      <c r="J1097" s="6" t="s">
        <v>64</v>
      </c>
      <c r="K1097" s="6"/>
      <c r="L1097" s="6" t="s">
        <v>2681</v>
      </c>
      <c r="M1097" s="6"/>
      <c r="N1097" s="6" t="s">
        <v>121</v>
      </c>
      <c r="O1097" s="6"/>
      <c r="P1097" s="6" t="s">
        <v>131</v>
      </c>
      <c r="Q1097" s="6"/>
      <c r="R1097" s="47" t="s">
        <v>3333</v>
      </c>
      <c r="S1097" s="14" t="s">
        <v>4623</v>
      </c>
      <c r="T1097" s="14" t="s">
        <v>5672</v>
      </c>
      <c r="U1097" s="14" t="s">
        <v>5673</v>
      </c>
      <c r="V1097" s="14" t="s">
        <v>5674</v>
      </c>
      <c r="W1097" s="14" t="s">
        <v>5675</v>
      </c>
      <c r="AA1097" s="6"/>
      <c r="AB1097" s="6" t="s">
        <v>67</v>
      </c>
      <c r="AC1097" s="6"/>
      <c r="AD1097" s="6" t="s">
        <v>56</v>
      </c>
      <c r="AE1097" s="6"/>
      <c r="AF1097" s="6" t="s">
        <v>161</v>
      </c>
      <c r="AG1097" s="6"/>
      <c r="AH1097" s="6" t="s">
        <v>76</v>
      </c>
      <c r="AI1097" s="6"/>
      <c r="AJ1097" s="11" t="s">
        <v>293</v>
      </c>
    </row>
    <row r="1098" spans="1:36" ht="15.75" customHeight="1" x14ac:dyDescent="0.25">
      <c r="A1098" s="7">
        <v>43421.40523157407</v>
      </c>
      <c r="B1098" s="6" t="s">
        <v>60</v>
      </c>
      <c r="C1098" s="6" t="s">
        <v>116</v>
      </c>
      <c r="D1098" s="6" t="s">
        <v>163</v>
      </c>
      <c r="E1098" s="6" t="s">
        <v>48</v>
      </c>
      <c r="F1098" s="6" t="s">
        <v>3717</v>
      </c>
      <c r="G1098" s="6" t="s">
        <v>48</v>
      </c>
      <c r="H1098" s="6" t="s">
        <v>3718</v>
      </c>
      <c r="I1098" s="6"/>
      <c r="J1098" s="6" t="s">
        <v>73</v>
      </c>
      <c r="K1098" s="6"/>
      <c r="L1098" s="6" t="s">
        <v>3059</v>
      </c>
      <c r="M1098" s="6"/>
      <c r="N1098" s="6" t="s">
        <v>98</v>
      </c>
      <c r="O1098" s="6"/>
      <c r="P1098" s="6" t="s">
        <v>131</v>
      </c>
      <c r="Q1098" s="6"/>
      <c r="AA1098" s="6"/>
      <c r="AB1098" s="6" t="s">
        <v>101</v>
      </c>
      <c r="AC1098" s="6"/>
      <c r="AD1098" s="6" t="s">
        <v>56</v>
      </c>
      <c r="AE1098" s="6"/>
      <c r="AF1098" s="6" t="s">
        <v>68</v>
      </c>
      <c r="AG1098" s="6"/>
      <c r="AH1098" s="6" t="s">
        <v>58</v>
      </c>
      <c r="AI1098" s="6"/>
      <c r="AJ1098" s="6" t="s">
        <v>297</v>
      </c>
    </row>
    <row r="1099" spans="1:36" ht="15.75" customHeight="1" x14ac:dyDescent="0.25">
      <c r="A1099" s="7">
        <v>43421.410987418982</v>
      </c>
      <c r="B1099" s="6" t="s">
        <v>26</v>
      </c>
      <c r="C1099" s="6" t="s">
        <v>45</v>
      </c>
      <c r="D1099" s="6" t="s">
        <v>46</v>
      </c>
      <c r="E1099" s="6" t="s">
        <v>81</v>
      </c>
      <c r="G1099" s="6" t="s">
        <v>87</v>
      </c>
      <c r="H1099" s="6" t="s">
        <v>3720</v>
      </c>
      <c r="I1099" s="6"/>
      <c r="J1099" s="6" t="s">
        <v>184</v>
      </c>
      <c r="K1099" s="6"/>
      <c r="N1099" s="6" t="s">
        <v>121</v>
      </c>
      <c r="O1099" s="6"/>
      <c r="P1099" s="6" t="s">
        <v>94</v>
      </c>
      <c r="Q1099" s="6"/>
      <c r="AA1099" s="6"/>
      <c r="AB1099" s="6" t="s">
        <v>203</v>
      </c>
      <c r="AC1099" s="6"/>
      <c r="AD1099" s="6" t="s">
        <v>56</v>
      </c>
      <c r="AE1099" s="6"/>
      <c r="AF1099" s="6" t="s">
        <v>205</v>
      </c>
      <c r="AG1099" s="6"/>
      <c r="AH1099" s="6" t="s">
        <v>58</v>
      </c>
      <c r="AI1099" s="6"/>
      <c r="AJ1099" s="11" t="s">
        <v>132</v>
      </c>
    </row>
    <row r="1100" spans="1:36" ht="15.75" customHeight="1" x14ac:dyDescent="0.25">
      <c r="A1100" s="7">
        <v>43421.431972048609</v>
      </c>
      <c r="B1100" s="6" t="s">
        <v>60</v>
      </c>
      <c r="C1100" s="6" t="s">
        <v>756</v>
      </c>
      <c r="D1100" s="6" t="s">
        <v>46</v>
      </c>
      <c r="E1100" s="6" t="s">
        <v>81</v>
      </c>
      <c r="G1100" s="6" t="s">
        <v>87</v>
      </c>
      <c r="J1100" s="6" t="s">
        <v>110</v>
      </c>
      <c r="K1100" s="6"/>
      <c r="L1100" s="6" t="s">
        <v>2512</v>
      </c>
      <c r="M1100" s="6"/>
      <c r="N1100" s="6" t="s">
        <v>167</v>
      </c>
      <c r="O1100" s="6"/>
      <c r="P1100" s="6" t="s">
        <v>168</v>
      </c>
      <c r="Q1100" s="6"/>
      <c r="R1100" s="47" t="s">
        <v>5676</v>
      </c>
      <c r="S1100" s="14" t="s">
        <v>4400</v>
      </c>
      <c r="T1100" s="14" t="s">
        <v>5677</v>
      </c>
      <c r="U1100" s="14" t="s">
        <v>5678</v>
      </c>
      <c r="V1100" s="14" t="s">
        <v>4468</v>
      </c>
      <c r="W1100" s="14" t="s">
        <v>5679</v>
      </c>
      <c r="X1100" s="14" t="s">
        <v>4649</v>
      </c>
      <c r="Y1100" s="14" t="s">
        <v>4647</v>
      </c>
      <c r="Z1100" s="14" t="s">
        <v>5255</v>
      </c>
      <c r="AA1100" s="6"/>
      <c r="AB1100" s="6" t="s">
        <v>67</v>
      </c>
      <c r="AC1100" s="6"/>
      <c r="AD1100" s="6" t="s">
        <v>56</v>
      </c>
      <c r="AE1100" s="6"/>
      <c r="AF1100" s="6" t="s">
        <v>75</v>
      </c>
      <c r="AG1100" s="6"/>
      <c r="AH1100" s="6" t="s">
        <v>126</v>
      </c>
      <c r="AI1100" s="6"/>
      <c r="AJ1100" s="6" t="s">
        <v>77</v>
      </c>
    </row>
    <row r="1101" spans="1:36" ht="15.75" customHeight="1" x14ac:dyDescent="0.25">
      <c r="A1101" s="7">
        <v>43421.441232141202</v>
      </c>
      <c r="B1101" s="6" t="s">
        <v>463</v>
      </c>
      <c r="C1101" s="6" t="s">
        <v>482</v>
      </c>
      <c r="D1101" s="6" t="s">
        <v>190</v>
      </c>
      <c r="E1101" s="6" t="s">
        <v>81</v>
      </c>
      <c r="G1101" s="6" t="s">
        <v>87</v>
      </c>
      <c r="J1101" s="6" t="s">
        <v>106</v>
      </c>
      <c r="K1101" s="6"/>
      <c r="L1101" s="6" t="s">
        <v>3061</v>
      </c>
      <c r="M1101" s="6"/>
      <c r="N1101" s="6" t="s">
        <v>98</v>
      </c>
      <c r="O1101" s="6"/>
      <c r="P1101" s="6" t="s">
        <v>94</v>
      </c>
      <c r="Q1101" s="6"/>
      <c r="R1101" s="47" t="s">
        <v>3727</v>
      </c>
      <c r="AA1101" s="6"/>
      <c r="AB1101" s="6" t="s">
        <v>101</v>
      </c>
      <c r="AC1101" s="6"/>
      <c r="AD1101" s="6" t="s">
        <v>56</v>
      </c>
      <c r="AE1101" s="6"/>
      <c r="AF1101" s="6" t="s">
        <v>161</v>
      </c>
      <c r="AG1101" s="6"/>
      <c r="AH1101" s="6" t="s">
        <v>76</v>
      </c>
      <c r="AI1101" s="6"/>
      <c r="AJ1101" s="11" t="s">
        <v>412</v>
      </c>
    </row>
    <row r="1102" spans="1:36" ht="15.75" customHeight="1" x14ac:dyDescent="0.25">
      <c r="A1102" s="7">
        <v>43421.450714062499</v>
      </c>
      <c r="B1102" s="6" t="s">
        <v>60</v>
      </c>
      <c r="C1102" s="6" t="s">
        <v>215</v>
      </c>
      <c r="D1102" s="6" t="s">
        <v>46</v>
      </c>
      <c r="E1102" s="6" t="s">
        <v>48</v>
      </c>
      <c r="G1102" s="6" t="s">
        <v>48</v>
      </c>
      <c r="J1102" s="6" t="s">
        <v>106</v>
      </c>
      <c r="K1102" s="6"/>
      <c r="N1102" s="6" t="s">
        <v>212</v>
      </c>
      <c r="O1102" s="6"/>
      <c r="P1102" s="6" t="s">
        <v>99</v>
      </c>
      <c r="Q1102" s="6"/>
      <c r="AA1102" s="6"/>
      <c r="AB1102" s="6" t="s">
        <v>67</v>
      </c>
      <c r="AC1102" s="6"/>
      <c r="AD1102" s="6" t="s">
        <v>56</v>
      </c>
      <c r="AE1102" s="6"/>
      <c r="AF1102" s="6" t="s">
        <v>68</v>
      </c>
      <c r="AG1102" s="6"/>
      <c r="AH1102" s="6" t="s">
        <v>58</v>
      </c>
      <c r="AJ1102" s="6" t="s">
        <v>57</v>
      </c>
    </row>
    <row r="1103" spans="1:36" ht="15.75" customHeight="1" x14ac:dyDescent="0.25">
      <c r="A1103" s="7">
        <v>43421.454776331018</v>
      </c>
      <c r="B1103" s="6" t="s">
        <v>294</v>
      </c>
      <c r="C1103" s="6" t="s">
        <v>95</v>
      </c>
      <c r="D1103" s="6" t="s">
        <v>163</v>
      </c>
      <c r="E1103" s="6" t="s">
        <v>81</v>
      </c>
      <c r="G1103" s="6" t="s">
        <v>87</v>
      </c>
      <c r="J1103" s="6" t="s">
        <v>110</v>
      </c>
      <c r="K1103" s="6"/>
      <c r="L1103" s="6" t="s">
        <v>2514</v>
      </c>
      <c r="M1103" s="6"/>
      <c r="N1103" s="6" t="s">
        <v>98</v>
      </c>
      <c r="O1103" s="6"/>
      <c r="P1103" s="6" t="s">
        <v>168</v>
      </c>
      <c r="Q1103" s="6"/>
      <c r="R1103" s="47" t="s">
        <v>5680</v>
      </c>
      <c r="S1103" s="14" t="s">
        <v>5681</v>
      </c>
      <c r="T1103" s="14" t="s">
        <v>5682</v>
      </c>
      <c r="U1103" s="14" t="s">
        <v>5683</v>
      </c>
      <c r="V1103" s="14" t="s">
        <v>3994</v>
      </c>
      <c r="AA1103" s="6"/>
      <c r="AB1103" s="6" t="s">
        <v>55</v>
      </c>
      <c r="AC1103" s="6"/>
      <c r="AD1103" s="6" t="s">
        <v>56</v>
      </c>
      <c r="AE1103" s="6"/>
      <c r="AF1103" s="6" t="s">
        <v>75</v>
      </c>
      <c r="AG1103" s="6"/>
      <c r="AH1103" s="6" t="s">
        <v>58</v>
      </c>
      <c r="AI1103" s="6"/>
      <c r="AJ1103" s="6" t="s">
        <v>59</v>
      </c>
    </row>
    <row r="1104" spans="1:36" ht="15.75" customHeight="1" x14ac:dyDescent="0.25">
      <c r="A1104" s="7">
        <v>43421.457187824075</v>
      </c>
      <c r="B1104" s="6" t="s">
        <v>30</v>
      </c>
      <c r="C1104" s="6" t="s">
        <v>128</v>
      </c>
      <c r="D1104" s="6" t="s">
        <v>165</v>
      </c>
      <c r="E1104" s="6" t="s">
        <v>81</v>
      </c>
      <c r="G1104" s="6" t="s">
        <v>87</v>
      </c>
      <c r="H1104" s="6" t="s">
        <v>3733</v>
      </c>
      <c r="I1104" s="6"/>
      <c r="J1104" s="6" t="s">
        <v>158</v>
      </c>
      <c r="K1104" s="6"/>
      <c r="L1104" s="6" t="s">
        <v>2369</v>
      </c>
      <c r="M1104" s="6"/>
      <c r="N1104" s="6" t="s">
        <v>181</v>
      </c>
      <c r="O1104" s="6"/>
      <c r="P1104" s="6" t="s">
        <v>94</v>
      </c>
      <c r="Q1104" s="6"/>
      <c r="R1104" s="47" t="s">
        <v>5684</v>
      </c>
      <c r="S1104" s="14" t="s">
        <v>4617</v>
      </c>
      <c r="T1104" s="14" t="s">
        <v>5364</v>
      </c>
      <c r="U1104" s="14" t="s">
        <v>5685</v>
      </c>
      <c r="V1104" s="14" t="s">
        <v>4970</v>
      </c>
      <c r="W1104" s="14" t="s">
        <v>5686</v>
      </c>
      <c r="X1104" s="14" t="s">
        <v>4404</v>
      </c>
      <c r="Y1104" s="14" t="s">
        <v>4777</v>
      </c>
      <c r="Z1104" s="14" t="s">
        <v>5687</v>
      </c>
      <c r="AA1104" s="6"/>
      <c r="AB1104" s="6" t="s">
        <v>67</v>
      </c>
      <c r="AC1104" s="6"/>
      <c r="AD1104" s="6" t="s">
        <v>56</v>
      </c>
      <c r="AE1104" s="6"/>
      <c r="AF1104" s="6" t="s">
        <v>161</v>
      </c>
      <c r="AG1104" s="6"/>
      <c r="AH1104" s="6" t="s">
        <v>76</v>
      </c>
      <c r="AI1104" s="6"/>
      <c r="AJ1104" s="6" t="s">
        <v>356</v>
      </c>
    </row>
    <row r="1105" spans="1:36" ht="15.75" customHeight="1" x14ac:dyDescent="0.25">
      <c r="A1105" s="7">
        <v>43421.465005324077</v>
      </c>
      <c r="B1105" s="6" t="s">
        <v>60</v>
      </c>
      <c r="C1105" s="6" t="s">
        <v>287</v>
      </c>
      <c r="D1105" s="6" t="s">
        <v>261</v>
      </c>
      <c r="E1105" s="6" t="s">
        <v>48</v>
      </c>
      <c r="F1105" s="6" t="s">
        <v>3737</v>
      </c>
      <c r="G1105" s="6" t="s">
        <v>48</v>
      </c>
      <c r="H1105" s="6" t="s">
        <v>3738</v>
      </c>
      <c r="I1105" s="6"/>
      <c r="J1105" s="6" t="s">
        <v>73</v>
      </c>
      <c r="K1105" s="6"/>
      <c r="L1105" s="6" t="s">
        <v>3063</v>
      </c>
      <c r="M1105" s="6"/>
      <c r="N1105" s="6" t="s">
        <v>181</v>
      </c>
      <c r="O1105" s="6"/>
      <c r="P1105" s="6" t="s">
        <v>131</v>
      </c>
      <c r="Q1105" s="6"/>
      <c r="R1105" s="47" t="s">
        <v>3739</v>
      </c>
      <c r="AA1105" s="6"/>
      <c r="AB1105" s="6" t="s">
        <v>67</v>
      </c>
      <c r="AC1105" s="6"/>
      <c r="AD1105" s="6" t="s">
        <v>56</v>
      </c>
      <c r="AE1105" s="6"/>
      <c r="AF1105" s="6" t="s">
        <v>75</v>
      </c>
      <c r="AG1105" s="6"/>
      <c r="AH1105" s="6" t="s">
        <v>76</v>
      </c>
      <c r="AI1105" s="6"/>
      <c r="AJ1105" s="6" t="s">
        <v>102</v>
      </c>
    </row>
    <row r="1106" spans="1:36" ht="15.75" customHeight="1" x14ac:dyDescent="0.25">
      <c r="A1106" s="7">
        <v>43421.476990543983</v>
      </c>
      <c r="B1106" s="6" t="s">
        <v>26</v>
      </c>
      <c r="C1106" s="6" t="s">
        <v>116</v>
      </c>
      <c r="D1106" s="6" t="s">
        <v>133</v>
      </c>
      <c r="E1106" s="6" t="s">
        <v>81</v>
      </c>
      <c r="G1106" s="6" t="s">
        <v>81</v>
      </c>
      <c r="J1106" s="6" t="s">
        <v>110</v>
      </c>
      <c r="K1106" s="6"/>
      <c r="L1106" s="6" t="s">
        <v>2496</v>
      </c>
      <c r="M1106" s="6"/>
      <c r="N1106" s="6" t="s">
        <v>93</v>
      </c>
      <c r="O1106" s="6"/>
      <c r="P1106" s="6" t="s">
        <v>94</v>
      </c>
      <c r="Q1106" s="6"/>
      <c r="AA1106" s="6"/>
      <c r="AB1106" s="6" t="s">
        <v>67</v>
      </c>
      <c r="AC1106" s="6"/>
      <c r="AD1106" s="6" t="s">
        <v>56</v>
      </c>
      <c r="AE1106" s="6"/>
      <c r="AF1106" s="6" t="s">
        <v>68</v>
      </c>
      <c r="AG1106" s="6"/>
      <c r="AH1106" s="6" t="s">
        <v>57</v>
      </c>
      <c r="AI1106" s="6"/>
      <c r="AJ1106" s="11" t="s">
        <v>347</v>
      </c>
    </row>
    <row r="1107" spans="1:36" ht="15.75" customHeight="1" x14ac:dyDescent="0.25">
      <c r="A1107" s="7">
        <v>43421.489572511578</v>
      </c>
      <c r="B1107" s="6" t="s">
        <v>30</v>
      </c>
      <c r="C1107" s="6" t="s">
        <v>95</v>
      </c>
      <c r="D1107" s="6" t="s">
        <v>46</v>
      </c>
      <c r="E1107" s="6" t="s">
        <v>48</v>
      </c>
      <c r="F1107" s="6" t="s">
        <v>3741</v>
      </c>
      <c r="G1107" s="6" t="s">
        <v>48</v>
      </c>
      <c r="H1107" s="6" t="s">
        <v>3742</v>
      </c>
      <c r="I1107" s="6"/>
      <c r="J1107" s="6" t="s">
        <v>89</v>
      </c>
      <c r="K1107" s="6"/>
      <c r="L1107" s="6" t="s">
        <v>2682</v>
      </c>
      <c r="M1107" s="6"/>
      <c r="N1107" s="6" t="s">
        <v>181</v>
      </c>
      <c r="O1107" s="6"/>
      <c r="P1107" s="6" t="s">
        <v>94</v>
      </c>
      <c r="Q1107" s="6"/>
      <c r="R1107" s="47" t="s">
        <v>1767</v>
      </c>
      <c r="S1107" s="14" t="s">
        <v>5001</v>
      </c>
      <c r="T1107" s="14" t="s">
        <v>5688</v>
      </c>
      <c r="AA1107" s="6"/>
      <c r="AB1107" s="6" t="s">
        <v>101</v>
      </c>
      <c r="AC1107" s="6"/>
      <c r="AD1107" s="6" t="s">
        <v>56</v>
      </c>
      <c r="AE1107" s="6"/>
      <c r="AF1107" s="6" t="s">
        <v>75</v>
      </c>
      <c r="AG1107" s="6"/>
      <c r="AH1107" s="6" t="s">
        <v>58</v>
      </c>
      <c r="AI1107" s="6"/>
      <c r="AJ1107" s="6" t="s">
        <v>300</v>
      </c>
    </row>
    <row r="1108" spans="1:36" ht="15.75" customHeight="1" x14ac:dyDescent="0.25">
      <c r="A1108" s="7">
        <v>43421.507190625001</v>
      </c>
      <c r="B1108" s="6" t="s">
        <v>397</v>
      </c>
      <c r="C1108" s="6" t="s">
        <v>1061</v>
      </c>
      <c r="D1108" s="6" t="s">
        <v>163</v>
      </c>
      <c r="E1108" s="6" t="s">
        <v>48</v>
      </c>
      <c r="F1108" s="6" t="s">
        <v>3745</v>
      </c>
      <c r="G1108" s="6" t="s">
        <v>48</v>
      </c>
      <c r="H1108" s="6" t="s">
        <v>3746</v>
      </c>
      <c r="I1108" s="6"/>
      <c r="J1108" s="6" t="s">
        <v>89</v>
      </c>
      <c r="K1108" s="6"/>
      <c r="L1108" s="6" t="s">
        <v>3064</v>
      </c>
      <c r="M1108" s="6"/>
      <c r="N1108" s="6" t="s">
        <v>212</v>
      </c>
      <c r="O1108" s="6"/>
      <c r="P1108" s="6" t="s">
        <v>99</v>
      </c>
      <c r="Q1108" s="6"/>
      <c r="R1108" s="47" t="s">
        <v>5689</v>
      </c>
      <c r="S1108" s="14" t="s">
        <v>5690</v>
      </c>
      <c r="T1108" s="14" t="s">
        <v>5691</v>
      </c>
      <c r="AA1108" s="6"/>
      <c r="AB1108" s="6" t="s">
        <v>67</v>
      </c>
      <c r="AC1108" s="6"/>
      <c r="AD1108" s="6" t="s">
        <v>56</v>
      </c>
      <c r="AE1108" s="6"/>
      <c r="AF1108" s="6" t="s">
        <v>75</v>
      </c>
      <c r="AG1108" s="6"/>
      <c r="AH1108" s="6" t="s">
        <v>76</v>
      </c>
      <c r="AI1108" s="6"/>
      <c r="AJ1108" s="6" t="s">
        <v>233</v>
      </c>
    </row>
    <row r="1109" spans="1:36" ht="15.75" customHeight="1" x14ac:dyDescent="0.25">
      <c r="A1109" s="7">
        <v>43421.511364259262</v>
      </c>
      <c r="B1109" s="6" t="s">
        <v>154</v>
      </c>
      <c r="C1109" s="6" t="s">
        <v>116</v>
      </c>
      <c r="D1109" s="6" t="s">
        <v>133</v>
      </c>
      <c r="E1109" s="6" t="s">
        <v>81</v>
      </c>
      <c r="G1109" s="6" t="s">
        <v>87</v>
      </c>
      <c r="H1109" s="6" t="s">
        <v>3749</v>
      </c>
      <c r="I1109" s="6"/>
      <c r="J1109" s="6" t="s">
        <v>106</v>
      </c>
      <c r="K1109" s="6"/>
      <c r="L1109" s="6" t="s">
        <v>2517</v>
      </c>
      <c r="M1109" s="6"/>
      <c r="N1109" s="6" t="s">
        <v>167</v>
      </c>
      <c r="O1109" s="6"/>
      <c r="P1109" s="6" t="s">
        <v>94</v>
      </c>
      <c r="Q1109" s="6"/>
      <c r="R1109" s="47" t="s">
        <v>3750</v>
      </c>
      <c r="AA1109" s="6"/>
      <c r="AB1109" s="6" t="s">
        <v>67</v>
      </c>
      <c r="AC1109" s="6"/>
      <c r="AD1109" s="6" t="s">
        <v>57</v>
      </c>
      <c r="AE1109" s="6"/>
      <c r="AF1109" s="6" t="s">
        <v>57</v>
      </c>
      <c r="AG1109" s="6"/>
      <c r="AH1109" s="6" t="s">
        <v>126</v>
      </c>
      <c r="AI1109" s="6"/>
      <c r="AJ1109" s="11" t="s">
        <v>115</v>
      </c>
    </row>
    <row r="1110" spans="1:36" ht="15.75" customHeight="1" x14ac:dyDescent="0.25">
      <c r="A1110" s="7">
        <v>43421.530147789352</v>
      </c>
      <c r="B1110" s="6" t="s">
        <v>30</v>
      </c>
      <c r="C1110" s="6" t="s">
        <v>95</v>
      </c>
      <c r="D1110" s="6" t="s">
        <v>165</v>
      </c>
      <c r="E1110" s="6" t="s">
        <v>81</v>
      </c>
      <c r="G1110" s="6" t="s">
        <v>87</v>
      </c>
      <c r="H1110" s="6" t="s">
        <v>3752</v>
      </c>
      <c r="I1110" s="6"/>
      <c r="J1110" s="6" t="s">
        <v>110</v>
      </c>
      <c r="K1110" s="6"/>
      <c r="L1110" s="6" t="s">
        <v>3067</v>
      </c>
      <c r="M1110" s="6"/>
      <c r="N1110" s="6" t="s">
        <v>51</v>
      </c>
      <c r="O1110" s="6"/>
      <c r="P1110" s="6" t="s">
        <v>99</v>
      </c>
      <c r="Q1110" s="6"/>
      <c r="R1110" s="47" t="s">
        <v>5454</v>
      </c>
      <c r="S1110" s="14" t="s">
        <v>4400</v>
      </c>
      <c r="T1110" s="14" t="s">
        <v>4431</v>
      </c>
      <c r="U1110" s="14" t="s">
        <v>4702</v>
      </c>
      <c r="AA1110" s="6"/>
      <c r="AB1110" s="6" t="s">
        <v>55</v>
      </c>
      <c r="AC1110" s="6"/>
      <c r="AD1110" s="6" t="s">
        <v>56</v>
      </c>
      <c r="AE1110" s="6"/>
      <c r="AF1110" s="6" t="s">
        <v>68</v>
      </c>
      <c r="AG1110" s="6"/>
      <c r="AH1110" s="6" t="s">
        <v>58</v>
      </c>
      <c r="AI1110" s="6"/>
      <c r="AJ1110" s="6" t="s">
        <v>293</v>
      </c>
    </row>
    <row r="1111" spans="1:36" ht="15.75" customHeight="1" x14ac:dyDescent="0.25">
      <c r="A1111" s="7">
        <v>43421.539089097219</v>
      </c>
      <c r="B1111" s="6" t="s">
        <v>30</v>
      </c>
      <c r="C1111" s="6" t="s">
        <v>1061</v>
      </c>
      <c r="D1111" s="6" t="s">
        <v>261</v>
      </c>
      <c r="E1111" s="6" t="s">
        <v>48</v>
      </c>
      <c r="F1111" s="6" t="s">
        <v>3754</v>
      </c>
      <c r="G1111" s="6" t="s">
        <v>48</v>
      </c>
      <c r="H1111" s="6" t="s">
        <v>3755</v>
      </c>
      <c r="I1111" s="6"/>
      <c r="J1111" s="6" t="s">
        <v>89</v>
      </c>
      <c r="K1111" s="6"/>
      <c r="L1111" s="6" t="s">
        <v>3069</v>
      </c>
      <c r="M1111" s="6"/>
      <c r="N1111" s="6" t="s">
        <v>212</v>
      </c>
      <c r="O1111" s="6"/>
      <c r="P1111" s="6" t="s">
        <v>52</v>
      </c>
      <c r="Q1111" s="6"/>
      <c r="R1111" s="47" t="s">
        <v>3319</v>
      </c>
      <c r="S1111" s="14" t="s">
        <v>5692</v>
      </c>
      <c r="T1111" s="14" t="s">
        <v>4414</v>
      </c>
      <c r="U1111" s="14" t="s">
        <v>5693</v>
      </c>
      <c r="V1111" s="14" t="s">
        <v>5694</v>
      </c>
      <c r="AA1111" s="6"/>
      <c r="AB1111" s="6" t="s">
        <v>101</v>
      </c>
      <c r="AC1111" s="6"/>
      <c r="AD1111" s="6" t="s">
        <v>109</v>
      </c>
      <c r="AE1111" s="6"/>
      <c r="AF1111" s="6" t="s">
        <v>75</v>
      </c>
      <c r="AG1111" s="6"/>
      <c r="AH1111" s="6" t="s">
        <v>126</v>
      </c>
      <c r="AI1111" s="6"/>
      <c r="AJ1111" s="6" t="s">
        <v>256</v>
      </c>
    </row>
    <row r="1112" spans="1:36" ht="15.75" customHeight="1" x14ac:dyDescent="0.25">
      <c r="A1112" s="7">
        <v>43421.540513148153</v>
      </c>
      <c r="B1112" s="6" t="s">
        <v>30</v>
      </c>
      <c r="C1112" s="6" t="s">
        <v>116</v>
      </c>
      <c r="D1112" s="6" t="s">
        <v>138</v>
      </c>
      <c r="E1112" s="6" t="s">
        <v>81</v>
      </c>
      <c r="G1112" s="6" t="s">
        <v>87</v>
      </c>
      <c r="J1112" s="6" t="s">
        <v>92</v>
      </c>
      <c r="K1112" s="6"/>
      <c r="N1112" s="6" t="s">
        <v>98</v>
      </c>
      <c r="O1112" s="6"/>
      <c r="P1112" s="6" t="s">
        <v>94</v>
      </c>
      <c r="Q1112" s="6"/>
      <c r="AA1112" s="6"/>
      <c r="AB1112" s="6" t="s">
        <v>67</v>
      </c>
      <c r="AC1112" s="6"/>
      <c r="AD1112" s="6" t="s">
        <v>56</v>
      </c>
      <c r="AE1112" s="6"/>
      <c r="AF1112" s="6" t="s">
        <v>75</v>
      </c>
      <c r="AG1112" s="6"/>
      <c r="AH1112" s="6" t="s">
        <v>58</v>
      </c>
      <c r="AI1112" s="6"/>
      <c r="AJ1112" s="6" t="s">
        <v>359</v>
      </c>
    </row>
    <row r="1113" spans="1:36" ht="15.75" customHeight="1" x14ac:dyDescent="0.25">
      <c r="A1113" s="7">
        <v>43421.540647291666</v>
      </c>
      <c r="B1113" s="6" t="s">
        <v>60</v>
      </c>
      <c r="C1113" s="6" t="s">
        <v>971</v>
      </c>
      <c r="D1113" s="6" t="s">
        <v>165</v>
      </c>
      <c r="E1113" s="6" t="s">
        <v>81</v>
      </c>
      <c r="G1113" s="6" t="s">
        <v>48</v>
      </c>
      <c r="J1113" s="6" t="s">
        <v>92</v>
      </c>
      <c r="K1113" s="6"/>
      <c r="L1113" s="6" t="s">
        <v>3070</v>
      </c>
      <c r="M1113" s="6"/>
      <c r="N1113" s="6" t="s">
        <v>181</v>
      </c>
      <c r="O1113" s="6"/>
      <c r="P1113" s="6" t="s">
        <v>94</v>
      </c>
      <c r="Q1113" s="6"/>
      <c r="R1113" s="47" t="s">
        <v>5695</v>
      </c>
      <c r="S1113" s="14" t="s">
        <v>5696</v>
      </c>
      <c r="T1113" s="14" t="s">
        <v>5697</v>
      </c>
      <c r="U1113" s="14" t="s">
        <v>5111</v>
      </c>
      <c r="AA1113" s="6"/>
      <c r="AB1113" s="6" t="s">
        <v>101</v>
      </c>
      <c r="AC1113" s="6"/>
      <c r="AD1113" s="6" t="s">
        <v>56</v>
      </c>
      <c r="AE1113" s="6"/>
      <c r="AF1113" s="6" t="s">
        <v>68</v>
      </c>
      <c r="AG1113" s="6"/>
      <c r="AH1113" s="6" t="s">
        <v>58</v>
      </c>
      <c r="AI1113" s="6"/>
      <c r="AJ1113" s="6" t="s">
        <v>318</v>
      </c>
    </row>
    <row r="1114" spans="1:36" ht="15.75" customHeight="1" x14ac:dyDescent="0.25">
      <c r="A1114" s="7">
        <v>43421.544545590281</v>
      </c>
      <c r="B1114" s="6" t="s">
        <v>28</v>
      </c>
      <c r="C1114" s="6" t="s">
        <v>45</v>
      </c>
      <c r="D1114" s="6" t="s">
        <v>46</v>
      </c>
      <c r="E1114" s="6" t="s">
        <v>48</v>
      </c>
      <c r="F1114" s="6" t="s">
        <v>2927</v>
      </c>
      <c r="G1114" s="6" t="s">
        <v>48</v>
      </c>
      <c r="H1114" s="6" t="s">
        <v>3760</v>
      </c>
      <c r="I1114" s="6"/>
      <c r="J1114" s="6" t="s">
        <v>73</v>
      </c>
      <c r="K1114" s="6"/>
      <c r="L1114" s="6" t="s">
        <v>2684</v>
      </c>
      <c r="M1114" s="6"/>
      <c r="N1114" s="6" t="s">
        <v>112</v>
      </c>
      <c r="O1114" s="6"/>
      <c r="P1114" s="6" t="s">
        <v>52</v>
      </c>
      <c r="Q1114" s="6"/>
      <c r="R1114" s="47" t="s">
        <v>5698</v>
      </c>
      <c r="S1114" s="14" t="s">
        <v>4438</v>
      </c>
      <c r="T1114" s="14" t="s">
        <v>4588</v>
      </c>
      <c r="U1114" s="14" t="s">
        <v>5038</v>
      </c>
      <c r="V1114" s="14" t="s">
        <v>4766</v>
      </c>
      <c r="W1114" s="14" t="s">
        <v>4396</v>
      </c>
      <c r="AA1114" s="6"/>
      <c r="AB1114" s="6" t="s">
        <v>55</v>
      </c>
      <c r="AC1114" s="6"/>
      <c r="AD1114" s="6" t="s">
        <v>56</v>
      </c>
      <c r="AE1114" s="6"/>
      <c r="AF1114" s="6" t="s">
        <v>161</v>
      </c>
      <c r="AG1114" s="6"/>
      <c r="AH1114" s="6" t="s">
        <v>76</v>
      </c>
      <c r="AI1114" s="6"/>
      <c r="AJ1114" s="11" t="s">
        <v>77</v>
      </c>
    </row>
    <row r="1115" spans="1:36" ht="15.75" customHeight="1" x14ac:dyDescent="0.25">
      <c r="A1115" s="7">
        <v>43421.566767129625</v>
      </c>
      <c r="B1115" s="6" t="s">
        <v>154</v>
      </c>
      <c r="C1115" s="6" t="s">
        <v>116</v>
      </c>
      <c r="D1115" s="6" t="s">
        <v>155</v>
      </c>
      <c r="E1115" s="6" t="s">
        <v>81</v>
      </c>
      <c r="G1115" s="6" t="s">
        <v>87</v>
      </c>
      <c r="H1115" s="6" t="s">
        <v>86</v>
      </c>
      <c r="I1115" s="6"/>
      <c r="J1115" s="6" t="s">
        <v>110</v>
      </c>
      <c r="K1115" s="6"/>
      <c r="L1115" s="6" t="s">
        <v>3073</v>
      </c>
      <c r="M1115" s="6"/>
      <c r="N1115" s="6" t="s">
        <v>167</v>
      </c>
      <c r="O1115" s="6"/>
      <c r="P1115" s="6" t="s">
        <v>94</v>
      </c>
      <c r="Q1115" s="6"/>
      <c r="R1115" s="47" t="s">
        <v>3260</v>
      </c>
      <c r="S1115" s="14" t="s">
        <v>4527</v>
      </c>
      <c r="AA1115" s="6"/>
      <c r="AB1115" s="6" t="s">
        <v>101</v>
      </c>
      <c r="AC1115" s="6"/>
      <c r="AD1115" s="6" t="s">
        <v>109</v>
      </c>
      <c r="AE1115" s="6"/>
      <c r="AF1115" s="6" t="s">
        <v>57</v>
      </c>
      <c r="AG1115" s="6"/>
      <c r="AH1115" s="6" t="s">
        <v>57</v>
      </c>
      <c r="AI1115" s="6"/>
      <c r="AJ1115" s="11" t="s">
        <v>77</v>
      </c>
    </row>
    <row r="1116" spans="1:36" ht="15.75" customHeight="1" x14ac:dyDescent="0.25">
      <c r="A1116" s="7">
        <v>43421.577050671302</v>
      </c>
      <c r="B1116" s="6" t="s">
        <v>30</v>
      </c>
      <c r="C1116" s="6" t="s">
        <v>477</v>
      </c>
      <c r="D1116" s="6" t="s">
        <v>46</v>
      </c>
      <c r="E1116" s="6" t="s">
        <v>48</v>
      </c>
      <c r="F1116" s="6" t="s">
        <v>3765</v>
      </c>
      <c r="G1116" s="6" t="s">
        <v>48</v>
      </c>
      <c r="H1116" s="6" t="s">
        <v>3766</v>
      </c>
      <c r="I1116" s="6"/>
      <c r="J1116" s="6" t="s">
        <v>64</v>
      </c>
      <c r="K1116" s="6"/>
      <c r="L1116" s="6" t="s">
        <v>3075</v>
      </c>
      <c r="M1116" s="6"/>
      <c r="N1116" s="6" t="s">
        <v>181</v>
      </c>
      <c r="O1116" s="6"/>
      <c r="P1116" s="6" t="s">
        <v>131</v>
      </c>
      <c r="Q1116" s="6"/>
      <c r="R1116" s="47" t="s">
        <v>972</v>
      </c>
      <c r="AA1116" s="6"/>
      <c r="AB1116" s="6" t="s">
        <v>101</v>
      </c>
      <c r="AC1116" s="6"/>
      <c r="AD1116" s="6" t="s">
        <v>56</v>
      </c>
      <c r="AE1116" s="6"/>
      <c r="AF1116" s="6" t="s">
        <v>75</v>
      </c>
      <c r="AG1116" s="6"/>
      <c r="AH1116" s="6" t="s">
        <v>76</v>
      </c>
      <c r="AI1116" s="6"/>
      <c r="AJ1116" s="11" t="s">
        <v>59</v>
      </c>
    </row>
    <row r="1117" spans="1:36" ht="15.75" customHeight="1" x14ac:dyDescent="0.25">
      <c r="A1117" s="7">
        <v>43421.59249761574</v>
      </c>
      <c r="B1117" s="6" t="s">
        <v>30</v>
      </c>
      <c r="C1117" s="6" t="s">
        <v>90</v>
      </c>
      <c r="D1117" s="6" t="s">
        <v>46</v>
      </c>
      <c r="E1117" s="6" t="s">
        <v>81</v>
      </c>
      <c r="G1117" s="6" t="s">
        <v>87</v>
      </c>
      <c r="J1117" s="6" t="s">
        <v>92</v>
      </c>
      <c r="K1117" s="6"/>
      <c r="N1117" s="6" t="s">
        <v>212</v>
      </c>
      <c r="O1117" s="6"/>
      <c r="P1117" s="6" t="s">
        <v>131</v>
      </c>
      <c r="Q1117" s="6"/>
      <c r="AA1117" s="6"/>
      <c r="AC1117" s="6"/>
      <c r="AD1117" s="6" t="s">
        <v>56</v>
      </c>
      <c r="AE1117" s="6"/>
      <c r="AF1117" s="6" t="s">
        <v>205</v>
      </c>
      <c r="AG1117" s="6"/>
      <c r="AH1117" s="6" t="s">
        <v>126</v>
      </c>
      <c r="AJ1117" s="6" t="s">
        <v>57</v>
      </c>
    </row>
    <row r="1118" spans="1:36" ht="15.75" customHeight="1" x14ac:dyDescent="0.25">
      <c r="A1118" s="7">
        <v>43421.596354444446</v>
      </c>
      <c r="B1118" s="6" t="s">
        <v>30</v>
      </c>
      <c r="C1118" s="6" t="s">
        <v>116</v>
      </c>
      <c r="D1118" s="6" t="s">
        <v>46</v>
      </c>
      <c r="E1118" s="6" t="s">
        <v>48</v>
      </c>
      <c r="F1118" s="6" t="s">
        <v>3768</v>
      </c>
      <c r="G1118" s="6" t="s">
        <v>48</v>
      </c>
      <c r="H1118" s="6" t="s">
        <v>3769</v>
      </c>
      <c r="I1118" s="6"/>
      <c r="J1118" s="6" t="s">
        <v>64</v>
      </c>
      <c r="K1118" s="6"/>
      <c r="L1118" s="6" t="s">
        <v>2686</v>
      </c>
      <c r="M1118" s="6"/>
      <c r="N1118" s="6" t="s">
        <v>51</v>
      </c>
      <c r="O1118" s="6"/>
      <c r="P1118" s="6" t="s">
        <v>52</v>
      </c>
      <c r="Q1118" s="6"/>
      <c r="R1118" s="47" t="s">
        <v>149</v>
      </c>
      <c r="S1118" s="14" t="s">
        <v>5699</v>
      </c>
      <c r="T1118" s="14" t="s">
        <v>5480</v>
      </c>
      <c r="AA1118" s="6"/>
      <c r="AB1118" s="6" t="s">
        <v>67</v>
      </c>
      <c r="AC1118" s="6"/>
      <c r="AD1118" s="6" t="s">
        <v>56</v>
      </c>
      <c r="AE1118" s="6"/>
      <c r="AF1118" s="6" t="s">
        <v>68</v>
      </c>
      <c r="AG1118" s="6"/>
      <c r="AH1118" s="6" t="s">
        <v>58</v>
      </c>
      <c r="AI1118" s="6"/>
      <c r="AJ1118" s="6" t="s">
        <v>77</v>
      </c>
    </row>
    <row r="1119" spans="1:36" ht="15.75" customHeight="1" x14ac:dyDescent="0.25">
      <c r="A1119" s="7">
        <v>43421.619667384264</v>
      </c>
      <c r="B1119" s="6" t="s">
        <v>30</v>
      </c>
      <c r="C1119" s="6" t="s">
        <v>90</v>
      </c>
      <c r="E1119" s="6" t="s">
        <v>48</v>
      </c>
      <c r="F1119" s="6" t="s">
        <v>3772</v>
      </c>
      <c r="G1119" s="6" t="s">
        <v>48</v>
      </c>
      <c r="N1119" s="6" t="s">
        <v>181</v>
      </c>
      <c r="O1119" s="6"/>
      <c r="P1119" s="6" t="s">
        <v>131</v>
      </c>
      <c r="Q1119" s="6"/>
      <c r="AA1119" s="6"/>
      <c r="AC1119" s="6"/>
      <c r="AD1119" s="6" t="s">
        <v>56</v>
      </c>
      <c r="AE1119" s="6"/>
      <c r="AF1119" s="6" t="s">
        <v>205</v>
      </c>
      <c r="AG1119" s="6"/>
      <c r="AH1119" s="6" t="s">
        <v>57</v>
      </c>
      <c r="AJ1119" s="6" t="s">
        <v>57</v>
      </c>
    </row>
    <row r="1120" spans="1:36" ht="15.75" customHeight="1" x14ac:dyDescent="0.25">
      <c r="A1120" s="7">
        <v>43421.630821168983</v>
      </c>
      <c r="B1120" s="6" t="s">
        <v>294</v>
      </c>
      <c r="C1120" s="6" t="s">
        <v>79</v>
      </c>
      <c r="D1120" s="6" t="s">
        <v>91</v>
      </c>
      <c r="E1120" s="6" t="s">
        <v>81</v>
      </c>
      <c r="G1120" s="6" t="s">
        <v>87</v>
      </c>
      <c r="J1120" s="6" t="s">
        <v>110</v>
      </c>
      <c r="K1120" s="6"/>
      <c r="L1120" s="6" t="s">
        <v>3076</v>
      </c>
      <c r="M1120" s="6"/>
      <c r="N1120" s="6" t="s">
        <v>98</v>
      </c>
      <c r="O1120" s="6"/>
      <c r="P1120" s="6" t="s">
        <v>94</v>
      </c>
      <c r="Q1120" s="6"/>
      <c r="R1120" s="47" t="s">
        <v>4956</v>
      </c>
      <c r="S1120" s="14" t="s">
        <v>4597</v>
      </c>
      <c r="T1120" s="14" t="s">
        <v>5700</v>
      </c>
      <c r="U1120" s="14" t="s">
        <v>5701</v>
      </c>
      <c r="V1120" s="14" t="s">
        <v>5702</v>
      </c>
      <c r="W1120" s="14" t="s">
        <v>5703</v>
      </c>
      <c r="AA1120" s="6"/>
      <c r="AB1120" s="6" t="s">
        <v>55</v>
      </c>
      <c r="AC1120" s="6"/>
      <c r="AD1120" s="6" t="s">
        <v>56</v>
      </c>
      <c r="AE1120" s="6"/>
      <c r="AF1120" s="6" t="s">
        <v>75</v>
      </c>
      <c r="AG1120" s="6"/>
      <c r="AH1120" s="6" t="s">
        <v>76</v>
      </c>
      <c r="AI1120" s="6"/>
      <c r="AJ1120" s="6" t="s">
        <v>59</v>
      </c>
    </row>
    <row r="1121" spans="1:36" ht="15.75" customHeight="1" x14ac:dyDescent="0.25">
      <c r="A1121" s="7">
        <v>43421.631891539349</v>
      </c>
      <c r="B1121" s="6" t="s">
        <v>60</v>
      </c>
      <c r="C1121" s="6" t="s">
        <v>434</v>
      </c>
      <c r="D1121" s="6" t="s">
        <v>163</v>
      </c>
      <c r="E1121" s="6" t="s">
        <v>81</v>
      </c>
      <c r="G1121" s="6" t="s">
        <v>48</v>
      </c>
      <c r="H1121" s="6" t="s">
        <v>3776</v>
      </c>
      <c r="I1121" s="6"/>
      <c r="J1121" s="6" t="s">
        <v>89</v>
      </c>
      <c r="K1121" s="6"/>
      <c r="L1121" s="6" t="s">
        <v>2519</v>
      </c>
      <c r="M1121" s="6"/>
      <c r="N1121" s="6" t="s">
        <v>98</v>
      </c>
      <c r="O1121" s="6"/>
      <c r="P1121" s="6" t="s">
        <v>94</v>
      </c>
      <c r="Q1121" s="6"/>
      <c r="R1121" s="47" t="s">
        <v>5704</v>
      </c>
      <c r="S1121" s="14" t="s">
        <v>5081</v>
      </c>
      <c r="T1121" s="14" t="s">
        <v>5705</v>
      </c>
      <c r="U1121" s="14" t="s">
        <v>5706</v>
      </c>
      <c r="V1121" s="14" t="s">
        <v>5707</v>
      </c>
      <c r="AA1121" s="6"/>
      <c r="AB1121" s="6" t="s">
        <v>101</v>
      </c>
      <c r="AC1121" s="6"/>
      <c r="AD1121" s="6" t="s">
        <v>56</v>
      </c>
      <c r="AE1121" s="6"/>
      <c r="AF1121" s="6" t="s">
        <v>75</v>
      </c>
      <c r="AG1121" s="6"/>
      <c r="AH1121" s="6" t="s">
        <v>58</v>
      </c>
      <c r="AI1121" s="6"/>
      <c r="AJ1121" s="6" t="s">
        <v>328</v>
      </c>
    </row>
    <row r="1122" spans="1:36" ht="15.75" customHeight="1" x14ac:dyDescent="0.25">
      <c r="A1122" s="7">
        <v>43421.656470810187</v>
      </c>
      <c r="B1122" s="6" t="s">
        <v>294</v>
      </c>
      <c r="C1122" s="6" t="s">
        <v>61</v>
      </c>
      <c r="D1122" s="6" t="s">
        <v>307</v>
      </c>
      <c r="E1122" s="6" t="s">
        <v>81</v>
      </c>
      <c r="G1122" s="6" t="s">
        <v>87</v>
      </c>
      <c r="J1122" s="6" t="s">
        <v>92</v>
      </c>
      <c r="K1122" s="6"/>
      <c r="L1122" s="6" t="s">
        <v>2373</v>
      </c>
      <c r="M1122" s="6"/>
      <c r="P1122" s="6" t="s">
        <v>94</v>
      </c>
      <c r="Q1122" s="6"/>
      <c r="R1122" s="47" t="s">
        <v>182</v>
      </c>
      <c r="AA1122" s="6"/>
      <c r="AB1122" s="6" t="s">
        <v>67</v>
      </c>
      <c r="AC1122" s="6"/>
      <c r="AD1122" s="6" t="s">
        <v>56</v>
      </c>
      <c r="AE1122" s="6"/>
      <c r="AF1122" s="6" t="s">
        <v>68</v>
      </c>
      <c r="AG1122" s="6"/>
      <c r="AH1122" s="6" t="s">
        <v>58</v>
      </c>
      <c r="AJ1122" s="6" t="s">
        <v>57</v>
      </c>
    </row>
    <row r="1123" spans="1:36" ht="15.75" customHeight="1" x14ac:dyDescent="0.25">
      <c r="A1123" s="7">
        <v>43421.668930960645</v>
      </c>
      <c r="B1123" s="6" t="s">
        <v>127</v>
      </c>
      <c r="C1123" s="6" t="s">
        <v>477</v>
      </c>
      <c r="D1123" s="6" t="s">
        <v>46</v>
      </c>
      <c r="E1123" s="6" t="s">
        <v>48</v>
      </c>
      <c r="F1123" s="6" t="s">
        <v>183</v>
      </c>
      <c r="G1123" s="6" t="s">
        <v>48</v>
      </c>
      <c r="H1123" s="6" t="s">
        <v>3779</v>
      </c>
      <c r="I1123" s="6"/>
      <c r="J1123" s="6" t="s">
        <v>106</v>
      </c>
      <c r="K1123" s="6"/>
      <c r="L1123" s="6" t="s">
        <v>2520</v>
      </c>
      <c r="M1123" s="6"/>
      <c r="N1123" s="6" t="s">
        <v>121</v>
      </c>
      <c r="O1123" s="6"/>
      <c r="P1123" s="6" t="s">
        <v>94</v>
      </c>
      <c r="Q1123" s="6"/>
      <c r="R1123" s="47" t="s">
        <v>3054</v>
      </c>
      <c r="S1123" s="14" t="s">
        <v>5081</v>
      </c>
      <c r="T1123" s="14" t="s">
        <v>5708</v>
      </c>
      <c r="U1123" s="14" t="s">
        <v>5709</v>
      </c>
      <c r="V1123" s="14" t="s">
        <v>5710</v>
      </c>
      <c r="AA1123" s="6"/>
      <c r="AB1123" s="6" t="s">
        <v>203</v>
      </c>
      <c r="AC1123" s="6"/>
      <c r="AD1123" s="6" t="s">
        <v>56</v>
      </c>
      <c r="AE1123" s="6"/>
      <c r="AF1123" s="6" t="s">
        <v>75</v>
      </c>
      <c r="AG1123" s="6"/>
      <c r="AH1123" s="6" t="s">
        <v>58</v>
      </c>
      <c r="AI1123" s="6"/>
      <c r="AJ1123" s="6" t="s">
        <v>115</v>
      </c>
    </row>
    <row r="1124" spans="1:36" ht="15.75" customHeight="1" x14ac:dyDescent="0.25">
      <c r="A1124" s="7">
        <v>43421.673901875001</v>
      </c>
      <c r="B1124" s="6" t="s">
        <v>127</v>
      </c>
      <c r="C1124" s="6" t="s">
        <v>116</v>
      </c>
      <c r="D1124" s="6" t="s">
        <v>510</v>
      </c>
      <c r="E1124" s="6" t="s">
        <v>81</v>
      </c>
      <c r="G1124" s="6" t="s">
        <v>87</v>
      </c>
      <c r="H1124" s="6" t="s">
        <v>3782</v>
      </c>
      <c r="I1124" s="6"/>
      <c r="J1124" s="6" t="s">
        <v>184</v>
      </c>
      <c r="K1124" s="6"/>
      <c r="L1124" s="6" t="s">
        <v>3079</v>
      </c>
      <c r="M1124" s="6"/>
      <c r="N1124" s="6" t="s">
        <v>121</v>
      </c>
      <c r="O1124" s="6"/>
      <c r="P1124" s="6" t="s">
        <v>94</v>
      </c>
      <c r="Q1124" s="6"/>
      <c r="R1124" s="47" t="s">
        <v>3896</v>
      </c>
      <c r="S1124" s="14" t="s">
        <v>5711</v>
      </c>
      <c r="T1124" s="14" t="s">
        <v>4472</v>
      </c>
      <c r="U1124" s="14" t="s">
        <v>5712</v>
      </c>
      <c r="AA1124" s="6"/>
      <c r="AB1124" s="6" t="s">
        <v>67</v>
      </c>
      <c r="AC1124" s="6"/>
      <c r="AD1124" s="6" t="s">
        <v>56</v>
      </c>
      <c r="AE1124" s="6"/>
      <c r="AF1124" s="6" t="s">
        <v>57</v>
      </c>
      <c r="AG1124" s="6"/>
      <c r="AH1124" s="6" t="s">
        <v>76</v>
      </c>
      <c r="AI1124" s="6"/>
      <c r="AJ1124" s="6" t="s">
        <v>187</v>
      </c>
    </row>
    <row r="1125" spans="1:36" ht="15.75" customHeight="1" x14ac:dyDescent="0.25">
      <c r="A1125" s="7">
        <v>43421.674047673616</v>
      </c>
      <c r="B1125" s="6" t="s">
        <v>3785</v>
      </c>
      <c r="C1125" s="6" t="s">
        <v>128</v>
      </c>
      <c r="D1125" s="6" t="s">
        <v>165</v>
      </c>
      <c r="E1125" s="6" t="s">
        <v>81</v>
      </c>
      <c r="G1125" s="6" t="s">
        <v>87</v>
      </c>
      <c r="J1125" s="6" t="s">
        <v>92</v>
      </c>
      <c r="K1125" s="6"/>
      <c r="L1125" s="6" t="s">
        <v>2347</v>
      </c>
      <c r="M1125" s="6"/>
      <c r="N1125" s="6" t="s">
        <v>93</v>
      </c>
      <c r="O1125" s="6"/>
      <c r="P1125" s="6" t="s">
        <v>94</v>
      </c>
      <c r="Q1125" s="6"/>
      <c r="R1125" s="47" t="s">
        <v>5554</v>
      </c>
      <c r="S1125" s="14" t="s">
        <v>4414</v>
      </c>
      <c r="AA1125" s="6"/>
      <c r="AB1125" s="6" t="s">
        <v>67</v>
      </c>
      <c r="AC1125" s="6"/>
      <c r="AD1125" s="6" t="s">
        <v>56</v>
      </c>
      <c r="AE1125" s="6"/>
      <c r="AF1125" s="6" t="s">
        <v>75</v>
      </c>
      <c r="AG1125" s="6"/>
      <c r="AH1125" s="6" t="s">
        <v>76</v>
      </c>
      <c r="AI1125" s="6"/>
      <c r="AJ1125" s="6" t="s">
        <v>259</v>
      </c>
    </row>
    <row r="1126" spans="1:36" ht="15.75" customHeight="1" x14ac:dyDescent="0.25">
      <c r="A1126" s="7">
        <v>43421.682062222222</v>
      </c>
      <c r="B1126" s="6" t="s">
        <v>127</v>
      </c>
      <c r="C1126" s="6" t="s">
        <v>1249</v>
      </c>
      <c r="D1126" s="6" t="s">
        <v>46</v>
      </c>
      <c r="E1126" s="6" t="s">
        <v>81</v>
      </c>
      <c r="G1126" s="6" t="s">
        <v>87</v>
      </c>
      <c r="H1126" s="6" t="s">
        <v>3788</v>
      </c>
      <c r="I1126" s="6"/>
      <c r="J1126" s="6" t="s">
        <v>184</v>
      </c>
      <c r="K1126" s="6"/>
      <c r="L1126" s="6" t="s">
        <v>3080</v>
      </c>
      <c r="M1126" s="6"/>
      <c r="N1126" s="6" t="s">
        <v>167</v>
      </c>
      <c r="O1126" s="6"/>
      <c r="P1126" s="6" t="s">
        <v>168</v>
      </c>
      <c r="Q1126" s="6"/>
      <c r="R1126" s="47" t="s">
        <v>3257</v>
      </c>
      <c r="S1126" s="14" t="s">
        <v>5443</v>
      </c>
      <c r="T1126" s="14" t="s">
        <v>5713</v>
      </c>
      <c r="U1126" s="14" t="s">
        <v>5480</v>
      </c>
      <c r="AA1126" s="6"/>
      <c r="AB1126" s="6" t="s">
        <v>101</v>
      </c>
      <c r="AC1126" s="6"/>
      <c r="AD1126" s="6" t="s">
        <v>56</v>
      </c>
      <c r="AE1126" s="6"/>
      <c r="AF1126" s="6" t="s">
        <v>205</v>
      </c>
      <c r="AG1126" s="6"/>
      <c r="AH1126" s="6" t="s">
        <v>58</v>
      </c>
      <c r="AI1126" s="6"/>
      <c r="AJ1126" s="6" t="s">
        <v>77</v>
      </c>
    </row>
    <row r="1127" spans="1:36" ht="15.75" customHeight="1" x14ac:dyDescent="0.25">
      <c r="A1127" s="7">
        <v>43421.684808668986</v>
      </c>
      <c r="B1127" s="6" t="s">
        <v>30</v>
      </c>
      <c r="C1127" s="6" t="s">
        <v>128</v>
      </c>
      <c r="D1127" s="6" t="s">
        <v>46</v>
      </c>
      <c r="E1127" s="6" t="s">
        <v>81</v>
      </c>
      <c r="G1127" s="6" t="s">
        <v>48</v>
      </c>
      <c r="J1127" s="6" t="s">
        <v>92</v>
      </c>
      <c r="K1127" s="6"/>
      <c r="N1127" s="6" t="s">
        <v>212</v>
      </c>
      <c r="O1127" s="6"/>
      <c r="P1127" s="6" t="s">
        <v>131</v>
      </c>
      <c r="Q1127" s="6"/>
      <c r="AA1127" s="6"/>
      <c r="AB1127" s="6" t="s">
        <v>67</v>
      </c>
      <c r="AC1127" s="6"/>
      <c r="AD1127" s="6" t="s">
        <v>56</v>
      </c>
      <c r="AE1127" s="6"/>
      <c r="AF1127" s="6" t="s">
        <v>68</v>
      </c>
      <c r="AG1127" s="6"/>
      <c r="AH1127" s="6" t="s">
        <v>57</v>
      </c>
      <c r="AI1127" s="6"/>
      <c r="AJ1127" s="6" t="s">
        <v>259</v>
      </c>
    </row>
    <row r="1128" spans="1:36" ht="15.75" customHeight="1" x14ac:dyDescent="0.25">
      <c r="A1128" s="7">
        <v>43421.710099409727</v>
      </c>
      <c r="B1128" s="6" t="s">
        <v>26</v>
      </c>
      <c r="C1128" s="6" t="s">
        <v>116</v>
      </c>
      <c r="D1128" s="6" t="s">
        <v>46</v>
      </c>
      <c r="E1128" s="6" t="s">
        <v>81</v>
      </c>
      <c r="G1128" s="6" t="s">
        <v>87</v>
      </c>
      <c r="H1128" s="6" t="s">
        <v>3791</v>
      </c>
      <c r="I1128" s="6"/>
      <c r="J1128" s="6" t="s">
        <v>50</v>
      </c>
      <c r="K1128" s="6"/>
      <c r="L1128" s="6" t="s">
        <v>3081</v>
      </c>
      <c r="M1128" s="6"/>
      <c r="N1128" s="6" t="s">
        <v>121</v>
      </c>
      <c r="O1128" s="6"/>
      <c r="P1128" s="6" t="s">
        <v>94</v>
      </c>
      <c r="Q1128" s="6"/>
      <c r="R1128" s="47" t="s">
        <v>507</v>
      </c>
      <c r="AA1128" s="6"/>
      <c r="AB1128" s="6" t="s">
        <v>101</v>
      </c>
      <c r="AC1128" s="6"/>
      <c r="AD1128" s="6" t="s">
        <v>57</v>
      </c>
      <c r="AE1128" s="6"/>
      <c r="AF1128" s="6" t="s">
        <v>57</v>
      </c>
      <c r="AG1128" s="6"/>
      <c r="AH1128" s="6" t="s">
        <v>57</v>
      </c>
      <c r="AI1128" s="6"/>
      <c r="AJ1128" s="6" t="s">
        <v>77</v>
      </c>
    </row>
    <row r="1129" spans="1:36" ht="15.75" customHeight="1" x14ac:dyDescent="0.25">
      <c r="A1129" s="7">
        <v>43421.721686828707</v>
      </c>
      <c r="B1129" s="6" t="s">
        <v>60</v>
      </c>
      <c r="C1129" s="6" t="s">
        <v>850</v>
      </c>
      <c r="D1129" s="6" t="s">
        <v>155</v>
      </c>
      <c r="E1129" s="6" t="s">
        <v>81</v>
      </c>
      <c r="G1129" s="6" t="s">
        <v>87</v>
      </c>
      <c r="J1129" s="6" t="s">
        <v>89</v>
      </c>
      <c r="K1129" s="6"/>
      <c r="L1129" s="6" t="s">
        <v>3083</v>
      </c>
      <c r="M1129" s="6"/>
      <c r="N1129" s="6" t="s">
        <v>181</v>
      </c>
      <c r="O1129" s="6"/>
      <c r="P1129" s="6" t="s">
        <v>99</v>
      </c>
      <c r="Q1129" s="6"/>
      <c r="R1129" s="47" t="s">
        <v>3792</v>
      </c>
      <c r="AA1129" s="6"/>
      <c r="AB1129" s="6" t="s">
        <v>101</v>
      </c>
      <c r="AC1129" s="6"/>
      <c r="AD1129" s="6" t="s">
        <v>57</v>
      </c>
      <c r="AE1129" s="6"/>
      <c r="AF1129" s="6" t="s">
        <v>57</v>
      </c>
      <c r="AG1129" s="6"/>
      <c r="AH1129" s="6" t="s">
        <v>57</v>
      </c>
      <c r="AJ1129" s="6" t="s">
        <v>57</v>
      </c>
    </row>
    <row r="1130" spans="1:36" ht="15.75" customHeight="1" x14ac:dyDescent="0.25">
      <c r="A1130" s="7">
        <v>43421.722539918977</v>
      </c>
      <c r="B1130" s="6" t="s">
        <v>305</v>
      </c>
      <c r="C1130" s="6" t="s">
        <v>477</v>
      </c>
      <c r="D1130" s="6" t="s">
        <v>163</v>
      </c>
      <c r="E1130" s="6" t="s">
        <v>81</v>
      </c>
      <c r="G1130" s="6" t="s">
        <v>87</v>
      </c>
      <c r="H1130" s="6" t="s">
        <v>3793</v>
      </c>
      <c r="I1130" s="6"/>
      <c r="J1130" s="6" t="s">
        <v>50</v>
      </c>
      <c r="K1130" s="6"/>
      <c r="N1130" s="6" t="s">
        <v>181</v>
      </c>
      <c r="O1130" s="6"/>
      <c r="P1130" s="6" t="s">
        <v>99</v>
      </c>
      <c r="Q1130" s="6"/>
      <c r="R1130" s="47" t="s">
        <v>3794</v>
      </c>
      <c r="AA1130" s="6"/>
      <c r="AB1130" s="6" t="s">
        <v>101</v>
      </c>
      <c r="AC1130" s="6"/>
      <c r="AD1130" s="6" t="s">
        <v>109</v>
      </c>
      <c r="AE1130" s="6"/>
      <c r="AF1130" s="6" t="s">
        <v>75</v>
      </c>
      <c r="AG1130" s="6"/>
      <c r="AH1130" s="6" t="s">
        <v>58</v>
      </c>
      <c r="AI1130" s="6"/>
      <c r="AJ1130" s="6" t="s">
        <v>320</v>
      </c>
    </row>
    <row r="1131" spans="1:36" ht="15.75" customHeight="1" x14ac:dyDescent="0.25">
      <c r="A1131" s="7">
        <v>43421.737374687495</v>
      </c>
      <c r="B1131" s="6" t="s">
        <v>30</v>
      </c>
      <c r="C1131" s="6" t="s">
        <v>45</v>
      </c>
      <c r="D1131" s="6" t="s">
        <v>46</v>
      </c>
      <c r="E1131" s="6" t="s">
        <v>48</v>
      </c>
      <c r="F1131" s="6" t="s">
        <v>3795</v>
      </c>
      <c r="G1131" s="6" t="s">
        <v>48</v>
      </c>
      <c r="H1131" s="6" t="s">
        <v>3796</v>
      </c>
      <c r="I1131" s="6"/>
      <c r="J1131" s="6" t="s">
        <v>64</v>
      </c>
      <c r="K1131" s="6"/>
      <c r="L1131" s="6" t="s">
        <v>2688</v>
      </c>
      <c r="M1131" s="6"/>
      <c r="N1131" s="6" t="s">
        <v>212</v>
      </c>
      <c r="O1131" s="6"/>
      <c r="P1131" s="6" t="s">
        <v>131</v>
      </c>
      <c r="Q1131" s="6"/>
      <c r="R1131" s="47" t="s">
        <v>3797</v>
      </c>
      <c r="AA1131" s="6"/>
      <c r="AB1131" s="6" t="s">
        <v>67</v>
      </c>
      <c r="AC1131" s="6"/>
      <c r="AD1131" s="6" t="s">
        <v>56</v>
      </c>
      <c r="AE1131" s="6"/>
      <c r="AF1131" s="6" t="s">
        <v>161</v>
      </c>
      <c r="AG1131" s="6"/>
      <c r="AH1131" s="6" t="s">
        <v>76</v>
      </c>
      <c r="AI1131" s="6"/>
      <c r="AJ1131" s="6" t="s">
        <v>77</v>
      </c>
    </row>
    <row r="1132" spans="1:36" ht="15.75" customHeight="1" x14ac:dyDescent="0.25">
      <c r="A1132" s="7">
        <v>43421.770612060187</v>
      </c>
      <c r="B1132" s="6" t="s">
        <v>30</v>
      </c>
      <c r="C1132" s="6" t="s">
        <v>923</v>
      </c>
      <c r="D1132" s="6" t="s">
        <v>163</v>
      </c>
      <c r="E1132" s="6" t="s">
        <v>81</v>
      </c>
      <c r="G1132" s="6" t="s">
        <v>87</v>
      </c>
      <c r="H1132" s="6" t="s">
        <v>3798</v>
      </c>
      <c r="I1132" s="6"/>
      <c r="J1132" s="6" t="s">
        <v>110</v>
      </c>
      <c r="K1132" s="6"/>
      <c r="L1132" s="6" t="s">
        <v>2522</v>
      </c>
      <c r="M1132" s="6"/>
      <c r="N1132" s="6" t="s">
        <v>181</v>
      </c>
      <c r="O1132" s="6"/>
      <c r="P1132" s="6" t="s">
        <v>131</v>
      </c>
      <c r="Q1132" s="6"/>
      <c r="R1132" s="47" t="s">
        <v>3221</v>
      </c>
      <c r="S1132" s="14" t="s">
        <v>4435</v>
      </c>
      <c r="T1132" s="14" t="s">
        <v>4431</v>
      </c>
      <c r="U1132" s="14" t="s">
        <v>4404</v>
      </c>
      <c r="V1132" s="14" t="s">
        <v>5714</v>
      </c>
      <c r="AA1132" s="6"/>
      <c r="AB1132" s="6" t="s">
        <v>67</v>
      </c>
      <c r="AC1132" s="6"/>
      <c r="AD1132" s="6" t="s">
        <v>56</v>
      </c>
      <c r="AE1132" s="6"/>
      <c r="AF1132" s="6" t="s">
        <v>68</v>
      </c>
      <c r="AG1132" s="6"/>
      <c r="AH1132" s="6" t="s">
        <v>58</v>
      </c>
      <c r="AI1132" s="6"/>
      <c r="AJ1132" s="6" t="s">
        <v>77</v>
      </c>
    </row>
    <row r="1133" spans="1:36" ht="15.75" customHeight="1" x14ac:dyDescent="0.25">
      <c r="A1133" s="7">
        <v>43421.781460439815</v>
      </c>
      <c r="B1133" s="6" t="s">
        <v>397</v>
      </c>
      <c r="C1133" s="6" t="s">
        <v>287</v>
      </c>
      <c r="D1133" s="6" t="s">
        <v>91</v>
      </c>
      <c r="E1133" s="6" t="s">
        <v>81</v>
      </c>
      <c r="G1133" s="6" t="s">
        <v>87</v>
      </c>
      <c r="H1133" s="6" t="s">
        <v>3801</v>
      </c>
      <c r="I1133" s="6"/>
      <c r="J1133" s="6" t="s">
        <v>92</v>
      </c>
      <c r="K1133" s="6"/>
      <c r="L1133" s="6" t="s">
        <v>2349</v>
      </c>
      <c r="M1133" s="6"/>
      <c r="N1133" s="6" t="s">
        <v>121</v>
      </c>
      <c r="O1133" s="6"/>
      <c r="P1133" s="6" t="s">
        <v>131</v>
      </c>
      <c r="Q1133" s="6"/>
      <c r="R1133" s="47" t="s">
        <v>3802</v>
      </c>
      <c r="AA1133" s="6"/>
      <c r="AB1133" s="6" t="s">
        <v>101</v>
      </c>
      <c r="AC1133" s="6"/>
      <c r="AD1133" s="6" t="s">
        <v>56</v>
      </c>
      <c r="AE1133" s="6"/>
      <c r="AF1133" s="6" t="s">
        <v>205</v>
      </c>
      <c r="AG1133" s="6"/>
      <c r="AH1133" s="6" t="s">
        <v>58</v>
      </c>
      <c r="AI1133" s="6"/>
      <c r="AJ1133" s="6" t="s">
        <v>115</v>
      </c>
    </row>
    <row r="1134" spans="1:36" ht="15.75" customHeight="1" x14ac:dyDescent="0.25">
      <c r="A1134" s="7">
        <v>43421.786236782413</v>
      </c>
      <c r="B1134" s="6" t="s">
        <v>127</v>
      </c>
      <c r="C1134" s="6" t="s">
        <v>1565</v>
      </c>
      <c r="D1134" s="6" t="s">
        <v>510</v>
      </c>
      <c r="E1134" s="6" t="s">
        <v>48</v>
      </c>
      <c r="F1134" s="6" t="s">
        <v>3803</v>
      </c>
      <c r="G1134" s="6" t="s">
        <v>48</v>
      </c>
      <c r="H1134" s="6" t="s">
        <v>3804</v>
      </c>
      <c r="I1134" s="6"/>
      <c r="J1134" s="6" t="s">
        <v>50</v>
      </c>
      <c r="K1134" s="6"/>
      <c r="L1134" s="6" t="s">
        <v>3086</v>
      </c>
      <c r="M1134" s="6"/>
      <c r="N1134" s="6" t="s">
        <v>212</v>
      </c>
      <c r="O1134" s="6"/>
      <c r="P1134" s="6" t="s">
        <v>52</v>
      </c>
      <c r="Q1134" s="6"/>
      <c r="R1134" s="47" t="s">
        <v>2346</v>
      </c>
      <c r="AA1134" s="6"/>
      <c r="AB1134" s="6" t="s">
        <v>101</v>
      </c>
      <c r="AC1134" s="6"/>
      <c r="AD1134" s="6" t="s">
        <v>56</v>
      </c>
      <c r="AE1134" s="6"/>
      <c r="AF1134" s="6" t="s">
        <v>205</v>
      </c>
      <c r="AG1134" s="6"/>
      <c r="AH1134" s="6" t="s">
        <v>58</v>
      </c>
      <c r="AI1134" s="6"/>
      <c r="AJ1134" s="6" t="s">
        <v>115</v>
      </c>
    </row>
    <row r="1135" spans="1:36" ht="15.75" customHeight="1" x14ac:dyDescent="0.25">
      <c r="A1135" s="7">
        <v>43421.790599479165</v>
      </c>
      <c r="B1135" s="6" t="s">
        <v>3805</v>
      </c>
      <c r="C1135" s="6" t="s">
        <v>95</v>
      </c>
      <c r="D1135" s="6" t="s">
        <v>163</v>
      </c>
      <c r="E1135" s="6" t="s">
        <v>48</v>
      </c>
      <c r="F1135" s="6" t="s">
        <v>3806</v>
      </c>
      <c r="G1135" s="6" t="s">
        <v>48</v>
      </c>
      <c r="H1135" s="6" t="s">
        <v>3807</v>
      </c>
      <c r="I1135" s="6"/>
      <c r="J1135" s="6" t="s">
        <v>50</v>
      </c>
      <c r="K1135" s="6"/>
      <c r="L1135" s="6" t="s">
        <v>3087</v>
      </c>
      <c r="M1135" s="6"/>
      <c r="N1135" s="6" t="s">
        <v>181</v>
      </c>
      <c r="O1135" s="6"/>
      <c r="P1135" s="6" t="s">
        <v>131</v>
      </c>
      <c r="Q1135" s="6"/>
      <c r="R1135" s="47" t="s">
        <v>5059</v>
      </c>
      <c r="S1135" s="14" t="s">
        <v>4473</v>
      </c>
      <c r="T1135" s="14" t="s">
        <v>4806</v>
      </c>
      <c r="AA1135" s="6"/>
      <c r="AB1135" s="6" t="s">
        <v>55</v>
      </c>
      <c r="AC1135" s="6"/>
      <c r="AD1135" s="6" t="s">
        <v>56</v>
      </c>
      <c r="AE1135" s="6"/>
      <c r="AF1135" s="6" t="s">
        <v>68</v>
      </c>
      <c r="AG1135" s="6"/>
      <c r="AH1135" s="6" t="s">
        <v>58</v>
      </c>
      <c r="AI1135" s="6"/>
      <c r="AJ1135" s="6" t="s">
        <v>77</v>
      </c>
    </row>
    <row r="1136" spans="1:36" ht="15.75" customHeight="1" x14ac:dyDescent="0.25">
      <c r="A1136" s="7">
        <v>43421.796156099532</v>
      </c>
      <c r="B1136" s="6" t="s">
        <v>60</v>
      </c>
      <c r="C1136" s="6" t="s">
        <v>85</v>
      </c>
      <c r="D1136" s="6" t="s">
        <v>165</v>
      </c>
      <c r="E1136" s="6" t="s">
        <v>81</v>
      </c>
      <c r="G1136" s="6" t="s">
        <v>48</v>
      </c>
      <c r="J1136" s="6" t="s">
        <v>92</v>
      </c>
      <c r="K1136" s="6"/>
      <c r="L1136" s="6" t="s">
        <v>426</v>
      </c>
      <c r="M1136" s="6"/>
      <c r="N1136" s="6" t="s">
        <v>212</v>
      </c>
      <c r="O1136" s="6"/>
      <c r="P1136" s="6" t="s">
        <v>94</v>
      </c>
      <c r="Q1136" s="6"/>
      <c r="AA1136" s="6"/>
      <c r="AB1136" s="6" t="s">
        <v>67</v>
      </c>
      <c r="AC1136" s="6"/>
      <c r="AD1136" s="6" t="s">
        <v>56</v>
      </c>
      <c r="AE1136" s="6"/>
      <c r="AF1136" s="6" t="s">
        <v>205</v>
      </c>
      <c r="AG1136" s="6"/>
      <c r="AH1136" s="6" t="s">
        <v>58</v>
      </c>
      <c r="AJ1136" s="6" t="s">
        <v>57</v>
      </c>
    </row>
    <row r="1137" spans="1:36" ht="15.75" customHeight="1" x14ac:dyDescent="0.25">
      <c r="A1137" s="7">
        <v>43421.797482245369</v>
      </c>
      <c r="B1137" s="6" t="s">
        <v>60</v>
      </c>
      <c r="C1137" s="6" t="s">
        <v>829</v>
      </c>
      <c r="D1137" s="6" t="s">
        <v>165</v>
      </c>
      <c r="E1137" s="6" t="s">
        <v>48</v>
      </c>
      <c r="F1137" s="6" t="s">
        <v>3809</v>
      </c>
      <c r="G1137" s="6" t="s">
        <v>48</v>
      </c>
      <c r="H1137" s="6" t="s">
        <v>3810</v>
      </c>
      <c r="I1137" s="6"/>
      <c r="J1137" s="6" t="s">
        <v>50</v>
      </c>
      <c r="K1137" s="6"/>
      <c r="L1137" s="6" t="s">
        <v>2526</v>
      </c>
      <c r="M1137" s="6"/>
      <c r="N1137" s="6" t="s">
        <v>121</v>
      </c>
      <c r="O1137" s="6"/>
      <c r="P1137" s="6" t="s">
        <v>131</v>
      </c>
      <c r="Q1137" s="6"/>
      <c r="AA1137" s="6"/>
      <c r="AB1137" s="6" t="s">
        <v>101</v>
      </c>
      <c r="AC1137" s="6"/>
      <c r="AD1137" s="6" t="s">
        <v>56</v>
      </c>
      <c r="AE1137" s="6"/>
      <c r="AF1137" s="6" t="s">
        <v>205</v>
      </c>
      <c r="AG1137" s="6"/>
      <c r="AH1137" s="6" t="s">
        <v>58</v>
      </c>
      <c r="AI1137" s="6"/>
      <c r="AJ1137" s="6" t="s">
        <v>77</v>
      </c>
    </row>
    <row r="1138" spans="1:36" ht="15.75" customHeight="1" x14ac:dyDescent="0.25">
      <c r="A1138" s="7">
        <v>43421.798199942132</v>
      </c>
      <c r="B1138" s="6" t="s">
        <v>30</v>
      </c>
      <c r="C1138" s="6" t="s">
        <v>116</v>
      </c>
      <c r="D1138" s="6" t="s">
        <v>46</v>
      </c>
      <c r="E1138" s="6" t="s">
        <v>48</v>
      </c>
      <c r="F1138" s="6" t="s">
        <v>3811</v>
      </c>
      <c r="G1138" s="6" t="s">
        <v>48</v>
      </c>
      <c r="H1138" s="6" t="s">
        <v>3812</v>
      </c>
      <c r="I1138" s="6"/>
      <c r="J1138" s="6" t="s">
        <v>89</v>
      </c>
      <c r="K1138" s="6"/>
      <c r="L1138" s="6" t="s">
        <v>2690</v>
      </c>
      <c r="M1138" s="6"/>
      <c r="N1138" s="6" t="s">
        <v>212</v>
      </c>
      <c r="O1138" s="6"/>
      <c r="P1138" s="6" t="s">
        <v>94</v>
      </c>
      <c r="Q1138" s="6"/>
      <c r="R1138" s="47" t="s">
        <v>185</v>
      </c>
      <c r="S1138" s="14" t="s">
        <v>4397</v>
      </c>
      <c r="T1138" s="14" t="s">
        <v>5715</v>
      </c>
      <c r="AA1138" s="6"/>
      <c r="AB1138" s="6" t="s">
        <v>101</v>
      </c>
      <c r="AC1138" s="6"/>
      <c r="AD1138" s="6" t="s">
        <v>56</v>
      </c>
      <c r="AE1138" s="6"/>
      <c r="AF1138" s="6" t="s">
        <v>75</v>
      </c>
      <c r="AG1138" s="6"/>
      <c r="AH1138" s="6" t="s">
        <v>58</v>
      </c>
      <c r="AI1138" s="6"/>
      <c r="AJ1138" s="6" t="s">
        <v>115</v>
      </c>
    </row>
    <row r="1139" spans="1:36" ht="15.75" customHeight="1" x14ac:dyDescent="0.25">
      <c r="A1139" s="7">
        <v>43421.805278356478</v>
      </c>
      <c r="B1139" s="6" t="s">
        <v>60</v>
      </c>
      <c r="C1139" s="6" t="s">
        <v>79</v>
      </c>
      <c r="D1139" s="6" t="s">
        <v>46</v>
      </c>
      <c r="E1139" s="6" t="s">
        <v>48</v>
      </c>
      <c r="F1139" s="6" t="s">
        <v>3814</v>
      </c>
      <c r="G1139" s="6" t="s">
        <v>48</v>
      </c>
      <c r="H1139" s="6" t="s">
        <v>3815</v>
      </c>
      <c r="I1139" s="6"/>
      <c r="J1139" s="6" t="s">
        <v>110</v>
      </c>
      <c r="K1139" s="6"/>
      <c r="L1139" s="6" t="s">
        <v>3089</v>
      </c>
      <c r="M1139" s="6"/>
      <c r="N1139" s="6" t="s">
        <v>212</v>
      </c>
      <c r="O1139" s="6"/>
      <c r="P1139" s="6" t="s">
        <v>131</v>
      </c>
      <c r="Q1139" s="6"/>
      <c r="R1139" s="47" t="s">
        <v>3816</v>
      </c>
      <c r="AA1139" s="6"/>
      <c r="AB1139" s="6" t="s">
        <v>67</v>
      </c>
      <c r="AC1139" s="6"/>
      <c r="AD1139" s="6" t="s">
        <v>56</v>
      </c>
      <c r="AE1139" s="6"/>
      <c r="AF1139" s="6" t="s">
        <v>75</v>
      </c>
      <c r="AG1139" s="6"/>
      <c r="AH1139" s="6" t="s">
        <v>76</v>
      </c>
      <c r="AI1139" s="6"/>
      <c r="AJ1139" s="6" t="s">
        <v>115</v>
      </c>
    </row>
    <row r="1140" spans="1:36" ht="15.75" customHeight="1" x14ac:dyDescent="0.25">
      <c r="A1140" s="7">
        <v>43421.822821458336</v>
      </c>
      <c r="B1140" s="6" t="s">
        <v>3817</v>
      </c>
      <c r="C1140" s="6" t="s">
        <v>116</v>
      </c>
      <c r="D1140" s="6" t="s">
        <v>46</v>
      </c>
      <c r="E1140" s="6" t="s">
        <v>48</v>
      </c>
      <c r="F1140" s="6" t="s">
        <v>3818</v>
      </c>
      <c r="G1140" s="6" t="s">
        <v>48</v>
      </c>
      <c r="H1140" s="6" t="s">
        <v>3819</v>
      </c>
      <c r="I1140" s="6"/>
      <c r="J1140" s="6" t="s">
        <v>89</v>
      </c>
      <c r="K1140" s="6"/>
      <c r="L1140" s="6" t="s">
        <v>3090</v>
      </c>
      <c r="M1140" s="6"/>
      <c r="N1140" s="6" t="s">
        <v>112</v>
      </c>
      <c r="O1140" s="6"/>
      <c r="P1140" s="6" t="s">
        <v>52</v>
      </c>
      <c r="Q1140" s="6"/>
      <c r="R1140" s="47" t="s">
        <v>3820</v>
      </c>
      <c r="AA1140" s="6"/>
      <c r="AB1140" s="6" t="s">
        <v>101</v>
      </c>
      <c r="AC1140" s="6"/>
      <c r="AD1140" s="6" t="s">
        <v>56</v>
      </c>
      <c r="AE1140" s="6"/>
      <c r="AF1140" s="6" t="s">
        <v>75</v>
      </c>
      <c r="AG1140" s="6"/>
      <c r="AH1140" s="6" t="s">
        <v>58</v>
      </c>
      <c r="AI1140" s="6"/>
      <c r="AJ1140" s="6" t="s">
        <v>115</v>
      </c>
    </row>
    <row r="1141" spans="1:36" ht="15.75" customHeight="1" x14ac:dyDescent="0.25">
      <c r="A1141" s="7">
        <v>43421.828419166668</v>
      </c>
      <c r="B1141" s="6" t="s">
        <v>30</v>
      </c>
      <c r="C1141" s="6" t="s">
        <v>116</v>
      </c>
      <c r="E1141" s="6" t="s">
        <v>48</v>
      </c>
      <c r="G1141" s="6" t="s">
        <v>48</v>
      </c>
      <c r="J1141" s="6" t="s">
        <v>89</v>
      </c>
      <c r="K1141" s="6"/>
      <c r="N1141" s="6" t="s">
        <v>181</v>
      </c>
      <c r="O1141" s="6"/>
      <c r="P1141" s="6" t="s">
        <v>94</v>
      </c>
      <c r="Q1141" s="6"/>
      <c r="AA1141" s="6"/>
      <c r="AB1141" s="6" t="s">
        <v>101</v>
      </c>
      <c r="AC1141" s="6"/>
      <c r="AD1141" s="6" t="s">
        <v>56</v>
      </c>
      <c r="AE1141" s="6"/>
      <c r="AF1141" s="6" t="s">
        <v>68</v>
      </c>
      <c r="AG1141" s="6"/>
      <c r="AH1141" s="6" t="s">
        <v>58</v>
      </c>
      <c r="AJ1141" s="6" t="s">
        <v>57</v>
      </c>
    </row>
    <row r="1142" spans="1:36" ht="15.75" customHeight="1" x14ac:dyDescent="0.25">
      <c r="A1142" s="7">
        <v>43421.830161608799</v>
      </c>
      <c r="B1142" s="6" t="s">
        <v>154</v>
      </c>
      <c r="C1142" s="6" t="s">
        <v>95</v>
      </c>
      <c r="D1142" s="6" t="s">
        <v>46</v>
      </c>
      <c r="E1142" s="6" t="s">
        <v>81</v>
      </c>
      <c r="G1142" s="6" t="s">
        <v>87</v>
      </c>
      <c r="H1142" s="6" t="s">
        <v>3822</v>
      </c>
      <c r="I1142" s="6"/>
      <c r="J1142" s="6" t="s">
        <v>64</v>
      </c>
      <c r="K1142" s="6"/>
      <c r="L1142" s="6" t="s">
        <v>2693</v>
      </c>
      <c r="M1142" s="6"/>
      <c r="N1142" s="6" t="s">
        <v>181</v>
      </c>
      <c r="O1142" s="6"/>
      <c r="P1142" s="6" t="s">
        <v>94</v>
      </c>
      <c r="Q1142" s="6"/>
      <c r="R1142" s="47" t="s">
        <v>201</v>
      </c>
      <c r="S1142" s="14" t="s">
        <v>4393</v>
      </c>
      <c r="T1142" s="14" t="s">
        <v>5716</v>
      </c>
      <c r="U1142" s="14" t="s">
        <v>5717</v>
      </c>
      <c r="V1142" s="14" t="s">
        <v>5718</v>
      </c>
      <c r="AA1142" s="6"/>
      <c r="AB1142" s="6" t="s">
        <v>67</v>
      </c>
      <c r="AC1142" s="6"/>
      <c r="AD1142" s="6" t="s">
        <v>56</v>
      </c>
      <c r="AE1142" s="6"/>
      <c r="AF1142" s="6" t="s">
        <v>68</v>
      </c>
      <c r="AG1142" s="6"/>
      <c r="AH1142" s="6" t="s">
        <v>76</v>
      </c>
      <c r="AI1142" s="6"/>
      <c r="AJ1142" s="6" t="s">
        <v>115</v>
      </c>
    </row>
    <row r="1143" spans="1:36" ht="15.75" customHeight="1" x14ac:dyDescent="0.25">
      <c r="A1143" s="7">
        <v>43421.830544918979</v>
      </c>
      <c r="B1143" s="6" t="s">
        <v>463</v>
      </c>
      <c r="C1143" s="6" t="s">
        <v>306</v>
      </c>
      <c r="D1143" s="6" t="s">
        <v>510</v>
      </c>
      <c r="E1143" s="6" t="s">
        <v>81</v>
      </c>
      <c r="G1143" s="6" t="s">
        <v>87</v>
      </c>
      <c r="H1143" s="6" t="s">
        <v>3825</v>
      </c>
      <c r="I1143" s="6"/>
      <c r="J1143" s="6" t="s">
        <v>106</v>
      </c>
      <c r="K1143" s="6"/>
      <c r="L1143" s="6" t="s">
        <v>2528</v>
      </c>
      <c r="M1143" s="6"/>
      <c r="N1143" s="6" t="s">
        <v>121</v>
      </c>
      <c r="O1143" s="6"/>
      <c r="P1143" s="6" t="s">
        <v>94</v>
      </c>
      <c r="Q1143" s="6"/>
      <c r="R1143" s="47" t="s">
        <v>5719</v>
      </c>
      <c r="S1143" s="14" t="s">
        <v>5269</v>
      </c>
      <c r="T1143" s="14" t="s">
        <v>5720</v>
      </c>
      <c r="U1143" s="14" t="s">
        <v>5721</v>
      </c>
      <c r="AA1143" s="6"/>
      <c r="AB1143" s="6" t="s">
        <v>101</v>
      </c>
      <c r="AC1143" s="6"/>
      <c r="AD1143" s="6" t="s">
        <v>109</v>
      </c>
      <c r="AE1143" s="6"/>
      <c r="AF1143" s="6" t="s">
        <v>205</v>
      </c>
      <c r="AG1143" s="6"/>
      <c r="AH1143" s="6" t="s">
        <v>58</v>
      </c>
      <c r="AI1143" s="6"/>
      <c r="AJ1143" s="6" t="s">
        <v>77</v>
      </c>
    </row>
    <row r="1144" spans="1:36" ht="15.75" customHeight="1" x14ac:dyDescent="0.25">
      <c r="A1144" s="7">
        <v>43421.83462050926</v>
      </c>
      <c r="B1144" s="6" t="s">
        <v>26</v>
      </c>
      <c r="C1144" s="6" t="s">
        <v>95</v>
      </c>
      <c r="D1144" s="6" t="s">
        <v>46</v>
      </c>
      <c r="E1144" s="6" t="s">
        <v>81</v>
      </c>
      <c r="G1144" s="6" t="s">
        <v>87</v>
      </c>
      <c r="J1144" s="6" t="s">
        <v>92</v>
      </c>
      <c r="K1144" s="6"/>
      <c r="N1144" s="6" t="s">
        <v>98</v>
      </c>
      <c r="O1144" s="6"/>
      <c r="P1144" s="6" t="s">
        <v>94</v>
      </c>
      <c r="Q1144" s="6"/>
      <c r="AA1144" s="6"/>
      <c r="AB1144" s="6" t="s">
        <v>101</v>
      </c>
      <c r="AC1144" s="6"/>
      <c r="AD1144" s="6" t="s">
        <v>56</v>
      </c>
      <c r="AE1144" s="6"/>
      <c r="AF1144" s="6" t="s">
        <v>75</v>
      </c>
      <c r="AG1144" s="6"/>
      <c r="AH1144" s="6" t="s">
        <v>58</v>
      </c>
      <c r="AI1144" s="6"/>
      <c r="AJ1144" s="6" t="s">
        <v>132</v>
      </c>
    </row>
    <row r="1145" spans="1:36" ht="15.75" customHeight="1" x14ac:dyDescent="0.25">
      <c r="A1145" s="7">
        <v>43421.835097037037</v>
      </c>
      <c r="B1145" s="6" t="s">
        <v>30</v>
      </c>
      <c r="C1145" s="6" t="s">
        <v>116</v>
      </c>
      <c r="D1145" s="6" t="s">
        <v>46</v>
      </c>
      <c r="E1145" s="6" t="s">
        <v>48</v>
      </c>
      <c r="G1145" s="6" t="s">
        <v>48</v>
      </c>
      <c r="J1145" s="6" t="s">
        <v>106</v>
      </c>
      <c r="K1145" s="6"/>
      <c r="N1145" s="6" t="s">
        <v>121</v>
      </c>
      <c r="O1145" s="6"/>
      <c r="P1145" s="6" t="s">
        <v>94</v>
      </c>
      <c r="Q1145" s="6"/>
      <c r="AA1145" s="6"/>
      <c r="AB1145" s="6" t="s">
        <v>67</v>
      </c>
      <c r="AC1145" s="6"/>
      <c r="AD1145" s="6" t="s">
        <v>56</v>
      </c>
      <c r="AE1145" s="6"/>
      <c r="AF1145" s="6" t="s">
        <v>75</v>
      </c>
      <c r="AG1145" s="6"/>
      <c r="AH1145" s="6" t="s">
        <v>76</v>
      </c>
      <c r="AJ1145" s="6" t="s">
        <v>57</v>
      </c>
    </row>
    <row r="1146" spans="1:36" ht="15.75" customHeight="1" x14ac:dyDescent="0.25">
      <c r="A1146" s="7">
        <v>43421.839487743055</v>
      </c>
      <c r="B1146" s="6" t="s">
        <v>60</v>
      </c>
      <c r="C1146" s="6" t="s">
        <v>756</v>
      </c>
      <c r="D1146" s="6" t="s">
        <v>46</v>
      </c>
      <c r="E1146" s="6" t="s">
        <v>48</v>
      </c>
      <c r="F1146" s="6" t="s">
        <v>3830</v>
      </c>
      <c r="G1146" s="6" t="s">
        <v>48</v>
      </c>
      <c r="H1146" s="6" t="s">
        <v>3831</v>
      </c>
      <c r="I1146" s="6"/>
      <c r="J1146" s="6" t="s">
        <v>50</v>
      </c>
      <c r="K1146" s="6"/>
      <c r="L1146" s="6" t="s">
        <v>2529</v>
      </c>
      <c r="M1146" s="6"/>
      <c r="N1146" s="6" t="s">
        <v>181</v>
      </c>
      <c r="O1146" s="6"/>
      <c r="P1146" s="6" t="s">
        <v>131</v>
      </c>
      <c r="Q1146" s="6"/>
      <c r="R1146" s="47" t="s">
        <v>3833</v>
      </c>
      <c r="AA1146" s="6"/>
      <c r="AB1146" s="6" t="s">
        <v>101</v>
      </c>
      <c r="AC1146" s="6"/>
      <c r="AD1146" s="6" t="s">
        <v>56</v>
      </c>
      <c r="AE1146" s="6"/>
      <c r="AF1146" s="6" t="s">
        <v>68</v>
      </c>
      <c r="AG1146" s="6"/>
      <c r="AH1146" s="6" t="s">
        <v>58</v>
      </c>
      <c r="AI1146" s="6"/>
      <c r="AJ1146" s="6" t="s">
        <v>115</v>
      </c>
    </row>
    <row r="1147" spans="1:36" ht="15.75" customHeight="1" x14ac:dyDescent="0.25">
      <c r="A1147" s="7">
        <v>43421.841151793982</v>
      </c>
      <c r="B1147" s="6" t="s">
        <v>26</v>
      </c>
      <c r="C1147" s="6" t="s">
        <v>79</v>
      </c>
      <c r="D1147" s="6" t="s">
        <v>138</v>
      </c>
      <c r="E1147" s="6" t="s">
        <v>81</v>
      </c>
      <c r="G1147" s="6" t="s">
        <v>87</v>
      </c>
      <c r="H1147" s="6" t="s">
        <v>3834</v>
      </c>
      <c r="I1147" s="6"/>
      <c r="J1147" s="6" t="s">
        <v>89</v>
      </c>
      <c r="K1147" s="6"/>
      <c r="L1147" s="6" t="s">
        <v>2354</v>
      </c>
      <c r="M1147" s="6"/>
      <c r="N1147" s="6" t="s">
        <v>121</v>
      </c>
      <c r="O1147" s="6"/>
      <c r="P1147" s="6" t="s">
        <v>94</v>
      </c>
      <c r="Q1147" s="6"/>
      <c r="AA1147" s="6"/>
      <c r="AB1147" s="6" t="s">
        <v>101</v>
      </c>
      <c r="AC1147" s="6"/>
      <c r="AD1147" s="6" t="s">
        <v>109</v>
      </c>
      <c r="AE1147" s="6"/>
      <c r="AF1147" s="6" t="s">
        <v>75</v>
      </c>
      <c r="AG1147" s="6"/>
      <c r="AH1147" s="6" t="s">
        <v>76</v>
      </c>
      <c r="AI1147" s="6"/>
      <c r="AJ1147" s="6" t="s">
        <v>360</v>
      </c>
    </row>
    <row r="1148" spans="1:36" ht="15.75" customHeight="1" x14ac:dyDescent="0.25">
      <c r="A1148" s="7">
        <v>43421.841548194439</v>
      </c>
      <c r="B1148" s="6" t="s">
        <v>127</v>
      </c>
      <c r="C1148" s="6" t="s">
        <v>90</v>
      </c>
      <c r="D1148" s="6" t="s">
        <v>510</v>
      </c>
      <c r="E1148" s="6" t="s">
        <v>81</v>
      </c>
      <c r="G1148" s="6" t="s">
        <v>87</v>
      </c>
      <c r="J1148" s="6" t="s">
        <v>92</v>
      </c>
      <c r="K1148" s="6"/>
      <c r="P1148" s="6" t="s">
        <v>168</v>
      </c>
      <c r="Q1148" s="6"/>
      <c r="R1148" s="47" t="s">
        <v>5722</v>
      </c>
      <c r="S1148" s="14" t="s">
        <v>5723</v>
      </c>
      <c r="T1148" s="14" t="s">
        <v>5724</v>
      </c>
      <c r="AA1148" s="6"/>
      <c r="AB1148" s="6" t="s">
        <v>101</v>
      </c>
      <c r="AC1148" s="6"/>
      <c r="AD1148" s="6" t="s">
        <v>56</v>
      </c>
      <c r="AE1148" s="6"/>
      <c r="AF1148" s="6" t="s">
        <v>161</v>
      </c>
      <c r="AG1148" s="6"/>
      <c r="AH1148" s="6" t="s">
        <v>76</v>
      </c>
      <c r="AI1148" s="6"/>
      <c r="AJ1148" s="6" t="s">
        <v>77</v>
      </c>
    </row>
    <row r="1149" spans="1:36" ht="15.75" customHeight="1" x14ac:dyDescent="0.25">
      <c r="A1149" s="7">
        <v>43421.853662222224</v>
      </c>
      <c r="B1149" s="6" t="s">
        <v>30</v>
      </c>
      <c r="C1149" s="6" t="s">
        <v>1061</v>
      </c>
      <c r="D1149" s="6" t="s">
        <v>46</v>
      </c>
      <c r="E1149" s="6" t="s">
        <v>48</v>
      </c>
      <c r="F1149" s="6" t="s">
        <v>3837</v>
      </c>
      <c r="G1149" s="6" t="s">
        <v>48</v>
      </c>
      <c r="H1149" s="6" t="s">
        <v>3838</v>
      </c>
      <c r="I1149" s="6"/>
      <c r="J1149" s="6" t="s">
        <v>158</v>
      </c>
      <c r="K1149" s="6"/>
      <c r="L1149" s="6" t="s">
        <v>3093</v>
      </c>
      <c r="M1149" s="6"/>
      <c r="N1149" s="6" t="s">
        <v>181</v>
      </c>
      <c r="O1149" s="6"/>
      <c r="P1149" s="6" t="s">
        <v>131</v>
      </c>
      <c r="Q1149" s="6"/>
      <c r="R1149" s="47" t="s">
        <v>254</v>
      </c>
      <c r="S1149" s="14" t="s">
        <v>4393</v>
      </c>
      <c r="T1149" s="14" t="s">
        <v>4468</v>
      </c>
      <c r="U1149" s="14" t="s">
        <v>5725</v>
      </c>
      <c r="AA1149" s="6"/>
      <c r="AB1149" s="6" t="s">
        <v>67</v>
      </c>
      <c r="AC1149" s="6"/>
      <c r="AD1149" s="6" t="s">
        <v>56</v>
      </c>
      <c r="AE1149" s="6"/>
      <c r="AF1149" s="6" t="s">
        <v>205</v>
      </c>
      <c r="AG1149" s="6"/>
      <c r="AH1149" s="6" t="s">
        <v>58</v>
      </c>
      <c r="AI1149" s="6"/>
      <c r="AJ1149" s="6" t="s">
        <v>77</v>
      </c>
    </row>
    <row r="1150" spans="1:36" ht="15.75" customHeight="1" x14ac:dyDescent="0.25">
      <c r="A1150" s="7">
        <v>43421.860616446764</v>
      </c>
      <c r="B1150" s="6" t="s">
        <v>30</v>
      </c>
      <c r="C1150" s="6" t="s">
        <v>237</v>
      </c>
      <c r="D1150" s="6" t="s">
        <v>133</v>
      </c>
      <c r="E1150" s="6" t="s">
        <v>81</v>
      </c>
      <c r="G1150" s="6" t="s">
        <v>87</v>
      </c>
      <c r="H1150" s="6" t="s">
        <v>3841</v>
      </c>
      <c r="I1150" s="6"/>
      <c r="J1150" s="6" t="s">
        <v>92</v>
      </c>
      <c r="K1150" s="6"/>
      <c r="L1150" s="6" t="s">
        <v>3094</v>
      </c>
      <c r="M1150" s="6"/>
      <c r="N1150" s="6" t="s">
        <v>98</v>
      </c>
      <c r="O1150" s="6"/>
      <c r="P1150" s="6" t="s">
        <v>94</v>
      </c>
      <c r="Q1150" s="6"/>
      <c r="R1150" s="47" t="s">
        <v>3843</v>
      </c>
      <c r="AA1150" s="6"/>
      <c r="AB1150" s="6" t="s">
        <v>101</v>
      </c>
      <c r="AC1150" s="6"/>
      <c r="AD1150" s="6" t="s">
        <v>109</v>
      </c>
      <c r="AE1150" s="6"/>
      <c r="AF1150" s="6" t="s">
        <v>205</v>
      </c>
      <c r="AG1150" s="6"/>
      <c r="AH1150" s="11" t="s">
        <v>126</v>
      </c>
      <c r="AI1150" s="6"/>
      <c r="AJ1150" s="6" t="s">
        <v>77</v>
      </c>
    </row>
    <row r="1151" spans="1:36" ht="15.75" customHeight="1" x14ac:dyDescent="0.25">
      <c r="A1151" s="7">
        <v>43421.86634537037</v>
      </c>
      <c r="B1151" s="6" t="s">
        <v>30</v>
      </c>
      <c r="C1151" s="6" t="s">
        <v>45</v>
      </c>
      <c r="D1151" s="6" t="s">
        <v>133</v>
      </c>
      <c r="E1151" s="6" t="s">
        <v>81</v>
      </c>
      <c r="G1151" s="6" t="s">
        <v>87</v>
      </c>
      <c r="J1151" s="6" t="s">
        <v>92</v>
      </c>
      <c r="K1151" s="6"/>
      <c r="L1151" s="6" t="s">
        <v>3096</v>
      </c>
      <c r="M1151" s="6"/>
      <c r="N1151" s="6" t="s">
        <v>98</v>
      </c>
      <c r="O1151" s="6"/>
      <c r="P1151" s="6" t="s">
        <v>94</v>
      </c>
      <c r="Q1151" s="6"/>
      <c r="R1151" s="47" t="s">
        <v>3345</v>
      </c>
      <c r="AA1151" s="6"/>
      <c r="AB1151" s="6" t="s">
        <v>67</v>
      </c>
      <c r="AC1151" s="6"/>
      <c r="AD1151" s="6" t="s">
        <v>56</v>
      </c>
      <c r="AE1151" s="6"/>
      <c r="AF1151" s="6" t="s">
        <v>205</v>
      </c>
      <c r="AG1151" s="6"/>
      <c r="AH1151" s="6" t="s">
        <v>58</v>
      </c>
      <c r="AI1151" s="6"/>
      <c r="AJ1151" s="6" t="s">
        <v>115</v>
      </c>
    </row>
    <row r="1152" spans="1:36" ht="15.75" customHeight="1" x14ac:dyDescent="0.25">
      <c r="A1152" s="7">
        <v>43421.874645231481</v>
      </c>
      <c r="B1152" s="6" t="s">
        <v>3845</v>
      </c>
      <c r="C1152" s="6" t="s">
        <v>79</v>
      </c>
      <c r="E1152" s="6" t="s">
        <v>81</v>
      </c>
      <c r="F1152" s="6" t="s">
        <v>1193</v>
      </c>
      <c r="G1152" s="6" t="s">
        <v>87</v>
      </c>
      <c r="H1152" s="6" t="s">
        <v>3846</v>
      </c>
      <c r="I1152" s="6"/>
      <c r="J1152" s="6" t="s">
        <v>92</v>
      </c>
      <c r="K1152" s="6"/>
      <c r="L1152" s="6" t="s">
        <v>2694</v>
      </c>
      <c r="M1152" s="6"/>
      <c r="N1152" s="6" t="s">
        <v>181</v>
      </c>
      <c r="O1152" s="6"/>
      <c r="P1152" s="6" t="s">
        <v>168</v>
      </c>
      <c r="Q1152" s="6"/>
      <c r="R1152" s="47" t="s">
        <v>5726</v>
      </c>
      <c r="S1152" s="14" t="s">
        <v>5727</v>
      </c>
      <c r="AA1152" s="6"/>
      <c r="AB1152" s="6" t="s">
        <v>67</v>
      </c>
      <c r="AC1152" s="6"/>
      <c r="AD1152" s="6" t="s">
        <v>56</v>
      </c>
      <c r="AE1152" s="6"/>
      <c r="AF1152" s="6" t="s">
        <v>161</v>
      </c>
      <c r="AG1152" s="6"/>
      <c r="AH1152" s="6" t="s">
        <v>76</v>
      </c>
      <c r="AI1152" s="6"/>
      <c r="AJ1152" s="6" t="s">
        <v>233</v>
      </c>
    </row>
    <row r="1153" spans="1:36" ht="15.75" customHeight="1" x14ac:dyDescent="0.25">
      <c r="A1153" s="7">
        <v>43421.880643761571</v>
      </c>
      <c r="B1153" s="6" t="s">
        <v>60</v>
      </c>
      <c r="C1153" s="6" t="s">
        <v>85</v>
      </c>
      <c r="D1153" s="6" t="s">
        <v>165</v>
      </c>
      <c r="E1153" s="6" t="s">
        <v>48</v>
      </c>
      <c r="F1153" s="6" t="s">
        <v>3849</v>
      </c>
      <c r="G1153" s="6" t="s">
        <v>48</v>
      </c>
      <c r="J1153" s="6" t="s">
        <v>92</v>
      </c>
      <c r="K1153" s="6"/>
      <c r="L1153" s="6" t="s">
        <v>3097</v>
      </c>
      <c r="M1153" s="6"/>
      <c r="N1153" s="6" t="s">
        <v>98</v>
      </c>
      <c r="O1153" s="6"/>
      <c r="P1153" s="6" t="s">
        <v>94</v>
      </c>
      <c r="Q1153" s="6"/>
      <c r="R1153" s="47" t="s">
        <v>3850</v>
      </c>
      <c r="AA1153" s="6"/>
      <c r="AB1153" s="6" t="s">
        <v>101</v>
      </c>
      <c r="AC1153" s="6"/>
      <c r="AD1153" s="6" t="s">
        <v>56</v>
      </c>
      <c r="AE1153" s="6"/>
      <c r="AF1153" s="6" t="s">
        <v>75</v>
      </c>
      <c r="AG1153" s="6"/>
      <c r="AH1153" s="6" t="s">
        <v>126</v>
      </c>
      <c r="AI1153" s="6"/>
      <c r="AJ1153" s="6" t="s">
        <v>233</v>
      </c>
    </row>
    <row r="1154" spans="1:36" ht="15.75" customHeight="1" x14ac:dyDescent="0.25">
      <c r="A1154" s="7">
        <v>43421.88091305556</v>
      </c>
      <c r="B1154" s="6" t="s">
        <v>30</v>
      </c>
      <c r="C1154" s="6" t="s">
        <v>116</v>
      </c>
      <c r="D1154" s="6" t="s">
        <v>133</v>
      </c>
      <c r="E1154" s="6" t="s">
        <v>48</v>
      </c>
      <c r="G1154" s="6" t="s">
        <v>87</v>
      </c>
      <c r="J1154" s="6" t="s">
        <v>184</v>
      </c>
      <c r="K1154" s="6"/>
      <c r="P1154" s="6" t="s">
        <v>94</v>
      </c>
      <c r="Q1154" s="6"/>
      <c r="AA1154" s="6"/>
      <c r="AB1154" s="6" t="s">
        <v>101</v>
      </c>
      <c r="AC1154" s="6"/>
      <c r="AD1154" s="6" t="s">
        <v>57</v>
      </c>
      <c r="AE1154" s="6"/>
      <c r="AF1154" s="6" t="s">
        <v>57</v>
      </c>
      <c r="AG1154" s="6"/>
      <c r="AH1154" s="6" t="s">
        <v>57</v>
      </c>
      <c r="AJ1154" s="6" t="s">
        <v>57</v>
      </c>
    </row>
    <row r="1155" spans="1:36" ht="15.75" customHeight="1" x14ac:dyDescent="0.25">
      <c r="A1155" s="7">
        <v>43421.897347199076</v>
      </c>
      <c r="B1155" s="6" t="s">
        <v>3852</v>
      </c>
      <c r="C1155" s="6" t="s">
        <v>237</v>
      </c>
      <c r="D1155" s="6" t="s">
        <v>165</v>
      </c>
      <c r="E1155" s="6" t="s">
        <v>81</v>
      </c>
      <c r="G1155" s="6" t="s">
        <v>87</v>
      </c>
      <c r="H1155" s="6" t="s">
        <v>3853</v>
      </c>
      <c r="I1155" s="6"/>
      <c r="J1155" s="6" t="s">
        <v>110</v>
      </c>
      <c r="K1155" s="6"/>
      <c r="L1155" s="6" t="s">
        <v>2695</v>
      </c>
      <c r="M1155" s="6"/>
      <c r="N1155" s="6" t="s">
        <v>98</v>
      </c>
      <c r="O1155" s="6"/>
      <c r="P1155" s="6" t="s">
        <v>99</v>
      </c>
      <c r="Q1155" s="6"/>
      <c r="R1155" s="47" t="s">
        <v>5728</v>
      </c>
      <c r="S1155" s="14" t="s">
        <v>4593</v>
      </c>
      <c r="AA1155" s="6"/>
      <c r="AB1155" s="6" t="s">
        <v>55</v>
      </c>
      <c r="AC1155" s="6"/>
      <c r="AD1155" s="6" t="s">
        <v>109</v>
      </c>
      <c r="AE1155" s="6"/>
      <c r="AF1155" s="6" t="s">
        <v>161</v>
      </c>
      <c r="AG1155" s="6"/>
      <c r="AH1155" s="6" t="s">
        <v>76</v>
      </c>
      <c r="AI1155" s="6"/>
      <c r="AJ1155" s="6" t="s">
        <v>77</v>
      </c>
    </row>
    <row r="1156" spans="1:36" ht="15.75" customHeight="1" x14ac:dyDescent="0.25">
      <c r="A1156" s="7">
        <v>43421.90125490741</v>
      </c>
      <c r="B1156" s="6" t="s">
        <v>30</v>
      </c>
      <c r="C1156" s="6" t="s">
        <v>756</v>
      </c>
      <c r="D1156" s="6" t="s">
        <v>133</v>
      </c>
      <c r="E1156" s="6" t="s">
        <v>81</v>
      </c>
      <c r="G1156" s="6" t="s">
        <v>87</v>
      </c>
      <c r="J1156" s="6" t="s">
        <v>110</v>
      </c>
      <c r="K1156" s="6"/>
      <c r="L1156" s="6" t="s">
        <v>2532</v>
      </c>
      <c r="M1156" s="6"/>
      <c r="N1156" s="6" t="s">
        <v>112</v>
      </c>
      <c r="O1156" s="6"/>
      <c r="P1156" s="6" t="s">
        <v>52</v>
      </c>
      <c r="Q1156" s="6"/>
      <c r="R1156" s="47" t="s">
        <v>5729</v>
      </c>
      <c r="S1156" s="14" t="s">
        <v>5730</v>
      </c>
      <c r="T1156" s="14" t="s">
        <v>5731</v>
      </c>
      <c r="AA1156" s="6"/>
      <c r="AB1156" s="6" t="s">
        <v>67</v>
      </c>
      <c r="AC1156" s="6"/>
      <c r="AD1156" s="6" t="s">
        <v>56</v>
      </c>
      <c r="AE1156" s="6"/>
      <c r="AF1156" s="6" t="s">
        <v>68</v>
      </c>
      <c r="AG1156" s="6"/>
      <c r="AH1156" s="6" t="s">
        <v>126</v>
      </c>
      <c r="AI1156" s="6"/>
      <c r="AJ1156" s="6" t="s">
        <v>115</v>
      </c>
    </row>
    <row r="1157" spans="1:36" ht="15.75" customHeight="1" x14ac:dyDescent="0.25">
      <c r="A1157" s="7">
        <v>43421.901471956022</v>
      </c>
      <c r="B1157" s="6" t="s">
        <v>30</v>
      </c>
      <c r="C1157" s="6" t="s">
        <v>971</v>
      </c>
      <c r="D1157" s="6" t="s">
        <v>46</v>
      </c>
      <c r="E1157" s="6" t="s">
        <v>81</v>
      </c>
      <c r="G1157" s="6" t="s">
        <v>87</v>
      </c>
      <c r="J1157" s="6" t="s">
        <v>92</v>
      </c>
      <c r="K1157" s="6"/>
      <c r="L1157" s="6" t="s">
        <v>3098</v>
      </c>
      <c r="M1157" s="6"/>
      <c r="N1157" s="6" t="s">
        <v>51</v>
      </c>
      <c r="O1157" s="6"/>
      <c r="P1157" s="6" t="s">
        <v>52</v>
      </c>
      <c r="Q1157" s="6"/>
      <c r="R1157" s="47" t="s">
        <v>3858</v>
      </c>
      <c r="AA1157" s="6"/>
      <c r="AB1157" s="6" t="s">
        <v>67</v>
      </c>
      <c r="AC1157" s="6"/>
      <c r="AD1157" s="6" t="s">
        <v>56</v>
      </c>
      <c r="AE1157" s="6"/>
      <c r="AF1157" s="6" t="s">
        <v>68</v>
      </c>
      <c r="AG1157" s="6"/>
      <c r="AH1157" s="6" t="s">
        <v>58</v>
      </c>
      <c r="AI1157" s="6"/>
      <c r="AJ1157" s="6" t="s">
        <v>286</v>
      </c>
    </row>
    <row r="1158" spans="1:36" ht="15.75" customHeight="1" x14ac:dyDescent="0.25">
      <c r="A1158" s="7">
        <v>43421.902676192127</v>
      </c>
      <c r="B1158" s="6" t="s">
        <v>30</v>
      </c>
      <c r="C1158" s="6" t="s">
        <v>90</v>
      </c>
      <c r="D1158" s="6" t="s">
        <v>91</v>
      </c>
      <c r="E1158" s="6" t="s">
        <v>81</v>
      </c>
      <c r="G1158" s="6" t="s">
        <v>87</v>
      </c>
      <c r="H1158" s="6" t="s">
        <v>3859</v>
      </c>
      <c r="I1158" s="6"/>
      <c r="J1158" s="6" t="s">
        <v>50</v>
      </c>
      <c r="K1158" s="6"/>
      <c r="L1158" s="6" t="s">
        <v>3099</v>
      </c>
      <c r="M1158" s="6"/>
      <c r="N1158" s="6" t="s">
        <v>98</v>
      </c>
      <c r="O1158" s="6"/>
      <c r="P1158" s="6" t="s">
        <v>131</v>
      </c>
      <c r="Q1158" s="6"/>
      <c r="R1158" s="47" t="s">
        <v>149</v>
      </c>
      <c r="S1158" s="14" t="s">
        <v>4514</v>
      </c>
      <c r="T1158" s="14" t="s">
        <v>4463</v>
      </c>
      <c r="AA1158" s="6"/>
      <c r="AB1158" s="6" t="s">
        <v>67</v>
      </c>
      <c r="AC1158" s="6"/>
      <c r="AD1158" s="6" t="s">
        <v>109</v>
      </c>
      <c r="AE1158" s="6"/>
      <c r="AF1158" s="6" t="s">
        <v>161</v>
      </c>
      <c r="AG1158" s="6"/>
      <c r="AH1158" s="6" t="s">
        <v>76</v>
      </c>
      <c r="AI1158" s="6"/>
      <c r="AJ1158" s="6" t="s">
        <v>77</v>
      </c>
    </row>
    <row r="1159" spans="1:36" ht="15.75" customHeight="1" x14ac:dyDescent="0.25">
      <c r="A1159" s="7">
        <v>43421.902854513886</v>
      </c>
      <c r="B1159" s="6" t="s">
        <v>305</v>
      </c>
      <c r="C1159" s="6" t="s">
        <v>1717</v>
      </c>
      <c r="D1159" s="6" t="s">
        <v>163</v>
      </c>
      <c r="E1159" s="6" t="s">
        <v>48</v>
      </c>
      <c r="F1159" s="6" t="s">
        <v>3862</v>
      </c>
      <c r="G1159" s="6" t="s">
        <v>48</v>
      </c>
      <c r="H1159" s="6" t="s">
        <v>3863</v>
      </c>
      <c r="I1159" s="6"/>
      <c r="J1159" s="6" t="s">
        <v>64</v>
      </c>
      <c r="K1159" s="6"/>
      <c r="L1159" s="6" t="s">
        <v>2394</v>
      </c>
      <c r="M1159" s="6"/>
      <c r="N1159" s="6" t="s">
        <v>181</v>
      </c>
      <c r="O1159" s="6"/>
      <c r="P1159" s="6" t="s">
        <v>131</v>
      </c>
      <c r="Q1159" s="6"/>
      <c r="R1159" s="47" t="s">
        <v>1143</v>
      </c>
      <c r="S1159" s="14" t="s">
        <v>5257</v>
      </c>
      <c r="T1159" s="14" t="s">
        <v>5732</v>
      </c>
      <c r="AA1159" s="6"/>
      <c r="AB1159" s="6" t="s">
        <v>55</v>
      </c>
      <c r="AC1159" s="6"/>
      <c r="AD1159" s="6" t="s">
        <v>56</v>
      </c>
      <c r="AE1159" s="6"/>
      <c r="AF1159" s="6" t="s">
        <v>75</v>
      </c>
      <c r="AG1159" s="6"/>
      <c r="AH1159" s="6" t="s">
        <v>76</v>
      </c>
      <c r="AI1159" s="6"/>
      <c r="AJ1159" s="6" t="s">
        <v>77</v>
      </c>
    </row>
    <row r="1160" spans="1:36" ht="15.75" customHeight="1" x14ac:dyDescent="0.25">
      <c r="A1160" s="7">
        <v>43421.903178032408</v>
      </c>
      <c r="B1160" s="6" t="s">
        <v>60</v>
      </c>
      <c r="C1160" s="6" t="s">
        <v>883</v>
      </c>
      <c r="D1160" s="6" t="s">
        <v>510</v>
      </c>
      <c r="E1160" s="6" t="s">
        <v>48</v>
      </c>
      <c r="F1160" s="6" t="s">
        <v>3866</v>
      </c>
      <c r="G1160" s="6" t="s">
        <v>48</v>
      </c>
      <c r="H1160" s="6" t="s">
        <v>3867</v>
      </c>
      <c r="I1160" s="6"/>
      <c r="J1160" s="6" t="s">
        <v>89</v>
      </c>
      <c r="K1160" s="6"/>
      <c r="L1160" s="6" t="s">
        <v>3100</v>
      </c>
      <c r="M1160" s="6"/>
      <c r="N1160" s="6" t="s">
        <v>112</v>
      </c>
      <c r="O1160" s="6"/>
      <c r="P1160" s="6" t="s">
        <v>99</v>
      </c>
      <c r="Q1160" s="6"/>
      <c r="R1160" s="47" t="s">
        <v>5204</v>
      </c>
      <c r="S1160" s="14" t="s">
        <v>4723</v>
      </c>
      <c r="T1160" s="14" t="s">
        <v>5733</v>
      </c>
      <c r="AA1160" s="6"/>
      <c r="AB1160" s="6" t="s">
        <v>67</v>
      </c>
      <c r="AC1160" s="6"/>
      <c r="AD1160" s="6" t="s">
        <v>56</v>
      </c>
      <c r="AE1160" s="6"/>
      <c r="AF1160" s="6" t="s">
        <v>68</v>
      </c>
      <c r="AG1160" s="6"/>
      <c r="AH1160" s="6" t="s">
        <v>58</v>
      </c>
      <c r="AI1160" s="6"/>
      <c r="AJ1160" s="6" t="s">
        <v>288</v>
      </c>
    </row>
    <row r="1161" spans="1:36" ht="15.75" customHeight="1" x14ac:dyDescent="0.25">
      <c r="A1161" s="7">
        <v>43421.910171770833</v>
      </c>
      <c r="B1161" s="6" t="s">
        <v>1598</v>
      </c>
      <c r="C1161" s="6" t="s">
        <v>116</v>
      </c>
      <c r="D1161" s="6" t="s">
        <v>165</v>
      </c>
      <c r="E1161" s="6" t="s">
        <v>81</v>
      </c>
      <c r="G1161" s="6" t="s">
        <v>87</v>
      </c>
      <c r="J1161" s="6" t="s">
        <v>106</v>
      </c>
      <c r="K1161" s="6"/>
      <c r="N1161" s="6" t="s">
        <v>121</v>
      </c>
      <c r="O1161" s="6"/>
      <c r="P1161" s="6" t="s">
        <v>94</v>
      </c>
      <c r="Q1161" s="6"/>
      <c r="AC1161" s="6"/>
      <c r="AD1161" s="6" t="s">
        <v>56</v>
      </c>
      <c r="AE1161" s="6"/>
      <c r="AF1161" s="6" t="s">
        <v>68</v>
      </c>
      <c r="AG1161" s="6"/>
      <c r="AH1161" s="6" t="s">
        <v>76</v>
      </c>
      <c r="AI1161" s="6"/>
      <c r="AJ1161" s="6" t="s">
        <v>386</v>
      </c>
    </row>
    <row r="1162" spans="1:36" ht="15.75" customHeight="1" x14ac:dyDescent="0.25">
      <c r="A1162" s="7">
        <v>43421.917596689818</v>
      </c>
      <c r="B1162" s="6" t="s">
        <v>60</v>
      </c>
      <c r="C1162" s="6" t="s">
        <v>349</v>
      </c>
      <c r="D1162" s="6" t="s">
        <v>129</v>
      </c>
      <c r="E1162" s="6" t="s">
        <v>81</v>
      </c>
      <c r="G1162" s="6" t="s">
        <v>87</v>
      </c>
      <c r="H1162" s="6" t="s">
        <v>3871</v>
      </c>
      <c r="I1162" s="6"/>
      <c r="J1162" s="6" t="s">
        <v>64</v>
      </c>
      <c r="K1162" s="6"/>
      <c r="L1162" s="6" t="s">
        <v>2698</v>
      </c>
      <c r="M1162" s="6"/>
      <c r="N1162" s="6" t="s">
        <v>181</v>
      </c>
      <c r="O1162" s="6"/>
      <c r="P1162" s="6" t="s">
        <v>99</v>
      </c>
      <c r="Q1162" s="6"/>
      <c r="R1162" s="47" t="s">
        <v>192</v>
      </c>
      <c r="S1162" s="14" t="s">
        <v>5734</v>
      </c>
      <c r="T1162" s="14" t="s">
        <v>5735</v>
      </c>
      <c r="U1162" s="14">
        <v>2</v>
      </c>
      <c r="V1162" s="14" t="s">
        <v>5736</v>
      </c>
      <c r="W1162" s="14">
        <v>2</v>
      </c>
      <c r="X1162" s="14" t="s">
        <v>5737</v>
      </c>
      <c r="Y1162" s="14" t="s">
        <v>5060</v>
      </c>
      <c r="Z1162" s="14" t="s">
        <v>4599</v>
      </c>
      <c r="AA1162" s="6"/>
      <c r="AB1162" s="6" t="s">
        <v>67</v>
      </c>
      <c r="AC1162" s="6"/>
      <c r="AD1162" s="6" t="s">
        <v>56</v>
      </c>
      <c r="AE1162" s="6"/>
      <c r="AF1162" s="6" t="s">
        <v>68</v>
      </c>
      <c r="AG1162" s="6"/>
      <c r="AH1162" s="6" t="s">
        <v>76</v>
      </c>
      <c r="AI1162" s="6"/>
      <c r="AJ1162" s="6" t="s">
        <v>115</v>
      </c>
    </row>
    <row r="1163" spans="1:36" ht="15.75" customHeight="1" x14ac:dyDescent="0.25">
      <c r="A1163" s="7">
        <v>43421.936196458337</v>
      </c>
      <c r="B1163" s="6" t="s">
        <v>60</v>
      </c>
      <c r="C1163" s="6" t="s">
        <v>128</v>
      </c>
      <c r="D1163" s="6" t="s">
        <v>165</v>
      </c>
      <c r="E1163" s="6" t="s">
        <v>48</v>
      </c>
      <c r="F1163" s="6" t="s">
        <v>3873</v>
      </c>
      <c r="G1163" s="6" t="s">
        <v>48</v>
      </c>
      <c r="H1163" s="6" t="s">
        <v>3874</v>
      </c>
      <c r="I1163" s="6"/>
      <c r="J1163" s="6" t="s">
        <v>64</v>
      </c>
      <c r="K1163" s="6"/>
      <c r="L1163" s="6" t="s">
        <v>2699</v>
      </c>
      <c r="M1163" s="6"/>
      <c r="N1163" s="6" t="s">
        <v>121</v>
      </c>
      <c r="O1163" s="6"/>
      <c r="P1163" s="6" t="s">
        <v>131</v>
      </c>
      <c r="Q1163" s="6"/>
      <c r="R1163" s="47" t="s">
        <v>1764</v>
      </c>
      <c r="AA1163" s="6"/>
      <c r="AB1163" s="6" t="s">
        <v>203</v>
      </c>
      <c r="AC1163" s="6"/>
      <c r="AD1163" s="6" t="s">
        <v>56</v>
      </c>
      <c r="AE1163" s="6"/>
      <c r="AF1163" s="6" t="s">
        <v>205</v>
      </c>
      <c r="AG1163" s="6"/>
      <c r="AH1163" s="11" t="s">
        <v>126</v>
      </c>
      <c r="AI1163" s="6"/>
      <c r="AJ1163" s="6" t="s">
        <v>69</v>
      </c>
    </row>
    <row r="1164" spans="1:36" ht="15.75" customHeight="1" x14ac:dyDescent="0.25">
      <c r="A1164" s="7">
        <v>43421.939194548613</v>
      </c>
      <c r="B1164" s="6" t="s">
        <v>60</v>
      </c>
      <c r="C1164" s="6" t="s">
        <v>378</v>
      </c>
      <c r="D1164" s="6" t="s">
        <v>46</v>
      </c>
      <c r="E1164" s="6" t="s">
        <v>81</v>
      </c>
      <c r="G1164" s="6" t="s">
        <v>87</v>
      </c>
      <c r="H1164" s="6" t="s">
        <v>3876</v>
      </c>
      <c r="I1164" s="6"/>
      <c r="J1164" s="6" t="s">
        <v>89</v>
      </c>
      <c r="K1164" s="6"/>
      <c r="L1164" s="6" t="s">
        <v>2701</v>
      </c>
      <c r="M1164" s="6"/>
      <c r="N1164" s="6" t="s">
        <v>181</v>
      </c>
      <c r="O1164" s="6"/>
      <c r="P1164" s="6" t="s">
        <v>131</v>
      </c>
      <c r="Q1164" s="6"/>
      <c r="R1164" s="47" t="s">
        <v>3877</v>
      </c>
      <c r="AA1164" s="6"/>
      <c r="AB1164" s="6" t="s">
        <v>67</v>
      </c>
      <c r="AC1164" s="6"/>
      <c r="AD1164" s="6" t="s">
        <v>56</v>
      </c>
      <c r="AE1164" s="6"/>
      <c r="AF1164" s="6" t="s">
        <v>205</v>
      </c>
      <c r="AG1164" s="6"/>
      <c r="AH1164" s="6" t="s">
        <v>58</v>
      </c>
      <c r="AI1164" s="6"/>
      <c r="AJ1164" s="11" t="s">
        <v>132</v>
      </c>
    </row>
    <row r="1165" spans="1:36" ht="15.75" customHeight="1" x14ac:dyDescent="0.25">
      <c r="A1165" s="7">
        <v>43421.939200289351</v>
      </c>
      <c r="B1165" s="6" t="s">
        <v>30</v>
      </c>
      <c r="C1165" s="6" t="s">
        <v>1864</v>
      </c>
      <c r="D1165" s="6" t="s">
        <v>247</v>
      </c>
      <c r="E1165" s="6" t="s">
        <v>81</v>
      </c>
      <c r="G1165" s="6" t="s">
        <v>87</v>
      </c>
      <c r="H1165" s="6" t="s">
        <v>3879</v>
      </c>
      <c r="I1165" s="6"/>
      <c r="J1165" s="6" t="s">
        <v>184</v>
      </c>
      <c r="K1165" s="6"/>
      <c r="L1165" s="6" t="s">
        <v>2703</v>
      </c>
      <c r="M1165" s="6"/>
      <c r="N1165" s="6" t="s">
        <v>121</v>
      </c>
      <c r="O1165" s="6"/>
      <c r="P1165" s="6" t="s">
        <v>94</v>
      </c>
      <c r="Q1165" s="6"/>
      <c r="R1165" s="47" t="s">
        <v>3217</v>
      </c>
      <c r="S1165" s="14" t="s">
        <v>5369</v>
      </c>
      <c r="T1165" s="14" t="s">
        <v>5462</v>
      </c>
      <c r="U1165" s="14" t="s">
        <v>3994</v>
      </c>
      <c r="AA1165" s="6"/>
      <c r="AB1165" s="6" t="s">
        <v>101</v>
      </c>
      <c r="AC1165" s="6"/>
      <c r="AD1165" s="6" t="s">
        <v>56</v>
      </c>
      <c r="AE1165" s="6"/>
      <c r="AF1165" s="6" t="s">
        <v>161</v>
      </c>
      <c r="AG1165" s="6"/>
      <c r="AH1165" s="6" t="s">
        <v>76</v>
      </c>
      <c r="AI1165" s="6"/>
      <c r="AJ1165" s="6" t="s">
        <v>77</v>
      </c>
    </row>
    <row r="1166" spans="1:36" ht="15.75" customHeight="1" x14ac:dyDescent="0.25">
      <c r="A1166" s="7">
        <v>43421.957672708333</v>
      </c>
      <c r="B1166" s="6" t="s">
        <v>60</v>
      </c>
      <c r="C1166" s="6" t="s">
        <v>45</v>
      </c>
      <c r="D1166" s="6" t="s">
        <v>510</v>
      </c>
      <c r="E1166" s="6" t="s">
        <v>81</v>
      </c>
      <c r="G1166" s="6" t="s">
        <v>87</v>
      </c>
      <c r="H1166" s="6" t="s">
        <v>3881</v>
      </c>
      <c r="I1166" s="6"/>
      <c r="J1166" s="6" t="s">
        <v>50</v>
      </c>
      <c r="K1166" s="6"/>
      <c r="L1166" s="6" t="s">
        <v>3102</v>
      </c>
      <c r="M1166" s="6"/>
      <c r="N1166" s="6" t="s">
        <v>248</v>
      </c>
      <c r="O1166" s="6"/>
      <c r="P1166" s="6" t="s">
        <v>168</v>
      </c>
      <c r="Q1166" s="6"/>
      <c r="R1166" s="47" t="s">
        <v>3213</v>
      </c>
      <c r="S1166" s="14" t="s">
        <v>4420</v>
      </c>
      <c r="T1166" s="14" t="s">
        <v>4640</v>
      </c>
      <c r="U1166" s="14" t="s">
        <v>4753</v>
      </c>
      <c r="V1166" s="14" t="s">
        <v>5738</v>
      </c>
      <c r="W1166" s="14" t="s">
        <v>5739</v>
      </c>
      <c r="AA1166" s="6"/>
      <c r="AB1166" s="6" t="s">
        <v>67</v>
      </c>
      <c r="AC1166" s="6"/>
      <c r="AD1166" s="6" t="s">
        <v>56</v>
      </c>
      <c r="AE1166" s="6"/>
      <c r="AF1166" s="6" t="s">
        <v>75</v>
      </c>
      <c r="AG1166" s="6"/>
      <c r="AH1166" s="6" t="s">
        <v>58</v>
      </c>
      <c r="AI1166" s="6"/>
      <c r="AJ1166" s="6" t="s">
        <v>244</v>
      </c>
    </row>
    <row r="1167" spans="1:36" ht="15.75" customHeight="1" x14ac:dyDescent="0.25">
      <c r="A1167" s="7">
        <v>43421.970275474538</v>
      </c>
      <c r="B1167" s="6" t="s">
        <v>305</v>
      </c>
      <c r="C1167" s="6" t="s">
        <v>790</v>
      </c>
      <c r="D1167" s="6" t="s">
        <v>163</v>
      </c>
      <c r="E1167" s="6" t="s">
        <v>48</v>
      </c>
      <c r="F1167" s="6" t="s">
        <v>3884</v>
      </c>
      <c r="G1167" s="6" t="s">
        <v>48</v>
      </c>
      <c r="H1167" s="6" t="s">
        <v>3885</v>
      </c>
      <c r="I1167" s="6"/>
      <c r="J1167" s="6" t="s">
        <v>92</v>
      </c>
      <c r="K1167" s="6"/>
      <c r="N1167" s="6" t="s">
        <v>98</v>
      </c>
      <c r="O1167" s="6"/>
      <c r="P1167" s="6" t="s">
        <v>131</v>
      </c>
      <c r="Q1167" s="6"/>
      <c r="R1167" s="47" t="s">
        <v>1767</v>
      </c>
      <c r="S1167" s="14" t="s">
        <v>5740</v>
      </c>
      <c r="T1167" s="14" t="s">
        <v>5741</v>
      </c>
      <c r="U1167" s="14" t="s">
        <v>5083</v>
      </c>
      <c r="AA1167" s="6"/>
      <c r="AB1167" s="6" t="s">
        <v>101</v>
      </c>
      <c r="AC1167" s="6"/>
      <c r="AD1167" s="6" t="s">
        <v>56</v>
      </c>
      <c r="AE1167" s="6"/>
      <c r="AF1167" s="6" t="s">
        <v>75</v>
      </c>
      <c r="AG1167" s="6"/>
      <c r="AH1167" s="6" t="s">
        <v>58</v>
      </c>
      <c r="AI1167" s="6"/>
      <c r="AJ1167" s="6" t="s">
        <v>77</v>
      </c>
    </row>
    <row r="1168" spans="1:36" ht="15.75" customHeight="1" x14ac:dyDescent="0.25">
      <c r="A1168" s="7">
        <v>43421.976954027778</v>
      </c>
      <c r="B1168" s="6" t="s">
        <v>154</v>
      </c>
      <c r="C1168" s="6" t="s">
        <v>756</v>
      </c>
      <c r="D1168" s="6" t="s">
        <v>772</v>
      </c>
      <c r="E1168" s="6" t="s">
        <v>81</v>
      </c>
      <c r="G1168" s="6" t="s">
        <v>87</v>
      </c>
      <c r="H1168" s="6" t="s">
        <v>3888</v>
      </c>
      <c r="I1168" s="6"/>
      <c r="J1168" s="6" t="s">
        <v>92</v>
      </c>
      <c r="K1168" s="6"/>
      <c r="L1168" s="6" t="s">
        <v>2378</v>
      </c>
      <c r="M1168" s="6"/>
      <c r="N1168" s="6" t="s">
        <v>93</v>
      </c>
      <c r="O1168" s="6"/>
      <c r="P1168" s="6" t="s">
        <v>168</v>
      </c>
      <c r="Q1168" s="6"/>
      <c r="R1168" s="47" t="s">
        <v>3481</v>
      </c>
      <c r="S1168" s="14" t="s">
        <v>4514</v>
      </c>
      <c r="AA1168" s="6"/>
      <c r="AB1168" s="6" t="s">
        <v>67</v>
      </c>
      <c r="AC1168" s="6"/>
      <c r="AD1168" s="6" t="s">
        <v>56</v>
      </c>
      <c r="AE1168" s="6"/>
      <c r="AF1168" s="6" t="s">
        <v>68</v>
      </c>
      <c r="AG1168" s="6"/>
      <c r="AH1168" s="6" t="s">
        <v>58</v>
      </c>
      <c r="AI1168" s="6"/>
      <c r="AJ1168" s="6" t="s">
        <v>187</v>
      </c>
    </row>
    <row r="1169" spans="1:36" ht="15.75" customHeight="1" x14ac:dyDescent="0.25">
      <c r="A1169" s="7">
        <v>43421.986574479168</v>
      </c>
      <c r="B1169" s="6" t="s">
        <v>30</v>
      </c>
      <c r="C1169" s="6" t="s">
        <v>45</v>
      </c>
      <c r="D1169" s="6" t="s">
        <v>46</v>
      </c>
      <c r="E1169" s="6" t="s">
        <v>48</v>
      </c>
      <c r="F1169" s="6" t="s">
        <v>3891</v>
      </c>
      <c r="G1169" s="6" t="s">
        <v>48</v>
      </c>
      <c r="H1169" s="6" t="s">
        <v>3892</v>
      </c>
      <c r="I1169" s="6"/>
      <c r="J1169" s="6" t="s">
        <v>110</v>
      </c>
      <c r="K1169" s="6"/>
      <c r="L1169" s="6" t="s">
        <v>3104</v>
      </c>
      <c r="M1169" s="6"/>
      <c r="N1169" s="6" t="s">
        <v>51</v>
      </c>
      <c r="O1169" s="6"/>
      <c r="P1169" s="6" t="s">
        <v>131</v>
      </c>
      <c r="Q1169" s="6"/>
      <c r="R1169" s="47" t="s">
        <v>149</v>
      </c>
      <c r="S1169" s="14" t="s">
        <v>5742</v>
      </c>
      <c r="T1169" s="14" t="s">
        <v>5743</v>
      </c>
      <c r="AA1169" s="6"/>
      <c r="AB1169" s="6" t="s">
        <v>101</v>
      </c>
      <c r="AC1169" s="6"/>
      <c r="AD1169" s="6" t="s">
        <v>56</v>
      </c>
      <c r="AE1169" s="6"/>
      <c r="AF1169" s="6" t="s">
        <v>75</v>
      </c>
      <c r="AG1169" s="6"/>
      <c r="AH1169" s="6" t="s">
        <v>58</v>
      </c>
      <c r="AI1169" s="6"/>
      <c r="AJ1169" s="6" t="s">
        <v>295</v>
      </c>
    </row>
    <row r="1170" spans="1:36" ht="15.75" customHeight="1" x14ac:dyDescent="0.25">
      <c r="A1170" s="7">
        <v>43421.986980960646</v>
      </c>
      <c r="B1170" s="6" t="s">
        <v>60</v>
      </c>
      <c r="C1170" s="6" t="s">
        <v>116</v>
      </c>
      <c r="D1170" s="6" t="s">
        <v>46</v>
      </c>
      <c r="E1170" s="6" t="s">
        <v>48</v>
      </c>
      <c r="F1170" s="6" t="s">
        <v>722</v>
      </c>
      <c r="G1170" s="6" t="s">
        <v>48</v>
      </c>
      <c r="H1170" s="6" t="s">
        <v>3895</v>
      </c>
      <c r="I1170" s="6"/>
      <c r="J1170" s="6" t="s">
        <v>64</v>
      </c>
      <c r="K1170" s="6"/>
      <c r="L1170" s="6" t="s">
        <v>3106</v>
      </c>
      <c r="M1170" s="6"/>
      <c r="N1170" s="6" t="s">
        <v>212</v>
      </c>
      <c r="O1170" s="6"/>
      <c r="P1170" s="6" t="s">
        <v>52</v>
      </c>
      <c r="Q1170" s="6"/>
      <c r="R1170" s="47" t="s">
        <v>3909</v>
      </c>
      <c r="S1170" s="14" t="s">
        <v>5744</v>
      </c>
      <c r="T1170" s="14" t="s">
        <v>5745</v>
      </c>
      <c r="U1170" s="14" t="s">
        <v>5746</v>
      </c>
      <c r="V1170" s="14" t="s">
        <v>5747</v>
      </c>
      <c r="AA1170" s="6"/>
      <c r="AB1170" s="6" t="s">
        <v>101</v>
      </c>
      <c r="AC1170" s="6"/>
      <c r="AD1170" s="6" t="s">
        <v>56</v>
      </c>
      <c r="AE1170" s="6"/>
      <c r="AF1170" s="6" t="s">
        <v>68</v>
      </c>
      <c r="AG1170" s="6"/>
      <c r="AH1170" s="6" t="s">
        <v>58</v>
      </c>
      <c r="AI1170" s="6"/>
      <c r="AJ1170" s="6" t="s">
        <v>77</v>
      </c>
    </row>
    <row r="1171" spans="1:36" ht="15.75" customHeight="1" x14ac:dyDescent="0.25">
      <c r="A1171" s="7">
        <v>43421.987827233796</v>
      </c>
      <c r="B1171" s="6" t="s">
        <v>127</v>
      </c>
      <c r="C1171" s="6" t="s">
        <v>349</v>
      </c>
      <c r="D1171" s="6" t="s">
        <v>46</v>
      </c>
      <c r="E1171" s="6" t="s">
        <v>48</v>
      </c>
      <c r="F1171" s="6" t="s">
        <v>993</v>
      </c>
      <c r="G1171" s="6" t="s">
        <v>81</v>
      </c>
      <c r="H1171" s="6" t="s">
        <v>3898</v>
      </c>
      <c r="I1171" s="6"/>
      <c r="J1171" s="6" t="s">
        <v>106</v>
      </c>
      <c r="K1171" s="6"/>
      <c r="L1171" s="6" t="s">
        <v>2702</v>
      </c>
      <c r="M1171" s="6"/>
      <c r="N1171" s="6" t="s">
        <v>212</v>
      </c>
      <c r="O1171" s="6"/>
      <c r="P1171" s="6" t="s">
        <v>52</v>
      </c>
      <c r="Q1171" s="6"/>
      <c r="R1171" s="47" t="s">
        <v>4627</v>
      </c>
      <c r="S1171" s="14" t="s">
        <v>5748</v>
      </c>
      <c r="T1171" s="14" t="s">
        <v>5749</v>
      </c>
      <c r="AA1171" s="6"/>
      <c r="AB1171" s="6" t="s">
        <v>67</v>
      </c>
      <c r="AC1171" s="6"/>
      <c r="AD1171" s="6" t="s">
        <v>56</v>
      </c>
      <c r="AE1171" s="6"/>
      <c r="AF1171" s="6" t="s">
        <v>205</v>
      </c>
      <c r="AG1171" s="6"/>
      <c r="AH1171" s="6" t="s">
        <v>126</v>
      </c>
      <c r="AI1171" s="6"/>
      <c r="AJ1171" s="11" t="s">
        <v>286</v>
      </c>
    </row>
    <row r="1172" spans="1:36" ht="15.75" customHeight="1" x14ac:dyDescent="0.25">
      <c r="A1172" s="7">
        <v>43421.993377905092</v>
      </c>
      <c r="B1172" s="6" t="s">
        <v>634</v>
      </c>
      <c r="C1172" s="6" t="s">
        <v>116</v>
      </c>
      <c r="D1172" s="6" t="s">
        <v>46</v>
      </c>
      <c r="E1172" s="6" t="s">
        <v>81</v>
      </c>
      <c r="G1172" s="6" t="s">
        <v>87</v>
      </c>
      <c r="H1172" s="6" t="s">
        <v>3901</v>
      </c>
      <c r="I1172" s="6"/>
      <c r="J1172" s="6" t="s">
        <v>73</v>
      </c>
      <c r="K1172" s="6"/>
      <c r="L1172" s="6" t="s">
        <v>2382</v>
      </c>
      <c r="M1172" s="6"/>
      <c r="N1172" s="6" t="s">
        <v>93</v>
      </c>
      <c r="O1172" s="6"/>
      <c r="P1172" s="6" t="s">
        <v>94</v>
      </c>
      <c r="Q1172" s="6"/>
      <c r="R1172" s="47" t="s">
        <v>2438</v>
      </c>
      <c r="S1172" s="14" t="s">
        <v>4400</v>
      </c>
      <c r="T1172" s="14" t="s">
        <v>4404</v>
      </c>
      <c r="AA1172" s="6"/>
      <c r="AB1172" s="6" t="s">
        <v>55</v>
      </c>
      <c r="AC1172" s="6"/>
      <c r="AD1172" s="6" t="s">
        <v>56</v>
      </c>
      <c r="AE1172" s="6"/>
      <c r="AF1172" s="6" t="s">
        <v>75</v>
      </c>
      <c r="AG1172" s="6"/>
      <c r="AH1172" s="6" t="s">
        <v>58</v>
      </c>
      <c r="AI1172" s="6"/>
      <c r="AJ1172" s="6" t="s">
        <v>77</v>
      </c>
    </row>
    <row r="1173" spans="1:36" ht="15.75" customHeight="1" x14ac:dyDescent="0.25">
      <c r="A1173" s="7">
        <v>43422.002696782409</v>
      </c>
      <c r="B1173" s="6" t="s">
        <v>127</v>
      </c>
      <c r="C1173" s="6" t="s">
        <v>128</v>
      </c>
      <c r="E1173" s="6" t="s">
        <v>48</v>
      </c>
      <c r="G1173" s="6" t="s">
        <v>48</v>
      </c>
      <c r="J1173" s="6" t="s">
        <v>89</v>
      </c>
      <c r="K1173" s="6"/>
      <c r="N1173" s="6" t="s">
        <v>51</v>
      </c>
      <c r="O1173" s="6"/>
      <c r="P1173" s="6" t="s">
        <v>52</v>
      </c>
      <c r="Q1173" s="6"/>
      <c r="AA1173" s="6"/>
      <c r="AB1173" s="6" t="s">
        <v>67</v>
      </c>
      <c r="AC1173" s="6"/>
      <c r="AD1173" s="6" t="s">
        <v>56</v>
      </c>
      <c r="AE1173" s="6"/>
      <c r="AF1173" s="6" t="s">
        <v>68</v>
      </c>
      <c r="AG1173" s="6"/>
      <c r="AH1173" s="6" t="s">
        <v>58</v>
      </c>
      <c r="AJ1173" s="12" t="s">
        <v>57</v>
      </c>
    </row>
    <row r="1174" spans="1:36" ht="15.75" customHeight="1" x14ac:dyDescent="0.25">
      <c r="A1174" s="7">
        <v>43422.005593958333</v>
      </c>
      <c r="B1174" s="6" t="s">
        <v>60</v>
      </c>
      <c r="C1174" s="6" t="s">
        <v>128</v>
      </c>
      <c r="D1174" s="6" t="s">
        <v>165</v>
      </c>
      <c r="E1174" s="6" t="s">
        <v>81</v>
      </c>
      <c r="G1174" s="6" t="s">
        <v>87</v>
      </c>
      <c r="J1174" s="6" t="s">
        <v>106</v>
      </c>
      <c r="K1174" s="6"/>
      <c r="N1174" s="6" t="s">
        <v>98</v>
      </c>
      <c r="O1174" s="6"/>
      <c r="P1174" s="6" t="s">
        <v>94</v>
      </c>
      <c r="Q1174" s="6"/>
      <c r="R1174" s="47" t="s">
        <v>3376</v>
      </c>
      <c r="AA1174" s="6"/>
      <c r="AB1174" s="6" t="s">
        <v>67</v>
      </c>
      <c r="AC1174" s="6"/>
      <c r="AD1174" s="6" t="s">
        <v>56</v>
      </c>
      <c r="AE1174" s="6"/>
      <c r="AF1174" s="6" t="s">
        <v>75</v>
      </c>
      <c r="AG1174" s="6"/>
      <c r="AH1174" s="6" t="s">
        <v>58</v>
      </c>
      <c r="AI1174" s="6"/>
      <c r="AJ1174" s="6" t="s">
        <v>77</v>
      </c>
    </row>
    <row r="1175" spans="1:36" ht="15.75" customHeight="1" x14ac:dyDescent="0.25">
      <c r="A1175" s="7">
        <v>43422.017221666669</v>
      </c>
      <c r="B1175" s="6" t="s">
        <v>543</v>
      </c>
      <c r="C1175" s="6" t="s">
        <v>1945</v>
      </c>
      <c r="D1175" s="6" t="s">
        <v>165</v>
      </c>
      <c r="E1175" s="6" t="s">
        <v>81</v>
      </c>
      <c r="G1175" s="6" t="s">
        <v>87</v>
      </c>
      <c r="H1175" s="6" t="s">
        <v>3906</v>
      </c>
      <c r="I1175" s="6"/>
      <c r="J1175" s="6" t="s">
        <v>64</v>
      </c>
      <c r="K1175" s="6"/>
      <c r="L1175" s="6" t="s">
        <v>2704</v>
      </c>
      <c r="M1175" s="6"/>
      <c r="N1175" s="6" t="s">
        <v>98</v>
      </c>
      <c r="O1175" s="6"/>
      <c r="P1175" s="6" t="s">
        <v>94</v>
      </c>
      <c r="Q1175" s="6"/>
      <c r="AA1175" s="6"/>
      <c r="AB1175" s="6" t="s">
        <v>101</v>
      </c>
      <c r="AC1175" s="6"/>
      <c r="AD1175" s="6" t="s">
        <v>56</v>
      </c>
      <c r="AE1175" s="6"/>
      <c r="AF1175" s="6" t="s">
        <v>75</v>
      </c>
      <c r="AG1175" s="6"/>
      <c r="AH1175" s="6" t="s">
        <v>76</v>
      </c>
      <c r="AI1175" s="6"/>
      <c r="AJ1175" s="6" t="s">
        <v>115</v>
      </c>
    </row>
    <row r="1176" spans="1:36" ht="15.75" customHeight="1" x14ac:dyDescent="0.25">
      <c r="A1176" s="7">
        <v>43422.056517442128</v>
      </c>
      <c r="B1176" s="6" t="s">
        <v>30</v>
      </c>
      <c r="C1176" s="6" t="s">
        <v>45</v>
      </c>
      <c r="D1176" s="6" t="s">
        <v>46</v>
      </c>
      <c r="E1176" s="6" t="s">
        <v>81</v>
      </c>
      <c r="G1176" s="6" t="s">
        <v>87</v>
      </c>
      <c r="J1176" s="6" t="s">
        <v>73</v>
      </c>
      <c r="K1176" s="6"/>
      <c r="L1176" s="6" t="s">
        <v>768</v>
      </c>
      <c r="M1176" s="6"/>
      <c r="N1176" s="6" t="s">
        <v>167</v>
      </c>
      <c r="O1176" s="6"/>
      <c r="P1176" s="6" t="s">
        <v>168</v>
      </c>
      <c r="Q1176" s="6"/>
      <c r="R1176" s="47" t="s">
        <v>3909</v>
      </c>
      <c r="AA1176" s="6"/>
      <c r="AB1176" s="6" t="s">
        <v>67</v>
      </c>
      <c r="AC1176" s="6"/>
      <c r="AD1176" s="6" t="s">
        <v>56</v>
      </c>
      <c r="AE1176" s="6"/>
      <c r="AF1176" s="6" t="s">
        <v>161</v>
      </c>
      <c r="AG1176" s="6"/>
      <c r="AH1176" s="6" t="s">
        <v>76</v>
      </c>
      <c r="AI1176" s="6"/>
      <c r="AJ1176" s="6" t="s">
        <v>77</v>
      </c>
    </row>
    <row r="1177" spans="1:36" ht="15.75" customHeight="1" x14ac:dyDescent="0.25">
      <c r="A1177" s="7">
        <v>43422.075829699075</v>
      </c>
      <c r="B1177" s="6" t="s">
        <v>30</v>
      </c>
      <c r="C1177" s="6" t="s">
        <v>116</v>
      </c>
      <c r="D1177" s="6" t="s">
        <v>46</v>
      </c>
      <c r="E1177" s="6" t="s">
        <v>81</v>
      </c>
      <c r="G1177" s="6" t="s">
        <v>87</v>
      </c>
      <c r="H1177" s="6" t="s">
        <v>3911</v>
      </c>
      <c r="I1177" s="6"/>
      <c r="J1177" s="6" t="s">
        <v>92</v>
      </c>
      <c r="K1177" s="6"/>
      <c r="L1177" s="6" t="s">
        <v>2348</v>
      </c>
      <c r="M1177" s="6"/>
      <c r="N1177" s="6" t="s">
        <v>121</v>
      </c>
      <c r="O1177" s="6"/>
      <c r="P1177" s="6" t="s">
        <v>94</v>
      </c>
      <c r="Q1177" s="6"/>
      <c r="R1177" s="47" t="s">
        <v>3912</v>
      </c>
      <c r="AA1177" s="6"/>
      <c r="AB1177" s="6" t="s">
        <v>67</v>
      </c>
      <c r="AC1177" s="6"/>
      <c r="AD1177" s="6" t="s">
        <v>56</v>
      </c>
      <c r="AE1177" s="6"/>
      <c r="AF1177" s="6" t="s">
        <v>75</v>
      </c>
      <c r="AG1177" s="6"/>
      <c r="AH1177" s="6" t="s">
        <v>76</v>
      </c>
      <c r="AI1177" s="6"/>
      <c r="AJ1177" s="6" t="s">
        <v>77</v>
      </c>
    </row>
    <row r="1178" spans="1:36" ht="15.75" customHeight="1" x14ac:dyDescent="0.25">
      <c r="A1178" s="7">
        <v>43422.083951111112</v>
      </c>
      <c r="B1178" s="6" t="s">
        <v>30</v>
      </c>
      <c r="C1178" s="6" t="s">
        <v>45</v>
      </c>
      <c r="D1178" s="6" t="s">
        <v>165</v>
      </c>
      <c r="E1178" s="6" t="s">
        <v>81</v>
      </c>
      <c r="G1178" s="6" t="s">
        <v>87</v>
      </c>
      <c r="J1178" s="6" t="s">
        <v>50</v>
      </c>
      <c r="K1178" s="6"/>
      <c r="L1178" s="6" t="s">
        <v>3110</v>
      </c>
      <c r="M1178" s="6"/>
      <c r="N1178" s="6" t="s">
        <v>121</v>
      </c>
      <c r="O1178" s="6"/>
      <c r="P1178" s="6" t="s">
        <v>131</v>
      </c>
      <c r="Q1178" s="6"/>
      <c r="R1178" s="47" t="s">
        <v>2722</v>
      </c>
      <c r="S1178" s="14" t="s">
        <v>4407</v>
      </c>
      <c r="T1178" s="14" t="s">
        <v>4400</v>
      </c>
      <c r="U1178" s="14" t="s">
        <v>5750</v>
      </c>
      <c r="AA1178" s="6"/>
      <c r="AB1178" s="6" t="s">
        <v>55</v>
      </c>
      <c r="AC1178" s="6"/>
      <c r="AD1178" s="6" t="s">
        <v>56</v>
      </c>
      <c r="AE1178" s="6"/>
      <c r="AF1178" s="6" t="s">
        <v>68</v>
      </c>
      <c r="AG1178" s="6"/>
      <c r="AH1178" s="6" t="s">
        <v>76</v>
      </c>
      <c r="AI1178" s="6"/>
      <c r="AJ1178" s="6" t="s">
        <v>260</v>
      </c>
    </row>
    <row r="1179" spans="1:36" ht="15.75" customHeight="1" x14ac:dyDescent="0.25">
      <c r="A1179" s="7">
        <v>43422.116950891199</v>
      </c>
      <c r="B1179" s="6" t="s">
        <v>30</v>
      </c>
      <c r="C1179" s="6" t="s">
        <v>90</v>
      </c>
      <c r="D1179" s="6" t="s">
        <v>46</v>
      </c>
      <c r="E1179" s="6" t="s">
        <v>81</v>
      </c>
      <c r="G1179" s="6" t="s">
        <v>87</v>
      </c>
      <c r="H1179" s="6" t="s">
        <v>3915</v>
      </c>
      <c r="I1179" s="6"/>
      <c r="J1179" s="6" t="s">
        <v>64</v>
      </c>
      <c r="K1179" s="6"/>
      <c r="L1179" s="6" t="s">
        <v>430</v>
      </c>
      <c r="M1179" s="6"/>
      <c r="N1179" s="6" t="s">
        <v>98</v>
      </c>
      <c r="O1179" s="6"/>
      <c r="P1179" s="6" t="s">
        <v>131</v>
      </c>
      <c r="Q1179" s="6"/>
      <c r="R1179" s="47" t="s">
        <v>182</v>
      </c>
      <c r="AA1179" s="6"/>
      <c r="AB1179" s="6" t="s">
        <v>67</v>
      </c>
      <c r="AC1179" s="6"/>
      <c r="AD1179" s="6" t="s">
        <v>56</v>
      </c>
      <c r="AE1179" s="6"/>
      <c r="AF1179" s="6" t="s">
        <v>205</v>
      </c>
      <c r="AG1179" s="6"/>
      <c r="AH1179" s="6" t="s">
        <v>58</v>
      </c>
      <c r="AI1179" s="6"/>
      <c r="AJ1179" s="6" t="s">
        <v>77</v>
      </c>
    </row>
    <row r="1180" spans="1:36" ht="15.75" customHeight="1" x14ac:dyDescent="0.25">
      <c r="A1180" s="7">
        <v>43422.118530347223</v>
      </c>
      <c r="B1180" s="6" t="s">
        <v>60</v>
      </c>
      <c r="C1180" s="6" t="s">
        <v>749</v>
      </c>
      <c r="D1180" s="6" t="s">
        <v>46</v>
      </c>
      <c r="E1180" s="6" t="s">
        <v>48</v>
      </c>
      <c r="F1180" s="6" t="s">
        <v>3916</v>
      </c>
      <c r="G1180" s="6" t="s">
        <v>48</v>
      </c>
      <c r="J1180" s="6" t="s">
        <v>106</v>
      </c>
      <c r="K1180" s="6"/>
      <c r="L1180" s="6" t="s">
        <v>3111</v>
      </c>
      <c r="M1180" s="6"/>
      <c r="N1180" s="6" t="s">
        <v>98</v>
      </c>
      <c r="O1180" s="6"/>
      <c r="P1180" s="6" t="s">
        <v>131</v>
      </c>
      <c r="Q1180" s="6"/>
      <c r="AA1180" s="6"/>
      <c r="AB1180" s="6" t="s">
        <v>67</v>
      </c>
      <c r="AC1180" s="6"/>
      <c r="AD1180" s="6" t="s">
        <v>109</v>
      </c>
      <c r="AE1180" s="6"/>
      <c r="AF1180" s="6" t="s">
        <v>75</v>
      </c>
      <c r="AG1180" s="6"/>
      <c r="AH1180" s="6" t="s">
        <v>76</v>
      </c>
      <c r="AI1180" s="6"/>
      <c r="AJ1180" s="6" t="s">
        <v>304</v>
      </c>
    </row>
    <row r="1181" spans="1:36" ht="15.75" customHeight="1" x14ac:dyDescent="0.25">
      <c r="A1181" s="7">
        <v>43422.119027766203</v>
      </c>
      <c r="B1181" s="6" t="s">
        <v>60</v>
      </c>
      <c r="C1181" s="6" t="s">
        <v>206</v>
      </c>
      <c r="D1181" s="6" t="s">
        <v>165</v>
      </c>
      <c r="E1181" s="6" t="s">
        <v>81</v>
      </c>
      <c r="G1181" s="6" t="s">
        <v>87</v>
      </c>
      <c r="H1181" s="6" t="s">
        <v>3917</v>
      </c>
      <c r="I1181" s="6"/>
      <c r="J1181" s="6" t="s">
        <v>73</v>
      </c>
      <c r="K1181" s="6"/>
      <c r="L1181" s="6" t="s">
        <v>3113</v>
      </c>
      <c r="M1181" s="6"/>
      <c r="N1181" s="6" t="s">
        <v>212</v>
      </c>
      <c r="O1181" s="6"/>
      <c r="P1181" s="6" t="s">
        <v>99</v>
      </c>
      <c r="Q1181" s="6"/>
      <c r="R1181" s="47" t="s">
        <v>5751</v>
      </c>
      <c r="S1181" s="14" t="s">
        <v>5752</v>
      </c>
      <c r="T1181" s="14" t="s">
        <v>5753</v>
      </c>
      <c r="U1181" s="14" t="s">
        <v>4597</v>
      </c>
      <c r="AA1181" s="6"/>
      <c r="AB1181" s="6" t="s">
        <v>67</v>
      </c>
      <c r="AC1181" s="6"/>
      <c r="AD1181" s="6" t="s">
        <v>56</v>
      </c>
      <c r="AE1181" s="6"/>
      <c r="AF1181" s="6" t="s">
        <v>75</v>
      </c>
      <c r="AG1181" s="6"/>
      <c r="AH1181" s="6" t="s">
        <v>76</v>
      </c>
      <c r="AI1181" s="6"/>
      <c r="AJ1181" s="6" t="s">
        <v>259</v>
      </c>
    </row>
    <row r="1182" spans="1:36" ht="15.75" customHeight="1" x14ac:dyDescent="0.25">
      <c r="A1182" s="7">
        <v>43422.128647013888</v>
      </c>
      <c r="B1182" s="6" t="s">
        <v>30</v>
      </c>
      <c r="C1182" s="6" t="s">
        <v>287</v>
      </c>
      <c r="D1182" s="6" t="s">
        <v>133</v>
      </c>
      <c r="E1182" s="6" t="s">
        <v>81</v>
      </c>
      <c r="G1182" s="6" t="s">
        <v>87</v>
      </c>
      <c r="H1182" s="6" t="s">
        <v>3920</v>
      </c>
      <c r="I1182" s="6"/>
      <c r="J1182" s="6" t="s">
        <v>73</v>
      </c>
      <c r="K1182" s="6"/>
      <c r="L1182" s="6" t="s">
        <v>2705</v>
      </c>
      <c r="M1182" s="6"/>
      <c r="N1182" s="6" t="s">
        <v>98</v>
      </c>
      <c r="O1182" s="6"/>
      <c r="P1182" s="6" t="s">
        <v>131</v>
      </c>
      <c r="Q1182" s="6"/>
      <c r="R1182" s="47" t="s">
        <v>5754</v>
      </c>
      <c r="S1182" s="14" t="s">
        <v>4962</v>
      </c>
      <c r="T1182" s="14" t="s">
        <v>4576</v>
      </c>
      <c r="U1182" s="14" t="s">
        <v>4579</v>
      </c>
      <c r="V1182" s="14" t="s">
        <v>4461</v>
      </c>
      <c r="W1182" s="14" t="s">
        <v>5755</v>
      </c>
      <c r="AA1182" s="6"/>
      <c r="AB1182" s="6" t="s">
        <v>67</v>
      </c>
      <c r="AC1182" s="6"/>
      <c r="AD1182" s="6" t="s">
        <v>56</v>
      </c>
      <c r="AE1182" s="6"/>
      <c r="AF1182" s="6" t="s">
        <v>75</v>
      </c>
      <c r="AG1182" s="6"/>
      <c r="AH1182" s="6" t="s">
        <v>76</v>
      </c>
      <c r="AI1182" s="6"/>
      <c r="AJ1182" s="6" t="s">
        <v>77</v>
      </c>
    </row>
    <row r="1183" spans="1:36" ht="15.75" customHeight="1" x14ac:dyDescent="0.25">
      <c r="A1183" s="7">
        <v>43422.140310219911</v>
      </c>
      <c r="B1183" s="6" t="s">
        <v>60</v>
      </c>
      <c r="C1183" s="6" t="s">
        <v>349</v>
      </c>
      <c r="D1183" s="6" t="s">
        <v>772</v>
      </c>
      <c r="E1183" s="6" t="s">
        <v>81</v>
      </c>
      <c r="G1183" s="6" t="s">
        <v>87</v>
      </c>
      <c r="H1183" s="6" t="s">
        <v>3923</v>
      </c>
      <c r="I1183" s="6"/>
      <c r="J1183" s="6" t="s">
        <v>73</v>
      </c>
      <c r="K1183" s="6"/>
      <c r="L1183" s="6" t="s">
        <v>3112</v>
      </c>
      <c r="M1183" s="6"/>
      <c r="N1183" s="6" t="s">
        <v>212</v>
      </c>
      <c r="O1183" s="6"/>
      <c r="P1183" s="6" t="s">
        <v>131</v>
      </c>
      <c r="Q1183" s="6"/>
      <c r="R1183" s="47" t="s">
        <v>192</v>
      </c>
      <c r="S1183" s="14" t="s">
        <v>4420</v>
      </c>
      <c r="T1183" s="14" t="s">
        <v>5756</v>
      </c>
      <c r="AA1183" s="6"/>
      <c r="AB1183" s="6" t="s">
        <v>67</v>
      </c>
      <c r="AC1183" s="6"/>
      <c r="AD1183" s="6" t="s">
        <v>56</v>
      </c>
      <c r="AE1183" s="6"/>
      <c r="AF1183" s="6" t="s">
        <v>161</v>
      </c>
      <c r="AG1183" s="6"/>
      <c r="AH1183" s="6" t="s">
        <v>76</v>
      </c>
      <c r="AI1183" s="6"/>
      <c r="AJ1183" s="6" t="s">
        <v>77</v>
      </c>
    </row>
    <row r="1184" spans="1:36" ht="15.75" customHeight="1" x14ac:dyDescent="0.25">
      <c r="A1184" s="7">
        <v>43422.14503590278</v>
      </c>
      <c r="B1184" s="6" t="s">
        <v>30</v>
      </c>
      <c r="C1184" s="6" t="s">
        <v>90</v>
      </c>
      <c r="E1184" s="6" t="s">
        <v>81</v>
      </c>
      <c r="G1184" s="6" t="s">
        <v>87</v>
      </c>
      <c r="J1184" s="6" t="s">
        <v>92</v>
      </c>
      <c r="K1184" s="6"/>
      <c r="N1184" s="6" t="s">
        <v>181</v>
      </c>
      <c r="O1184" s="6"/>
      <c r="P1184" s="6" t="s">
        <v>131</v>
      </c>
      <c r="Q1184" s="6"/>
      <c r="AA1184" s="6"/>
      <c r="AB1184" s="6" t="s">
        <v>67</v>
      </c>
      <c r="AC1184" s="6"/>
      <c r="AD1184" s="6" t="s">
        <v>56</v>
      </c>
      <c r="AE1184" s="6"/>
      <c r="AF1184" s="6" t="s">
        <v>68</v>
      </c>
      <c r="AG1184" s="6"/>
      <c r="AH1184" s="6" t="s">
        <v>58</v>
      </c>
      <c r="AJ1184" s="12" t="s">
        <v>57</v>
      </c>
    </row>
    <row r="1185" spans="1:36" ht="15.75" customHeight="1" x14ac:dyDescent="0.25">
      <c r="A1185" s="7">
        <v>43422.153160069443</v>
      </c>
      <c r="B1185" s="6" t="s">
        <v>26</v>
      </c>
      <c r="C1185" s="6" t="s">
        <v>116</v>
      </c>
      <c r="D1185" s="6" t="s">
        <v>133</v>
      </c>
      <c r="E1185" s="6" t="s">
        <v>48</v>
      </c>
      <c r="G1185" s="6" t="s">
        <v>48</v>
      </c>
      <c r="J1185" s="6" t="s">
        <v>89</v>
      </c>
      <c r="K1185" s="6"/>
      <c r="N1185" s="6" t="s">
        <v>121</v>
      </c>
      <c r="O1185" s="6"/>
      <c r="P1185" s="6" t="s">
        <v>94</v>
      </c>
      <c r="Q1185" s="6"/>
      <c r="AA1185" s="6"/>
      <c r="AB1185" s="6" t="s">
        <v>203</v>
      </c>
      <c r="AC1185" s="6"/>
      <c r="AD1185" s="6" t="s">
        <v>56</v>
      </c>
      <c r="AE1185" s="6"/>
      <c r="AF1185" s="6" t="s">
        <v>57</v>
      </c>
      <c r="AG1185" s="6"/>
      <c r="AH1185" s="6" t="s">
        <v>57</v>
      </c>
      <c r="AJ1185" s="12" t="s">
        <v>57</v>
      </c>
    </row>
    <row r="1186" spans="1:36" ht="15.75" customHeight="1" x14ac:dyDescent="0.25">
      <c r="A1186" s="7">
        <v>43422.16526282407</v>
      </c>
      <c r="B1186" s="6" t="s">
        <v>28</v>
      </c>
      <c r="C1186" s="6" t="s">
        <v>971</v>
      </c>
      <c r="D1186" s="6" t="s">
        <v>91</v>
      </c>
      <c r="E1186" s="6" t="s">
        <v>48</v>
      </c>
      <c r="F1186" s="6" t="s">
        <v>3926</v>
      </c>
      <c r="G1186" s="6" t="s">
        <v>81</v>
      </c>
      <c r="H1186" s="6" t="s">
        <v>3927</v>
      </c>
      <c r="I1186" s="6"/>
      <c r="J1186" s="6" t="s">
        <v>158</v>
      </c>
      <c r="K1186" s="6"/>
      <c r="L1186" s="6" t="s">
        <v>3114</v>
      </c>
      <c r="M1186" s="6"/>
      <c r="N1186" s="6" t="s">
        <v>51</v>
      </c>
      <c r="O1186" s="6"/>
      <c r="P1186" s="6" t="s">
        <v>52</v>
      </c>
      <c r="Q1186" s="6"/>
      <c r="R1186" s="47" t="s">
        <v>3238</v>
      </c>
      <c r="S1186" s="14" t="s">
        <v>4607</v>
      </c>
      <c r="T1186" s="14" t="s">
        <v>4435</v>
      </c>
      <c r="U1186" s="14" t="s">
        <v>4393</v>
      </c>
      <c r="V1186" s="14" t="s">
        <v>4389</v>
      </c>
      <c r="W1186" s="14" t="s">
        <v>4707</v>
      </c>
      <c r="X1186" s="14" t="s">
        <v>4404</v>
      </c>
      <c r="AA1186" s="6"/>
      <c r="AB1186" s="6" t="s">
        <v>55</v>
      </c>
      <c r="AC1186" s="6"/>
      <c r="AD1186" s="6" t="s">
        <v>56</v>
      </c>
      <c r="AE1186" s="6"/>
      <c r="AF1186" s="6" t="s">
        <v>68</v>
      </c>
      <c r="AG1186" s="6"/>
      <c r="AH1186" s="6" t="s">
        <v>58</v>
      </c>
      <c r="AI1186" s="6"/>
      <c r="AJ1186" s="6" t="s">
        <v>77</v>
      </c>
    </row>
    <row r="1187" spans="1:36" ht="15.75" customHeight="1" x14ac:dyDescent="0.25">
      <c r="A1187" s="7">
        <v>43422.254135092589</v>
      </c>
      <c r="B1187" s="6" t="s">
        <v>127</v>
      </c>
      <c r="C1187" s="6" t="s">
        <v>1061</v>
      </c>
      <c r="D1187" s="6" t="s">
        <v>165</v>
      </c>
      <c r="E1187" s="6" t="s">
        <v>81</v>
      </c>
      <c r="G1187" s="6" t="s">
        <v>87</v>
      </c>
      <c r="H1187" s="6" t="s">
        <v>3931</v>
      </c>
      <c r="I1187" s="6"/>
      <c r="J1187" s="6" t="s">
        <v>64</v>
      </c>
      <c r="K1187" s="6"/>
      <c r="L1187" s="6" t="s">
        <v>3115</v>
      </c>
      <c r="M1187" s="6"/>
      <c r="N1187" s="6" t="s">
        <v>181</v>
      </c>
      <c r="O1187" s="6"/>
      <c r="P1187" s="6" t="s">
        <v>99</v>
      </c>
      <c r="Q1187" s="6"/>
      <c r="AA1187" s="6"/>
      <c r="AB1187" s="6" t="s">
        <v>101</v>
      </c>
      <c r="AC1187" s="6"/>
      <c r="AD1187" s="6" t="s">
        <v>109</v>
      </c>
      <c r="AE1187" s="6"/>
      <c r="AF1187" s="6" t="s">
        <v>75</v>
      </c>
      <c r="AG1187" s="6"/>
      <c r="AH1187" s="6" t="s">
        <v>58</v>
      </c>
      <c r="AI1187" s="6"/>
      <c r="AJ1187" s="6" t="s">
        <v>77</v>
      </c>
    </row>
    <row r="1188" spans="1:36" ht="15.75" customHeight="1" x14ac:dyDescent="0.25">
      <c r="A1188" s="7">
        <v>43422.255972615741</v>
      </c>
      <c r="B1188" s="6" t="s">
        <v>30</v>
      </c>
      <c r="C1188" s="6" t="s">
        <v>306</v>
      </c>
      <c r="D1188" s="6" t="s">
        <v>46</v>
      </c>
      <c r="E1188" s="6" t="s">
        <v>81</v>
      </c>
      <c r="G1188" s="6" t="s">
        <v>87</v>
      </c>
      <c r="H1188" s="6" t="s">
        <v>3933</v>
      </c>
      <c r="I1188" s="6"/>
      <c r="J1188" s="6" t="s">
        <v>50</v>
      </c>
      <c r="K1188" s="6"/>
      <c r="L1188" s="6" t="s">
        <v>3116</v>
      </c>
      <c r="M1188" s="6"/>
      <c r="N1188" s="6" t="s">
        <v>112</v>
      </c>
      <c r="O1188" s="6"/>
      <c r="P1188" s="6" t="s">
        <v>52</v>
      </c>
      <c r="Q1188" s="6"/>
      <c r="R1188" s="47" t="s">
        <v>242</v>
      </c>
      <c r="S1188" s="14" t="s">
        <v>5757</v>
      </c>
      <c r="AA1188" s="6"/>
      <c r="AB1188" s="6" t="s">
        <v>101</v>
      </c>
      <c r="AC1188" s="6"/>
      <c r="AD1188" s="6" t="s">
        <v>56</v>
      </c>
      <c r="AE1188" s="6"/>
      <c r="AF1188" s="6" t="s">
        <v>75</v>
      </c>
      <c r="AG1188" s="6"/>
      <c r="AH1188" s="6" t="s">
        <v>76</v>
      </c>
      <c r="AI1188" s="6"/>
      <c r="AJ1188" s="6" t="s">
        <v>77</v>
      </c>
    </row>
    <row r="1189" spans="1:36" ht="15.75" customHeight="1" x14ac:dyDescent="0.25">
      <c r="A1189" s="7">
        <v>43422.283895474538</v>
      </c>
      <c r="B1189" s="6" t="s">
        <v>127</v>
      </c>
      <c r="C1189" s="6" t="s">
        <v>45</v>
      </c>
      <c r="D1189" s="6" t="s">
        <v>163</v>
      </c>
      <c r="E1189" s="6" t="s">
        <v>48</v>
      </c>
      <c r="F1189" s="6" t="s">
        <v>3935</v>
      </c>
      <c r="G1189" s="6" t="s">
        <v>48</v>
      </c>
      <c r="H1189" s="6" t="s">
        <v>3936</v>
      </c>
      <c r="I1189" s="6"/>
      <c r="J1189" s="6" t="s">
        <v>50</v>
      </c>
      <c r="K1189" s="6"/>
      <c r="L1189" s="6" t="s">
        <v>3118</v>
      </c>
      <c r="M1189" s="6"/>
      <c r="N1189" s="6" t="s">
        <v>181</v>
      </c>
      <c r="O1189" s="6"/>
      <c r="P1189" s="6" t="s">
        <v>131</v>
      </c>
      <c r="Q1189" s="6"/>
      <c r="R1189" s="47" t="s">
        <v>5758</v>
      </c>
      <c r="S1189" s="14" t="s">
        <v>5759</v>
      </c>
      <c r="T1189" s="14" t="s">
        <v>5760</v>
      </c>
      <c r="AA1189" s="6"/>
      <c r="AB1189" s="6" t="s">
        <v>203</v>
      </c>
      <c r="AC1189" s="6"/>
      <c r="AD1189" s="6" t="s">
        <v>56</v>
      </c>
      <c r="AE1189" s="6"/>
      <c r="AF1189" s="6" t="s">
        <v>68</v>
      </c>
      <c r="AG1189" s="6"/>
      <c r="AH1189" s="11" t="s">
        <v>144</v>
      </c>
      <c r="AI1189" s="6"/>
      <c r="AJ1189" s="6" t="s">
        <v>244</v>
      </c>
    </row>
    <row r="1190" spans="1:36" ht="15.75" customHeight="1" x14ac:dyDescent="0.25">
      <c r="A1190" s="7">
        <v>43422.286968657412</v>
      </c>
      <c r="B1190" s="6" t="s">
        <v>30</v>
      </c>
      <c r="C1190" s="6" t="s">
        <v>944</v>
      </c>
      <c r="D1190" s="6" t="s">
        <v>165</v>
      </c>
      <c r="E1190" s="6" t="s">
        <v>48</v>
      </c>
      <c r="F1190" s="6" t="s">
        <v>586</v>
      </c>
      <c r="G1190" s="6" t="s">
        <v>48</v>
      </c>
      <c r="H1190" s="6" t="s">
        <v>3939</v>
      </c>
      <c r="I1190" s="6"/>
      <c r="J1190" s="6" t="s">
        <v>50</v>
      </c>
      <c r="K1190" s="6"/>
      <c r="L1190" s="6" t="s">
        <v>2706</v>
      </c>
      <c r="M1190" s="6"/>
      <c r="N1190" s="6" t="s">
        <v>212</v>
      </c>
      <c r="O1190" s="6"/>
      <c r="P1190" s="6" t="s">
        <v>131</v>
      </c>
      <c r="Q1190" s="6"/>
      <c r="R1190" s="47" t="s">
        <v>2751</v>
      </c>
      <c r="S1190" s="14" t="s">
        <v>4826</v>
      </c>
      <c r="T1190" s="14" t="s">
        <v>5038</v>
      </c>
      <c r="U1190" s="14" t="s">
        <v>4871</v>
      </c>
      <c r="AA1190" s="6"/>
      <c r="AB1190" s="6" t="s">
        <v>67</v>
      </c>
      <c r="AC1190" s="6"/>
      <c r="AD1190" s="6" t="s">
        <v>56</v>
      </c>
      <c r="AE1190" s="6"/>
      <c r="AF1190" s="6" t="s">
        <v>68</v>
      </c>
      <c r="AG1190" s="6"/>
      <c r="AH1190" s="6" t="s">
        <v>57</v>
      </c>
      <c r="AI1190" s="6"/>
      <c r="AJ1190" s="6" t="s">
        <v>77</v>
      </c>
    </row>
    <row r="1191" spans="1:36" ht="15.75" customHeight="1" x14ac:dyDescent="0.25">
      <c r="A1191" s="7">
        <v>43422.303614884258</v>
      </c>
      <c r="B1191" s="6" t="s">
        <v>60</v>
      </c>
      <c r="C1191" s="6" t="s">
        <v>95</v>
      </c>
      <c r="D1191" s="6" t="s">
        <v>165</v>
      </c>
      <c r="E1191" s="6" t="s">
        <v>81</v>
      </c>
      <c r="G1191" s="6" t="s">
        <v>87</v>
      </c>
      <c r="J1191" s="6" t="s">
        <v>64</v>
      </c>
      <c r="K1191" s="6"/>
      <c r="N1191" s="6" t="s">
        <v>98</v>
      </c>
      <c r="O1191" s="6"/>
      <c r="P1191" s="6" t="s">
        <v>131</v>
      </c>
      <c r="Q1191" s="6"/>
      <c r="AA1191" s="6"/>
      <c r="AB1191" s="6" t="s">
        <v>67</v>
      </c>
      <c r="AH1191" s="6" t="s">
        <v>57</v>
      </c>
      <c r="AJ1191" s="12" t="s">
        <v>57</v>
      </c>
    </row>
    <row r="1192" spans="1:36" ht="15.75" customHeight="1" x14ac:dyDescent="0.25">
      <c r="A1192" s="7">
        <v>43422.342504872686</v>
      </c>
      <c r="B1192" s="6" t="s">
        <v>30</v>
      </c>
      <c r="C1192" s="6" t="s">
        <v>227</v>
      </c>
      <c r="D1192" s="6" t="s">
        <v>46</v>
      </c>
      <c r="E1192" s="6" t="s">
        <v>81</v>
      </c>
      <c r="G1192" s="6" t="s">
        <v>87</v>
      </c>
      <c r="J1192" s="6" t="s">
        <v>158</v>
      </c>
      <c r="K1192" s="6"/>
      <c r="N1192" s="6" t="s">
        <v>181</v>
      </c>
      <c r="O1192" s="6"/>
      <c r="P1192" s="6" t="s">
        <v>99</v>
      </c>
      <c r="Q1192" s="6"/>
      <c r="R1192" s="47" t="s">
        <v>254</v>
      </c>
      <c r="AA1192" s="6"/>
      <c r="AB1192" s="6" t="s">
        <v>67</v>
      </c>
      <c r="AC1192" s="6"/>
      <c r="AD1192" s="6" t="s">
        <v>56</v>
      </c>
      <c r="AE1192" s="6"/>
      <c r="AF1192" s="6" t="s">
        <v>75</v>
      </c>
      <c r="AG1192" s="6"/>
      <c r="AH1192" s="6" t="s">
        <v>58</v>
      </c>
      <c r="AI1192" s="6"/>
      <c r="AJ1192" s="11" t="s">
        <v>174</v>
      </c>
    </row>
    <row r="1193" spans="1:36" ht="15.75" customHeight="1" x14ac:dyDescent="0.25">
      <c r="A1193" s="7">
        <v>43422.362702662038</v>
      </c>
      <c r="B1193" s="6" t="s">
        <v>30</v>
      </c>
      <c r="C1193" s="6" t="s">
        <v>90</v>
      </c>
      <c r="D1193" s="6" t="s">
        <v>190</v>
      </c>
      <c r="E1193" s="6" t="s">
        <v>81</v>
      </c>
      <c r="G1193" s="6" t="s">
        <v>87</v>
      </c>
      <c r="H1193" s="6" t="s">
        <v>86</v>
      </c>
      <c r="I1193" s="6"/>
      <c r="J1193" s="6" t="s">
        <v>92</v>
      </c>
      <c r="K1193" s="6"/>
      <c r="L1193" s="6" t="s">
        <v>86</v>
      </c>
      <c r="M1193" s="6"/>
      <c r="N1193" s="6" t="s">
        <v>121</v>
      </c>
      <c r="O1193" s="6"/>
      <c r="P1193" s="6" t="s">
        <v>94</v>
      </c>
      <c r="Q1193" s="6"/>
      <c r="R1193" s="47" t="s">
        <v>3943</v>
      </c>
      <c r="AA1193" s="6"/>
      <c r="AB1193" s="6" t="s">
        <v>67</v>
      </c>
      <c r="AC1193" s="6"/>
      <c r="AD1193" s="6" t="s">
        <v>56</v>
      </c>
      <c r="AE1193" s="6"/>
      <c r="AF1193" s="6" t="s">
        <v>68</v>
      </c>
      <c r="AG1193" s="6"/>
      <c r="AH1193" s="11" t="s">
        <v>126</v>
      </c>
      <c r="AI1193" s="6"/>
      <c r="AJ1193" s="11" t="s">
        <v>187</v>
      </c>
    </row>
    <row r="1194" spans="1:36" ht="15.75" customHeight="1" x14ac:dyDescent="0.25">
      <c r="A1194" s="7">
        <v>43422.366807395832</v>
      </c>
      <c r="B1194" s="6" t="s">
        <v>30</v>
      </c>
      <c r="C1194" s="6" t="s">
        <v>90</v>
      </c>
      <c r="D1194" s="6" t="s">
        <v>46</v>
      </c>
      <c r="E1194" s="6" t="s">
        <v>48</v>
      </c>
      <c r="F1194" s="6" t="s">
        <v>1680</v>
      </c>
      <c r="G1194" s="6" t="s">
        <v>48</v>
      </c>
      <c r="H1194" s="6" t="s">
        <v>3945</v>
      </c>
      <c r="I1194" s="6"/>
      <c r="J1194" s="6" t="s">
        <v>110</v>
      </c>
      <c r="K1194" s="6"/>
      <c r="L1194" s="6" t="s">
        <v>3119</v>
      </c>
      <c r="M1194" s="6"/>
      <c r="N1194" s="6" t="s">
        <v>112</v>
      </c>
      <c r="O1194" s="6"/>
      <c r="P1194" s="6" t="s">
        <v>131</v>
      </c>
      <c r="Q1194" s="6"/>
      <c r="R1194" s="47" t="s">
        <v>3946</v>
      </c>
      <c r="AA1194" s="6"/>
      <c r="AB1194" s="6" t="s">
        <v>55</v>
      </c>
      <c r="AC1194" s="6"/>
      <c r="AD1194" s="6" t="s">
        <v>56</v>
      </c>
      <c r="AE1194" s="6"/>
      <c r="AF1194" s="6" t="s">
        <v>68</v>
      </c>
      <c r="AG1194" s="6"/>
      <c r="AH1194" s="6" t="s">
        <v>58</v>
      </c>
      <c r="AI1194" s="6"/>
      <c r="AJ1194" s="6" t="s">
        <v>137</v>
      </c>
    </row>
    <row r="1195" spans="1:36" ht="15.75" customHeight="1" x14ac:dyDescent="0.25">
      <c r="A1195" s="7">
        <v>43422.387024918979</v>
      </c>
      <c r="B1195" s="6" t="s">
        <v>30</v>
      </c>
      <c r="C1195" s="6" t="s">
        <v>95</v>
      </c>
      <c r="D1195" s="6" t="s">
        <v>46</v>
      </c>
      <c r="E1195" s="6" t="s">
        <v>48</v>
      </c>
      <c r="F1195" s="6" t="s">
        <v>3947</v>
      </c>
      <c r="G1195" s="6" t="s">
        <v>48</v>
      </c>
      <c r="J1195" s="6" t="s">
        <v>92</v>
      </c>
      <c r="K1195" s="6"/>
      <c r="L1195" s="6" t="s">
        <v>2707</v>
      </c>
      <c r="M1195" s="6"/>
      <c r="N1195" s="6" t="s">
        <v>98</v>
      </c>
      <c r="O1195" s="6"/>
      <c r="P1195" s="6" t="s">
        <v>94</v>
      </c>
      <c r="Q1195" s="6"/>
      <c r="R1195" s="47" t="s">
        <v>5761</v>
      </c>
      <c r="S1195" s="14" t="s">
        <v>5762</v>
      </c>
      <c r="AA1195" s="6"/>
      <c r="AB1195" s="6" t="s">
        <v>55</v>
      </c>
      <c r="AC1195" s="6"/>
      <c r="AD1195" s="6" t="s">
        <v>56</v>
      </c>
      <c r="AE1195" s="6"/>
      <c r="AF1195" s="6" t="s">
        <v>75</v>
      </c>
      <c r="AG1195" s="6"/>
      <c r="AH1195" s="6" t="s">
        <v>76</v>
      </c>
      <c r="AI1195" s="6"/>
      <c r="AJ1195" s="6" t="s">
        <v>77</v>
      </c>
    </row>
    <row r="1196" spans="1:36" ht="15.75" customHeight="1" x14ac:dyDescent="0.25">
      <c r="A1196" s="7">
        <v>43422.392719710653</v>
      </c>
      <c r="B1196" s="6" t="s">
        <v>31</v>
      </c>
      <c r="C1196" s="6" t="s">
        <v>95</v>
      </c>
      <c r="D1196" s="6" t="s">
        <v>133</v>
      </c>
      <c r="E1196" s="6" t="s">
        <v>81</v>
      </c>
      <c r="G1196" s="6" t="s">
        <v>87</v>
      </c>
      <c r="J1196" s="6" t="s">
        <v>110</v>
      </c>
      <c r="K1196" s="6"/>
      <c r="N1196" s="6" t="s">
        <v>93</v>
      </c>
      <c r="O1196" s="6"/>
      <c r="P1196" s="6" t="s">
        <v>94</v>
      </c>
      <c r="Q1196" s="6"/>
      <c r="AA1196" s="6"/>
      <c r="AB1196" s="6" t="s">
        <v>67</v>
      </c>
      <c r="AC1196" s="6"/>
      <c r="AD1196" s="6" t="s">
        <v>56</v>
      </c>
      <c r="AE1196" s="6"/>
      <c r="AF1196" s="6" t="s">
        <v>75</v>
      </c>
      <c r="AG1196" s="6"/>
      <c r="AH1196" s="6" t="s">
        <v>76</v>
      </c>
      <c r="AI1196" s="6"/>
      <c r="AJ1196" s="6" t="s">
        <v>77</v>
      </c>
    </row>
    <row r="1197" spans="1:36" ht="15.75" customHeight="1" x14ac:dyDescent="0.25">
      <c r="A1197" s="7">
        <v>43422.394024189816</v>
      </c>
      <c r="B1197" s="6" t="s">
        <v>30</v>
      </c>
      <c r="C1197" s="6" t="s">
        <v>90</v>
      </c>
      <c r="D1197" s="6" t="s">
        <v>165</v>
      </c>
      <c r="E1197" s="6" t="s">
        <v>81</v>
      </c>
      <c r="G1197" s="6" t="s">
        <v>87</v>
      </c>
      <c r="J1197" s="6" t="s">
        <v>92</v>
      </c>
      <c r="K1197" s="6"/>
      <c r="N1197" s="6" t="s">
        <v>98</v>
      </c>
      <c r="O1197" s="6"/>
      <c r="P1197" s="6" t="s">
        <v>94</v>
      </c>
      <c r="Q1197" s="6"/>
      <c r="R1197" s="47" t="s">
        <v>2905</v>
      </c>
      <c r="AA1197" s="6"/>
      <c r="AB1197" s="6" t="s">
        <v>101</v>
      </c>
      <c r="AC1197" s="6"/>
      <c r="AD1197" s="6" t="s">
        <v>56</v>
      </c>
      <c r="AE1197" s="6"/>
      <c r="AF1197" s="6" t="s">
        <v>75</v>
      </c>
      <c r="AG1197" s="6"/>
      <c r="AH1197" s="6" t="s">
        <v>76</v>
      </c>
      <c r="AI1197" s="6"/>
      <c r="AJ1197" s="11" t="s">
        <v>174</v>
      </c>
    </row>
    <row r="1198" spans="1:36" ht="15.75" customHeight="1" x14ac:dyDescent="0.25">
      <c r="A1198" s="7">
        <v>43422.399857523153</v>
      </c>
      <c r="B1198" s="6" t="s">
        <v>127</v>
      </c>
      <c r="C1198" s="6" t="s">
        <v>215</v>
      </c>
      <c r="D1198" s="6" t="s">
        <v>46</v>
      </c>
      <c r="E1198" s="6" t="s">
        <v>48</v>
      </c>
      <c r="F1198" s="6" t="s">
        <v>36</v>
      </c>
      <c r="G1198" s="6" t="s">
        <v>48</v>
      </c>
      <c r="H1198" s="6" t="s">
        <v>3952</v>
      </c>
      <c r="I1198" s="6"/>
      <c r="J1198" s="6" t="s">
        <v>106</v>
      </c>
      <c r="K1198" s="6"/>
      <c r="L1198" s="6" t="s">
        <v>2708</v>
      </c>
      <c r="M1198" s="6"/>
      <c r="N1198" s="6" t="s">
        <v>121</v>
      </c>
      <c r="O1198" s="6"/>
      <c r="P1198" s="6" t="s">
        <v>94</v>
      </c>
      <c r="Q1198" s="6"/>
      <c r="R1198" s="47" t="s">
        <v>201</v>
      </c>
      <c r="S1198" s="14" t="s">
        <v>5763</v>
      </c>
      <c r="AA1198" s="6"/>
      <c r="AB1198" s="6" t="s">
        <v>67</v>
      </c>
      <c r="AC1198" s="6"/>
      <c r="AD1198" s="6" t="s">
        <v>56</v>
      </c>
      <c r="AE1198" s="6"/>
      <c r="AF1198" s="6" t="s">
        <v>75</v>
      </c>
      <c r="AG1198" s="6"/>
      <c r="AH1198" s="11" t="s">
        <v>76</v>
      </c>
      <c r="AJ1198" s="12" t="s">
        <v>57</v>
      </c>
    </row>
    <row r="1199" spans="1:36" ht="15.75" customHeight="1" x14ac:dyDescent="0.25">
      <c r="A1199" s="7">
        <v>43422.424707824073</v>
      </c>
      <c r="B1199" s="6" t="s">
        <v>30</v>
      </c>
      <c r="C1199" s="6" t="s">
        <v>116</v>
      </c>
      <c r="D1199" s="6" t="s">
        <v>46</v>
      </c>
      <c r="E1199" s="6" t="s">
        <v>48</v>
      </c>
      <c r="F1199" s="6" t="s">
        <v>3954</v>
      </c>
      <c r="G1199" s="6" t="s">
        <v>48</v>
      </c>
      <c r="H1199" s="6" t="s">
        <v>3956</v>
      </c>
      <c r="I1199" s="6"/>
      <c r="J1199" s="6" t="s">
        <v>50</v>
      </c>
      <c r="K1199" s="6"/>
      <c r="L1199" s="6" t="s">
        <v>3120</v>
      </c>
      <c r="M1199" s="6"/>
      <c r="N1199" s="6" t="s">
        <v>212</v>
      </c>
      <c r="O1199" s="6"/>
      <c r="P1199" s="6" t="s">
        <v>131</v>
      </c>
      <c r="Q1199" s="6"/>
      <c r="R1199" s="47" t="s">
        <v>3957</v>
      </c>
      <c r="AA1199" s="6"/>
      <c r="AB1199" s="6" t="s">
        <v>55</v>
      </c>
      <c r="AC1199" s="6"/>
      <c r="AD1199" s="6" t="s">
        <v>56</v>
      </c>
      <c r="AE1199" s="6"/>
      <c r="AF1199" s="6" t="s">
        <v>75</v>
      </c>
      <c r="AG1199" s="6"/>
      <c r="AH1199" s="6" t="s">
        <v>76</v>
      </c>
      <c r="AI1199" s="6"/>
      <c r="AJ1199" s="6" t="s">
        <v>132</v>
      </c>
    </row>
    <row r="1200" spans="1:36" ht="15.75" customHeight="1" x14ac:dyDescent="0.25">
      <c r="A1200" s="7">
        <v>43422.439666747683</v>
      </c>
      <c r="B1200" s="6" t="s">
        <v>30</v>
      </c>
      <c r="C1200" s="6" t="s">
        <v>923</v>
      </c>
      <c r="D1200" s="6" t="s">
        <v>46</v>
      </c>
      <c r="E1200" s="6" t="s">
        <v>81</v>
      </c>
      <c r="G1200" s="6" t="s">
        <v>87</v>
      </c>
      <c r="H1200" s="6" t="s">
        <v>3958</v>
      </c>
      <c r="I1200" s="6"/>
      <c r="J1200" s="6" t="s">
        <v>73</v>
      </c>
      <c r="K1200" s="6"/>
      <c r="L1200" s="6" t="s">
        <v>3122</v>
      </c>
      <c r="M1200" s="6"/>
      <c r="N1200" s="6" t="s">
        <v>212</v>
      </c>
      <c r="O1200" s="6"/>
      <c r="P1200" s="6" t="s">
        <v>52</v>
      </c>
      <c r="Q1200" s="6"/>
      <c r="R1200" s="47" t="s">
        <v>3960</v>
      </c>
      <c r="AA1200" s="6"/>
      <c r="AB1200" s="6" t="s">
        <v>67</v>
      </c>
      <c r="AC1200" s="6"/>
      <c r="AD1200" s="6" t="s">
        <v>56</v>
      </c>
      <c r="AE1200" s="6"/>
      <c r="AF1200" s="6" t="s">
        <v>75</v>
      </c>
      <c r="AG1200" s="6"/>
      <c r="AH1200" s="6" t="s">
        <v>58</v>
      </c>
      <c r="AI1200" s="6"/>
      <c r="AJ1200" s="6" t="s">
        <v>244</v>
      </c>
    </row>
    <row r="1201" spans="1:36" ht="15.75" customHeight="1" x14ac:dyDescent="0.25">
      <c r="A1201" s="7">
        <v>43422.452713703708</v>
      </c>
      <c r="B1201" s="6" t="s">
        <v>103</v>
      </c>
      <c r="C1201" s="6" t="s">
        <v>79</v>
      </c>
      <c r="D1201" s="6" t="s">
        <v>163</v>
      </c>
      <c r="E1201" s="6" t="s">
        <v>48</v>
      </c>
      <c r="F1201" s="6" t="s">
        <v>3961</v>
      </c>
      <c r="G1201" s="6" t="s">
        <v>48</v>
      </c>
      <c r="H1201" s="6" t="s">
        <v>3962</v>
      </c>
      <c r="I1201" s="6"/>
      <c r="J1201" s="6" t="s">
        <v>106</v>
      </c>
      <c r="K1201" s="6"/>
      <c r="N1201" s="6" t="s">
        <v>181</v>
      </c>
      <c r="O1201" s="6"/>
      <c r="P1201" s="6" t="s">
        <v>99</v>
      </c>
      <c r="Q1201" s="6"/>
      <c r="AA1201" s="6"/>
      <c r="AB1201" s="6" t="s">
        <v>55</v>
      </c>
      <c r="AC1201" s="6"/>
      <c r="AD1201" s="6" t="s">
        <v>56</v>
      </c>
      <c r="AE1201" s="6"/>
      <c r="AF1201" s="6" t="s">
        <v>68</v>
      </c>
      <c r="AG1201" s="6"/>
      <c r="AH1201" s="6" t="s">
        <v>58</v>
      </c>
      <c r="AI1201" s="6"/>
      <c r="AJ1201" s="6" t="s">
        <v>115</v>
      </c>
    </row>
    <row r="1202" spans="1:36" ht="15.75" customHeight="1" x14ac:dyDescent="0.25">
      <c r="A1202" s="7">
        <v>43422.497616724533</v>
      </c>
      <c r="B1202" s="6" t="s">
        <v>305</v>
      </c>
      <c r="C1202" s="6" t="s">
        <v>349</v>
      </c>
      <c r="D1202" s="6" t="s">
        <v>129</v>
      </c>
      <c r="E1202" s="6" t="s">
        <v>81</v>
      </c>
      <c r="G1202" s="6" t="s">
        <v>87</v>
      </c>
      <c r="H1202" s="6" t="s">
        <v>3964</v>
      </c>
      <c r="I1202" s="6"/>
      <c r="J1202" s="6" t="s">
        <v>110</v>
      </c>
      <c r="K1202" s="6"/>
      <c r="L1202" s="6" t="s">
        <v>3123</v>
      </c>
      <c r="M1202" s="6"/>
      <c r="N1202" s="6" t="s">
        <v>51</v>
      </c>
      <c r="O1202" s="6"/>
      <c r="P1202" s="6" t="s">
        <v>52</v>
      </c>
      <c r="Q1202" s="6"/>
      <c r="R1202" s="47" t="s">
        <v>192</v>
      </c>
      <c r="S1202" s="14" t="s">
        <v>182</v>
      </c>
      <c r="T1202" s="14" t="s">
        <v>4956</v>
      </c>
      <c r="U1202" s="14" t="s">
        <v>5764</v>
      </c>
      <c r="V1202" s="14" t="s">
        <v>4304</v>
      </c>
      <c r="W1202" s="14" t="s">
        <v>4625</v>
      </c>
      <c r="AA1202" s="6"/>
      <c r="AB1202" s="6" t="s">
        <v>67</v>
      </c>
      <c r="AC1202" s="6"/>
      <c r="AD1202" s="6" t="s">
        <v>109</v>
      </c>
      <c r="AE1202" s="6"/>
      <c r="AF1202" s="6" t="s">
        <v>68</v>
      </c>
      <c r="AG1202" s="6"/>
      <c r="AH1202" s="6" t="s">
        <v>58</v>
      </c>
      <c r="AI1202" s="6"/>
      <c r="AJ1202" s="6" t="s">
        <v>204</v>
      </c>
    </row>
    <row r="1203" spans="1:36" ht="15.75" customHeight="1" x14ac:dyDescent="0.25">
      <c r="A1203" s="7">
        <v>43422.507836874996</v>
      </c>
      <c r="B1203" s="6" t="s">
        <v>30</v>
      </c>
      <c r="C1203" s="6" t="s">
        <v>90</v>
      </c>
      <c r="D1203" s="6" t="s">
        <v>165</v>
      </c>
      <c r="E1203" s="6" t="s">
        <v>81</v>
      </c>
      <c r="G1203" s="6" t="s">
        <v>87</v>
      </c>
      <c r="H1203" s="6" t="s">
        <v>3967</v>
      </c>
      <c r="I1203" s="6"/>
      <c r="J1203" s="6" t="s">
        <v>158</v>
      </c>
      <c r="K1203" s="6"/>
      <c r="L1203" s="6" t="s">
        <v>2356</v>
      </c>
      <c r="M1203" s="6"/>
      <c r="N1203" s="6" t="s">
        <v>167</v>
      </c>
      <c r="O1203" s="6"/>
      <c r="P1203" s="6" t="s">
        <v>131</v>
      </c>
      <c r="Q1203" s="6"/>
      <c r="AA1203" s="6"/>
      <c r="AB1203" s="6" t="s">
        <v>101</v>
      </c>
      <c r="AC1203" s="6"/>
      <c r="AD1203" s="6" t="s">
        <v>56</v>
      </c>
      <c r="AE1203" s="6"/>
      <c r="AF1203" s="6" t="s">
        <v>161</v>
      </c>
      <c r="AG1203" s="6"/>
      <c r="AH1203" s="6" t="s">
        <v>57</v>
      </c>
      <c r="AI1203" s="6"/>
      <c r="AJ1203" s="11" t="s">
        <v>69</v>
      </c>
    </row>
    <row r="1204" spans="1:36" ht="15.75" customHeight="1" x14ac:dyDescent="0.25">
      <c r="A1204" s="7">
        <v>43422.518050162034</v>
      </c>
      <c r="B1204" s="6" t="s">
        <v>30</v>
      </c>
      <c r="C1204" s="6" t="s">
        <v>116</v>
      </c>
      <c r="D1204" s="6" t="s">
        <v>46</v>
      </c>
      <c r="E1204" s="6" t="s">
        <v>81</v>
      </c>
      <c r="G1204" s="6" t="s">
        <v>87</v>
      </c>
      <c r="H1204" s="6" t="s">
        <v>3969</v>
      </c>
      <c r="I1204" s="6"/>
      <c r="J1204" s="6" t="s">
        <v>92</v>
      </c>
      <c r="K1204" s="6"/>
      <c r="L1204" s="6" t="s">
        <v>2538</v>
      </c>
      <c r="M1204" s="6"/>
      <c r="N1204" s="6" t="s">
        <v>121</v>
      </c>
      <c r="O1204" s="6"/>
      <c r="P1204" s="6" t="s">
        <v>94</v>
      </c>
      <c r="Q1204" s="6"/>
      <c r="R1204" s="47" t="s">
        <v>5765</v>
      </c>
      <c r="S1204" s="14" t="s">
        <v>5766</v>
      </c>
      <c r="T1204" s="14" t="s">
        <v>5767</v>
      </c>
      <c r="AA1204" s="6"/>
      <c r="AB1204" s="6" t="s">
        <v>101</v>
      </c>
      <c r="AC1204" s="6"/>
      <c r="AD1204" s="6" t="s">
        <v>56</v>
      </c>
      <c r="AE1204" s="6"/>
      <c r="AF1204" s="6" t="s">
        <v>161</v>
      </c>
      <c r="AG1204" s="6"/>
      <c r="AH1204" s="6" t="s">
        <v>76</v>
      </c>
      <c r="AI1204" s="6"/>
      <c r="AJ1204" s="11" t="s">
        <v>174</v>
      </c>
    </row>
    <row r="1205" spans="1:36" ht="15.75" customHeight="1" x14ac:dyDescent="0.25">
      <c r="A1205" s="7">
        <v>43422.526596736112</v>
      </c>
      <c r="B1205" s="6" t="s">
        <v>30</v>
      </c>
      <c r="C1205" s="6" t="s">
        <v>45</v>
      </c>
      <c r="D1205" s="6" t="s">
        <v>46</v>
      </c>
      <c r="E1205" s="6" t="s">
        <v>81</v>
      </c>
      <c r="G1205" s="6" t="s">
        <v>48</v>
      </c>
      <c r="H1205" s="6" t="s">
        <v>3972</v>
      </c>
      <c r="I1205" s="6"/>
      <c r="J1205" s="6" t="s">
        <v>89</v>
      </c>
      <c r="K1205" s="6"/>
      <c r="L1205" s="6" t="s">
        <v>3124</v>
      </c>
      <c r="M1205" s="6"/>
      <c r="N1205" s="6" t="s">
        <v>212</v>
      </c>
      <c r="O1205" s="6"/>
      <c r="P1205" s="6" t="s">
        <v>131</v>
      </c>
      <c r="Q1205" s="6"/>
      <c r="R1205" s="47" t="s">
        <v>5768</v>
      </c>
      <c r="S1205" s="14" t="s">
        <v>5769</v>
      </c>
      <c r="T1205" s="14" t="s">
        <v>5770</v>
      </c>
      <c r="AA1205" s="6"/>
      <c r="AB1205" s="6" t="s">
        <v>101</v>
      </c>
      <c r="AC1205" s="6"/>
      <c r="AD1205" s="6" t="s">
        <v>56</v>
      </c>
      <c r="AE1205" s="6"/>
      <c r="AF1205" s="6" t="s">
        <v>161</v>
      </c>
      <c r="AG1205" s="6"/>
      <c r="AH1205" s="6" t="s">
        <v>76</v>
      </c>
      <c r="AI1205" s="6"/>
      <c r="AJ1205" s="11" t="s">
        <v>115</v>
      </c>
    </row>
    <row r="1206" spans="1:36" ht="15.75" customHeight="1" x14ac:dyDescent="0.25">
      <c r="A1206" s="7">
        <v>43422.534358182871</v>
      </c>
      <c r="B1206" s="6" t="s">
        <v>30</v>
      </c>
      <c r="C1206" s="6" t="s">
        <v>116</v>
      </c>
      <c r="D1206" s="6" t="s">
        <v>46</v>
      </c>
      <c r="E1206" s="6" t="s">
        <v>81</v>
      </c>
      <c r="G1206" s="6" t="s">
        <v>48</v>
      </c>
      <c r="J1206" s="6" t="s">
        <v>89</v>
      </c>
      <c r="K1206" s="6"/>
      <c r="N1206" s="6" t="s">
        <v>181</v>
      </c>
      <c r="O1206" s="6"/>
      <c r="P1206" s="6" t="s">
        <v>131</v>
      </c>
      <c r="Q1206" s="6"/>
      <c r="AA1206" s="6"/>
      <c r="AB1206" s="6" t="s">
        <v>67</v>
      </c>
      <c r="AC1206" s="6"/>
      <c r="AD1206" s="6" t="s">
        <v>56</v>
      </c>
      <c r="AE1206" s="6"/>
      <c r="AF1206" s="6" t="s">
        <v>75</v>
      </c>
      <c r="AG1206" s="6"/>
      <c r="AH1206" s="6" t="s">
        <v>76</v>
      </c>
      <c r="AI1206" s="6"/>
      <c r="AJ1206" s="11" t="s">
        <v>57</v>
      </c>
    </row>
    <row r="1207" spans="1:36" ht="15.75" customHeight="1" x14ac:dyDescent="0.25">
      <c r="A1207" s="7">
        <v>43422.536135902774</v>
      </c>
      <c r="B1207" s="6" t="s">
        <v>60</v>
      </c>
      <c r="C1207" s="6" t="s">
        <v>971</v>
      </c>
      <c r="D1207" s="6" t="s">
        <v>165</v>
      </c>
      <c r="E1207" s="6" t="s">
        <v>81</v>
      </c>
      <c r="G1207" s="6" t="s">
        <v>87</v>
      </c>
      <c r="H1207" s="6" t="s">
        <v>3974</v>
      </c>
      <c r="I1207" s="6"/>
      <c r="J1207" s="6" t="s">
        <v>50</v>
      </c>
      <c r="K1207" s="6"/>
      <c r="L1207" s="6" t="s">
        <v>2541</v>
      </c>
      <c r="M1207" s="6"/>
      <c r="N1207" s="6" t="s">
        <v>212</v>
      </c>
      <c r="O1207" s="6"/>
      <c r="P1207" s="6" t="s">
        <v>131</v>
      </c>
      <c r="Q1207" s="6"/>
      <c r="R1207" s="47" t="s">
        <v>3703</v>
      </c>
      <c r="S1207" s="14" t="s">
        <v>5771</v>
      </c>
      <c r="AA1207" s="6"/>
      <c r="AB1207" s="6" t="s">
        <v>67</v>
      </c>
      <c r="AC1207" s="6"/>
      <c r="AD1207" s="6" t="s">
        <v>56</v>
      </c>
      <c r="AE1207" s="6"/>
      <c r="AF1207" s="6" t="s">
        <v>161</v>
      </c>
      <c r="AG1207" s="6"/>
      <c r="AH1207" s="6" t="s">
        <v>76</v>
      </c>
      <c r="AI1207" s="6"/>
      <c r="AJ1207" s="6" t="s">
        <v>102</v>
      </c>
    </row>
    <row r="1208" spans="1:36" ht="15.75" customHeight="1" x14ac:dyDescent="0.25">
      <c r="A1208" s="7">
        <v>43422.553421539356</v>
      </c>
      <c r="B1208" s="6" t="s">
        <v>3977</v>
      </c>
      <c r="C1208" s="6" t="s">
        <v>306</v>
      </c>
      <c r="D1208" s="6" t="s">
        <v>772</v>
      </c>
      <c r="E1208" s="6" t="s">
        <v>81</v>
      </c>
      <c r="G1208" s="6" t="s">
        <v>87</v>
      </c>
      <c r="H1208" s="6" t="s">
        <v>3978</v>
      </c>
      <c r="I1208" s="6"/>
      <c r="J1208" s="6" t="s">
        <v>92</v>
      </c>
      <c r="K1208" s="6"/>
      <c r="L1208" s="6" t="s">
        <v>3126</v>
      </c>
      <c r="M1208" s="6"/>
      <c r="N1208" s="6" t="s">
        <v>93</v>
      </c>
      <c r="O1208" s="6"/>
      <c r="P1208" s="6" t="s">
        <v>94</v>
      </c>
      <c r="Q1208" s="6"/>
      <c r="AA1208" s="6"/>
      <c r="AB1208" s="6" t="s">
        <v>67</v>
      </c>
      <c r="AC1208" s="6"/>
      <c r="AD1208" s="6" t="s">
        <v>56</v>
      </c>
      <c r="AE1208" s="6"/>
      <c r="AF1208" s="6" t="s">
        <v>68</v>
      </c>
      <c r="AG1208" s="6"/>
      <c r="AH1208" s="6" t="s">
        <v>57</v>
      </c>
      <c r="AI1208" s="6"/>
      <c r="AJ1208" s="6" t="s">
        <v>312</v>
      </c>
    </row>
    <row r="1209" spans="1:36" ht="15.75" customHeight="1" x14ac:dyDescent="0.25">
      <c r="A1209" s="7">
        <v>43422.557150787034</v>
      </c>
      <c r="B1209" s="6" t="s">
        <v>127</v>
      </c>
      <c r="C1209" s="6" t="s">
        <v>237</v>
      </c>
      <c r="D1209" s="6" t="s">
        <v>91</v>
      </c>
      <c r="E1209" s="6" t="s">
        <v>48</v>
      </c>
      <c r="F1209" s="6" t="s">
        <v>3980</v>
      </c>
      <c r="G1209" s="6" t="s">
        <v>48</v>
      </c>
      <c r="H1209" s="6" t="s">
        <v>3981</v>
      </c>
      <c r="I1209" s="6"/>
      <c r="J1209" s="6" t="s">
        <v>92</v>
      </c>
      <c r="K1209" s="6"/>
      <c r="L1209" s="6" t="s">
        <v>3128</v>
      </c>
      <c r="M1209" s="6"/>
      <c r="N1209" s="6" t="s">
        <v>112</v>
      </c>
      <c r="O1209" s="6"/>
      <c r="P1209" s="6" t="s">
        <v>52</v>
      </c>
      <c r="Q1209" s="6"/>
      <c r="R1209" s="47" t="s">
        <v>5772</v>
      </c>
      <c r="S1209" s="14" t="s">
        <v>5773</v>
      </c>
      <c r="T1209" s="14" t="s">
        <v>4623</v>
      </c>
      <c r="U1209" s="14" t="s">
        <v>5774</v>
      </c>
      <c r="AA1209" s="6"/>
      <c r="AB1209" s="6" t="s">
        <v>67</v>
      </c>
      <c r="AC1209" s="6"/>
      <c r="AD1209" s="6" t="s">
        <v>56</v>
      </c>
      <c r="AE1209" s="6"/>
      <c r="AF1209" s="6" t="s">
        <v>68</v>
      </c>
      <c r="AG1209" s="6"/>
      <c r="AH1209" s="6" t="s">
        <v>58</v>
      </c>
      <c r="AI1209" s="6"/>
      <c r="AJ1209" s="6" t="s">
        <v>291</v>
      </c>
    </row>
    <row r="1210" spans="1:36" ht="15.75" customHeight="1" x14ac:dyDescent="0.25">
      <c r="A1210" s="7">
        <v>43422.59082268519</v>
      </c>
      <c r="B1210" s="6" t="s">
        <v>28</v>
      </c>
      <c r="C1210" s="6" t="s">
        <v>749</v>
      </c>
      <c r="D1210" s="6" t="s">
        <v>91</v>
      </c>
      <c r="E1210" s="6" t="s">
        <v>48</v>
      </c>
      <c r="F1210" s="6" t="s">
        <v>3984</v>
      </c>
      <c r="G1210" s="6" t="s">
        <v>48</v>
      </c>
      <c r="H1210" s="6" t="s">
        <v>3985</v>
      </c>
      <c r="I1210" s="6"/>
      <c r="J1210" s="6" t="s">
        <v>158</v>
      </c>
      <c r="K1210" s="6"/>
      <c r="L1210" s="6" t="s">
        <v>3130</v>
      </c>
      <c r="M1210" s="6"/>
      <c r="N1210" s="6" t="s">
        <v>51</v>
      </c>
      <c r="O1210" s="6"/>
      <c r="P1210" s="6" t="s">
        <v>65</v>
      </c>
      <c r="Q1210" s="6"/>
      <c r="R1210" s="47" t="s">
        <v>3986</v>
      </c>
      <c r="AA1210" s="6"/>
      <c r="AB1210" s="6" t="s">
        <v>67</v>
      </c>
      <c r="AC1210" s="6"/>
      <c r="AD1210" s="6" t="s">
        <v>56</v>
      </c>
      <c r="AE1210" s="6"/>
      <c r="AF1210" s="6" t="s">
        <v>75</v>
      </c>
      <c r="AG1210" s="6"/>
      <c r="AH1210" s="6" t="s">
        <v>58</v>
      </c>
      <c r="AI1210" s="6"/>
      <c r="AJ1210" s="6" t="s">
        <v>295</v>
      </c>
    </row>
    <row r="1211" spans="1:36" ht="15.75" customHeight="1" x14ac:dyDescent="0.25">
      <c r="A1211" s="7">
        <v>43422.592232615745</v>
      </c>
      <c r="B1211" s="6" t="s">
        <v>31</v>
      </c>
      <c r="C1211" s="6" t="s">
        <v>128</v>
      </c>
      <c r="D1211" s="6" t="s">
        <v>133</v>
      </c>
      <c r="E1211" s="6" t="s">
        <v>48</v>
      </c>
      <c r="F1211" s="6" t="s">
        <v>3987</v>
      </c>
      <c r="G1211" s="6" t="s">
        <v>81</v>
      </c>
      <c r="H1211" s="6" t="s">
        <v>3989</v>
      </c>
      <c r="I1211" s="6"/>
      <c r="J1211" s="6" t="s">
        <v>92</v>
      </c>
      <c r="K1211" s="6"/>
      <c r="N1211" s="6" t="s">
        <v>98</v>
      </c>
      <c r="O1211" s="6"/>
      <c r="P1211" s="6" t="s">
        <v>131</v>
      </c>
      <c r="Q1211" s="6"/>
      <c r="AA1211" s="6"/>
      <c r="AB1211" s="6" t="s">
        <v>203</v>
      </c>
      <c r="AC1211" s="6"/>
      <c r="AD1211" s="6" t="s">
        <v>56</v>
      </c>
      <c r="AE1211" s="6"/>
      <c r="AF1211" s="6" t="s">
        <v>75</v>
      </c>
      <c r="AG1211" s="6"/>
      <c r="AH1211" s="6" t="s">
        <v>57</v>
      </c>
      <c r="AI1211" s="6"/>
      <c r="AJ1211" s="6" t="s">
        <v>286</v>
      </c>
    </row>
    <row r="1212" spans="1:36" ht="15.75" customHeight="1" x14ac:dyDescent="0.25">
      <c r="A1212" s="7">
        <v>43422.614018981483</v>
      </c>
      <c r="B1212" s="6" t="s">
        <v>305</v>
      </c>
      <c r="C1212" s="6" t="s">
        <v>90</v>
      </c>
      <c r="D1212" s="6" t="s">
        <v>307</v>
      </c>
      <c r="E1212" s="6" t="s">
        <v>81</v>
      </c>
      <c r="G1212" s="6" t="s">
        <v>87</v>
      </c>
      <c r="J1212" s="6" t="s">
        <v>92</v>
      </c>
      <c r="K1212" s="6"/>
      <c r="N1212" s="6" t="s">
        <v>121</v>
      </c>
      <c r="O1212" s="6"/>
      <c r="P1212" s="6" t="s">
        <v>94</v>
      </c>
      <c r="Q1212" s="6"/>
      <c r="R1212" s="47" t="s">
        <v>2068</v>
      </c>
      <c r="AA1212" s="6"/>
      <c r="AB1212" s="6" t="s">
        <v>67</v>
      </c>
      <c r="AC1212" s="6"/>
      <c r="AD1212" s="6" t="s">
        <v>56</v>
      </c>
      <c r="AE1212" s="6"/>
      <c r="AF1212" s="6" t="s">
        <v>68</v>
      </c>
      <c r="AG1212" s="6"/>
      <c r="AH1212" s="6" t="s">
        <v>58</v>
      </c>
      <c r="AI1212" s="6"/>
      <c r="AJ1212" s="11" t="s">
        <v>333</v>
      </c>
    </row>
    <row r="1213" spans="1:36" ht="15.75" customHeight="1" x14ac:dyDescent="0.25">
      <c r="A1213" s="7">
        <v>43422.616924351853</v>
      </c>
      <c r="B1213" s="6" t="s">
        <v>127</v>
      </c>
      <c r="C1213" s="6" t="s">
        <v>116</v>
      </c>
      <c r="D1213" s="6" t="s">
        <v>163</v>
      </c>
      <c r="E1213" s="6" t="s">
        <v>48</v>
      </c>
      <c r="F1213" s="6" t="s">
        <v>3991</v>
      </c>
      <c r="G1213" s="6" t="s">
        <v>48</v>
      </c>
      <c r="H1213" s="6" t="s">
        <v>3992</v>
      </c>
      <c r="I1213" s="6"/>
      <c r="J1213" s="6" t="s">
        <v>50</v>
      </c>
      <c r="K1213" s="6"/>
      <c r="L1213" s="6" t="s">
        <v>2993</v>
      </c>
      <c r="M1213" s="6"/>
      <c r="N1213" s="6" t="s">
        <v>121</v>
      </c>
      <c r="O1213" s="6"/>
      <c r="P1213" s="6" t="s">
        <v>168</v>
      </c>
      <c r="Q1213" s="6"/>
      <c r="AA1213" s="6"/>
      <c r="AB1213" s="6" t="s">
        <v>101</v>
      </c>
      <c r="AC1213" s="6"/>
      <c r="AD1213" s="6" t="s">
        <v>56</v>
      </c>
      <c r="AE1213" s="6"/>
      <c r="AF1213" s="6" t="s">
        <v>75</v>
      </c>
      <c r="AG1213" s="6"/>
      <c r="AH1213" s="6" t="s">
        <v>57</v>
      </c>
      <c r="AI1213" s="6"/>
      <c r="AJ1213" s="11" t="s">
        <v>338</v>
      </c>
    </row>
    <row r="1214" spans="1:36" ht="15.75" customHeight="1" x14ac:dyDescent="0.25">
      <c r="A1214" s="7">
        <v>43422.631605405091</v>
      </c>
      <c r="B1214" s="6" t="s">
        <v>154</v>
      </c>
      <c r="C1214" s="6" t="s">
        <v>705</v>
      </c>
      <c r="D1214" s="6" t="s">
        <v>165</v>
      </c>
      <c r="E1214" s="6" t="s">
        <v>81</v>
      </c>
      <c r="F1214" s="6" t="s">
        <v>3994</v>
      </c>
      <c r="G1214" s="6" t="s">
        <v>87</v>
      </c>
      <c r="H1214" s="6" t="s">
        <v>3995</v>
      </c>
      <c r="I1214" s="6"/>
      <c r="J1214" s="6" t="s">
        <v>92</v>
      </c>
      <c r="K1214" s="6"/>
      <c r="L1214" s="6" t="s">
        <v>2994</v>
      </c>
      <c r="M1214" s="6"/>
      <c r="N1214" s="6" t="s">
        <v>181</v>
      </c>
      <c r="O1214" s="6"/>
      <c r="P1214" s="6" t="s">
        <v>131</v>
      </c>
      <c r="Q1214" s="6"/>
      <c r="R1214" s="50" t="s">
        <v>3996</v>
      </c>
      <c r="AA1214" s="6"/>
      <c r="AB1214" s="6" t="s">
        <v>101</v>
      </c>
      <c r="AC1214" s="6"/>
      <c r="AD1214" s="6" t="s">
        <v>56</v>
      </c>
      <c r="AE1214" s="6"/>
      <c r="AF1214" s="6" t="s">
        <v>75</v>
      </c>
      <c r="AG1214" s="6"/>
      <c r="AH1214" s="6" t="s">
        <v>76</v>
      </c>
      <c r="AI1214" s="6"/>
      <c r="AJ1214" s="6" t="s">
        <v>293</v>
      </c>
    </row>
    <row r="1215" spans="1:36" ht="15.75" customHeight="1" x14ac:dyDescent="0.25">
      <c r="A1215" s="7">
        <v>43422.637696238424</v>
      </c>
      <c r="B1215" s="6" t="s">
        <v>60</v>
      </c>
      <c r="C1215" s="6" t="s">
        <v>215</v>
      </c>
      <c r="D1215" s="6" t="s">
        <v>46</v>
      </c>
      <c r="E1215" s="6" t="s">
        <v>48</v>
      </c>
      <c r="F1215" s="6" t="s">
        <v>4005</v>
      </c>
      <c r="G1215" s="6" t="s">
        <v>48</v>
      </c>
      <c r="J1215" s="6" t="s">
        <v>158</v>
      </c>
      <c r="K1215" s="6"/>
      <c r="L1215" s="6" t="s">
        <v>2995</v>
      </c>
      <c r="M1215" s="6"/>
      <c r="N1215" s="6" t="s">
        <v>181</v>
      </c>
      <c r="O1215" s="6"/>
      <c r="P1215" s="6" t="s">
        <v>131</v>
      </c>
      <c r="Q1215" s="6"/>
      <c r="R1215" s="47" t="s">
        <v>5775</v>
      </c>
      <c r="S1215" s="14" t="s">
        <v>4400</v>
      </c>
      <c r="T1215" s="14" t="s">
        <v>3994</v>
      </c>
      <c r="U1215" s="14" t="s">
        <v>5776</v>
      </c>
      <c r="AA1215" s="6"/>
      <c r="AB1215" s="6" t="s">
        <v>67</v>
      </c>
      <c r="AC1215" s="6"/>
      <c r="AD1215" s="6" t="s">
        <v>56</v>
      </c>
      <c r="AE1215" s="6"/>
      <c r="AF1215" s="6" t="s">
        <v>75</v>
      </c>
      <c r="AG1215" s="6"/>
      <c r="AH1215" s="6" t="s">
        <v>76</v>
      </c>
      <c r="AI1215" s="6"/>
      <c r="AJ1215" s="6" t="s">
        <v>115</v>
      </c>
    </row>
    <row r="1216" spans="1:36" ht="15.75" customHeight="1" x14ac:dyDescent="0.25">
      <c r="A1216" s="7">
        <v>43422.64099980324</v>
      </c>
      <c r="B1216" s="6" t="s">
        <v>4008</v>
      </c>
      <c r="C1216" s="6" t="s">
        <v>756</v>
      </c>
      <c r="D1216" s="6" t="s">
        <v>163</v>
      </c>
      <c r="E1216" s="6" t="s">
        <v>48</v>
      </c>
      <c r="F1216" s="6" t="s">
        <v>4009</v>
      </c>
      <c r="G1216" s="6" t="s">
        <v>48</v>
      </c>
      <c r="H1216" s="6" t="s">
        <v>4010</v>
      </c>
      <c r="I1216" s="6"/>
      <c r="J1216" s="6" t="s">
        <v>110</v>
      </c>
      <c r="K1216" s="6"/>
      <c r="L1216" s="6" t="s">
        <v>2486</v>
      </c>
      <c r="M1216" s="6"/>
      <c r="N1216" s="6" t="s">
        <v>212</v>
      </c>
      <c r="O1216" s="6"/>
      <c r="P1216" s="6" t="s">
        <v>131</v>
      </c>
      <c r="Q1216" s="6"/>
      <c r="R1216" s="47" t="s">
        <v>182</v>
      </c>
      <c r="S1216" s="14" t="s">
        <v>5276</v>
      </c>
      <c r="T1216" s="14" t="s">
        <v>5125</v>
      </c>
      <c r="AA1216" s="6"/>
      <c r="AB1216" s="6" t="s">
        <v>67</v>
      </c>
      <c r="AC1216" s="6"/>
      <c r="AD1216" s="6" t="s">
        <v>56</v>
      </c>
      <c r="AE1216" s="6"/>
      <c r="AF1216" s="6" t="s">
        <v>68</v>
      </c>
      <c r="AG1216" s="6"/>
      <c r="AH1216" s="6" t="s">
        <v>58</v>
      </c>
      <c r="AI1216" s="6"/>
      <c r="AJ1216" s="6" t="s">
        <v>115</v>
      </c>
    </row>
    <row r="1217" spans="1:36" ht="15.75" customHeight="1" x14ac:dyDescent="0.25">
      <c r="A1217" s="7">
        <v>43422.656497071759</v>
      </c>
      <c r="B1217" s="6" t="s">
        <v>60</v>
      </c>
      <c r="C1217" s="6" t="s">
        <v>95</v>
      </c>
      <c r="D1217" s="6" t="s">
        <v>165</v>
      </c>
      <c r="E1217" s="6" t="s">
        <v>81</v>
      </c>
      <c r="G1217" s="6" t="s">
        <v>87</v>
      </c>
      <c r="H1217" s="6" t="s">
        <v>4013</v>
      </c>
      <c r="I1217" s="6"/>
      <c r="J1217" s="6" t="s">
        <v>64</v>
      </c>
      <c r="K1217" s="6"/>
      <c r="L1217" s="6" t="s">
        <v>2997</v>
      </c>
      <c r="M1217" s="6"/>
      <c r="N1217" s="6" t="s">
        <v>98</v>
      </c>
      <c r="O1217" s="6"/>
      <c r="P1217" s="6" t="s">
        <v>131</v>
      </c>
      <c r="Q1217" s="6"/>
      <c r="R1217" s="47" t="s">
        <v>5777</v>
      </c>
      <c r="S1217" s="14" t="s">
        <v>5778</v>
      </c>
      <c r="T1217" s="14" t="s">
        <v>5779</v>
      </c>
      <c r="U1217" s="14" t="s">
        <v>4431</v>
      </c>
      <c r="AA1217" s="6"/>
      <c r="AB1217" s="6" t="s">
        <v>67</v>
      </c>
      <c r="AC1217" s="6"/>
      <c r="AD1217" s="6" t="s">
        <v>56</v>
      </c>
      <c r="AE1217" s="6"/>
      <c r="AF1217" s="6" t="s">
        <v>75</v>
      </c>
      <c r="AG1217" s="6"/>
      <c r="AH1217" s="6" t="s">
        <v>58</v>
      </c>
      <c r="AI1217" s="6"/>
      <c r="AJ1217" s="11" t="s">
        <v>77</v>
      </c>
    </row>
    <row r="1218" spans="1:36" ht="15.75" customHeight="1" x14ac:dyDescent="0.25">
      <c r="A1218" s="7">
        <v>43422.670500208333</v>
      </c>
      <c r="B1218" s="6" t="s">
        <v>60</v>
      </c>
      <c r="C1218" s="6" t="s">
        <v>482</v>
      </c>
      <c r="D1218" s="6" t="s">
        <v>138</v>
      </c>
      <c r="E1218" s="6" t="s">
        <v>81</v>
      </c>
      <c r="G1218" s="6" t="s">
        <v>87</v>
      </c>
      <c r="H1218" s="6" t="s">
        <v>4016</v>
      </c>
      <c r="I1218" s="6"/>
      <c r="J1218" s="6" t="s">
        <v>73</v>
      </c>
      <c r="K1218" s="6"/>
      <c r="L1218" s="6" t="s">
        <v>2335</v>
      </c>
      <c r="M1218" s="6"/>
      <c r="N1218" s="6" t="s">
        <v>121</v>
      </c>
      <c r="O1218" s="6"/>
      <c r="P1218" s="6" t="s">
        <v>94</v>
      </c>
      <c r="Q1218" s="6"/>
      <c r="R1218" s="47" t="s">
        <v>3221</v>
      </c>
      <c r="S1218" s="14" t="s">
        <v>3313</v>
      </c>
      <c r="T1218" s="14" t="s">
        <v>5780</v>
      </c>
      <c r="U1218" s="14" t="s">
        <v>4555</v>
      </c>
      <c r="V1218" s="14" t="s">
        <v>4771</v>
      </c>
      <c r="W1218" s="14" t="s">
        <v>4617</v>
      </c>
      <c r="AA1218" s="6"/>
      <c r="AB1218" s="6" t="s">
        <v>55</v>
      </c>
      <c r="AC1218" s="6"/>
      <c r="AD1218" s="6" t="s">
        <v>56</v>
      </c>
      <c r="AE1218" s="6"/>
      <c r="AF1218" s="6" t="s">
        <v>161</v>
      </c>
      <c r="AG1218" s="6"/>
      <c r="AH1218" s="6" t="s">
        <v>76</v>
      </c>
      <c r="AI1218" s="6"/>
      <c r="AJ1218" s="11" t="s">
        <v>77</v>
      </c>
    </row>
    <row r="1219" spans="1:36" ht="15.75" customHeight="1" x14ac:dyDescent="0.25">
      <c r="A1219" s="7">
        <v>43422.713528958338</v>
      </c>
      <c r="B1219" s="6" t="s">
        <v>3275</v>
      </c>
      <c r="C1219" s="6" t="s">
        <v>215</v>
      </c>
      <c r="D1219" s="6" t="s">
        <v>261</v>
      </c>
      <c r="E1219" s="6" t="s">
        <v>48</v>
      </c>
      <c r="F1219" s="6" t="s">
        <v>4018</v>
      </c>
      <c r="G1219" s="6" t="s">
        <v>48</v>
      </c>
      <c r="H1219" s="6" t="s">
        <v>4019</v>
      </c>
      <c r="I1219" s="6"/>
      <c r="J1219" s="6" t="s">
        <v>110</v>
      </c>
      <c r="K1219" s="6"/>
      <c r="L1219" s="6" t="s">
        <v>2298</v>
      </c>
      <c r="M1219" s="6"/>
      <c r="N1219" s="6" t="s">
        <v>181</v>
      </c>
      <c r="O1219" s="6"/>
      <c r="P1219" s="6" t="s">
        <v>52</v>
      </c>
      <c r="Q1219" s="6"/>
      <c r="R1219" s="47" t="s">
        <v>5781</v>
      </c>
      <c r="S1219" s="14" t="s">
        <v>5782</v>
      </c>
      <c r="AA1219" s="6"/>
      <c r="AB1219" s="6" t="s">
        <v>101</v>
      </c>
      <c r="AC1219" s="6"/>
      <c r="AD1219" s="6" t="s">
        <v>56</v>
      </c>
      <c r="AE1219" s="6"/>
      <c r="AF1219" s="6" t="s">
        <v>75</v>
      </c>
      <c r="AG1219" s="6"/>
      <c r="AH1219" s="6" t="s">
        <v>76</v>
      </c>
      <c r="AI1219" s="6"/>
      <c r="AJ1219" s="6" t="s">
        <v>313</v>
      </c>
    </row>
    <row r="1220" spans="1:36" ht="15.75" customHeight="1" x14ac:dyDescent="0.25">
      <c r="A1220" s="7">
        <v>43422.716596064813</v>
      </c>
      <c r="B1220" s="6" t="s">
        <v>294</v>
      </c>
      <c r="C1220" s="6" t="s">
        <v>1816</v>
      </c>
      <c r="D1220" s="6" t="s">
        <v>155</v>
      </c>
      <c r="E1220" s="6" t="s">
        <v>48</v>
      </c>
      <c r="F1220" s="6" t="s">
        <v>36</v>
      </c>
      <c r="G1220" s="6" t="s">
        <v>48</v>
      </c>
      <c r="J1220" s="6" t="s">
        <v>92</v>
      </c>
      <c r="K1220" s="6"/>
      <c r="L1220" s="6" t="s">
        <v>2338</v>
      </c>
      <c r="M1220" s="6"/>
      <c r="N1220" s="6" t="s">
        <v>181</v>
      </c>
      <c r="O1220" s="6"/>
      <c r="P1220" s="6" t="s">
        <v>94</v>
      </c>
      <c r="Q1220" s="6"/>
      <c r="R1220" s="47" t="s">
        <v>3480</v>
      </c>
      <c r="AA1220" s="6"/>
      <c r="AB1220" s="6" t="s">
        <v>55</v>
      </c>
      <c r="AC1220" s="6"/>
      <c r="AD1220" s="6" t="s">
        <v>56</v>
      </c>
      <c r="AE1220" s="6"/>
      <c r="AF1220" s="6" t="s">
        <v>75</v>
      </c>
      <c r="AG1220" s="6"/>
      <c r="AH1220" s="6" t="s">
        <v>76</v>
      </c>
      <c r="AI1220" s="6"/>
      <c r="AJ1220" s="6" t="s">
        <v>309</v>
      </c>
    </row>
    <row r="1221" spans="1:36" ht="15.75" customHeight="1" x14ac:dyDescent="0.25">
      <c r="A1221" s="7">
        <v>43422.726494317132</v>
      </c>
      <c r="B1221" s="6" t="s">
        <v>26</v>
      </c>
      <c r="C1221" s="6" t="s">
        <v>116</v>
      </c>
      <c r="D1221" s="6" t="s">
        <v>46</v>
      </c>
      <c r="E1221" s="6" t="s">
        <v>48</v>
      </c>
      <c r="F1221" s="6" t="s">
        <v>183</v>
      </c>
      <c r="G1221" s="6" t="s">
        <v>48</v>
      </c>
      <c r="H1221" s="6" t="s">
        <v>4023</v>
      </c>
      <c r="I1221" s="6"/>
      <c r="J1221" s="6" t="s">
        <v>73</v>
      </c>
      <c r="K1221" s="6"/>
      <c r="L1221" s="6" t="s">
        <v>2489</v>
      </c>
      <c r="M1221" s="6"/>
      <c r="N1221" s="6" t="s">
        <v>98</v>
      </c>
      <c r="O1221" s="6"/>
      <c r="P1221" s="6" t="s">
        <v>94</v>
      </c>
      <c r="Q1221" s="6"/>
      <c r="R1221" s="47" t="s">
        <v>4329</v>
      </c>
      <c r="S1221" s="14" t="s">
        <v>5783</v>
      </c>
      <c r="AA1221" s="6"/>
      <c r="AB1221" s="6" t="s">
        <v>101</v>
      </c>
      <c r="AC1221" s="6"/>
      <c r="AD1221" s="6" t="s">
        <v>56</v>
      </c>
      <c r="AE1221" s="6"/>
      <c r="AF1221" s="6" t="s">
        <v>75</v>
      </c>
      <c r="AG1221" s="6"/>
      <c r="AH1221" s="6" t="s">
        <v>58</v>
      </c>
      <c r="AI1221" s="6"/>
      <c r="AJ1221" s="11" t="s">
        <v>77</v>
      </c>
    </row>
    <row r="1222" spans="1:36" ht="15.75" customHeight="1" x14ac:dyDescent="0.25">
      <c r="A1222" s="7">
        <v>43422.734343483797</v>
      </c>
      <c r="B1222" s="6" t="s">
        <v>4025</v>
      </c>
      <c r="C1222" s="6" t="s">
        <v>771</v>
      </c>
      <c r="D1222" s="6" t="s">
        <v>155</v>
      </c>
      <c r="E1222" s="6" t="s">
        <v>81</v>
      </c>
      <c r="G1222" s="6" t="s">
        <v>87</v>
      </c>
      <c r="H1222" s="6" t="s">
        <v>4027</v>
      </c>
      <c r="I1222" s="6"/>
      <c r="J1222" s="6" t="s">
        <v>110</v>
      </c>
      <c r="K1222" s="6"/>
      <c r="L1222" s="6" t="s">
        <v>2649</v>
      </c>
      <c r="M1222" s="6"/>
      <c r="N1222" s="6" t="s">
        <v>93</v>
      </c>
      <c r="O1222" s="6"/>
      <c r="P1222" s="6" t="s">
        <v>94</v>
      </c>
      <c r="Q1222" s="6"/>
      <c r="R1222" s="47" t="s">
        <v>5784</v>
      </c>
      <c r="S1222" s="14" t="s">
        <v>5496</v>
      </c>
      <c r="T1222" s="14" t="s">
        <v>4632</v>
      </c>
      <c r="U1222" s="14" t="s">
        <v>5785</v>
      </c>
      <c r="AA1222" s="6"/>
      <c r="AB1222" s="6" t="s">
        <v>101</v>
      </c>
      <c r="AC1222" s="6"/>
      <c r="AD1222" s="6" t="s">
        <v>56</v>
      </c>
      <c r="AE1222" s="6"/>
      <c r="AF1222" s="6" t="s">
        <v>75</v>
      </c>
      <c r="AG1222" s="6"/>
      <c r="AH1222" s="6" t="s">
        <v>76</v>
      </c>
      <c r="AI1222" s="6"/>
      <c r="AJ1222" s="11" t="s">
        <v>244</v>
      </c>
    </row>
    <row r="1223" spans="1:36" ht="15.75" customHeight="1" x14ac:dyDescent="0.25">
      <c r="A1223" s="7">
        <v>43422.745509328699</v>
      </c>
      <c r="B1223" s="6" t="s">
        <v>30</v>
      </c>
      <c r="C1223" s="6" t="s">
        <v>1945</v>
      </c>
      <c r="D1223" s="6" t="s">
        <v>163</v>
      </c>
      <c r="E1223" s="6" t="s">
        <v>48</v>
      </c>
      <c r="F1223" s="6" t="s">
        <v>4029</v>
      </c>
      <c r="G1223" s="6" t="s">
        <v>48</v>
      </c>
      <c r="H1223" s="6" t="s">
        <v>4030</v>
      </c>
      <c r="I1223" s="6"/>
      <c r="J1223" s="6" t="s">
        <v>92</v>
      </c>
      <c r="K1223" s="6"/>
      <c r="L1223" s="6" t="s">
        <v>3000</v>
      </c>
      <c r="M1223" s="6"/>
      <c r="N1223" s="6" t="s">
        <v>98</v>
      </c>
      <c r="O1223" s="6"/>
      <c r="P1223" s="6" t="s">
        <v>131</v>
      </c>
      <c r="Q1223" s="6"/>
      <c r="R1223" s="47" t="s">
        <v>3244</v>
      </c>
      <c r="S1223" s="14" t="s">
        <v>5786</v>
      </c>
      <c r="U1223" s="14" t="s">
        <v>4865</v>
      </c>
      <c r="V1223" s="14" t="s">
        <v>5787</v>
      </c>
      <c r="AA1223" s="6"/>
      <c r="AB1223" s="6" t="s">
        <v>67</v>
      </c>
      <c r="AC1223" s="6"/>
      <c r="AD1223" s="6" t="s">
        <v>56</v>
      </c>
      <c r="AE1223" s="6"/>
      <c r="AF1223" s="6" t="s">
        <v>68</v>
      </c>
      <c r="AG1223" s="6"/>
      <c r="AH1223" s="6" t="s">
        <v>58</v>
      </c>
      <c r="AI1223" s="6"/>
      <c r="AJ1223" s="11" t="s">
        <v>256</v>
      </c>
    </row>
    <row r="1224" spans="1:36" ht="15.75" customHeight="1" x14ac:dyDescent="0.25">
      <c r="A1224" s="7">
        <v>43422.748195821754</v>
      </c>
      <c r="B1224" s="6" t="s">
        <v>397</v>
      </c>
      <c r="C1224" s="6" t="s">
        <v>116</v>
      </c>
      <c r="D1224" s="6" t="s">
        <v>46</v>
      </c>
      <c r="E1224" s="6" t="s">
        <v>81</v>
      </c>
      <c r="G1224" s="6" t="s">
        <v>87</v>
      </c>
      <c r="J1224" s="6" t="s">
        <v>106</v>
      </c>
      <c r="K1224" s="6"/>
      <c r="P1224" s="6" t="s">
        <v>94</v>
      </c>
      <c r="Q1224" s="6"/>
      <c r="AA1224" s="6"/>
      <c r="AB1224" s="6" t="s">
        <v>101</v>
      </c>
      <c r="AC1224" s="6"/>
      <c r="AD1224" s="6" t="s">
        <v>57</v>
      </c>
      <c r="AE1224" s="6"/>
      <c r="AF1224" s="6" t="s">
        <v>68</v>
      </c>
      <c r="AG1224" s="6"/>
      <c r="AH1224" s="6" t="s">
        <v>126</v>
      </c>
      <c r="AJ1224" s="11" t="s">
        <v>57</v>
      </c>
    </row>
    <row r="1225" spans="1:36" ht="15.75" customHeight="1" x14ac:dyDescent="0.25">
      <c r="A1225" s="7">
        <v>43422.750560150467</v>
      </c>
      <c r="B1225" s="6" t="s">
        <v>28</v>
      </c>
      <c r="C1225" s="6" t="s">
        <v>116</v>
      </c>
      <c r="D1225" s="6" t="s">
        <v>91</v>
      </c>
      <c r="E1225" s="6" t="s">
        <v>81</v>
      </c>
      <c r="G1225" s="6" t="s">
        <v>87</v>
      </c>
      <c r="J1225" s="6" t="s">
        <v>92</v>
      </c>
      <c r="K1225" s="6"/>
      <c r="N1225" s="6" t="s">
        <v>121</v>
      </c>
      <c r="O1225" s="6"/>
      <c r="P1225" s="6" t="s">
        <v>94</v>
      </c>
      <c r="Q1225" s="6"/>
      <c r="AA1225" s="6"/>
      <c r="AB1225" s="6" t="s">
        <v>55</v>
      </c>
      <c r="AD1225" s="6" t="s">
        <v>56</v>
      </c>
      <c r="AE1225" s="6"/>
      <c r="AF1225" s="6" t="s">
        <v>68</v>
      </c>
      <c r="AG1225" s="6"/>
      <c r="AH1225" s="6" t="s">
        <v>57</v>
      </c>
      <c r="AI1225" s="6"/>
      <c r="AJ1225" s="6" t="s">
        <v>286</v>
      </c>
    </row>
    <row r="1226" spans="1:36" ht="15.75" customHeight="1" x14ac:dyDescent="0.25">
      <c r="A1226" s="7">
        <v>43422.754885312504</v>
      </c>
      <c r="B1226" s="6" t="s">
        <v>30</v>
      </c>
      <c r="C1226" s="6" t="s">
        <v>90</v>
      </c>
      <c r="D1226" s="6" t="s">
        <v>46</v>
      </c>
      <c r="E1226" s="6" t="s">
        <v>48</v>
      </c>
      <c r="F1226" s="6" t="s">
        <v>569</v>
      </c>
      <c r="G1226" s="6" t="s">
        <v>81</v>
      </c>
      <c r="J1226" s="6" t="s">
        <v>110</v>
      </c>
      <c r="K1226" s="6"/>
      <c r="L1226" s="6" t="s">
        <v>430</v>
      </c>
      <c r="M1226" s="6"/>
      <c r="N1226" s="6" t="s">
        <v>98</v>
      </c>
      <c r="O1226" s="6"/>
      <c r="P1226" s="6" t="s">
        <v>94</v>
      </c>
      <c r="Q1226" s="6"/>
      <c r="R1226" s="47" t="s">
        <v>242</v>
      </c>
      <c r="S1226" s="14" t="s">
        <v>4412</v>
      </c>
      <c r="T1226" s="14" t="s">
        <v>4650</v>
      </c>
      <c r="U1226" s="14" t="s">
        <v>4396</v>
      </c>
      <c r="AA1226" s="6"/>
      <c r="AB1226" s="6" t="s">
        <v>55</v>
      </c>
      <c r="AC1226" s="6"/>
      <c r="AD1226" s="6" t="s">
        <v>56</v>
      </c>
      <c r="AE1226" s="6"/>
      <c r="AF1226" s="6" t="s">
        <v>68</v>
      </c>
      <c r="AG1226" s="6"/>
      <c r="AH1226" s="6" t="s">
        <v>58</v>
      </c>
      <c r="AI1226" s="6"/>
      <c r="AJ1226" s="6" t="s">
        <v>77</v>
      </c>
    </row>
    <row r="1227" spans="1:36" ht="15.75" customHeight="1" x14ac:dyDescent="0.25">
      <c r="A1227" s="7">
        <v>43422.757000358797</v>
      </c>
      <c r="B1227" s="6" t="s">
        <v>30</v>
      </c>
      <c r="C1227" s="6" t="s">
        <v>349</v>
      </c>
      <c r="D1227" s="6" t="s">
        <v>46</v>
      </c>
      <c r="E1227" s="6" t="s">
        <v>81</v>
      </c>
      <c r="G1227" s="6" t="s">
        <v>48</v>
      </c>
      <c r="J1227" s="6" t="s">
        <v>50</v>
      </c>
      <c r="K1227" s="6"/>
      <c r="L1227" s="6" t="s">
        <v>3002</v>
      </c>
      <c r="M1227" s="6"/>
      <c r="N1227" s="6" t="s">
        <v>212</v>
      </c>
      <c r="O1227" s="6"/>
      <c r="P1227" s="6" t="s">
        <v>131</v>
      </c>
      <c r="Q1227" s="6"/>
      <c r="R1227" s="47" t="s">
        <v>4036</v>
      </c>
      <c r="AA1227" s="6"/>
      <c r="AB1227" s="6" t="s">
        <v>101</v>
      </c>
      <c r="AC1227" s="6"/>
      <c r="AD1227" s="6" t="s">
        <v>56</v>
      </c>
      <c r="AE1227" s="6"/>
      <c r="AF1227" s="6" t="s">
        <v>68</v>
      </c>
      <c r="AG1227" s="6"/>
      <c r="AH1227" s="6" t="s">
        <v>58</v>
      </c>
      <c r="AI1227" s="6"/>
      <c r="AJ1227" s="6" t="s">
        <v>291</v>
      </c>
    </row>
    <row r="1228" spans="1:36" ht="15.75" customHeight="1" x14ac:dyDescent="0.25">
      <c r="A1228" s="7">
        <v>43422.761182546295</v>
      </c>
      <c r="B1228" s="6" t="s">
        <v>30</v>
      </c>
      <c r="C1228" s="6" t="s">
        <v>45</v>
      </c>
      <c r="D1228" s="6" t="s">
        <v>46</v>
      </c>
      <c r="E1228" s="6" t="s">
        <v>48</v>
      </c>
      <c r="F1228" s="6" t="s">
        <v>586</v>
      </c>
      <c r="G1228" s="6" t="s">
        <v>48</v>
      </c>
      <c r="H1228" s="6" t="s">
        <v>4037</v>
      </c>
      <c r="I1228" s="6"/>
      <c r="J1228" s="6" t="s">
        <v>89</v>
      </c>
      <c r="K1228" s="6"/>
      <c r="L1228" s="6" t="s">
        <v>3003</v>
      </c>
      <c r="M1228" s="6"/>
      <c r="N1228" s="6" t="s">
        <v>51</v>
      </c>
      <c r="O1228" s="6"/>
      <c r="P1228" s="6" t="s">
        <v>52</v>
      </c>
      <c r="Q1228" s="6"/>
      <c r="R1228" s="47" t="s">
        <v>5788</v>
      </c>
      <c r="S1228" s="14" t="s">
        <v>5789</v>
      </c>
      <c r="AA1228" s="6"/>
      <c r="AB1228" s="6" t="s">
        <v>55</v>
      </c>
      <c r="AC1228" s="6"/>
      <c r="AD1228" s="6" t="s">
        <v>56</v>
      </c>
      <c r="AE1228" s="6"/>
      <c r="AF1228" s="6" t="s">
        <v>161</v>
      </c>
      <c r="AG1228" s="6"/>
      <c r="AH1228" s="6" t="s">
        <v>76</v>
      </c>
      <c r="AI1228" s="6"/>
      <c r="AJ1228" s="6" t="s">
        <v>256</v>
      </c>
    </row>
    <row r="1229" spans="1:36" ht="15.75" customHeight="1" x14ac:dyDescent="0.25">
      <c r="A1229" s="7">
        <v>43422.761521134264</v>
      </c>
      <c r="B1229" s="6" t="s">
        <v>1533</v>
      </c>
      <c r="C1229" s="6" t="s">
        <v>749</v>
      </c>
      <c r="D1229" s="6" t="s">
        <v>91</v>
      </c>
      <c r="E1229" s="6" t="s">
        <v>81</v>
      </c>
      <c r="G1229" s="6" t="s">
        <v>87</v>
      </c>
      <c r="H1229" s="6" t="s">
        <v>4040</v>
      </c>
      <c r="I1229" s="6"/>
      <c r="J1229" s="6" t="s">
        <v>110</v>
      </c>
      <c r="K1229" s="6"/>
      <c r="L1229" s="6" t="s">
        <v>3006</v>
      </c>
      <c r="M1229" s="6"/>
      <c r="N1229" s="6" t="s">
        <v>98</v>
      </c>
      <c r="O1229" s="6"/>
      <c r="P1229" s="6" t="s">
        <v>52</v>
      </c>
      <c r="Q1229" s="6"/>
      <c r="R1229" s="47" t="s">
        <v>4041</v>
      </c>
      <c r="AA1229" s="6"/>
      <c r="AB1229" s="6" t="s">
        <v>67</v>
      </c>
      <c r="AC1229" s="6"/>
      <c r="AD1229" s="6" t="s">
        <v>56</v>
      </c>
      <c r="AE1229" s="6"/>
      <c r="AF1229" s="6" t="s">
        <v>57</v>
      </c>
      <c r="AG1229" s="6"/>
      <c r="AH1229" s="6" t="s">
        <v>76</v>
      </c>
      <c r="AI1229" s="6"/>
      <c r="AJ1229" s="6" t="s">
        <v>255</v>
      </c>
    </row>
    <row r="1230" spans="1:36" ht="15.75" customHeight="1" x14ac:dyDescent="0.25">
      <c r="A1230" s="7">
        <v>43422.766320636569</v>
      </c>
      <c r="B1230" s="6" t="s">
        <v>397</v>
      </c>
      <c r="C1230" s="6" t="s">
        <v>749</v>
      </c>
      <c r="D1230" s="6" t="s">
        <v>46</v>
      </c>
      <c r="E1230" s="6" t="s">
        <v>48</v>
      </c>
      <c r="F1230" s="6" t="s">
        <v>4042</v>
      </c>
      <c r="G1230" s="6" t="s">
        <v>48</v>
      </c>
      <c r="H1230" s="6" t="s">
        <v>4043</v>
      </c>
      <c r="I1230" s="6"/>
      <c r="J1230" s="6" t="s">
        <v>110</v>
      </c>
      <c r="K1230" s="6"/>
      <c r="L1230" s="6" t="s">
        <v>3007</v>
      </c>
      <c r="M1230" s="6"/>
      <c r="N1230" s="6" t="s">
        <v>112</v>
      </c>
      <c r="O1230" s="6"/>
      <c r="P1230" s="6" t="s">
        <v>52</v>
      </c>
      <c r="Q1230" s="6"/>
      <c r="R1230" s="47" t="s">
        <v>3257</v>
      </c>
      <c r="S1230" s="14" t="s">
        <v>4407</v>
      </c>
      <c r="T1230" s="14" t="s">
        <v>5790</v>
      </c>
      <c r="U1230" s="14" t="s">
        <v>5267</v>
      </c>
      <c r="V1230" s="14" t="s">
        <v>5791</v>
      </c>
      <c r="W1230" s="14" t="s">
        <v>4396</v>
      </c>
      <c r="AA1230" s="6"/>
      <c r="AB1230" s="6" t="s">
        <v>67</v>
      </c>
      <c r="AC1230" s="6"/>
      <c r="AD1230" s="6" t="s">
        <v>56</v>
      </c>
      <c r="AE1230" s="6"/>
      <c r="AF1230" s="6" t="s">
        <v>75</v>
      </c>
      <c r="AG1230" s="6"/>
      <c r="AH1230" s="6" t="s">
        <v>58</v>
      </c>
      <c r="AI1230" s="6"/>
      <c r="AJ1230" s="6" t="s">
        <v>115</v>
      </c>
    </row>
    <row r="1231" spans="1:36" ht="15.75" customHeight="1" x14ac:dyDescent="0.25">
      <c r="A1231" s="7">
        <v>43422.768940162037</v>
      </c>
      <c r="B1231" s="6" t="s">
        <v>60</v>
      </c>
      <c r="C1231" s="6" t="s">
        <v>673</v>
      </c>
      <c r="D1231" s="6" t="s">
        <v>165</v>
      </c>
      <c r="E1231" s="6" t="s">
        <v>81</v>
      </c>
      <c r="G1231" s="6" t="s">
        <v>87</v>
      </c>
      <c r="J1231" s="6" t="s">
        <v>64</v>
      </c>
      <c r="K1231" s="6"/>
      <c r="L1231" s="6" t="s">
        <v>2651</v>
      </c>
      <c r="M1231" s="6"/>
      <c r="N1231" s="6" t="s">
        <v>51</v>
      </c>
      <c r="O1231" s="6"/>
      <c r="P1231" s="6" t="s">
        <v>52</v>
      </c>
      <c r="Q1231" s="6"/>
      <c r="R1231" s="47" t="s">
        <v>4046</v>
      </c>
      <c r="AA1231" s="6"/>
      <c r="AB1231" s="6" t="s">
        <v>101</v>
      </c>
      <c r="AC1231" s="6"/>
      <c r="AD1231" s="6" t="s">
        <v>56</v>
      </c>
      <c r="AE1231" s="6"/>
      <c r="AF1231" s="6" t="s">
        <v>75</v>
      </c>
      <c r="AG1231" s="6"/>
      <c r="AH1231" s="6" t="s">
        <v>76</v>
      </c>
      <c r="AI1231" s="6"/>
      <c r="AJ1231" s="11" t="s">
        <v>328</v>
      </c>
    </row>
    <row r="1232" spans="1:36" ht="15.75" customHeight="1" x14ac:dyDescent="0.25">
      <c r="A1232" s="7">
        <v>43422.771245787037</v>
      </c>
      <c r="B1232" s="6" t="s">
        <v>60</v>
      </c>
      <c r="C1232" s="6" t="s">
        <v>850</v>
      </c>
      <c r="D1232" s="6" t="s">
        <v>165</v>
      </c>
      <c r="E1232" s="6" t="s">
        <v>81</v>
      </c>
      <c r="G1232" s="6" t="s">
        <v>87</v>
      </c>
      <c r="J1232" s="6" t="s">
        <v>110</v>
      </c>
      <c r="K1232" s="6"/>
      <c r="N1232" s="6" t="s">
        <v>98</v>
      </c>
      <c r="O1232" s="6"/>
      <c r="P1232" s="6" t="s">
        <v>131</v>
      </c>
      <c r="Q1232" s="6"/>
      <c r="R1232" s="47" t="s">
        <v>4048</v>
      </c>
      <c r="AA1232" s="6"/>
      <c r="AB1232" s="6" t="s">
        <v>55</v>
      </c>
      <c r="AC1232" s="6"/>
      <c r="AD1232" s="6" t="s">
        <v>56</v>
      </c>
      <c r="AE1232" s="6"/>
      <c r="AF1232" s="6" t="s">
        <v>68</v>
      </c>
      <c r="AG1232" s="6"/>
      <c r="AH1232" s="6" t="s">
        <v>58</v>
      </c>
      <c r="AI1232" s="6"/>
      <c r="AJ1232" s="11" t="s">
        <v>350</v>
      </c>
    </row>
    <row r="1233" spans="1:36" ht="15.75" customHeight="1" x14ac:dyDescent="0.25">
      <c r="A1233" s="7">
        <v>43422.77383445602</v>
      </c>
      <c r="B1233" s="6" t="s">
        <v>30</v>
      </c>
      <c r="C1233" s="6" t="s">
        <v>95</v>
      </c>
      <c r="D1233" s="6" t="s">
        <v>46</v>
      </c>
      <c r="E1233" s="6" t="s">
        <v>81</v>
      </c>
      <c r="G1233" s="6" t="s">
        <v>87</v>
      </c>
      <c r="H1233" s="6" t="s">
        <v>4049</v>
      </c>
      <c r="I1233" s="6"/>
      <c r="J1233" s="6" t="s">
        <v>89</v>
      </c>
      <c r="K1233" s="6"/>
      <c r="L1233" s="6" t="s">
        <v>2303</v>
      </c>
      <c r="M1233" s="6"/>
      <c r="N1233" s="6" t="s">
        <v>121</v>
      </c>
      <c r="O1233" s="6"/>
      <c r="P1233" s="6" t="s">
        <v>168</v>
      </c>
      <c r="Q1233" s="6"/>
      <c r="R1233" s="47" t="s">
        <v>149</v>
      </c>
      <c r="S1233" s="14" t="s">
        <v>4400</v>
      </c>
      <c r="T1233" s="14" t="s">
        <v>5792</v>
      </c>
      <c r="AA1233" s="6"/>
      <c r="AB1233" s="6" t="s">
        <v>67</v>
      </c>
      <c r="AC1233" s="6"/>
      <c r="AD1233" s="6" t="s">
        <v>56</v>
      </c>
      <c r="AE1233" s="6"/>
      <c r="AF1233" s="6" t="s">
        <v>161</v>
      </c>
      <c r="AG1233" s="6"/>
      <c r="AH1233" s="6" t="s">
        <v>76</v>
      </c>
      <c r="AI1233" s="6"/>
      <c r="AJ1233" s="6" t="s">
        <v>77</v>
      </c>
    </row>
    <row r="1234" spans="1:36" ht="15.75" customHeight="1" x14ac:dyDescent="0.25">
      <c r="A1234" s="7">
        <v>43422.782728321763</v>
      </c>
      <c r="B1234" s="6" t="s">
        <v>60</v>
      </c>
      <c r="C1234" s="6" t="s">
        <v>79</v>
      </c>
      <c r="D1234" s="6" t="s">
        <v>133</v>
      </c>
      <c r="E1234" s="6" t="s">
        <v>81</v>
      </c>
      <c r="G1234" s="6" t="s">
        <v>87</v>
      </c>
      <c r="H1234" s="6" t="s">
        <v>4053</v>
      </c>
      <c r="I1234" s="6"/>
      <c r="J1234" s="6" t="s">
        <v>64</v>
      </c>
      <c r="K1234" s="6"/>
      <c r="L1234" s="6" t="s">
        <v>2653</v>
      </c>
      <c r="M1234" s="6"/>
      <c r="N1234" s="6" t="s">
        <v>98</v>
      </c>
      <c r="O1234" s="6"/>
      <c r="P1234" s="6" t="s">
        <v>94</v>
      </c>
      <c r="Q1234" s="6"/>
      <c r="R1234" s="47" t="s">
        <v>3324</v>
      </c>
      <c r="AA1234" s="6"/>
      <c r="AB1234" s="6" t="s">
        <v>67</v>
      </c>
      <c r="AC1234" s="6"/>
      <c r="AD1234" s="6" t="s">
        <v>56</v>
      </c>
      <c r="AE1234" s="6"/>
      <c r="AF1234" s="6" t="s">
        <v>75</v>
      </c>
      <c r="AG1234" s="6"/>
      <c r="AH1234" s="6" t="s">
        <v>76</v>
      </c>
      <c r="AI1234" s="6"/>
      <c r="AJ1234" s="6" t="s">
        <v>401</v>
      </c>
    </row>
    <row r="1235" spans="1:36" ht="15.75" customHeight="1" x14ac:dyDescent="0.25">
      <c r="A1235" s="7">
        <v>43422.789446273149</v>
      </c>
      <c r="B1235" s="6" t="s">
        <v>29</v>
      </c>
      <c r="C1235" s="6" t="s">
        <v>1422</v>
      </c>
      <c r="D1235" s="6" t="s">
        <v>165</v>
      </c>
      <c r="E1235" s="6" t="s">
        <v>48</v>
      </c>
      <c r="F1235" s="6" t="s">
        <v>4054</v>
      </c>
      <c r="G1235" s="6" t="s">
        <v>48</v>
      </c>
      <c r="H1235" s="6" t="s">
        <v>4056</v>
      </c>
      <c r="I1235" s="6"/>
      <c r="J1235" s="6" t="s">
        <v>89</v>
      </c>
      <c r="K1235" s="6"/>
      <c r="N1235" s="6" t="s">
        <v>167</v>
      </c>
      <c r="O1235" s="6"/>
      <c r="P1235" s="6" t="s">
        <v>99</v>
      </c>
      <c r="Q1235" s="6"/>
      <c r="R1235" s="47" t="s">
        <v>4056</v>
      </c>
      <c r="AA1235" s="6"/>
      <c r="AB1235" s="6" t="s">
        <v>101</v>
      </c>
      <c r="AC1235" s="6"/>
      <c r="AD1235" s="6" t="s">
        <v>109</v>
      </c>
      <c r="AE1235" s="6"/>
      <c r="AF1235" s="6" t="s">
        <v>68</v>
      </c>
      <c r="AG1235" s="6"/>
      <c r="AH1235" s="6" t="s">
        <v>57</v>
      </c>
      <c r="AI1235" s="6"/>
      <c r="AJ1235" s="11" t="s">
        <v>57</v>
      </c>
    </row>
    <row r="1236" spans="1:36" ht="15.75" customHeight="1" x14ac:dyDescent="0.25">
      <c r="A1236" s="7">
        <v>43422.794088078706</v>
      </c>
      <c r="B1236" s="6" t="s">
        <v>30</v>
      </c>
      <c r="C1236" s="6" t="s">
        <v>79</v>
      </c>
      <c r="D1236" s="6" t="s">
        <v>165</v>
      </c>
      <c r="E1236" s="6" t="s">
        <v>81</v>
      </c>
      <c r="G1236" s="6" t="s">
        <v>87</v>
      </c>
      <c r="H1236" s="6" t="s">
        <v>4057</v>
      </c>
      <c r="I1236" s="6"/>
      <c r="J1236" s="6" t="s">
        <v>73</v>
      </c>
      <c r="K1236" s="6"/>
      <c r="L1236" s="6" t="s">
        <v>3009</v>
      </c>
      <c r="M1236" s="6"/>
      <c r="N1236" s="6" t="s">
        <v>181</v>
      </c>
      <c r="O1236" s="6"/>
      <c r="P1236" s="6" t="s">
        <v>131</v>
      </c>
      <c r="Q1236" s="6"/>
      <c r="R1236" s="47" t="s">
        <v>182</v>
      </c>
      <c r="S1236" s="14" t="s">
        <v>4505</v>
      </c>
      <c r="AA1236" s="6"/>
      <c r="AB1236" s="6" t="s">
        <v>55</v>
      </c>
      <c r="AC1236" s="6"/>
      <c r="AD1236" s="6" t="s">
        <v>56</v>
      </c>
      <c r="AE1236" s="6"/>
      <c r="AF1236" s="6" t="s">
        <v>68</v>
      </c>
      <c r="AG1236" s="6"/>
      <c r="AH1236" s="6" t="s">
        <v>58</v>
      </c>
      <c r="AI1236" s="6"/>
      <c r="AJ1236" s="6" t="s">
        <v>115</v>
      </c>
    </row>
    <row r="1237" spans="1:36" ht="15.75" customHeight="1" x14ac:dyDescent="0.25">
      <c r="A1237" s="7">
        <v>43422.811911747689</v>
      </c>
      <c r="B1237" s="6" t="s">
        <v>60</v>
      </c>
      <c r="C1237" s="6" t="s">
        <v>90</v>
      </c>
      <c r="D1237" s="6" t="s">
        <v>138</v>
      </c>
      <c r="E1237" s="6" t="s">
        <v>81</v>
      </c>
      <c r="G1237" s="6" t="s">
        <v>87</v>
      </c>
      <c r="J1237" s="6" t="s">
        <v>89</v>
      </c>
      <c r="K1237" s="6"/>
      <c r="P1237" s="6" t="s">
        <v>168</v>
      </c>
      <c r="Q1237" s="6"/>
      <c r="AA1237" s="6"/>
      <c r="AC1237" s="6"/>
      <c r="AD1237" s="6" t="s">
        <v>57</v>
      </c>
      <c r="AE1237" s="6"/>
      <c r="AF1237" s="6" t="s">
        <v>57</v>
      </c>
      <c r="AG1237" s="6"/>
      <c r="AH1237" s="6" t="s">
        <v>57</v>
      </c>
      <c r="AJ1237" s="11" t="s">
        <v>57</v>
      </c>
    </row>
    <row r="1238" spans="1:36" ht="15.75" customHeight="1" x14ac:dyDescent="0.25">
      <c r="A1238" s="7">
        <v>43422.817343078699</v>
      </c>
      <c r="B1238" s="6" t="s">
        <v>30</v>
      </c>
      <c r="C1238" s="6" t="s">
        <v>1118</v>
      </c>
      <c r="D1238" s="6" t="s">
        <v>165</v>
      </c>
      <c r="E1238" s="6" t="s">
        <v>81</v>
      </c>
      <c r="F1238" s="6" t="s">
        <v>4060</v>
      </c>
      <c r="G1238" s="6" t="s">
        <v>48</v>
      </c>
      <c r="H1238" s="6" t="s">
        <v>4061</v>
      </c>
      <c r="I1238" s="6"/>
      <c r="J1238" s="6" t="s">
        <v>92</v>
      </c>
      <c r="K1238" s="6"/>
      <c r="L1238" s="6" t="s">
        <v>3010</v>
      </c>
      <c r="M1238" s="6"/>
      <c r="N1238" s="6" t="s">
        <v>51</v>
      </c>
      <c r="O1238" s="6"/>
      <c r="P1238" s="6" t="s">
        <v>52</v>
      </c>
      <c r="Q1238" s="6"/>
      <c r="R1238" s="47" t="s">
        <v>4062</v>
      </c>
      <c r="AA1238" s="6"/>
      <c r="AB1238" s="6" t="s">
        <v>67</v>
      </c>
      <c r="AC1238" s="6"/>
      <c r="AD1238" s="6" t="s">
        <v>56</v>
      </c>
      <c r="AE1238" s="6"/>
      <c r="AF1238" s="6" t="s">
        <v>68</v>
      </c>
      <c r="AG1238" s="6"/>
      <c r="AH1238" s="6" t="s">
        <v>58</v>
      </c>
      <c r="AI1238" s="6"/>
      <c r="AJ1238" s="6" t="s">
        <v>77</v>
      </c>
    </row>
    <row r="1239" spans="1:36" ht="15.75" customHeight="1" x14ac:dyDescent="0.25">
      <c r="A1239" s="7">
        <v>43422.82280037037</v>
      </c>
      <c r="B1239" s="6" t="s">
        <v>30</v>
      </c>
      <c r="C1239" s="6" t="s">
        <v>128</v>
      </c>
      <c r="D1239" s="6" t="s">
        <v>510</v>
      </c>
      <c r="E1239" s="6" t="s">
        <v>48</v>
      </c>
      <c r="F1239" s="6" t="s">
        <v>4063</v>
      </c>
      <c r="G1239" s="6" t="s">
        <v>48</v>
      </c>
      <c r="H1239" s="6" t="s">
        <v>4064</v>
      </c>
      <c r="I1239" s="6"/>
      <c r="J1239" s="6" t="s">
        <v>92</v>
      </c>
      <c r="K1239" s="6"/>
      <c r="L1239" s="6" t="s">
        <v>3011</v>
      </c>
      <c r="M1239" s="6"/>
      <c r="N1239" s="6" t="s">
        <v>98</v>
      </c>
      <c r="O1239" s="6"/>
      <c r="P1239" s="6" t="s">
        <v>94</v>
      </c>
      <c r="Q1239" s="6"/>
      <c r="R1239" s="47" t="s">
        <v>5793</v>
      </c>
      <c r="S1239" s="14" t="s">
        <v>5794</v>
      </c>
      <c r="AA1239" s="6"/>
      <c r="AB1239" s="6" t="s">
        <v>67</v>
      </c>
      <c r="AC1239" s="6"/>
      <c r="AD1239" s="6" t="s">
        <v>57</v>
      </c>
      <c r="AE1239" s="6"/>
      <c r="AF1239" s="6" t="s">
        <v>75</v>
      </c>
      <c r="AG1239" s="6"/>
      <c r="AH1239" s="6" t="s">
        <v>58</v>
      </c>
      <c r="AI1239" s="6"/>
      <c r="AJ1239" s="11" t="s">
        <v>174</v>
      </c>
    </row>
    <row r="1240" spans="1:36" ht="15.75" customHeight="1" x14ac:dyDescent="0.25">
      <c r="A1240" s="7">
        <v>43422.827153692131</v>
      </c>
      <c r="B1240" s="6" t="s">
        <v>30</v>
      </c>
      <c r="C1240" s="6" t="s">
        <v>90</v>
      </c>
      <c r="D1240" s="6" t="s">
        <v>46</v>
      </c>
      <c r="E1240" s="6" t="s">
        <v>48</v>
      </c>
      <c r="G1240" s="6" t="s">
        <v>48</v>
      </c>
      <c r="J1240" s="6" t="s">
        <v>73</v>
      </c>
      <c r="K1240" s="6"/>
      <c r="P1240" s="6" t="s">
        <v>131</v>
      </c>
      <c r="Q1240" s="6"/>
      <c r="AA1240" s="6"/>
      <c r="AB1240" s="6" t="s">
        <v>203</v>
      </c>
      <c r="AC1240" s="6"/>
      <c r="AD1240" s="6" t="s">
        <v>109</v>
      </c>
      <c r="AE1240" s="6"/>
      <c r="AF1240" s="6" t="s">
        <v>68</v>
      </c>
      <c r="AG1240" s="6"/>
      <c r="AH1240" s="6" t="s">
        <v>126</v>
      </c>
      <c r="AJ1240" s="11" t="s">
        <v>57</v>
      </c>
    </row>
    <row r="1241" spans="1:36" ht="15.75" customHeight="1" x14ac:dyDescent="0.25">
      <c r="A1241" s="7">
        <v>43422.831147546298</v>
      </c>
      <c r="B1241" s="6" t="s">
        <v>60</v>
      </c>
      <c r="C1241" s="6" t="s">
        <v>705</v>
      </c>
      <c r="D1241" s="6" t="s">
        <v>165</v>
      </c>
      <c r="G1241" s="6" t="s">
        <v>87</v>
      </c>
      <c r="J1241" s="6" t="s">
        <v>92</v>
      </c>
      <c r="K1241" s="6"/>
      <c r="L1241" s="6" t="s">
        <v>3012</v>
      </c>
      <c r="M1241" s="6"/>
      <c r="N1241" s="6" t="s">
        <v>98</v>
      </c>
      <c r="O1241" s="6"/>
      <c r="P1241" s="6" t="s">
        <v>94</v>
      </c>
      <c r="Q1241" s="6"/>
      <c r="R1241" s="47" t="s">
        <v>5328</v>
      </c>
      <c r="S1241" s="14" t="s">
        <v>5795</v>
      </c>
      <c r="AA1241" s="6"/>
      <c r="AB1241" s="6" t="s">
        <v>101</v>
      </c>
      <c r="AC1241" s="6"/>
      <c r="AD1241" s="6" t="s">
        <v>57</v>
      </c>
      <c r="AE1241" s="6"/>
      <c r="AF1241" s="6" t="s">
        <v>68</v>
      </c>
      <c r="AG1241" s="6"/>
      <c r="AH1241" s="11" t="s">
        <v>144</v>
      </c>
      <c r="AI1241" s="6"/>
      <c r="AJ1241" s="6" t="s">
        <v>77</v>
      </c>
    </row>
    <row r="1242" spans="1:36" ht="15.75" customHeight="1" x14ac:dyDescent="0.25">
      <c r="A1242" s="7">
        <v>43422.84010987269</v>
      </c>
      <c r="B1242" s="6" t="s">
        <v>60</v>
      </c>
      <c r="C1242" s="6" t="s">
        <v>116</v>
      </c>
      <c r="D1242" s="6" t="s">
        <v>846</v>
      </c>
      <c r="E1242" s="6" t="s">
        <v>48</v>
      </c>
      <c r="F1242" s="6" t="s">
        <v>36</v>
      </c>
      <c r="G1242" s="6" t="s">
        <v>48</v>
      </c>
      <c r="H1242" s="6" t="s">
        <v>4067</v>
      </c>
      <c r="I1242" s="6"/>
      <c r="J1242" s="6" t="s">
        <v>73</v>
      </c>
      <c r="K1242" s="6"/>
      <c r="L1242" s="6" t="s">
        <v>2657</v>
      </c>
      <c r="M1242" s="6"/>
      <c r="N1242" s="6" t="s">
        <v>212</v>
      </c>
      <c r="O1242" s="6"/>
      <c r="P1242" s="6" t="s">
        <v>52</v>
      </c>
      <c r="Q1242" s="6"/>
      <c r="R1242" s="47" t="s">
        <v>4068</v>
      </c>
      <c r="AA1242" s="6"/>
      <c r="AB1242" s="6" t="s">
        <v>67</v>
      </c>
      <c r="AC1242" s="6"/>
      <c r="AD1242" s="6" t="s">
        <v>56</v>
      </c>
      <c r="AE1242" s="6"/>
      <c r="AF1242" s="6" t="s">
        <v>68</v>
      </c>
      <c r="AG1242" s="6"/>
      <c r="AH1242" s="6" t="s">
        <v>58</v>
      </c>
      <c r="AI1242" s="6"/>
      <c r="AJ1242" s="6" t="s">
        <v>291</v>
      </c>
    </row>
    <row r="1243" spans="1:36" ht="15.75" customHeight="1" x14ac:dyDescent="0.25">
      <c r="A1243" s="7">
        <v>43422.844291956018</v>
      </c>
      <c r="B1243" s="6" t="s">
        <v>4069</v>
      </c>
      <c r="C1243" s="6" t="s">
        <v>807</v>
      </c>
      <c r="D1243" s="6" t="s">
        <v>165</v>
      </c>
      <c r="E1243" s="6" t="s">
        <v>81</v>
      </c>
      <c r="G1243" s="6" t="s">
        <v>87</v>
      </c>
      <c r="H1243" s="6" t="s">
        <v>4070</v>
      </c>
      <c r="I1243" s="6"/>
      <c r="J1243" s="6" t="s">
        <v>64</v>
      </c>
      <c r="K1243" s="6"/>
      <c r="L1243" s="6" t="s">
        <v>2659</v>
      </c>
      <c r="M1243" s="6"/>
      <c r="N1243" s="6" t="s">
        <v>181</v>
      </c>
      <c r="O1243" s="6"/>
      <c r="P1243" s="6" t="s">
        <v>131</v>
      </c>
      <c r="Q1243" s="6"/>
      <c r="R1243" s="47" t="s">
        <v>3313</v>
      </c>
      <c r="S1243" s="14" t="s">
        <v>5796</v>
      </c>
      <c r="AA1243" s="6"/>
      <c r="AB1243" s="6" t="s">
        <v>101</v>
      </c>
      <c r="AC1243" s="6"/>
      <c r="AD1243" s="6" t="s">
        <v>56</v>
      </c>
      <c r="AE1243" s="6"/>
      <c r="AF1243" s="6" t="s">
        <v>68</v>
      </c>
      <c r="AG1243" s="6"/>
      <c r="AH1243" s="6" t="s">
        <v>58</v>
      </c>
      <c r="AJ1243" s="11" t="s">
        <v>57</v>
      </c>
    </row>
    <row r="1244" spans="1:36" ht="15.75" customHeight="1" x14ac:dyDescent="0.25">
      <c r="A1244" s="7">
        <v>43422.844667662037</v>
      </c>
      <c r="B1244" s="6" t="s">
        <v>305</v>
      </c>
      <c r="C1244" s="6" t="s">
        <v>1249</v>
      </c>
      <c r="D1244" s="6" t="s">
        <v>163</v>
      </c>
      <c r="E1244" s="6" t="s">
        <v>81</v>
      </c>
      <c r="G1244" s="6" t="s">
        <v>87</v>
      </c>
      <c r="J1244" s="6" t="s">
        <v>106</v>
      </c>
      <c r="K1244" s="6"/>
      <c r="N1244" s="6" t="s">
        <v>93</v>
      </c>
      <c r="O1244" s="6"/>
      <c r="P1244" s="6" t="s">
        <v>94</v>
      </c>
      <c r="Q1244" s="6"/>
      <c r="AA1244" s="6"/>
      <c r="AB1244" s="6" t="s">
        <v>101</v>
      </c>
      <c r="AC1244" s="6"/>
      <c r="AD1244" s="6" t="s">
        <v>56</v>
      </c>
      <c r="AE1244" s="6"/>
      <c r="AF1244" s="6" t="s">
        <v>75</v>
      </c>
      <c r="AG1244" s="6"/>
      <c r="AH1244" s="6" t="s">
        <v>58</v>
      </c>
      <c r="AI1244" s="6"/>
      <c r="AJ1244" s="6" t="s">
        <v>115</v>
      </c>
    </row>
    <row r="1245" spans="1:36" ht="15.75" customHeight="1" x14ac:dyDescent="0.25">
      <c r="A1245" s="7">
        <v>43422.849649606476</v>
      </c>
      <c r="B1245" s="6" t="s">
        <v>60</v>
      </c>
      <c r="C1245" s="6" t="s">
        <v>79</v>
      </c>
      <c r="D1245" s="6" t="s">
        <v>165</v>
      </c>
      <c r="E1245" s="6" t="s">
        <v>48</v>
      </c>
      <c r="F1245" s="6" t="s">
        <v>262</v>
      </c>
      <c r="G1245" s="6" t="s">
        <v>48</v>
      </c>
      <c r="H1245" s="6" t="s">
        <v>4072</v>
      </c>
      <c r="I1245" s="6"/>
      <c r="J1245" s="6" t="s">
        <v>73</v>
      </c>
      <c r="K1245" s="6"/>
      <c r="L1245" s="6" t="s">
        <v>3014</v>
      </c>
      <c r="M1245" s="6"/>
      <c r="N1245" s="6" t="s">
        <v>212</v>
      </c>
      <c r="O1245" s="6"/>
      <c r="P1245" s="6" t="s">
        <v>168</v>
      </c>
      <c r="Q1245" s="6"/>
      <c r="AA1245" s="6"/>
      <c r="AB1245" s="6" t="s">
        <v>67</v>
      </c>
      <c r="AC1245" s="6"/>
      <c r="AD1245" s="6" t="s">
        <v>56</v>
      </c>
      <c r="AE1245" s="6"/>
      <c r="AF1245" s="6" t="s">
        <v>75</v>
      </c>
      <c r="AG1245" s="6"/>
      <c r="AH1245" s="6" t="s">
        <v>58</v>
      </c>
      <c r="AI1245" s="6"/>
      <c r="AJ1245" s="11" t="s">
        <v>174</v>
      </c>
    </row>
    <row r="1246" spans="1:36" ht="15.75" customHeight="1" x14ac:dyDescent="0.25">
      <c r="A1246" s="7">
        <v>43422.87490101852</v>
      </c>
      <c r="B1246" s="6" t="s">
        <v>103</v>
      </c>
      <c r="C1246" s="6" t="s">
        <v>79</v>
      </c>
      <c r="D1246" s="6" t="s">
        <v>165</v>
      </c>
      <c r="E1246" s="6" t="s">
        <v>48</v>
      </c>
      <c r="F1246" s="6" t="s">
        <v>1213</v>
      </c>
      <c r="G1246" s="6" t="s">
        <v>48</v>
      </c>
      <c r="H1246" s="6" t="s">
        <v>4073</v>
      </c>
      <c r="I1246" s="6"/>
      <c r="J1246" s="6" t="s">
        <v>73</v>
      </c>
      <c r="K1246" s="6"/>
      <c r="L1246" s="6" t="s">
        <v>3013</v>
      </c>
      <c r="M1246" s="6"/>
      <c r="N1246" s="6" t="s">
        <v>98</v>
      </c>
      <c r="O1246" s="6"/>
      <c r="P1246" s="6" t="s">
        <v>131</v>
      </c>
      <c r="Q1246" s="6"/>
      <c r="AA1246" s="6"/>
      <c r="AB1246" s="6" t="s">
        <v>67</v>
      </c>
      <c r="AC1246" s="6"/>
      <c r="AD1246" s="6" t="s">
        <v>56</v>
      </c>
      <c r="AE1246" s="6"/>
      <c r="AF1246" s="6" t="s">
        <v>75</v>
      </c>
      <c r="AG1246" s="6"/>
      <c r="AH1246" s="6" t="s">
        <v>76</v>
      </c>
      <c r="AI1246" s="6"/>
      <c r="AJ1246" s="6" t="s">
        <v>338</v>
      </c>
    </row>
    <row r="1247" spans="1:36" ht="15.75" customHeight="1" x14ac:dyDescent="0.25">
      <c r="A1247" s="7">
        <v>43422.884707152778</v>
      </c>
      <c r="B1247" s="6" t="s">
        <v>30</v>
      </c>
      <c r="C1247" s="6" t="s">
        <v>116</v>
      </c>
      <c r="D1247" s="6" t="s">
        <v>46</v>
      </c>
      <c r="E1247" s="6" t="s">
        <v>81</v>
      </c>
      <c r="G1247" s="6" t="s">
        <v>87</v>
      </c>
      <c r="H1247" s="6" t="s">
        <v>1794</v>
      </c>
      <c r="I1247" s="6"/>
      <c r="J1247" s="6" t="s">
        <v>92</v>
      </c>
      <c r="K1247" s="6"/>
      <c r="L1247" s="6" t="s">
        <v>3015</v>
      </c>
      <c r="M1247" s="6"/>
      <c r="N1247" s="6" t="s">
        <v>181</v>
      </c>
      <c r="O1247" s="6"/>
      <c r="P1247" s="6" t="s">
        <v>94</v>
      </c>
      <c r="Q1247" s="6"/>
      <c r="R1247" s="47" t="s">
        <v>5500</v>
      </c>
      <c r="S1247" s="14" t="s">
        <v>5797</v>
      </c>
      <c r="T1247" s="14" t="s">
        <v>5798</v>
      </c>
      <c r="AA1247" s="6"/>
      <c r="AB1247" s="6" t="s">
        <v>55</v>
      </c>
      <c r="AC1247" s="6"/>
      <c r="AD1247" s="6" t="s">
        <v>56</v>
      </c>
      <c r="AE1247" s="6"/>
      <c r="AF1247" s="6" t="s">
        <v>205</v>
      </c>
      <c r="AG1247" s="6"/>
      <c r="AH1247" s="6" t="s">
        <v>58</v>
      </c>
      <c r="AI1247" s="6"/>
      <c r="AJ1247" s="6" t="s">
        <v>170</v>
      </c>
    </row>
    <row r="1248" spans="1:36" ht="15.75" customHeight="1" x14ac:dyDescent="0.25">
      <c r="A1248" s="7">
        <v>43422.901970358798</v>
      </c>
      <c r="B1248" s="6" t="s">
        <v>60</v>
      </c>
      <c r="C1248" s="6" t="s">
        <v>349</v>
      </c>
      <c r="D1248" s="6" t="s">
        <v>165</v>
      </c>
      <c r="E1248" s="6" t="s">
        <v>81</v>
      </c>
      <c r="H1248" s="6" t="s">
        <v>4075</v>
      </c>
      <c r="I1248" s="6"/>
      <c r="J1248" s="6" t="s">
        <v>92</v>
      </c>
      <c r="K1248" s="6"/>
      <c r="N1248" s="6" t="s">
        <v>121</v>
      </c>
      <c r="O1248" s="6"/>
      <c r="P1248" s="6" t="s">
        <v>94</v>
      </c>
      <c r="Q1248" s="6"/>
      <c r="AA1248" s="6"/>
      <c r="AB1248" s="6" t="s">
        <v>101</v>
      </c>
      <c r="AC1248" s="6"/>
      <c r="AD1248" s="6" t="s">
        <v>57</v>
      </c>
      <c r="AE1248" s="6"/>
      <c r="AF1248" s="6" t="s">
        <v>57</v>
      </c>
      <c r="AG1248" s="6"/>
      <c r="AH1248" s="6" t="s">
        <v>57</v>
      </c>
      <c r="AJ1248" s="11" t="s">
        <v>57</v>
      </c>
    </row>
    <row r="1249" spans="1:36" ht="15.75" customHeight="1" x14ac:dyDescent="0.25">
      <c r="A1249" s="7">
        <v>43422.902611944446</v>
      </c>
      <c r="B1249" s="6" t="s">
        <v>463</v>
      </c>
      <c r="C1249" s="6" t="s">
        <v>771</v>
      </c>
      <c r="D1249" s="6" t="s">
        <v>46</v>
      </c>
      <c r="E1249" s="6" t="s">
        <v>48</v>
      </c>
      <c r="F1249" s="6" t="s">
        <v>1680</v>
      </c>
      <c r="G1249" s="6" t="s">
        <v>48</v>
      </c>
      <c r="H1249" s="6" t="s">
        <v>4076</v>
      </c>
      <c r="I1249" s="6"/>
      <c r="J1249" s="6" t="s">
        <v>110</v>
      </c>
      <c r="K1249" s="6"/>
      <c r="L1249" s="6" t="s">
        <v>2491</v>
      </c>
      <c r="M1249" s="6"/>
      <c r="N1249" s="6" t="s">
        <v>212</v>
      </c>
      <c r="O1249" s="6"/>
      <c r="P1249" s="6" t="s">
        <v>52</v>
      </c>
      <c r="Q1249" s="6"/>
      <c r="R1249" s="47" t="s">
        <v>5799</v>
      </c>
      <c r="S1249" s="14" t="s">
        <v>5800</v>
      </c>
      <c r="T1249" s="14" t="s">
        <v>4400</v>
      </c>
      <c r="U1249" s="14" t="s">
        <v>4911</v>
      </c>
      <c r="V1249" s="14" t="s">
        <v>5686</v>
      </c>
      <c r="W1249" s="14" t="s">
        <v>4632</v>
      </c>
      <c r="AA1249" s="6"/>
      <c r="AB1249" s="6" t="s">
        <v>101</v>
      </c>
      <c r="AC1249" s="6"/>
      <c r="AD1249" s="6" t="s">
        <v>109</v>
      </c>
      <c r="AE1249" s="6"/>
      <c r="AF1249" s="6" t="s">
        <v>68</v>
      </c>
      <c r="AG1249" s="6"/>
      <c r="AH1249" s="6" t="s">
        <v>76</v>
      </c>
      <c r="AI1249" s="6"/>
      <c r="AJ1249" s="6" t="s">
        <v>115</v>
      </c>
    </row>
    <row r="1250" spans="1:36" ht="15.75" customHeight="1" x14ac:dyDescent="0.25">
      <c r="A1250" s="7">
        <v>43422.907326076383</v>
      </c>
      <c r="B1250" s="6" t="s">
        <v>294</v>
      </c>
      <c r="C1250" s="6" t="s">
        <v>128</v>
      </c>
      <c r="D1250" s="6" t="s">
        <v>163</v>
      </c>
      <c r="E1250" s="6" t="s">
        <v>81</v>
      </c>
      <c r="G1250" s="6" t="s">
        <v>87</v>
      </c>
      <c r="H1250" s="6" t="s">
        <v>4078</v>
      </c>
      <c r="I1250" s="6"/>
      <c r="J1250" s="6" t="s">
        <v>92</v>
      </c>
      <c r="K1250" s="6"/>
      <c r="L1250" s="6" t="s">
        <v>3018</v>
      </c>
      <c r="M1250" s="6"/>
      <c r="N1250" s="6" t="s">
        <v>212</v>
      </c>
      <c r="O1250" s="6"/>
      <c r="P1250" s="6" t="s">
        <v>131</v>
      </c>
      <c r="Q1250" s="6"/>
      <c r="R1250" s="47" t="s">
        <v>4564</v>
      </c>
      <c r="S1250" s="14" t="s">
        <v>4400</v>
      </c>
      <c r="T1250" s="14" t="s">
        <v>4700</v>
      </c>
      <c r="AA1250" s="6"/>
      <c r="AB1250" s="6" t="s">
        <v>67</v>
      </c>
      <c r="AC1250" s="6"/>
      <c r="AD1250" s="6" t="s">
        <v>56</v>
      </c>
      <c r="AE1250" s="6"/>
      <c r="AF1250" s="6" t="s">
        <v>68</v>
      </c>
      <c r="AG1250" s="6"/>
      <c r="AH1250" s="6" t="s">
        <v>58</v>
      </c>
      <c r="AI1250" s="6"/>
      <c r="AJ1250" s="6" t="s">
        <v>115</v>
      </c>
    </row>
    <row r="1251" spans="1:36" ht="15.75" customHeight="1" x14ac:dyDescent="0.25">
      <c r="A1251" s="7">
        <v>43422.907593854165</v>
      </c>
      <c r="B1251" s="6" t="s">
        <v>60</v>
      </c>
      <c r="C1251" s="6" t="s">
        <v>477</v>
      </c>
      <c r="D1251" s="6" t="s">
        <v>163</v>
      </c>
      <c r="E1251" s="6" t="s">
        <v>81</v>
      </c>
      <c r="G1251" s="6" t="s">
        <v>87</v>
      </c>
      <c r="H1251" s="6" t="s">
        <v>4080</v>
      </c>
      <c r="I1251" s="6"/>
      <c r="J1251" s="6" t="s">
        <v>92</v>
      </c>
      <c r="K1251" s="6"/>
      <c r="L1251" s="6" t="s">
        <v>3019</v>
      </c>
      <c r="M1251" s="6"/>
      <c r="N1251" s="6" t="s">
        <v>112</v>
      </c>
      <c r="O1251" s="6"/>
      <c r="P1251" s="6" t="s">
        <v>131</v>
      </c>
      <c r="Q1251" s="6"/>
      <c r="R1251" s="47" t="s">
        <v>5204</v>
      </c>
      <c r="S1251" s="14" t="s">
        <v>5369</v>
      </c>
      <c r="T1251" s="14" t="s">
        <v>5628</v>
      </c>
      <c r="U1251" s="14" t="s">
        <v>5801</v>
      </c>
      <c r="V1251" s="14" t="s">
        <v>5802</v>
      </c>
      <c r="W1251" s="14" t="s">
        <v>5803</v>
      </c>
      <c r="X1251" s="14" t="s">
        <v>4596</v>
      </c>
      <c r="Y1251" s="14" t="s">
        <v>5671</v>
      </c>
      <c r="Z1251" s="14" t="s">
        <v>5804</v>
      </c>
      <c r="AA1251" s="6"/>
      <c r="AB1251" s="6" t="s">
        <v>67</v>
      </c>
      <c r="AC1251" s="6"/>
      <c r="AD1251" s="6" t="s">
        <v>56</v>
      </c>
      <c r="AE1251" s="6"/>
      <c r="AF1251" s="6" t="s">
        <v>68</v>
      </c>
      <c r="AG1251" s="6"/>
      <c r="AH1251" s="6" t="s">
        <v>58</v>
      </c>
      <c r="AI1251" s="6"/>
      <c r="AJ1251" s="11" t="s">
        <v>132</v>
      </c>
    </row>
    <row r="1252" spans="1:36" ht="15.75" customHeight="1" x14ac:dyDescent="0.25">
      <c r="A1252" s="7">
        <v>43422.925058090274</v>
      </c>
      <c r="B1252" s="6" t="s">
        <v>60</v>
      </c>
      <c r="C1252" s="6" t="s">
        <v>79</v>
      </c>
      <c r="D1252" s="6" t="s">
        <v>165</v>
      </c>
      <c r="E1252" s="6" t="s">
        <v>48</v>
      </c>
      <c r="F1252" s="6" t="s">
        <v>262</v>
      </c>
      <c r="G1252" s="6" t="s">
        <v>48</v>
      </c>
      <c r="H1252" s="6" t="s">
        <v>4072</v>
      </c>
      <c r="I1252" s="6"/>
      <c r="J1252" s="6" t="s">
        <v>73</v>
      </c>
      <c r="K1252" s="6"/>
      <c r="L1252" s="6" t="s">
        <v>3014</v>
      </c>
      <c r="M1252" s="6"/>
      <c r="N1252" s="6" t="s">
        <v>212</v>
      </c>
      <c r="O1252" s="6"/>
      <c r="P1252" s="6" t="s">
        <v>168</v>
      </c>
      <c r="Q1252" s="6"/>
      <c r="AA1252" s="6"/>
      <c r="AB1252" s="6" t="s">
        <v>67</v>
      </c>
      <c r="AC1252" s="6"/>
      <c r="AD1252" s="6" t="s">
        <v>56</v>
      </c>
      <c r="AE1252" s="6"/>
      <c r="AF1252" s="6" t="s">
        <v>75</v>
      </c>
      <c r="AG1252" s="6"/>
      <c r="AH1252" s="6" t="s">
        <v>58</v>
      </c>
      <c r="AI1252" s="6"/>
      <c r="AJ1252" s="11" t="s">
        <v>174</v>
      </c>
    </row>
    <row r="1253" spans="1:36" ht="15.75" customHeight="1" x14ac:dyDescent="0.25">
      <c r="A1253" s="7">
        <v>43422.925552592591</v>
      </c>
      <c r="B1253" s="6" t="s">
        <v>1110</v>
      </c>
      <c r="C1253" s="6" t="s">
        <v>237</v>
      </c>
      <c r="D1253" s="6" t="s">
        <v>163</v>
      </c>
      <c r="E1253" s="6" t="s">
        <v>81</v>
      </c>
      <c r="G1253" s="6" t="s">
        <v>87</v>
      </c>
      <c r="H1253" s="6" t="s">
        <v>4082</v>
      </c>
      <c r="I1253" s="6"/>
      <c r="J1253" s="6" t="s">
        <v>92</v>
      </c>
      <c r="K1253" s="6"/>
      <c r="L1253" s="6" t="s">
        <v>2492</v>
      </c>
      <c r="M1253" s="6"/>
      <c r="N1253" s="6" t="s">
        <v>93</v>
      </c>
      <c r="O1253" s="6"/>
      <c r="P1253" s="6" t="s">
        <v>94</v>
      </c>
      <c r="Q1253" s="6"/>
      <c r="R1253" s="47" t="s">
        <v>4083</v>
      </c>
      <c r="AA1253" s="6"/>
      <c r="AB1253" s="6" t="s">
        <v>101</v>
      </c>
      <c r="AC1253" s="6"/>
      <c r="AD1253" s="6" t="s">
        <v>56</v>
      </c>
      <c r="AE1253" s="6"/>
      <c r="AF1253" s="6" t="s">
        <v>205</v>
      </c>
      <c r="AG1253" s="6"/>
      <c r="AH1253" s="6" t="s">
        <v>58</v>
      </c>
      <c r="AI1253" s="6"/>
      <c r="AJ1253" s="6" t="s">
        <v>77</v>
      </c>
    </row>
    <row r="1254" spans="1:36" ht="15.75" customHeight="1" x14ac:dyDescent="0.25">
      <c r="A1254" s="7">
        <v>43422.9396375</v>
      </c>
      <c r="B1254" s="6" t="s">
        <v>833</v>
      </c>
      <c r="C1254" s="6" t="s">
        <v>85</v>
      </c>
      <c r="D1254" s="6" t="s">
        <v>190</v>
      </c>
      <c r="E1254" s="6" t="s">
        <v>48</v>
      </c>
      <c r="F1254" s="6" t="s">
        <v>4084</v>
      </c>
      <c r="G1254" s="6" t="s">
        <v>48</v>
      </c>
      <c r="H1254" s="6" t="s">
        <v>4085</v>
      </c>
      <c r="I1254" s="6"/>
      <c r="J1254" s="6" t="s">
        <v>73</v>
      </c>
      <c r="K1254" s="6"/>
      <c r="L1254" s="6" t="s">
        <v>2661</v>
      </c>
      <c r="M1254" s="6"/>
      <c r="N1254" s="6" t="s">
        <v>51</v>
      </c>
      <c r="O1254" s="6"/>
      <c r="P1254" s="6" t="s">
        <v>99</v>
      </c>
      <c r="Q1254" s="6"/>
      <c r="R1254" s="47" t="s">
        <v>3221</v>
      </c>
      <c r="S1254" s="14" t="s">
        <v>5805</v>
      </c>
      <c r="T1254" s="14" t="s">
        <v>4654</v>
      </c>
      <c r="U1254" s="14" t="s">
        <v>4806</v>
      </c>
      <c r="V1254" s="14" t="s">
        <v>5806</v>
      </c>
      <c r="W1254" s="14" t="s">
        <v>4397</v>
      </c>
      <c r="X1254" s="14" t="s">
        <v>5807</v>
      </c>
      <c r="Y1254" s="14" t="s">
        <v>5558</v>
      </c>
      <c r="Z1254" s="14" t="s">
        <v>5808</v>
      </c>
      <c r="AA1254" s="6"/>
      <c r="AB1254" s="6" t="s">
        <v>55</v>
      </c>
      <c r="AC1254" s="6"/>
      <c r="AD1254" s="6" t="s">
        <v>56</v>
      </c>
      <c r="AE1254" s="6"/>
      <c r="AF1254" s="6" t="s">
        <v>75</v>
      </c>
      <c r="AG1254" s="6"/>
      <c r="AH1254" s="6" t="s">
        <v>76</v>
      </c>
      <c r="AI1254" s="6"/>
      <c r="AJ1254" s="6" t="s">
        <v>368</v>
      </c>
    </row>
    <row r="1255" spans="1:36" ht="15.75" customHeight="1" x14ac:dyDescent="0.25">
      <c r="A1255" s="7">
        <v>43422.94950451389</v>
      </c>
      <c r="B1255" s="6" t="s">
        <v>770</v>
      </c>
      <c r="C1255" s="6" t="s">
        <v>116</v>
      </c>
      <c r="D1255" s="6" t="s">
        <v>133</v>
      </c>
      <c r="E1255" s="6" t="s">
        <v>81</v>
      </c>
      <c r="G1255" s="6" t="s">
        <v>87</v>
      </c>
      <c r="H1255" s="6" t="s">
        <v>4087</v>
      </c>
      <c r="I1255" s="6"/>
      <c r="J1255" s="6" t="s">
        <v>184</v>
      </c>
      <c r="K1255" s="6"/>
      <c r="L1255" s="6" t="s">
        <v>3021</v>
      </c>
      <c r="M1255" s="6"/>
      <c r="N1255" s="6" t="s">
        <v>98</v>
      </c>
      <c r="O1255" s="6"/>
      <c r="P1255" s="6" t="s">
        <v>94</v>
      </c>
      <c r="Q1255" s="6"/>
      <c r="R1255" s="47" t="s">
        <v>4088</v>
      </c>
      <c r="AA1255" s="6"/>
      <c r="AC1255" s="6"/>
      <c r="AD1255" s="6" t="s">
        <v>57</v>
      </c>
      <c r="AE1255" s="6"/>
      <c r="AF1255" s="6" t="s">
        <v>57</v>
      </c>
      <c r="AG1255" s="6"/>
      <c r="AH1255" s="6" t="s">
        <v>57</v>
      </c>
      <c r="AI1255" s="6"/>
      <c r="AJ1255" s="6" t="s">
        <v>362</v>
      </c>
    </row>
    <row r="1256" spans="1:36" ht="15.75" customHeight="1" x14ac:dyDescent="0.25">
      <c r="A1256" s="7">
        <v>43422.951370150462</v>
      </c>
      <c r="B1256" s="6" t="s">
        <v>30</v>
      </c>
      <c r="C1256" s="6" t="s">
        <v>116</v>
      </c>
      <c r="D1256" s="6" t="s">
        <v>846</v>
      </c>
      <c r="E1256" s="6" t="s">
        <v>81</v>
      </c>
      <c r="G1256" s="6" t="s">
        <v>87</v>
      </c>
      <c r="J1256" s="6" t="s">
        <v>50</v>
      </c>
      <c r="K1256" s="6"/>
      <c r="N1256" s="6" t="s">
        <v>121</v>
      </c>
      <c r="O1256" s="6"/>
      <c r="P1256" s="6" t="s">
        <v>168</v>
      </c>
      <c r="Q1256" s="6"/>
      <c r="R1256" s="47" t="s">
        <v>5809</v>
      </c>
      <c r="S1256" s="14" t="s">
        <v>4425</v>
      </c>
      <c r="T1256" s="14" t="s">
        <v>5810</v>
      </c>
      <c r="U1256" s="14" t="s">
        <v>5811</v>
      </c>
      <c r="V1256" s="14" t="s">
        <v>5812</v>
      </c>
      <c r="W1256" s="14" t="s">
        <v>5813</v>
      </c>
      <c r="AA1256" s="6"/>
      <c r="AB1256" s="6" t="s">
        <v>67</v>
      </c>
      <c r="AC1256" s="6"/>
      <c r="AD1256" s="6" t="s">
        <v>56</v>
      </c>
      <c r="AE1256" s="6"/>
      <c r="AF1256" s="6" t="s">
        <v>75</v>
      </c>
      <c r="AG1256" s="6"/>
      <c r="AH1256" s="6" t="s">
        <v>58</v>
      </c>
      <c r="AI1256" s="6"/>
      <c r="AJ1256" s="6" t="s">
        <v>204</v>
      </c>
    </row>
    <row r="1257" spans="1:36" ht="15.75" customHeight="1" x14ac:dyDescent="0.25">
      <c r="A1257" s="7">
        <v>43422.953191539353</v>
      </c>
      <c r="B1257" s="6" t="s">
        <v>60</v>
      </c>
      <c r="C1257" s="6" t="s">
        <v>90</v>
      </c>
      <c r="D1257" s="6" t="s">
        <v>165</v>
      </c>
      <c r="E1257" s="6" t="s">
        <v>81</v>
      </c>
      <c r="G1257" s="6" t="s">
        <v>87</v>
      </c>
      <c r="H1257" s="6" t="s">
        <v>4090</v>
      </c>
      <c r="I1257" s="6"/>
      <c r="J1257" s="6" t="s">
        <v>158</v>
      </c>
      <c r="K1257" s="6"/>
      <c r="L1257" s="6" t="s">
        <v>3023</v>
      </c>
      <c r="M1257" s="6"/>
      <c r="N1257" s="6" t="s">
        <v>121</v>
      </c>
      <c r="O1257" s="6"/>
      <c r="P1257" s="6" t="s">
        <v>94</v>
      </c>
      <c r="Q1257" s="6"/>
      <c r="R1257" s="47" t="s">
        <v>5814</v>
      </c>
      <c r="S1257" s="14" t="s">
        <v>5815</v>
      </c>
      <c r="T1257" s="14" t="s">
        <v>5816</v>
      </c>
      <c r="AA1257" s="6"/>
      <c r="AB1257" s="6" t="s">
        <v>203</v>
      </c>
      <c r="AC1257" s="6"/>
      <c r="AD1257" s="6" t="s">
        <v>56</v>
      </c>
      <c r="AE1257" s="6"/>
      <c r="AF1257" s="6" t="s">
        <v>75</v>
      </c>
      <c r="AG1257" s="6"/>
      <c r="AH1257" s="6" t="s">
        <v>58</v>
      </c>
      <c r="AI1257" s="6"/>
      <c r="AJ1257" s="6" t="s">
        <v>77</v>
      </c>
    </row>
    <row r="1258" spans="1:36" ht="15.75" customHeight="1" x14ac:dyDescent="0.25">
      <c r="A1258" s="7">
        <v>43422.974319513887</v>
      </c>
      <c r="B1258" s="6" t="s">
        <v>127</v>
      </c>
      <c r="C1258" s="6" t="s">
        <v>116</v>
      </c>
      <c r="D1258" s="6" t="s">
        <v>165</v>
      </c>
      <c r="E1258" s="6" t="s">
        <v>81</v>
      </c>
      <c r="G1258" s="6" t="s">
        <v>87</v>
      </c>
      <c r="J1258" s="6" t="s">
        <v>50</v>
      </c>
      <c r="K1258" s="6"/>
      <c r="N1258" s="6" t="s">
        <v>98</v>
      </c>
      <c r="O1258" s="6"/>
      <c r="P1258" s="6" t="s">
        <v>131</v>
      </c>
      <c r="Q1258" s="6"/>
      <c r="AA1258" s="6"/>
      <c r="AB1258" s="6" t="s">
        <v>67</v>
      </c>
      <c r="AC1258" s="6"/>
      <c r="AD1258" s="6" t="s">
        <v>56</v>
      </c>
      <c r="AE1258" s="6"/>
      <c r="AF1258" s="6" t="s">
        <v>68</v>
      </c>
      <c r="AG1258" s="6"/>
      <c r="AH1258" s="6" t="s">
        <v>58</v>
      </c>
      <c r="AJ1258" s="11" t="s">
        <v>57</v>
      </c>
    </row>
    <row r="1259" spans="1:36" ht="15.75" customHeight="1" x14ac:dyDescent="0.25">
      <c r="A1259" s="7">
        <v>43422.975812986115</v>
      </c>
      <c r="B1259" s="6" t="s">
        <v>30</v>
      </c>
      <c r="C1259" s="6" t="s">
        <v>756</v>
      </c>
      <c r="D1259" s="6" t="s">
        <v>163</v>
      </c>
      <c r="E1259" s="6" t="s">
        <v>81</v>
      </c>
      <c r="G1259" s="6" t="s">
        <v>48</v>
      </c>
      <c r="J1259" s="6" t="s">
        <v>73</v>
      </c>
      <c r="K1259" s="6"/>
      <c r="N1259" s="6" t="s">
        <v>112</v>
      </c>
      <c r="O1259" s="6"/>
      <c r="P1259" s="6" t="s">
        <v>52</v>
      </c>
      <c r="Q1259" s="6"/>
      <c r="AA1259" s="6"/>
      <c r="AB1259" s="6" t="s">
        <v>101</v>
      </c>
      <c r="AC1259" s="6"/>
      <c r="AD1259" s="6" t="s">
        <v>56</v>
      </c>
      <c r="AE1259" s="6"/>
      <c r="AF1259" s="6" t="s">
        <v>205</v>
      </c>
      <c r="AG1259" s="6"/>
      <c r="AH1259" s="6" t="s">
        <v>57</v>
      </c>
      <c r="AJ1259" s="11" t="s">
        <v>57</v>
      </c>
    </row>
    <row r="1260" spans="1:36" ht="15.75" customHeight="1" x14ac:dyDescent="0.25">
      <c r="A1260" s="7">
        <v>43422.981395347218</v>
      </c>
      <c r="B1260" s="6" t="s">
        <v>31</v>
      </c>
      <c r="C1260" s="6" t="s">
        <v>1945</v>
      </c>
      <c r="D1260" s="6" t="s">
        <v>165</v>
      </c>
      <c r="E1260" s="6" t="s">
        <v>81</v>
      </c>
      <c r="G1260" s="6" t="s">
        <v>48</v>
      </c>
      <c r="J1260" s="6" t="s">
        <v>110</v>
      </c>
      <c r="K1260" s="6"/>
      <c r="L1260" s="6" t="s">
        <v>3024</v>
      </c>
      <c r="M1260" s="6"/>
      <c r="N1260" s="6" t="s">
        <v>121</v>
      </c>
      <c r="O1260" s="6"/>
      <c r="P1260" s="6" t="s">
        <v>131</v>
      </c>
      <c r="Q1260" s="6"/>
      <c r="AA1260" s="6"/>
      <c r="AB1260" s="6" t="s">
        <v>55</v>
      </c>
      <c r="AC1260" s="6"/>
      <c r="AD1260" s="6" t="s">
        <v>56</v>
      </c>
      <c r="AE1260" s="6"/>
      <c r="AF1260" s="6" t="s">
        <v>75</v>
      </c>
      <c r="AG1260" s="6"/>
      <c r="AH1260" s="6" t="s">
        <v>58</v>
      </c>
      <c r="AI1260" s="6"/>
      <c r="AJ1260" s="6" t="s">
        <v>174</v>
      </c>
    </row>
    <row r="1261" spans="1:36" ht="15.75" customHeight="1" x14ac:dyDescent="0.25">
      <c r="A1261" s="7">
        <v>43422.994953344911</v>
      </c>
      <c r="B1261" s="6" t="s">
        <v>543</v>
      </c>
      <c r="C1261" s="6" t="s">
        <v>790</v>
      </c>
      <c r="D1261" s="6" t="s">
        <v>510</v>
      </c>
      <c r="E1261" s="6" t="s">
        <v>48</v>
      </c>
      <c r="F1261" s="6" t="s">
        <v>4092</v>
      </c>
      <c r="G1261" s="6" t="s">
        <v>48</v>
      </c>
      <c r="H1261" s="6" t="s">
        <v>4093</v>
      </c>
      <c r="I1261" s="6"/>
      <c r="J1261" s="6" t="s">
        <v>110</v>
      </c>
      <c r="K1261" s="6"/>
      <c r="L1261" s="6" t="s">
        <v>3026</v>
      </c>
      <c r="M1261" s="6"/>
      <c r="N1261" s="6" t="s">
        <v>181</v>
      </c>
      <c r="O1261" s="6"/>
      <c r="P1261" s="6" t="s">
        <v>131</v>
      </c>
      <c r="Q1261" s="6"/>
      <c r="R1261" s="47" t="s">
        <v>149</v>
      </c>
      <c r="S1261" s="14" t="s">
        <v>4400</v>
      </c>
      <c r="T1261" s="14" t="s">
        <v>5817</v>
      </c>
      <c r="U1261" s="14" t="s">
        <v>5818</v>
      </c>
      <c r="AA1261" s="6"/>
      <c r="AB1261" s="6" t="s">
        <v>55</v>
      </c>
      <c r="AC1261" s="6"/>
      <c r="AD1261" s="6" t="s">
        <v>56</v>
      </c>
      <c r="AE1261" s="6"/>
      <c r="AF1261" s="6" t="s">
        <v>68</v>
      </c>
      <c r="AG1261" s="6"/>
      <c r="AH1261" s="6" t="s">
        <v>126</v>
      </c>
      <c r="AI1261" s="6"/>
      <c r="AJ1261" s="6" t="s">
        <v>77</v>
      </c>
    </row>
    <row r="1262" spans="1:36" ht="15.75" customHeight="1" x14ac:dyDescent="0.25">
      <c r="A1262" s="7">
        <v>43423.037731608798</v>
      </c>
      <c r="B1262" s="6" t="s">
        <v>30</v>
      </c>
      <c r="C1262" s="6" t="s">
        <v>195</v>
      </c>
      <c r="D1262" s="6" t="s">
        <v>46</v>
      </c>
      <c r="E1262" s="6" t="s">
        <v>81</v>
      </c>
      <c r="G1262" s="6" t="s">
        <v>87</v>
      </c>
      <c r="H1262" s="6" t="s">
        <v>4095</v>
      </c>
      <c r="I1262" s="6"/>
      <c r="J1262" s="6" t="s">
        <v>158</v>
      </c>
      <c r="K1262" s="6"/>
      <c r="L1262" s="6" t="s">
        <v>3027</v>
      </c>
      <c r="M1262" s="6"/>
      <c r="N1262" s="6" t="s">
        <v>121</v>
      </c>
      <c r="O1262" s="6"/>
      <c r="P1262" s="6" t="s">
        <v>94</v>
      </c>
      <c r="Q1262" s="6"/>
      <c r="R1262" s="47" t="s">
        <v>4096</v>
      </c>
      <c r="AA1262" s="6"/>
      <c r="AB1262" s="6" t="s">
        <v>101</v>
      </c>
      <c r="AC1262" s="6"/>
      <c r="AD1262" s="6" t="s">
        <v>56</v>
      </c>
      <c r="AE1262" s="6"/>
      <c r="AF1262" s="6" t="s">
        <v>205</v>
      </c>
      <c r="AG1262" s="6"/>
      <c r="AH1262" s="6" t="s">
        <v>126</v>
      </c>
      <c r="AI1262" s="6"/>
      <c r="AJ1262" s="6" t="s">
        <v>77</v>
      </c>
    </row>
    <row r="1263" spans="1:36" ht="15.75" customHeight="1" x14ac:dyDescent="0.25">
      <c r="A1263" s="7">
        <v>43423.048049895835</v>
      </c>
      <c r="B1263" s="6" t="s">
        <v>30</v>
      </c>
      <c r="C1263" s="6" t="s">
        <v>85</v>
      </c>
      <c r="D1263" s="6" t="s">
        <v>46</v>
      </c>
      <c r="E1263" s="6" t="s">
        <v>81</v>
      </c>
      <c r="G1263" s="6" t="s">
        <v>87</v>
      </c>
      <c r="H1263" s="6" t="s">
        <v>4098</v>
      </c>
      <c r="I1263" s="6"/>
      <c r="J1263" s="6" t="s">
        <v>158</v>
      </c>
      <c r="K1263" s="6"/>
      <c r="L1263" s="6" t="s">
        <v>3031</v>
      </c>
      <c r="M1263" s="6"/>
      <c r="N1263" s="6" t="s">
        <v>112</v>
      </c>
      <c r="O1263" s="6"/>
      <c r="P1263" s="6" t="s">
        <v>99</v>
      </c>
      <c r="Q1263" s="6"/>
      <c r="R1263" s="47" t="s">
        <v>4100</v>
      </c>
      <c r="AA1263" s="6"/>
      <c r="AB1263" s="6" t="s">
        <v>101</v>
      </c>
      <c r="AC1263" s="6"/>
      <c r="AD1263" s="6" t="s">
        <v>56</v>
      </c>
      <c r="AE1263" s="6"/>
      <c r="AF1263" s="6" t="s">
        <v>75</v>
      </c>
      <c r="AG1263" s="6"/>
      <c r="AH1263" s="6" t="s">
        <v>58</v>
      </c>
      <c r="AI1263" s="6"/>
      <c r="AJ1263" s="6" t="s">
        <v>187</v>
      </c>
    </row>
    <row r="1264" spans="1:36" ht="15.75" customHeight="1" x14ac:dyDescent="0.25">
      <c r="A1264" s="7">
        <v>43423.058714108796</v>
      </c>
      <c r="B1264" s="6" t="s">
        <v>4101</v>
      </c>
      <c r="C1264" s="6" t="s">
        <v>215</v>
      </c>
      <c r="D1264" s="6" t="s">
        <v>190</v>
      </c>
      <c r="E1264" s="6" t="s">
        <v>81</v>
      </c>
      <c r="G1264" s="6" t="s">
        <v>87</v>
      </c>
      <c r="H1264" s="6" t="s">
        <v>4102</v>
      </c>
      <c r="I1264" s="6"/>
      <c r="J1264" s="6" t="s">
        <v>73</v>
      </c>
      <c r="K1264" s="6"/>
      <c r="L1264" s="6" t="s">
        <v>2663</v>
      </c>
      <c r="M1264" s="6"/>
      <c r="N1264" s="6" t="s">
        <v>181</v>
      </c>
      <c r="O1264" s="6"/>
      <c r="P1264" s="6" t="s">
        <v>131</v>
      </c>
      <c r="Q1264" s="6"/>
      <c r="R1264" s="47" t="s">
        <v>4104</v>
      </c>
      <c r="AA1264" s="6"/>
      <c r="AB1264" s="6" t="s">
        <v>101</v>
      </c>
      <c r="AC1264" s="6"/>
      <c r="AD1264" s="6" t="s">
        <v>56</v>
      </c>
      <c r="AE1264" s="6"/>
      <c r="AF1264" s="6" t="s">
        <v>68</v>
      </c>
      <c r="AG1264" s="6"/>
      <c r="AH1264" s="11" t="s">
        <v>126</v>
      </c>
      <c r="AI1264" s="6"/>
      <c r="AJ1264" s="6" t="s">
        <v>77</v>
      </c>
    </row>
    <row r="1265" spans="1:36" ht="15.75" customHeight="1" x14ac:dyDescent="0.25">
      <c r="A1265" s="7">
        <v>43423.059039224536</v>
      </c>
      <c r="B1265" s="6" t="s">
        <v>30</v>
      </c>
      <c r="C1265" s="6" t="s">
        <v>45</v>
      </c>
      <c r="D1265" s="6" t="s">
        <v>46</v>
      </c>
      <c r="E1265" s="6" t="s">
        <v>48</v>
      </c>
      <c r="F1265" s="6" t="s">
        <v>4105</v>
      </c>
      <c r="G1265" s="6" t="s">
        <v>48</v>
      </c>
      <c r="J1265" s="6" t="s">
        <v>92</v>
      </c>
      <c r="K1265" s="6"/>
      <c r="L1265" s="6" t="s">
        <v>2340</v>
      </c>
      <c r="M1265" s="6"/>
      <c r="N1265" s="6" t="s">
        <v>181</v>
      </c>
      <c r="O1265" s="6"/>
      <c r="P1265" s="6" t="s">
        <v>99</v>
      </c>
      <c r="Q1265" s="6"/>
      <c r="R1265" s="47" t="s">
        <v>4706</v>
      </c>
      <c r="S1265" s="14" t="s">
        <v>5593</v>
      </c>
      <c r="T1265" s="14" t="s">
        <v>4527</v>
      </c>
      <c r="U1265" s="14" t="s">
        <v>3994</v>
      </c>
      <c r="AA1265" s="6"/>
      <c r="AB1265" s="6" t="s">
        <v>55</v>
      </c>
      <c r="AC1265" s="6"/>
      <c r="AD1265" s="6" t="s">
        <v>109</v>
      </c>
      <c r="AE1265" s="6"/>
      <c r="AF1265" s="6" t="s">
        <v>68</v>
      </c>
      <c r="AG1265" s="6"/>
      <c r="AH1265" s="6" t="s">
        <v>58</v>
      </c>
      <c r="AI1265" s="6"/>
      <c r="AJ1265" s="6" t="s">
        <v>77</v>
      </c>
    </row>
    <row r="1266" spans="1:36" ht="15.75" customHeight="1" x14ac:dyDescent="0.25">
      <c r="A1266" s="7">
        <v>43423.097935300924</v>
      </c>
      <c r="B1266" s="6" t="s">
        <v>397</v>
      </c>
      <c r="C1266" s="6" t="s">
        <v>45</v>
      </c>
      <c r="D1266" s="6" t="s">
        <v>165</v>
      </c>
      <c r="E1266" s="6" t="s">
        <v>48</v>
      </c>
      <c r="F1266" s="6" t="s">
        <v>2589</v>
      </c>
      <c r="G1266" s="6" t="s">
        <v>48</v>
      </c>
      <c r="J1266" s="6" t="s">
        <v>110</v>
      </c>
      <c r="K1266" s="6"/>
      <c r="L1266" s="6" t="s">
        <v>2496</v>
      </c>
      <c r="M1266" s="6"/>
      <c r="N1266" s="6" t="s">
        <v>181</v>
      </c>
      <c r="O1266" s="6"/>
      <c r="P1266" s="6" t="s">
        <v>131</v>
      </c>
      <c r="Q1266" s="6"/>
      <c r="AA1266" s="6"/>
      <c r="AB1266" s="6" t="s">
        <v>67</v>
      </c>
      <c r="AC1266" s="6"/>
      <c r="AD1266" s="6" t="s">
        <v>56</v>
      </c>
      <c r="AE1266" s="6"/>
      <c r="AF1266" s="6" t="s">
        <v>68</v>
      </c>
      <c r="AG1266" s="6"/>
      <c r="AH1266" s="6" t="s">
        <v>58</v>
      </c>
      <c r="AI1266" s="6"/>
      <c r="AJ1266" s="6" t="s">
        <v>77</v>
      </c>
    </row>
    <row r="1267" spans="1:36" ht="15.75" customHeight="1" x14ac:dyDescent="0.25">
      <c r="A1267" s="7">
        <v>43423.128294444439</v>
      </c>
      <c r="B1267" s="6" t="s">
        <v>30</v>
      </c>
      <c r="C1267" s="6" t="s">
        <v>116</v>
      </c>
      <c r="D1267" s="6" t="s">
        <v>138</v>
      </c>
      <c r="E1267" s="6" t="s">
        <v>81</v>
      </c>
      <c r="G1267" s="6" t="s">
        <v>87</v>
      </c>
      <c r="H1267" s="6" t="s">
        <v>81</v>
      </c>
      <c r="I1267" s="6"/>
      <c r="J1267" s="6" t="s">
        <v>158</v>
      </c>
      <c r="K1267" s="6"/>
      <c r="L1267" s="6" t="s">
        <v>2498</v>
      </c>
      <c r="M1267" s="6"/>
      <c r="N1267" s="6" t="s">
        <v>93</v>
      </c>
      <c r="O1267" s="6"/>
      <c r="P1267" s="6" t="s">
        <v>131</v>
      </c>
      <c r="Q1267" s="6"/>
      <c r="AA1267" s="6"/>
      <c r="AB1267" s="6" t="s">
        <v>101</v>
      </c>
      <c r="AC1267" s="6"/>
      <c r="AD1267" s="6" t="s">
        <v>57</v>
      </c>
      <c r="AE1267" s="6"/>
      <c r="AF1267" s="6" t="s">
        <v>57</v>
      </c>
      <c r="AG1267" s="6"/>
      <c r="AH1267" s="6" t="s">
        <v>57</v>
      </c>
      <c r="AI1267" s="6"/>
      <c r="AJ1267" s="6" t="s">
        <v>187</v>
      </c>
    </row>
    <row r="1268" spans="1:36" ht="15.75" customHeight="1" x14ac:dyDescent="0.25">
      <c r="A1268" s="7">
        <v>43423.160843738428</v>
      </c>
      <c r="B1268" s="6" t="s">
        <v>30</v>
      </c>
      <c r="C1268" s="6" t="s">
        <v>128</v>
      </c>
      <c r="D1268" s="6" t="s">
        <v>91</v>
      </c>
      <c r="E1268" s="6" t="s">
        <v>81</v>
      </c>
      <c r="G1268" s="6" t="s">
        <v>87</v>
      </c>
      <c r="J1268" s="6" t="s">
        <v>110</v>
      </c>
      <c r="K1268" s="6"/>
      <c r="L1268" s="6" t="s">
        <v>2499</v>
      </c>
      <c r="M1268" s="6"/>
      <c r="N1268" s="6" t="s">
        <v>98</v>
      </c>
      <c r="O1268" s="6"/>
      <c r="P1268" s="6" t="s">
        <v>131</v>
      </c>
      <c r="Q1268" s="6"/>
      <c r="R1268" s="47" t="s">
        <v>4107</v>
      </c>
      <c r="AA1268" s="6"/>
      <c r="AB1268" s="6" t="s">
        <v>203</v>
      </c>
      <c r="AC1268" s="6"/>
      <c r="AD1268" s="6" t="s">
        <v>56</v>
      </c>
      <c r="AE1268" s="6"/>
      <c r="AF1268" s="6" t="s">
        <v>75</v>
      </c>
      <c r="AG1268" s="6"/>
      <c r="AH1268" s="11" t="s">
        <v>58</v>
      </c>
      <c r="AI1268" s="6"/>
      <c r="AJ1268" s="6" t="s">
        <v>77</v>
      </c>
    </row>
    <row r="1269" spans="1:36" ht="15.75" customHeight="1" x14ac:dyDescent="0.25">
      <c r="A1269" s="7">
        <v>43423.162428923606</v>
      </c>
      <c r="B1269" s="6" t="s">
        <v>26</v>
      </c>
      <c r="C1269" s="6" t="s">
        <v>116</v>
      </c>
      <c r="D1269" s="6" t="s">
        <v>91</v>
      </c>
      <c r="E1269" s="6" t="s">
        <v>81</v>
      </c>
      <c r="G1269" s="6" t="s">
        <v>87</v>
      </c>
      <c r="H1269" s="6" t="s">
        <v>4108</v>
      </c>
      <c r="I1269" s="6"/>
      <c r="J1269" s="6" t="s">
        <v>92</v>
      </c>
      <c r="K1269" s="6"/>
      <c r="L1269" s="6" t="s">
        <v>3033</v>
      </c>
      <c r="M1269" s="6"/>
      <c r="N1269" s="6" t="s">
        <v>98</v>
      </c>
      <c r="O1269" s="6"/>
      <c r="P1269" s="6" t="s">
        <v>94</v>
      </c>
      <c r="Q1269" s="6"/>
      <c r="R1269" s="47" t="s">
        <v>1971</v>
      </c>
      <c r="S1269" s="14" t="s">
        <v>4640</v>
      </c>
      <c r="T1269" s="14" t="s">
        <v>5819</v>
      </c>
      <c r="AA1269" s="6"/>
      <c r="AB1269" s="6" t="s">
        <v>55</v>
      </c>
      <c r="AC1269" s="6"/>
      <c r="AD1269" s="6" t="s">
        <v>56</v>
      </c>
      <c r="AE1269" s="6"/>
      <c r="AF1269" s="6" t="s">
        <v>68</v>
      </c>
      <c r="AG1269" s="6"/>
      <c r="AH1269" s="6" t="s">
        <v>58</v>
      </c>
      <c r="AI1269" s="6"/>
      <c r="AJ1269" s="6" t="s">
        <v>77</v>
      </c>
    </row>
    <row r="1270" spans="1:36" ht="15.75" customHeight="1" x14ac:dyDescent="0.25">
      <c r="A1270" s="7">
        <v>43423.162572893518</v>
      </c>
      <c r="B1270" s="6" t="s">
        <v>154</v>
      </c>
      <c r="C1270" s="6" t="s">
        <v>349</v>
      </c>
      <c r="D1270" s="6" t="s">
        <v>91</v>
      </c>
      <c r="E1270" s="6" t="s">
        <v>81</v>
      </c>
      <c r="G1270" s="6" t="s">
        <v>48</v>
      </c>
      <c r="H1270" s="6" t="s">
        <v>4110</v>
      </c>
      <c r="I1270" s="6"/>
      <c r="J1270" s="6" t="s">
        <v>73</v>
      </c>
      <c r="K1270" s="6"/>
      <c r="L1270" s="6" t="s">
        <v>3034</v>
      </c>
      <c r="M1270" s="6"/>
      <c r="N1270" s="6" t="s">
        <v>112</v>
      </c>
      <c r="O1270" s="6"/>
      <c r="P1270" s="6" t="s">
        <v>52</v>
      </c>
      <c r="Q1270" s="6"/>
      <c r="R1270" s="47" t="s">
        <v>192</v>
      </c>
      <c r="S1270" s="14" t="s">
        <v>5820</v>
      </c>
      <c r="T1270" s="14" t="s">
        <v>5821</v>
      </c>
      <c r="AA1270" s="6"/>
      <c r="AB1270" s="6" t="s">
        <v>67</v>
      </c>
      <c r="AC1270" s="6"/>
      <c r="AD1270" s="6" t="s">
        <v>56</v>
      </c>
      <c r="AE1270" s="6"/>
      <c r="AF1270" s="6" t="s">
        <v>75</v>
      </c>
      <c r="AG1270" s="6"/>
      <c r="AH1270" s="6" t="s">
        <v>126</v>
      </c>
      <c r="AI1270" s="6"/>
      <c r="AJ1270" s="11" t="s">
        <v>374</v>
      </c>
    </row>
    <row r="1271" spans="1:36" ht="15.75" customHeight="1" x14ac:dyDescent="0.25">
      <c r="A1271" s="7">
        <v>43423.176833344907</v>
      </c>
      <c r="B1271" s="6" t="s">
        <v>60</v>
      </c>
      <c r="C1271" s="6" t="s">
        <v>434</v>
      </c>
      <c r="D1271" s="6" t="s">
        <v>163</v>
      </c>
      <c r="E1271" s="6" t="s">
        <v>81</v>
      </c>
      <c r="G1271" s="6" t="s">
        <v>87</v>
      </c>
      <c r="J1271" s="6" t="s">
        <v>92</v>
      </c>
      <c r="K1271" s="6"/>
      <c r="N1271" s="6" t="s">
        <v>181</v>
      </c>
      <c r="O1271" s="6"/>
      <c r="P1271" s="6" t="s">
        <v>131</v>
      </c>
      <c r="Q1271" s="6"/>
      <c r="R1271" s="47" t="s">
        <v>4112</v>
      </c>
      <c r="AA1271" s="6"/>
      <c r="AB1271" s="6" t="s">
        <v>55</v>
      </c>
      <c r="AC1271" s="6"/>
      <c r="AD1271" s="6" t="s">
        <v>56</v>
      </c>
      <c r="AE1271" s="6"/>
      <c r="AF1271" s="6" t="s">
        <v>75</v>
      </c>
      <c r="AG1271" s="6"/>
      <c r="AH1271" s="6" t="s">
        <v>58</v>
      </c>
      <c r="AI1271" s="6"/>
      <c r="AJ1271" s="6" t="s">
        <v>77</v>
      </c>
    </row>
    <row r="1272" spans="1:36" ht="15.75" customHeight="1" x14ac:dyDescent="0.25">
      <c r="A1272" s="7">
        <v>43423.229353368057</v>
      </c>
      <c r="C1272" s="6" t="s">
        <v>771</v>
      </c>
      <c r="D1272" s="6" t="s">
        <v>190</v>
      </c>
      <c r="E1272" s="6" t="s">
        <v>81</v>
      </c>
      <c r="G1272" s="6" t="s">
        <v>87</v>
      </c>
      <c r="H1272" s="6" t="s">
        <v>4113</v>
      </c>
      <c r="I1272" s="6"/>
      <c r="J1272" s="6" t="s">
        <v>92</v>
      </c>
      <c r="K1272" s="6"/>
      <c r="L1272" s="6" t="s">
        <v>2665</v>
      </c>
      <c r="M1272" s="6"/>
      <c r="N1272" s="6" t="s">
        <v>93</v>
      </c>
      <c r="O1272" s="6"/>
      <c r="P1272" s="6" t="s">
        <v>168</v>
      </c>
      <c r="Q1272" s="6"/>
      <c r="R1272" s="47" t="s">
        <v>169</v>
      </c>
      <c r="S1272" s="14" t="s">
        <v>5822</v>
      </c>
      <c r="T1272" s="14" t="s">
        <v>4505</v>
      </c>
      <c r="U1272" s="14" t="s">
        <v>5823</v>
      </c>
      <c r="AA1272" s="6"/>
      <c r="AB1272" s="6" t="s">
        <v>67</v>
      </c>
      <c r="AC1272" s="6"/>
      <c r="AD1272" s="6" t="s">
        <v>56</v>
      </c>
      <c r="AE1272" s="6"/>
      <c r="AF1272" s="6" t="s">
        <v>75</v>
      </c>
      <c r="AG1272" s="6"/>
      <c r="AH1272" s="6" t="s">
        <v>76</v>
      </c>
      <c r="AI1272" s="6"/>
      <c r="AJ1272" s="6" t="s">
        <v>69</v>
      </c>
    </row>
    <row r="1273" spans="1:36" ht="15.75" customHeight="1" x14ac:dyDescent="0.25">
      <c r="A1273" s="7">
        <v>43423.237340474538</v>
      </c>
      <c r="B1273" s="6" t="s">
        <v>1389</v>
      </c>
      <c r="C1273" s="6" t="s">
        <v>306</v>
      </c>
      <c r="D1273" s="6" t="s">
        <v>129</v>
      </c>
      <c r="E1273" s="6" t="s">
        <v>81</v>
      </c>
      <c r="G1273" s="6" t="s">
        <v>87</v>
      </c>
      <c r="J1273" s="6" t="s">
        <v>89</v>
      </c>
      <c r="K1273" s="6"/>
      <c r="P1273" s="6" t="s">
        <v>94</v>
      </c>
      <c r="Q1273" s="6"/>
      <c r="AA1273" s="6"/>
      <c r="AB1273" s="6" t="s">
        <v>55</v>
      </c>
      <c r="AC1273" s="6"/>
      <c r="AD1273" s="6" t="s">
        <v>56</v>
      </c>
      <c r="AE1273" s="6"/>
      <c r="AF1273" s="6" t="s">
        <v>205</v>
      </c>
      <c r="AG1273" s="6"/>
      <c r="AH1273" s="6" t="s">
        <v>57</v>
      </c>
      <c r="AJ1273" s="11" t="s">
        <v>57</v>
      </c>
    </row>
    <row r="1274" spans="1:36" ht="15.75" customHeight="1" x14ac:dyDescent="0.25">
      <c r="A1274" s="7">
        <v>43423.245367581017</v>
      </c>
      <c r="B1274" s="6" t="s">
        <v>31</v>
      </c>
      <c r="C1274" s="6" t="s">
        <v>206</v>
      </c>
      <c r="D1274" s="6" t="s">
        <v>46</v>
      </c>
      <c r="E1274" s="6" t="s">
        <v>81</v>
      </c>
      <c r="G1274" s="6" t="s">
        <v>87</v>
      </c>
      <c r="J1274" s="6" t="s">
        <v>110</v>
      </c>
      <c r="K1274" s="6"/>
      <c r="L1274" s="6" t="s">
        <v>2310</v>
      </c>
      <c r="M1274" s="6"/>
      <c r="N1274" s="6" t="s">
        <v>121</v>
      </c>
      <c r="O1274" s="6"/>
      <c r="P1274" s="6" t="s">
        <v>131</v>
      </c>
      <c r="Q1274" s="6"/>
      <c r="AA1274" s="6"/>
      <c r="AB1274" s="6" t="s">
        <v>67</v>
      </c>
      <c r="AC1274" s="6"/>
      <c r="AD1274" s="6" t="s">
        <v>56</v>
      </c>
      <c r="AE1274" s="6"/>
      <c r="AF1274" s="6" t="s">
        <v>161</v>
      </c>
      <c r="AG1274" s="6"/>
      <c r="AH1274" s="6" t="s">
        <v>76</v>
      </c>
      <c r="AI1274" s="6"/>
      <c r="AJ1274" s="6" t="s">
        <v>77</v>
      </c>
    </row>
    <row r="1275" spans="1:36" ht="15.75" customHeight="1" x14ac:dyDescent="0.25">
      <c r="A1275" s="7">
        <v>43423.290044768517</v>
      </c>
      <c r="B1275" s="6" t="s">
        <v>30</v>
      </c>
      <c r="C1275" s="6" t="s">
        <v>95</v>
      </c>
      <c r="D1275" s="6" t="s">
        <v>165</v>
      </c>
      <c r="E1275" s="6" t="s">
        <v>81</v>
      </c>
      <c r="G1275" s="6" t="s">
        <v>87</v>
      </c>
      <c r="J1275" s="6" t="s">
        <v>73</v>
      </c>
      <c r="K1275" s="6"/>
      <c r="L1275" s="6" t="s">
        <v>3035</v>
      </c>
      <c r="M1275" s="6"/>
      <c r="N1275" s="6" t="s">
        <v>181</v>
      </c>
      <c r="O1275" s="6"/>
      <c r="P1275" s="6" t="s">
        <v>131</v>
      </c>
      <c r="Q1275" s="6"/>
      <c r="R1275" s="47" t="s">
        <v>4115</v>
      </c>
      <c r="AA1275" s="6"/>
      <c r="AB1275" s="6" t="s">
        <v>101</v>
      </c>
      <c r="AC1275" s="6"/>
      <c r="AD1275" s="6" t="s">
        <v>56</v>
      </c>
      <c r="AE1275" s="6"/>
      <c r="AF1275" s="6" t="s">
        <v>75</v>
      </c>
      <c r="AG1275" s="6"/>
      <c r="AH1275" s="6" t="s">
        <v>58</v>
      </c>
      <c r="AI1275" s="6"/>
      <c r="AJ1275" s="6" t="s">
        <v>77</v>
      </c>
    </row>
    <row r="1276" spans="1:36" ht="15.75" customHeight="1" x14ac:dyDescent="0.25">
      <c r="A1276" s="7">
        <v>43423.291143946757</v>
      </c>
      <c r="B1276" s="6" t="s">
        <v>30</v>
      </c>
      <c r="C1276" s="6" t="s">
        <v>378</v>
      </c>
      <c r="D1276" s="6" t="s">
        <v>165</v>
      </c>
      <c r="E1276" s="6" t="s">
        <v>81</v>
      </c>
      <c r="G1276" s="6" t="s">
        <v>87</v>
      </c>
      <c r="H1276" s="6" t="s">
        <v>4116</v>
      </c>
      <c r="I1276" s="6"/>
      <c r="J1276" s="6" t="s">
        <v>64</v>
      </c>
      <c r="K1276" s="6"/>
      <c r="L1276" s="6" t="s">
        <v>3036</v>
      </c>
      <c r="M1276" s="6"/>
      <c r="N1276" s="6" t="s">
        <v>112</v>
      </c>
      <c r="O1276" s="6"/>
      <c r="P1276" s="6" t="s">
        <v>99</v>
      </c>
      <c r="Q1276" s="6"/>
      <c r="R1276" s="47" t="s">
        <v>3239</v>
      </c>
      <c r="S1276" s="14" t="s">
        <v>5824</v>
      </c>
      <c r="T1276" s="14" t="s">
        <v>5825</v>
      </c>
      <c r="AA1276" s="6"/>
      <c r="AB1276" s="6" t="s">
        <v>101</v>
      </c>
      <c r="AC1276" s="6"/>
      <c r="AD1276" s="6" t="s">
        <v>56</v>
      </c>
      <c r="AE1276" s="6"/>
      <c r="AF1276" s="6" t="s">
        <v>75</v>
      </c>
      <c r="AG1276" s="6"/>
      <c r="AH1276" s="6" t="s">
        <v>58</v>
      </c>
      <c r="AI1276" s="6"/>
      <c r="AJ1276" s="6" t="s">
        <v>77</v>
      </c>
    </row>
    <row r="1277" spans="1:36" ht="15.75" customHeight="1" x14ac:dyDescent="0.25">
      <c r="A1277" s="7">
        <v>43423.298833391207</v>
      </c>
      <c r="B1277" s="6" t="s">
        <v>305</v>
      </c>
      <c r="C1277" s="6" t="s">
        <v>378</v>
      </c>
      <c r="D1277" s="6" t="s">
        <v>846</v>
      </c>
      <c r="E1277" s="6" t="s">
        <v>81</v>
      </c>
      <c r="G1277" s="6" t="s">
        <v>87</v>
      </c>
      <c r="J1277" s="6" t="s">
        <v>64</v>
      </c>
      <c r="K1277" s="6"/>
      <c r="N1277" s="6" t="s">
        <v>51</v>
      </c>
      <c r="O1277" s="6"/>
      <c r="P1277" s="6" t="s">
        <v>52</v>
      </c>
      <c r="Q1277" s="6"/>
      <c r="AA1277" s="6"/>
      <c r="AB1277" s="6" t="s">
        <v>67</v>
      </c>
      <c r="AC1277" s="6"/>
      <c r="AD1277" s="6" t="s">
        <v>57</v>
      </c>
      <c r="AE1277" s="6"/>
      <c r="AF1277" s="6" t="s">
        <v>68</v>
      </c>
      <c r="AG1277" s="6"/>
      <c r="AH1277" s="6" t="s">
        <v>57</v>
      </c>
      <c r="AJ1277" s="11" t="s">
        <v>57</v>
      </c>
    </row>
    <row r="1278" spans="1:36" ht="15.75" customHeight="1" x14ac:dyDescent="0.25">
      <c r="A1278" s="7">
        <v>43423.317766273147</v>
      </c>
      <c r="B1278" s="6" t="s">
        <v>30</v>
      </c>
      <c r="C1278" s="6" t="s">
        <v>45</v>
      </c>
      <c r="D1278" s="6" t="s">
        <v>46</v>
      </c>
      <c r="E1278" s="6" t="s">
        <v>81</v>
      </c>
      <c r="G1278" s="6" t="s">
        <v>87</v>
      </c>
      <c r="J1278" s="6" t="s">
        <v>50</v>
      </c>
      <c r="K1278" s="6"/>
      <c r="L1278" s="6" t="s">
        <v>2501</v>
      </c>
      <c r="M1278" s="6"/>
      <c r="N1278" s="6" t="s">
        <v>167</v>
      </c>
      <c r="O1278" s="6"/>
      <c r="P1278" s="6" t="s">
        <v>168</v>
      </c>
      <c r="Q1278" s="6"/>
      <c r="R1278" s="47" t="s">
        <v>3418</v>
      </c>
      <c r="S1278" s="14" t="s">
        <v>4527</v>
      </c>
      <c r="T1278" s="14" t="s">
        <v>4409</v>
      </c>
      <c r="U1278" s="14" t="s">
        <v>5826</v>
      </c>
      <c r="AA1278" s="6"/>
      <c r="AB1278" s="6" t="s">
        <v>67</v>
      </c>
      <c r="AC1278" s="6"/>
      <c r="AD1278" s="6" t="s">
        <v>56</v>
      </c>
      <c r="AE1278" s="6"/>
      <c r="AF1278" s="6" t="s">
        <v>161</v>
      </c>
      <c r="AG1278" s="6"/>
      <c r="AH1278" s="6" t="s">
        <v>76</v>
      </c>
      <c r="AI1278" s="6"/>
      <c r="AJ1278" s="6" t="s">
        <v>69</v>
      </c>
    </row>
    <row r="1279" spans="1:36" ht="15.75" customHeight="1" x14ac:dyDescent="0.25">
      <c r="A1279" s="7">
        <v>43423.321557546296</v>
      </c>
      <c r="B1279" s="6" t="s">
        <v>127</v>
      </c>
      <c r="C1279" s="6" t="s">
        <v>45</v>
      </c>
      <c r="D1279" s="6" t="s">
        <v>165</v>
      </c>
      <c r="E1279" s="6" t="s">
        <v>81</v>
      </c>
      <c r="G1279" s="6" t="s">
        <v>87</v>
      </c>
      <c r="H1279" s="6" t="s">
        <v>4119</v>
      </c>
      <c r="I1279" s="6"/>
      <c r="J1279" s="6" t="s">
        <v>92</v>
      </c>
      <c r="K1279" s="6"/>
      <c r="L1279" s="6" t="s">
        <v>2345</v>
      </c>
      <c r="M1279" s="6"/>
      <c r="N1279" s="6" t="s">
        <v>93</v>
      </c>
      <c r="O1279" s="6"/>
      <c r="P1279" s="6" t="s">
        <v>94</v>
      </c>
      <c r="Q1279" s="6"/>
      <c r="R1279" s="47" t="s">
        <v>182</v>
      </c>
      <c r="S1279" s="14" t="s">
        <v>5827</v>
      </c>
      <c r="T1279" s="14" t="s">
        <v>4389</v>
      </c>
      <c r="AA1279" s="6"/>
      <c r="AB1279" s="6" t="s">
        <v>67</v>
      </c>
      <c r="AC1279" s="6"/>
      <c r="AD1279" s="6" t="s">
        <v>56</v>
      </c>
      <c r="AE1279" s="6"/>
      <c r="AF1279" s="6" t="s">
        <v>75</v>
      </c>
      <c r="AG1279" s="6"/>
      <c r="AH1279" s="6" t="s">
        <v>126</v>
      </c>
      <c r="AI1279" s="6"/>
      <c r="AJ1279" s="6" t="s">
        <v>77</v>
      </c>
    </row>
    <row r="1280" spans="1:36" ht="15.75" customHeight="1" x14ac:dyDescent="0.25">
      <c r="A1280" s="7">
        <v>43423.386830625001</v>
      </c>
      <c r="B1280" s="6" t="s">
        <v>294</v>
      </c>
      <c r="C1280" s="6" t="s">
        <v>79</v>
      </c>
      <c r="D1280" s="6" t="s">
        <v>247</v>
      </c>
      <c r="E1280" s="6" t="s">
        <v>81</v>
      </c>
      <c r="G1280" s="6" t="s">
        <v>87</v>
      </c>
      <c r="J1280" s="6" t="s">
        <v>110</v>
      </c>
      <c r="K1280" s="6"/>
      <c r="L1280" s="6" t="s">
        <v>2496</v>
      </c>
      <c r="M1280" s="6"/>
      <c r="N1280" s="6" t="s">
        <v>212</v>
      </c>
      <c r="O1280" s="6"/>
      <c r="P1280" s="6" t="s">
        <v>94</v>
      </c>
      <c r="Q1280" s="6"/>
      <c r="R1280" s="47" t="s">
        <v>4121</v>
      </c>
      <c r="AA1280" s="6"/>
      <c r="AB1280" s="6" t="s">
        <v>55</v>
      </c>
      <c r="AC1280" s="6"/>
      <c r="AD1280" s="6" t="s">
        <v>56</v>
      </c>
      <c r="AE1280" s="6"/>
      <c r="AF1280" s="6" t="s">
        <v>75</v>
      </c>
      <c r="AG1280" s="6"/>
      <c r="AH1280" s="6" t="s">
        <v>76</v>
      </c>
      <c r="AI1280" s="6"/>
      <c r="AJ1280" s="6" t="s">
        <v>77</v>
      </c>
    </row>
    <row r="1281" spans="1:38" ht="15.75" customHeight="1" x14ac:dyDescent="0.25">
      <c r="A1281" s="7">
        <v>43423.397448645832</v>
      </c>
      <c r="B1281" s="6" t="s">
        <v>294</v>
      </c>
      <c r="C1281" s="6" t="s">
        <v>287</v>
      </c>
      <c r="D1281" s="6" t="s">
        <v>138</v>
      </c>
      <c r="E1281" s="6" t="s">
        <v>81</v>
      </c>
      <c r="G1281" s="6" t="s">
        <v>87</v>
      </c>
      <c r="H1281" s="6" t="s">
        <v>4123</v>
      </c>
      <c r="I1281" s="6"/>
      <c r="J1281" s="6" t="s">
        <v>50</v>
      </c>
      <c r="K1281" s="6"/>
      <c r="L1281" s="6" t="s">
        <v>3037</v>
      </c>
      <c r="M1281" s="6"/>
      <c r="N1281" s="6" t="s">
        <v>167</v>
      </c>
      <c r="O1281" s="6"/>
      <c r="P1281" s="6" t="s">
        <v>131</v>
      </c>
      <c r="Q1281" s="6"/>
      <c r="R1281" s="47" t="s">
        <v>4124</v>
      </c>
      <c r="AA1281" s="6"/>
      <c r="AB1281" s="6" t="s">
        <v>101</v>
      </c>
      <c r="AC1281" s="6"/>
      <c r="AD1281" s="6" t="s">
        <v>56</v>
      </c>
      <c r="AE1281" s="6"/>
      <c r="AF1281" s="6" t="s">
        <v>57</v>
      </c>
      <c r="AG1281" s="6"/>
      <c r="AH1281" s="6" t="s">
        <v>76</v>
      </c>
      <c r="AI1281" s="6"/>
      <c r="AJ1281" s="6" t="s">
        <v>391</v>
      </c>
    </row>
    <row r="1282" spans="1:38" ht="15.75" customHeight="1" x14ac:dyDescent="0.25">
      <c r="A1282" s="7">
        <v>43423.415534108797</v>
      </c>
      <c r="B1282" s="6" t="s">
        <v>127</v>
      </c>
      <c r="C1282" s="6" t="s">
        <v>128</v>
      </c>
      <c r="D1282" s="6" t="s">
        <v>261</v>
      </c>
      <c r="E1282" s="6" t="s">
        <v>81</v>
      </c>
      <c r="G1282" s="6" t="s">
        <v>87</v>
      </c>
      <c r="J1282" s="6" t="s">
        <v>106</v>
      </c>
      <c r="K1282" s="6"/>
      <c r="L1282" s="6" t="s">
        <v>2667</v>
      </c>
      <c r="M1282" s="6"/>
      <c r="N1282" s="6" t="s">
        <v>167</v>
      </c>
      <c r="O1282" s="6"/>
      <c r="P1282" s="6" t="s">
        <v>131</v>
      </c>
      <c r="Q1282" s="6"/>
      <c r="R1282" s="47" t="s">
        <v>5828</v>
      </c>
      <c r="S1282" s="14" t="s">
        <v>5829</v>
      </c>
      <c r="T1282" s="14" t="s">
        <v>5830</v>
      </c>
      <c r="AA1282" s="6"/>
      <c r="AB1282" s="6" t="s">
        <v>67</v>
      </c>
      <c r="AC1282" s="6"/>
      <c r="AD1282" s="6" t="s">
        <v>56</v>
      </c>
      <c r="AE1282" s="6"/>
      <c r="AF1282" s="6" t="s">
        <v>161</v>
      </c>
      <c r="AG1282" s="6"/>
      <c r="AH1282" s="6" t="s">
        <v>76</v>
      </c>
      <c r="AI1282" s="6"/>
      <c r="AJ1282" s="6" t="s">
        <v>312</v>
      </c>
    </row>
    <row r="1283" spans="1:38" ht="15.75" customHeight="1" x14ac:dyDescent="0.25">
      <c r="A1283" s="7">
        <v>43423.462437395836</v>
      </c>
      <c r="B1283" s="6" t="s">
        <v>30</v>
      </c>
      <c r="C1283" s="6" t="s">
        <v>128</v>
      </c>
      <c r="D1283" s="6" t="s">
        <v>165</v>
      </c>
      <c r="E1283" s="6" t="s">
        <v>81</v>
      </c>
      <c r="G1283" s="6" t="s">
        <v>87</v>
      </c>
      <c r="J1283" s="6" t="s">
        <v>73</v>
      </c>
      <c r="K1283" s="6"/>
      <c r="L1283" s="6" t="s">
        <v>2316</v>
      </c>
      <c r="M1283" s="6"/>
      <c r="N1283" s="6" t="s">
        <v>212</v>
      </c>
      <c r="O1283" s="6"/>
      <c r="P1283" s="6" t="s">
        <v>131</v>
      </c>
      <c r="Q1283" s="6"/>
      <c r="R1283" s="47" t="s">
        <v>3248</v>
      </c>
      <c r="S1283" s="14" t="s">
        <v>4393</v>
      </c>
      <c r="T1283" s="14" t="s">
        <v>5831</v>
      </c>
      <c r="AA1283" s="6"/>
      <c r="AB1283" s="6" t="s">
        <v>101</v>
      </c>
      <c r="AC1283" s="6"/>
      <c r="AD1283" s="6" t="s">
        <v>56</v>
      </c>
      <c r="AE1283" s="6"/>
      <c r="AF1283" s="6" t="s">
        <v>68</v>
      </c>
      <c r="AG1283" s="6"/>
      <c r="AH1283" s="6" t="s">
        <v>57</v>
      </c>
      <c r="AI1283" s="6"/>
      <c r="AJ1283" s="6" t="s">
        <v>115</v>
      </c>
    </row>
    <row r="1284" spans="1:38" ht="15.75" customHeight="1" x14ac:dyDescent="0.25">
      <c r="A1284" s="7">
        <v>43423.464881388893</v>
      </c>
      <c r="B1284" s="6" t="s">
        <v>30</v>
      </c>
      <c r="C1284" s="6" t="s">
        <v>116</v>
      </c>
      <c r="E1284" s="6" t="s">
        <v>81</v>
      </c>
      <c r="G1284" s="6" t="s">
        <v>48</v>
      </c>
      <c r="H1284" s="6" t="s">
        <v>4127</v>
      </c>
      <c r="I1284" s="6"/>
      <c r="J1284" s="6" t="s">
        <v>92</v>
      </c>
      <c r="K1284" s="6"/>
      <c r="L1284" s="6" t="s">
        <v>3039</v>
      </c>
      <c r="M1284" s="6"/>
      <c r="N1284" s="6" t="s">
        <v>212</v>
      </c>
      <c r="O1284" s="6"/>
      <c r="P1284" s="6" t="s">
        <v>131</v>
      </c>
      <c r="Q1284" s="6"/>
      <c r="R1284" s="47" t="s">
        <v>2513</v>
      </c>
      <c r="S1284" s="14" t="s">
        <v>5832</v>
      </c>
      <c r="T1284" s="14" t="s">
        <v>5833</v>
      </c>
      <c r="U1284" s="14" t="s">
        <v>5834</v>
      </c>
      <c r="V1284" s="14" t="s">
        <v>5167</v>
      </c>
      <c r="AA1284" s="6"/>
      <c r="AB1284" s="6" t="s">
        <v>67</v>
      </c>
      <c r="AC1284" s="6"/>
      <c r="AD1284" s="6" t="s">
        <v>56</v>
      </c>
      <c r="AE1284" s="6"/>
      <c r="AF1284" s="6" t="s">
        <v>68</v>
      </c>
      <c r="AG1284" s="6"/>
      <c r="AH1284" s="6" t="s">
        <v>126</v>
      </c>
      <c r="AI1284" s="6"/>
      <c r="AJ1284" s="11" t="s">
        <v>259</v>
      </c>
    </row>
    <row r="1285" spans="1:38" ht="15.75" customHeight="1" x14ac:dyDescent="0.25">
      <c r="A1285" s="7">
        <v>43423.471659606483</v>
      </c>
      <c r="B1285" s="6" t="s">
        <v>60</v>
      </c>
      <c r="C1285" s="6" t="s">
        <v>705</v>
      </c>
      <c r="D1285" s="6" t="s">
        <v>133</v>
      </c>
      <c r="E1285" s="6" t="s">
        <v>81</v>
      </c>
      <c r="G1285" s="6" t="s">
        <v>87</v>
      </c>
      <c r="H1285" s="6" t="s">
        <v>4129</v>
      </c>
      <c r="I1285" s="6"/>
      <c r="J1285" s="6" t="s">
        <v>92</v>
      </c>
      <c r="K1285" s="6"/>
      <c r="L1285" s="6" t="s">
        <v>3041</v>
      </c>
      <c r="M1285" s="6"/>
      <c r="N1285" s="6" t="s">
        <v>98</v>
      </c>
      <c r="O1285" s="6"/>
      <c r="P1285" s="6" t="s">
        <v>94</v>
      </c>
      <c r="Q1285" s="6"/>
      <c r="R1285" s="47" t="s">
        <v>5204</v>
      </c>
      <c r="S1285" s="14" t="s">
        <v>5835</v>
      </c>
      <c r="AA1285" s="6"/>
      <c r="AB1285" s="6" t="s">
        <v>101</v>
      </c>
      <c r="AC1285" s="6"/>
      <c r="AD1285" s="6" t="s">
        <v>56</v>
      </c>
      <c r="AE1285" s="6"/>
      <c r="AF1285" s="6" t="s">
        <v>161</v>
      </c>
      <c r="AG1285" s="6"/>
      <c r="AH1285" s="6" t="s">
        <v>57</v>
      </c>
      <c r="AI1285" s="6"/>
      <c r="AJ1285" s="6" t="s">
        <v>204</v>
      </c>
    </row>
    <row r="1286" spans="1:38" ht="15.75" customHeight="1" x14ac:dyDescent="0.25">
      <c r="A1286" s="7">
        <v>43423.485115208328</v>
      </c>
      <c r="B1286" s="6" t="s">
        <v>154</v>
      </c>
      <c r="C1286" s="6" t="s">
        <v>79</v>
      </c>
      <c r="D1286" s="6" t="s">
        <v>307</v>
      </c>
      <c r="E1286" s="6" t="s">
        <v>81</v>
      </c>
      <c r="G1286" s="6" t="s">
        <v>87</v>
      </c>
      <c r="H1286" s="6" t="s">
        <v>4131</v>
      </c>
      <c r="I1286" s="6"/>
      <c r="J1286" s="6" t="s">
        <v>110</v>
      </c>
      <c r="K1286" s="6"/>
      <c r="L1286" s="6" t="s">
        <v>2503</v>
      </c>
      <c r="M1286" s="6"/>
      <c r="N1286" s="6" t="s">
        <v>248</v>
      </c>
      <c r="O1286" s="6"/>
      <c r="P1286" s="6" t="s">
        <v>168</v>
      </c>
      <c r="Q1286" s="6"/>
      <c r="R1286" s="47" t="s">
        <v>2905</v>
      </c>
      <c r="AA1286" s="6"/>
      <c r="AB1286" s="6" t="s">
        <v>101</v>
      </c>
      <c r="AC1286" s="6"/>
      <c r="AD1286" s="6" t="s">
        <v>56</v>
      </c>
      <c r="AE1286" s="6"/>
      <c r="AF1286" s="6" t="s">
        <v>161</v>
      </c>
      <c r="AG1286" s="6"/>
      <c r="AH1286" s="6" t="s">
        <v>76</v>
      </c>
      <c r="AI1286" s="6"/>
      <c r="AJ1286" s="6" t="s">
        <v>59</v>
      </c>
    </row>
    <row r="1287" spans="1:38" ht="15.75" customHeight="1" x14ac:dyDescent="0.25">
      <c r="A1287" s="7">
        <v>43423.48641636574</v>
      </c>
      <c r="B1287" s="6" t="s">
        <v>543</v>
      </c>
      <c r="C1287" s="6" t="s">
        <v>79</v>
      </c>
      <c r="D1287" s="6" t="s">
        <v>163</v>
      </c>
      <c r="E1287" s="6" t="s">
        <v>81</v>
      </c>
      <c r="J1287" s="6" t="s">
        <v>92</v>
      </c>
      <c r="K1287" s="6"/>
      <c r="N1287" s="6" t="s">
        <v>112</v>
      </c>
      <c r="O1287" s="6"/>
      <c r="P1287" s="6" t="s">
        <v>52</v>
      </c>
      <c r="Q1287" s="6"/>
      <c r="AA1287" s="6"/>
      <c r="AB1287" s="6" t="s">
        <v>55</v>
      </c>
      <c r="AC1287" s="6"/>
      <c r="AD1287" s="6" t="s">
        <v>56</v>
      </c>
      <c r="AE1287" s="6"/>
      <c r="AF1287" s="6" t="s">
        <v>68</v>
      </c>
      <c r="AG1287" s="6"/>
      <c r="AH1287" s="6" t="s">
        <v>58</v>
      </c>
      <c r="AI1287" s="6"/>
      <c r="AJ1287" s="6" t="s">
        <v>244</v>
      </c>
    </row>
    <row r="1288" spans="1:38" ht="15.75" customHeight="1" x14ac:dyDescent="0.25">
      <c r="A1288" s="7">
        <v>43423.50071349537</v>
      </c>
      <c r="B1288" s="6" t="s">
        <v>103</v>
      </c>
      <c r="C1288" s="6" t="s">
        <v>128</v>
      </c>
      <c r="D1288" s="6" t="s">
        <v>91</v>
      </c>
      <c r="E1288" s="6" t="s">
        <v>81</v>
      </c>
      <c r="G1288" s="6" t="s">
        <v>87</v>
      </c>
      <c r="H1288" s="6" t="s">
        <v>4132</v>
      </c>
      <c r="I1288" s="6"/>
      <c r="J1288" s="6" t="s">
        <v>73</v>
      </c>
      <c r="K1288" s="6"/>
      <c r="L1288" s="6" t="s">
        <v>3042</v>
      </c>
      <c r="M1288" s="6"/>
      <c r="N1288" s="6" t="s">
        <v>93</v>
      </c>
      <c r="O1288" s="6"/>
      <c r="P1288" s="6" t="s">
        <v>131</v>
      </c>
      <c r="Q1288" s="6"/>
      <c r="R1288" s="47" t="s">
        <v>5836</v>
      </c>
      <c r="S1288" s="14" t="s">
        <v>5837</v>
      </c>
      <c r="T1288" s="14" t="s">
        <v>5838</v>
      </c>
      <c r="AA1288" s="6"/>
      <c r="AB1288" s="6" t="s">
        <v>67</v>
      </c>
      <c r="AC1288" s="6"/>
      <c r="AD1288" s="6" t="s">
        <v>56</v>
      </c>
      <c r="AE1288" s="6"/>
      <c r="AF1288" s="6" t="s">
        <v>75</v>
      </c>
      <c r="AG1288" s="6"/>
      <c r="AH1288" s="6" t="s">
        <v>76</v>
      </c>
      <c r="AI1288" s="6"/>
      <c r="AJ1288" s="11" t="s">
        <v>132</v>
      </c>
    </row>
    <row r="1289" spans="1:38" ht="15.75" customHeight="1" x14ac:dyDescent="0.25">
      <c r="A1289" s="7">
        <v>43423.502088101857</v>
      </c>
      <c r="B1289" s="6" t="s">
        <v>30</v>
      </c>
      <c r="C1289" s="6" t="s">
        <v>116</v>
      </c>
      <c r="E1289" s="6" t="s">
        <v>48</v>
      </c>
      <c r="F1289" s="6" t="s">
        <v>4134</v>
      </c>
      <c r="G1289" s="6" t="s">
        <v>48</v>
      </c>
      <c r="H1289" s="6" t="s">
        <v>4135</v>
      </c>
      <c r="I1289" s="6"/>
      <c r="J1289" s="6" t="s">
        <v>73</v>
      </c>
      <c r="K1289" s="6"/>
      <c r="L1289" s="6" t="s">
        <v>1763</v>
      </c>
      <c r="M1289" s="6"/>
      <c r="N1289" s="6" t="s">
        <v>181</v>
      </c>
      <c r="O1289" s="6"/>
      <c r="P1289" s="6" t="s">
        <v>131</v>
      </c>
      <c r="Q1289" s="6"/>
      <c r="AB1289" s="6" t="s">
        <v>101</v>
      </c>
      <c r="AD1289" s="6" t="s">
        <v>56</v>
      </c>
      <c r="AE1289" s="6"/>
      <c r="AF1289" s="6" t="s">
        <v>205</v>
      </c>
      <c r="AG1289" s="6"/>
      <c r="AH1289" s="6" t="s">
        <v>57</v>
      </c>
      <c r="AI1289" s="6"/>
      <c r="AJ1289" s="11" t="s">
        <v>77</v>
      </c>
    </row>
    <row r="1290" spans="1:38" ht="15.75" customHeight="1" x14ac:dyDescent="0.25">
      <c r="A1290" s="7">
        <v>43423.502348622686</v>
      </c>
      <c r="B1290" s="6" t="s">
        <v>397</v>
      </c>
      <c r="C1290" s="6" t="s">
        <v>79</v>
      </c>
      <c r="D1290" s="6" t="s">
        <v>138</v>
      </c>
      <c r="E1290" s="6" t="s">
        <v>81</v>
      </c>
      <c r="G1290" s="6" t="s">
        <v>87</v>
      </c>
      <c r="J1290" s="6" t="s">
        <v>92</v>
      </c>
      <c r="K1290" s="6"/>
      <c r="N1290" s="6" t="s">
        <v>212</v>
      </c>
      <c r="O1290" s="6"/>
      <c r="P1290" s="6" t="s">
        <v>131</v>
      </c>
      <c r="Q1290" s="6"/>
      <c r="AA1290" s="6"/>
      <c r="AB1290" s="6" t="s">
        <v>67</v>
      </c>
      <c r="AC1290" s="6"/>
      <c r="AD1290" s="6" t="s">
        <v>57</v>
      </c>
      <c r="AE1290" s="6"/>
      <c r="AF1290" s="6" t="s">
        <v>75</v>
      </c>
      <c r="AG1290" s="6"/>
      <c r="AH1290" s="6" t="s">
        <v>57</v>
      </c>
      <c r="AJ1290" s="11" t="s">
        <v>57</v>
      </c>
    </row>
    <row r="1291" spans="1:38" ht="15.75" customHeight="1" x14ac:dyDescent="0.25">
      <c r="A1291" s="7">
        <v>43423.517755879628</v>
      </c>
      <c r="B1291" s="6" t="s">
        <v>28</v>
      </c>
      <c r="C1291" s="6" t="s">
        <v>45</v>
      </c>
      <c r="D1291" s="6" t="s">
        <v>91</v>
      </c>
      <c r="E1291" s="6" t="s">
        <v>81</v>
      </c>
      <c r="G1291" s="6" t="s">
        <v>87</v>
      </c>
      <c r="J1291" s="6" t="s">
        <v>89</v>
      </c>
      <c r="K1291" s="6"/>
      <c r="L1291" s="6" t="s">
        <v>3043</v>
      </c>
      <c r="M1291" s="6"/>
      <c r="N1291" s="6" t="s">
        <v>112</v>
      </c>
      <c r="O1291" s="6"/>
      <c r="P1291" s="6" t="s">
        <v>52</v>
      </c>
      <c r="Q1291" s="6"/>
      <c r="AA1291" s="6"/>
      <c r="AB1291" s="6" t="s">
        <v>203</v>
      </c>
      <c r="AC1291" s="6"/>
      <c r="AD1291" s="6" t="s">
        <v>56</v>
      </c>
      <c r="AE1291" s="6"/>
      <c r="AF1291" s="6" t="s">
        <v>205</v>
      </c>
      <c r="AG1291" s="6"/>
      <c r="AH1291" s="6" t="s">
        <v>126</v>
      </c>
      <c r="AI1291" s="6"/>
      <c r="AJ1291" s="6" t="s">
        <v>187</v>
      </c>
    </row>
    <row r="1292" spans="1:38" ht="15.75" customHeight="1" x14ac:dyDescent="0.25">
      <c r="A1292" s="7">
        <v>43423.524424768519</v>
      </c>
      <c r="C1292" s="6" t="s">
        <v>482</v>
      </c>
      <c r="E1292" s="6" t="s">
        <v>48</v>
      </c>
      <c r="G1292" s="6" t="s">
        <v>81</v>
      </c>
      <c r="N1292" s="6" t="s">
        <v>51</v>
      </c>
      <c r="O1292" s="6"/>
      <c r="P1292" s="6" t="s">
        <v>52</v>
      </c>
      <c r="Q1292" s="6"/>
      <c r="AA1292" s="6"/>
      <c r="AC1292" s="6"/>
      <c r="AD1292" s="6" t="s">
        <v>57</v>
      </c>
      <c r="AE1292" s="6"/>
      <c r="AF1292" s="6" t="s">
        <v>205</v>
      </c>
      <c r="AG1292" s="6"/>
      <c r="AH1292" s="6" t="s">
        <v>58</v>
      </c>
      <c r="AJ1292" s="11" t="s">
        <v>57</v>
      </c>
    </row>
    <row r="1293" spans="1:38" ht="15.75" customHeight="1" x14ac:dyDescent="0.25">
      <c r="A1293" s="7">
        <v>43423.526158518522</v>
      </c>
      <c r="B1293" s="6" t="s">
        <v>463</v>
      </c>
      <c r="C1293" s="6" t="s">
        <v>482</v>
      </c>
      <c r="D1293" s="6" t="s">
        <v>190</v>
      </c>
      <c r="E1293" s="6" t="s">
        <v>48</v>
      </c>
      <c r="G1293" s="6" t="s">
        <v>48</v>
      </c>
      <c r="H1293" s="6" t="s">
        <v>4137</v>
      </c>
      <c r="I1293" s="6"/>
      <c r="J1293" s="6" t="s">
        <v>92</v>
      </c>
      <c r="K1293" s="6"/>
      <c r="L1293" s="6" t="s">
        <v>2308</v>
      </c>
      <c r="M1293" s="6"/>
      <c r="N1293" s="6" t="s">
        <v>212</v>
      </c>
      <c r="O1293" s="6"/>
      <c r="P1293" s="6" t="s">
        <v>131</v>
      </c>
      <c r="Q1293" s="6"/>
      <c r="R1293" s="47" t="s">
        <v>1261</v>
      </c>
      <c r="S1293" s="14" t="s">
        <v>5839</v>
      </c>
      <c r="T1293" s="14" t="s">
        <v>5840</v>
      </c>
      <c r="U1293" s="14" t="s">
        <v>5841</v>
      </c>
      <c r="AA1293" s="6"/>
      <c r="AB1293" s="6" t="s">
        <v>203</v>
      </c>
      <c r="AC1293" s="6"/>
      <c r="AD1293" s="6" t="s">
        <v>56</v>
      </c>
      <c r="AE1293" s="6"/>
      <c r="AF1293" s="6" t="s">
        <v>75</v>
      </c>
      <c r="AG1293" s="6"/>
      <c r="AH1293" s="6" t="s">
        <v>126</v>
      </c>
      <c r="AI1293" s="6"/>
      <c r="AJ1293" s="11" t="s">
        <v>132</v>
      </c>
    </row>
    <row r="1294" spans="1:38" ht="15.75" customHeight="1" x14ac:dyDescent="0.25">
      <c r="B1294" s="1"/>
      <c r="D1294" s="1"/>
      <c r="E1294" s="1"/>
      <c r="G1294" s="1"/>
      <c r="J1294" s="1"/>
      <c r="K1294" s="1"/>
      <c r="N1294" s="1"/>
      <c r="O1294" s="1"/>
      <c r="P1294" s="1"/>
      <c r="Q1294" s="1"/>
      <c r="R1294" s="46"/>
      <c r="AB1294" s="1"/>
      <c r="AC1294" s="1"/>
      <c r="AD1294" s="1"/>
      <c r="AF1294" s="1"/>
      <c r="AH1294" s="1"/>
      <c r="AJ1294" s="1"/>
      <c r="AK1294" s="29"/>
      <c r="AL1294" s="29"/>
    </row>
    <row r="1295" spans="1:38" ht="15.75" customHeight="1" x14ac:dyDescent="0.25">
      <c r="AD1295" s="30"/>
    </row>
    <row r="1296" spans="1:38" ht="15.75" customHeight="1" x14ac:dyDescent="0.25">
      <c r="K1296" s="31"/>
      <c r="O1296" s="31"/>
      <c r="AA1296" s="31"/>
      <c r="AC1296" s="31"/>
      <c r="AE1296" s="32"/>
      <c r="AI1296" s="31"/>
      <c r="AK1296" s="31"/>
    </row>
    <row r="1297" spans="1:37" ht="15.75" customHeight="1" x14ac:dyDescent="0.25">
      <c r="K1297" s="31"/>
      <c r="O1297" s="31"/>
      <c r="Q1297" s="31"/>
      <c r="AA1297" s="31"/>
      <c r="AE1297" s="31"/>
      <c r="AG1297" s="33"/>
      <c r="AI1297" s="31"/>
      <c r="AK1297" s="31"/>
    </row>
    <row r="1298" spans="1:37" ht="15.75" customHeight="1" x14ac:dyDescent="0.25">
      <c r="K1298" s="31"/>
      <c r="O1298" s="31"/>
      <c r="Q1298" s="31"/>
      <c r="AA1298" s="31"/>
      <c r="AC1298" s="31"/>
      <c r="AI1298" s="31"/>
    </row>
    <row r="1299" spans="1:37" ht="15.75" customHeight="1" x14ac:dyDescent="0.25">
      <c r="K1299" s="31"/>
      <c r="O1299" s="31"/>
      <c r="Q1299" s="31"/>
      <c r="AA1299" s="31"/>
      <c r="AI1299" s="31"/>
      <c r="AK1299" s="31"/>
    </row>
    <row r="1300" spans="1:37" ht="15.75" customHeight="1" x14ac:dyDescent="0.25">
      <c r="K1300" s="31"/>
      <c r="O1300" s="31"/>
      <c r="Q1300" s="31"/>
      <c r="AA1300" s="31"/>
      <c r="AC1300" s="31"/>
      <c r="AI1300" s="31"/>
    </row>
    <row r="1301" spans="1:37" ht="15.75" customHeight="1" x14ac:dyDescent="0.25">
      <c r="K1301" s="31"/>
      <c r="O1301" s="31"/>
      <c r="AC1301" s="31"/>
      <c r="AI1301" s="31"/>
    </row>
    <row r="1302" spans="1:37" ht="15.75" customHeight="1" x14ac:dyDescent="0.25">
      <c r="K1302" s="31"/>
      <c r="O1302" s="31"/>
      <c r="AC1302" s="31"/>
      <c r="AI1302" s="31"/>
    </row>
    <row r="1303" spans="1:37" ht="15.75" customHeight="1" x14ac:dyDescent="0.25">
      <c r="K1303" s="31"/>
      <c r="O1303" s="31"/>
      <c r="AI1303" s="31"/>
    </row>
    <row r="1304" spans="1:37" ht="15.75" customHeight="1" x14ac:dyDescent="0.25">
      <c r="A1304" s="6"/>
      <c r="AI1304" s="31"/>
    </row>
    <row r="1305" spans="1:37" ht="15.75" customHeight="1" x14ac:dyDescent="0.25">
      <c r="A1305" s="6"/>
      <c r="R1305" s="46"/>
      <c r="AB1305" s="4"/>
      <c r="AD1305" s="4"/>
      <c r="AF1305" s="4"/>
      <c r="AH1305" s="4"/>
    </row>
    <row r="1306" spans="1:37" ht="15.75" customHeight="1" x14ac:dyDescent="0.25">
      <c r="A1306" s="6"/>
      <c r="AK1306" s="31"/>
    </row>
    <row r="1307" spans="1:37" ht="15.75" customHeight="1" x14ac:dyDescent="0.25">
      <c r="A1307" s="6"/>
      <c r="B1307" s="4"/>
      <c r="AK1307" s="31"/>
    </row>
    <row r="1308" spans="1:37" ht="15.75" customHeight="1" x14ac:dyDescent="0.25">
      <c r="A1308" s="6"/>
      <c r="AK1308" s="31"/>
    </row>
    <row r="1309" spans="1:37" ht="15.75" customHeight="1" x14ac:dyDescent="0.25"/>
    <row r="1310" spans="1:37" ht="15.75" customHeight="1" x14ac:dyDescent="0.25"/>
    <row r="1311" spans="1:37" ht="15.75" customHeight="1" x14ac:dyDescent="0.25"/>
    <row r="1312" spans="1:37" ht="15.75" customHeight="1" x14ac:dyDescent="0.25"/>
    <row r="1313" spans="35:37" ht="15.75" customHeight="1" x14ac:dyDescent="0.25">
      <c r="AI1313" s="31"/>
      <c r="AK1313" s="31"/>
    </row>
    <row r="1314" spans="35:37" ht="15.75" customHeight="1" x14ac:dyDescent="0.25">
      <c r="AI1314" s="31"/>
      <c r="AK1314" s="31"/>
    </row>
    <row r="1315" spans="35:37" ht="15.75" customHeight="1" x14ac:dyDescent="0.25">
      <c r="AI1315" s="31"/>
    </row>
    <row r="1316" spans="35:37" ht="15.75" customHeight="1" x14ac:dyDescent="0.25">
      <c r="AI1316" s="31"/>
    </row>
    <row r="1317" spans="35:37" ht="15.75" customHeight="1" x14ac:dyDescent="0.25">
      <c r="AI1317" s="31"/>
      <c r="AK1317" s="31"/>
    </row>
    <row r="1318" spans="35:37" ht="15.75" customHeight="1" x14ac:dyDescent="0.25">
      <c r="AI1318" s="31"/>
    </row>
    <row r="1319" spans="35:37" ht="15.75" customHeight="1" x14ac:dyDescent="0.25">
      <c r="AI1319" s="31"/>
    </row>
    <row r="1320" spans="35:37" ht="15.75" customHeight="1" x14ac:dyDescent="0.25">
      <c r="AI1320" s="31"/>
    </row>
    <row r="1321" spans="35:37" ht="15.75" customHeight="1" x14ac:dyDescent="0.25">
      <c r="AI1321" s="31"/>
      <c r="AK1321" s="31"/>
    </row>
    <row r="1322" spans="35:37" ht="15.75" customHeight="1" x14ac:dyDescent="0.25">
      <c r="AI1322" s="31"/>
      <c r="AK1322" s="31"/>
    </row>
    <row r="1323" spans="35:37" ht="15.75" customHeight="1" x14ac:dyDescent="0.25">
      <c r="AI1323" s="31"/>
    </row>
    <row r="1324" spans="35:37" ht="15.75" customHeight="1" x14ac:dyDescent="0.25">
      <c r="AI1324" s="31"/>
    </row>
    <row r="1325" spans="35:37" ht="15.75" customHeight="1" x14ac:dyDescent="0.25">
      <c r="AI1325" s="31"/>
      <c r="AK1325" s="31"/>
    </row>
    <row r="1326" spans="35:37" ht="15.75" customHeight="1" x14ac:dyDescent="0.25">
      <c r="AI1326" s="31"/>
      <c r="AK1326" s="31"/>
    </row>
    <row r="1327" spans="35:37" ht="15.75" customHeight="1" x14ac:dyDescent="0.25">
      <c r="AI1327" s="31"/>
      <c r="AK1327" s="31"/>
    </row>
    <row r="1328" spans="35:37" ht="15.75" customHeight="1" x14ac:dyDescent="0.25">
      <c r="AI1328" s="31"/>
      <c r="AK1328" s="31"/>
    </row>
    <row r="1329" spans="35:37" ht="15.75" customHeight="1" x14ac:dyDescent="0.25">
      <c r="AI1329" s="31"/>
      <c r="AK1329" s="31"/>
    </row>
    <row r="1330" spans="35:37" ht="15.75" customHeight="1" x14ac:dyDescent="0.25">
      <c r="AI1330" s="31"/>
    </row>
    <row r="1331" spans="35:37" ht="15.75" customHeight="1" x14ac:dyDescent="0.25">
      <c r="AI1331" s="31"/>
      <c r="AK1331" s="31"/>
    </row>
    <row r="1332" spans="35:37" ht="15.75" customHeight="1" x14ac:dyDescent="0.25">
      <c r="AI1332" s="31"/>
      <c r="AK1332" s="31"/>
    </row>
    <row r="1333" spans="35:37" ht="15.75" customHeight="1" x14ac:dyDescent="0.25">
      <c r="AI1333" s="31"/>
      <c r="AK1333" s="31"/>
    </row>
    <row r="1334" spans="35:37" ht="15.75" customHeight="1" x14ac:dyDescent="0.25">
      <c r="AI1334" s="31"/>
      <c r="AK1334" s="31"/>
    </row>
    <row r="1335" spans="35:37" ht="15.75" customHeight="1" x14ac:dyDescent="0.25">
      <c r="AI1335" s="31"/>
      <c r="AK1335" s="31"/>
    </row>
    <row r="1336" spans="35:37" ht="15.75" customHeight="1" x14ac:dyDescent="0.25">
      <c r="AI1336" s="31"/>
      <c r="AK1336" s="31"/>
    </row>
    <row r="1337" spans="35:37" ht="15.75" customHeight="1" x14ac:dyDescent="0.25">
      <c r="AI1337" s="31"/>
      <c r="AK1337" s="31"/>
    </row>
    <row r="1338" spans="35:37" ht="15.75" customHeight="1" x14ac:dyDescent="0.25">
      <c r="AK1338" s="31"/>
    </row>
    <row r="1339" spans="35:37" ht="15.75" customHeight="1" x14ac:dyDescent="0.25">
      <c r="AI1339" s="31"/>
    </row>
    <row r="1340" spans="35:37" ht="15.75" customHeight="1" x14ac:dyDescent="0.25">
      <c r="AI1340" s="31"/>
      <c r="AK1340" s="31"/>
    </row>
    <row r="1341" spans="35:37" ht="15.75" customHeight="1" x14ac:dyDescent="0.25">
      <c r="AI1341" s="31"/>
      <c r="AK1341" s="31"/>
    </row>
    <row r="1342" spans="35:37" ht="15.75" customHeight="1" x14ac:dyDescent="0.25">
      <c r="AK1342" s="31"/>
    </row>
    <row r="1343" spans="35:37" ht="15.75" customHeight="1" x14ac:dyDescent="0.25">
      <c r="AI1343" s="31"/>
      <c r="AK1343" s="31"/>
    </row>
    <row r="1344" spans="35:37" ht="15.75" customHeight="1" x14ac:dyDescent="0.25">
      <c r="AI1344" s="31"/>
      <c r="AK1344" s="31"/>
    </row>
    <row r="1345" spans="35:37" ht="15.75" customHeight="1" x14ac:dyDescent="0.25">
      <c r="AI1345" s="31"/>
      <c r="AK1345" s="31"/>
    </row>
    <row r="1346" spans="35:37" ht="15.75" customHeight="1" x14ac:dyDescent="0.25">
      <c r="AI1346" s="31"/>
      <c r="AK1346" s="31"/>
    </row>
    <row r="1347" spans="35:37" ht="15.75" customHeight="1" x14ac:dyDescent="0.25">
      <c r="AI1347" s="31"/>
      <c r="AK1347" s="31"/>
    </row>
    <row r="1348" spans="35:37" ht="15.75" customHeight="1" x14ac:dyDescent="0.25">
      <c r="AI1348" s="31"/>
      <c r="AK1348" s="31"/>
    </row>
    <row r="1349" spans="35:37" ht="15.75" customHeight="1" x14ac:dyDescent="0.25">
      <c r="AI1349" s="31"/>
      <c r="AK1349" s="31"/>
    </row>
    <row r="1350" spans="35:37" ht="15.75" customHeight="1" x14ac:dyDescent="0.25">
      <c r="AI1350" s="31"/>
      <c r="AK1350" s="31"/>
    </row>
    <row r="1351" spans="35:37" ht="15.75" customHeight="1" x14ac:dyDescent="0.25">
      <c r="AI1351" s="31"/>
      <c r="AK1351" s="31"/>
    </row>
    <row r="1352" spans="35:37" ht="15.75" customHeight="1" x14ac:dyDescent="0.25">
      <c r="AI1352" s="31"/>
      <c r="AK1352" s="31"/>
    </row>
    <row r="1353" spans="35:37" ht="15.75" customHeight="1" x14ac:dyDescent="0.25">
      <c r="AI1353" s="31"/>
      <c r="AK1353" s="31"/>
    </row>
    <row r="1354" spans="35:37" ht="15.75" customHeight="1" x14ac:dyDescent="0.25">
      <c r="AI1354" s="31"/>
      <c r="AK1354" s="31"/>
    </row>
    <row r="1355" spans="35:37" ht="15.75" customHeight="1" x14ac:dyDescent="0.25">
      <c r="AI1355" s="31"/>
      <c r="AK1355" s="31"/>
    </row>
    <row r="1356" spans="35:37" ht="15.75" customHeight="1" x14ac:dyDescent="0.25">
      <c r="AI1356" s="31"/>
    </row>
    <row r="1357" spans="35:37" ht="15.75" customHeight="1" x14ac:dyDescent="0.25">
      <c r="AI1357" s="31"/>
    </row>
    <row r="1358" spans="35:37" ht="15.75" customHeight="1" x14ac:dyDescent="0.25">
      <c r="AI1358" s="31"/>
      <c r="AK1358" s="31"/>
    </row>
    <row r="1359" spans="35:37" ht="15.75" customHeight="1" x14ac:dyDescent="0.25">
      <c r="AI1359" s="31"/>
      <c r="AK1359" s="31"/>
    </row>
    <row r="1360" spans="35:37" ht="15.75" customHeight="1" x14ac:dyDescent="0.25">
      <c r="AI1360" s="31"/>
      <c r="AK1360" s="31"/>
    </row>
    <row r="1361" spans="35:37" ht="15.75" customHeight="1" x14ac:dyDescent="0.25">
      <c r="AI1361" s="31"/>
      <c r="AK1361" s="31"/>
    </row>
    <row r="1362" spans="35:37" ht="15.75" customHeight="1" x14ac:dyDescent="0.25">
      <c r="AI1362" s="31"/>
      <c r="AK1362" s="31"/>
    </row>
    <row r="1363" spans="35:37" ht="15.75" customHeight="1" x14ac:dyDescent="0.25">
      <c r="AI1363" s="31"/>
      <c r="AK1363" s="31"/>
    </row>
    <row r="1364" spans="35:37" ht="15.75" customHeight="1" x14ac:dyDescent="0.25">
      <c r="AI1364" s="31"/>
      <c r="AK1364" s="31"/>
    </row>
    <row r="1365" spans="35:37" ht="15.75" customHeight="1" x14ac:dyDescent="0.25"/>
    <row r="1366" spans="35:37" ht="15.75" customHeight="1" x14ac:dyDescent="0.25">
      <c r="AK1366" s="31"/>
    </row>
    <row r="1367" spans="35:37" ht="15.75" customHeight="1" x14ac:dyDescent="0.25">
      <c r="AK1367" s="31"/>
    </row>
    <row r="1368" spans="35:37" ht="15.75" customHeight="1" x14ac:dyDescent="0.25">
      <c r="AK1368" s="31"/>
    </row>
    <row r="1369" spans="35:37" ht="15.75" customHeight="1" x14ac:dyDescent="0.25">
      <c r="AK1369" s="31"/>
    </row>
    <row r="1370" spans="35:37" ht="15.75" customHeight="1" x14ac:dyDescent="0.25">
      <c r="AK1370" s="31"/>
    </row>
    <row r="1371" spans="35:37" ht="15.75" customHeight="1" x14ac:dyDescent="0.25">
      <c r="AK1371" s="31"/>
    </row>
    <row r="1372" spans="35:37" ht="15.75" customHeight="1" x14ac:dyDescent="0.25">
      <c r="AK1372" s="31"/>
    </row>
    <row r="1373" spans="35:37" ht="15.75" customHeight="1" x14ac:dyDescent="0.25">
      <c r="AK1373" s="31"/>
    </row>
    <row r="1374" spans="35:37" ht="15.75" customHeight="1" x14ac:dyDescent="0.25">
      <c r="AK1374" s="31"/>
    </row>
    <row r="1375" spans="35:37" ht="15.75" customHeight="1" x14ac:dyDescent="0.25">
      <c r="AK1375" s="31"/>
    </row>
    <row r="1376" spans="35:37" ht="15.75" customHeight="1" x14ac:dyDescent="0.25">
      <c r="AK1376" s="31"/>
    </row>
    <row r="1377" spans="37:37" ht="15.75" customHeight="1" x14ac:dyDescent="0.25">
      <c r="AK1377" s="31"/>
    </row>
    <row r="1378" spans="37:37" ht="15.75" customHeight="1" x14ac:dyDescent="0.25">
      <c r="AK1378" s="31"/>
    </row>
    <row r="1379" spans="37:37" ht="15.75" customHeight="1" x14ac:dyDescent="0.25">
      <c r="AK1379" s="31"/>
    </row>
    <row r="1380" spans="37:37" ht="15.75" customHeight="1" x14ac:dyDescent="0.25">
      <c r="AK1380" s="31"/>
    </row>
    <row r="1381" spans="37:37" ht="15.75" customHeight="1" x14ac:dyDescent="0.25"/>
    <row r="1382" spans="37:37" ht="15.75" customHeight="1" x14ac:dyDescent="0.25">
      <c r="AK1382" s="31"/>
    </row>
    <row r="1383" spans="37:37" ht="15.75" customHeight="1" x14ac:dyDescent="0.25">
      <c r="AK1383" s="31"/>
    </row>
    <row r="1384" spans="37:37" ht="15.75" customHeight="1" x14ac:dyDescent="0.25">
      <c r="AK1384" s="31"/>
    </row>
    <row r="1385" spans="37:37" ht="15.75" customHeight="1" x14ac:dyDescent="0.25">
      <c r="AK1385" s="31"/>
    </row>
    <row r="1386" spans="37:37" ht="15.75" customHeight="1" x14ac:dyDescent="0.25">
      <c r="AK1386" s="31"/>
    </row>
    <row r="1387" spans="37:37" ht="15.75" customHeight="1" x14ac:dyDescent="0.25">
      <c r="AK1387" s="31"/>
    </row>
    <row r="1388" spans="37:37" ht="15.75" customHeight="1" x14ac:dyDescent="0.25">
      <c r="AK1388" s="31"/>
    </row>
    <row r="1389" spans="37:37" ht="15.75" customHeight="1" x14ac:dyDescent="0.25">
      <c r="AK1389" s="31"/>
    </row>
    <row r="1390" spans="37:37" ht="15.75" customHeight="1" x14ac:dyDescent="0.25">
      <c r="AK1390" s="31"/>
    </row>
    <row r="1391" spans="37:37" ht="15.75" customHeight="1" x14ac:dyDescent="0.25">
      <c r="AK1391" s="31"/>
    </row>
    <row r="1392" spans="37:37" ht="15.75" customHeight="1" x14ac:dyDescent="0.25">
      <c r="AK1392" s="31"/>
    </row>
    <row r="1393" spans="37:38" ht="15.75" customHeight="1" x14ac:dyDescent="0.25">
      <c r="AK1393" s="31"/>
    </row>
    <row r="1394" spans="37:38" ht="15.75" customHeight="1" x14ac:dyDescent="0.25">
      <c r="AK1394" s="31"/>
      <c r="AL1394" s="31"/>
    </row>
    <row r="1395" spans="37:38" ht="15.75" customHeight="1" x14ac:dyDescent="0.25">
      <c r="AK1395" s="31"/>
      <c r="AL1395" s="31"/>
    </row>
    <row r="1396" spans="37:38" ht="15.75" customHeight="1" x14ac:dyDescent="0.25"/>
    <row r="1397" spans="37:38" ht="15.75" customHeight="1" x14ac:dyDescent="0.25">
      <c r="AK1397" s="31"/>
      <c r="AL1397" s="31"/>
    </row>
    <row r="1398" spans="37:38" ht="15.75" customHeight="1" x14ac:dyDescent="0.25">
      <c r="AK1398" s="31"/>
      <c r="AL1398" s="31"/>
    </row>
    <row r="1399" spans="37:38" ht="15.75" customHeight="1" x14ac:dyDescent="0.25">
      <c r="AK1399" s="31"/>
      <c r="AL1399" s="31"/>
    </row>
    <row r="1400" spans="37:38" ht="15.75" customHeight="1" x14ac:dyDescent="0.25">
      <c r="AK1400" s="31"/>
      <c r="AL1400" s="31"/>
    </row>
    <row r="1401" spans="37:38" ht="15.75" customHeight="1" x14ac:dyDescent="0.25">
      <c r="AK1401" s="31"/>
      <c r="AL1401" s="31"/>
    </row>
    <row r="1402" spans="37:38" ht="15.75" customHeight="1" x14ac:dyDescent="0.25">
      <c r="AK1402" s="31"/>
      <c r="AL1402" s="31"/>
    </row>
    <row r="1403" spans="37:38" ht="15.75" customHeight="1" x14ac:dyDescent="0.25">
      <c r="AK1403" s="31"/>
      <c r="AL1403" s="31"/>
    </row>
    <row r="1404" spans="37:38" ht="15.75" customHeight="1" x14ac:dyDescent="0.25">
      <c r="AK1404" s="31"/>
      <c r="AL1404" s="31"/>
    </row>
    <row r="1405" spans="37:38" ht="15.75" customHeight="1" x14ac:dyDescent="0.25">
      <c r="AK1405" s="31"/>
      <c r="AL1405" s="31"/>
    </row>
    <row r="1406" spans="37:38" ht="15.75" customHeight="1" x14ac:dyDescent="0.25">
      <c r="AK1406" s="31"/>
      <c r="AL1406" s="31"/>
    </row>
    <row r="1407" spans="37:38" ht="15.75" customHeight="1" x14ac:dyDescent="0.25">
      <c r="AK1407" s="31"/>
      <c r="AL1407" s="31"/>
    </row>
    <row r="1408" spans="37:38" ht="15.75" customHeight="1" x14ac:dyDescent="0.25">
      <c r="AK1408" s="31"/>
      <c r="AL1408" s="31"/>
    </row>
    <row r="1409" spans="37:38" ht="15.75" customHeight="1" x14ac:dyDescent="0.25">
      <c r="AK1409" s="31"/>
      <c r="AL1409" s="31"/>
    </row>
    <row r="1410" spans="37:38" ht="15.75" customHeight="1" x14ac:dyDescent="0.25">
      <c r="AK1410" s="31"/>
      <c r="AL1410" s="31"/>
    </row>
    <row r="1411" spans="37:38" ht="15.75" customHeight="1" x14ac:dyDescent="0.25">
      <c r="AK1411" s="31"/>
      <c r="AL1411" s="31"/>
    </row>
    <row r="1412" spans="37:38" ht="15.75" customHeight="1" x14ac:dyDescent="0.25">
      <c r="AK1412" s="31"/>
      <c r="AL1412" s="31"/>
    </row>
    <row r="1413" spans="37:38" ht="15.75" customHeight="1" x14ac:dyDescent="0.25">
      <c r="AK1413" s="31"/>
      <c r="AL1413" s="31"/>
    </row>
    <row r="1414" spans="37:38" ht="15.75" customHeight="1" x14ac:dyDescent="0.25">
      <c r="AK1414" s="31"/>
      <c r="AL1414" s="31"/>
    </row>
    <row r="1415" spans="37:38" ht="15.75" customHeight="1" x14ac:dyDescent="0.25">
      <c r="AK1415" s="31"/>
      <c r="AL1415" s="31"/>
    </row>
    <row r="1416" spans="37:38" ht="15.75" customHeight="1" x14ac:dyDescent="0.25">
      <c r="AK1416" s="31"/>
      <c r="AL1416" s="31"/>
    </row>
    <row r="1417" spans="37:38" ht="15.75" customHeight="1" x14ac:dyDescent="0.25">
      <c r="AK1417" s="31"/>
      <c r="AL1417" s="31"/>
    </row>
    <row r="1418" spans="37:38" ht="15.75" customHeight="1" x14ac:dyDescent="0.25">
      <c r="AK1418" s="31"/>
      <c r="AL1418" s="31"/>
    </row>
    <row r="1419" spans="37:38" ht="15.75" customHeight="1" x14ac:dyDescent="0.25">
      <c r="AK1419" s="31"/>
      <c r="AL1419" s="31"/>
    </row>
    <row r="1420" spans="37:38" ht="15.75" customHeight="1" x14ac:dyDescent="0.25">
      <c r="AK1420" s="31"/>
      <c r="AL1420" s="31"/>
    </row>
    <row r="1421" spans="37:38" ht="15.75" customHeight="1" x14ac:dyDescent="0.25">
      <c r="AK1421" s="31"/>
      <c r="AL1421" s="31"/>
    </row>
    <row r="1422" spans="37:38" ht="15.75" customHeight="1" x14ac:dyDescent="0.25">
      <c r="AK1422" s="31"/>
      <c r="AL1422" s="31"/>
    </row>
    <row r="1423" spans="37:38" ht="15.75" customHeight="1" x14ac:dyDescent="0.25">
      <c r="AK1423" s="31"/>
      <c r="AL1423" s="31"/>
    </row>
    <row r="1424" spans="37:38" ht="15.75" customHeight="1" x14ac:dyDescent="0.25">
      <c r="AK1424" s="31"/>
      <c r="AL1424" s="31"/>
    </row>
    <row r="1425" spans="37:38" ht="15.75" customHeight="1" x14ac:dyDescent="0.25">
      <c r="AK1425" s="31"/>
      <c r="AL1425" s="31"/>
    </row>
    <row r="1426" spans="37:38" ht="15.75" customHeight="1" x14ac:dyDescent="0.25">
      <c r="AK1426" s="31"/>
      <c r="AL1426" s="31"/>
    </row>
    <row r="1427" spans="37:38" ht="15.75" customHeight="1" x14ac:dyDescent="0.25">
      <c r="AK1427" s="31"/>
      <c r="AL1427" s="31"/>
    </row>
    <row r="1428" spans="37:38" ht="15.75" customHeight="1" x14ac:dyDescent="0.25">
      <c r="AK1428" s="31"/>
      <c r="AL1428" s="31"/>
    </row>
    <row r="1429" spans="37:38" ht="15.75" customHeight="1" x14ac:dyDescent="0.25">
      <c r="AK1429" s="31"/>
      <c r="AL1429" s="31"/>
    </row>
    <row r="1430" spans="37:38" ht="15.75" customHeight="1" x14ac:dyDescent="0.25">
      <c r="AK1430" s="31"/>
      <c r="AL1430" s="31"/>
    </row>
    <row r="1431" spans="37:38" ht="15.75" customHeight="1" x14ac:dyDescent="0.25">
      <c r="AK1431" s="31"/>
      <c r="AL1431" s="31"/>
    </row>
    <row r="1432" spans="37:38" ht="15.75" customHeight="1" x14ac:dyDescent="0.25">
      <c r="AK1432" s="31"/>
      <c r="AL1432" s="31"/>
    </row>
    <row r="1433" spans="37:38" ht="15.75" customHeight="1" x14ac:dyDescent="0.25">
      <c r="AK1433" s="31"/>
      <c r="AL1433" s="31"/>
    </row>
    <row r="1434" spans="37:38" ht="15.75" customHeight="1" x14ac:dyDescent="0.25"/>
    <row r="1435" spans="37:38" ht="15.75" customHeight="1" x14ac:dyDescent="0.25">
      <c r="AK1435" s="31"/>
      <c r="AL1435" s="31"/>
    </row>
    <row r="1436" spans="37:38" ht="15.75" customHeight="1" x14ac:dyDescent="0.25">
      <c r="AK1436" s="31"/>
      <c r="AL1436" s="31"/>
    </row>
    <row r="1437" spans="37:38" ht="15.75" customHeight="1" x14ac:dyDescent="0.25">
      <c r="AK1437" s="31"/>
      <c r="AL1437" s="31"/>
    </row>
    <row r="1438" spans="37:38" ht="15.75" customHeight="1" x14ac:dyDescent="0.25">
      <c r="AK1438" s="31"/>
      <c r="AL1438" s="31"/>
    </row>
    <row r="1439" spans="37:38" ht="15.75" customHeight="1" x14ac:dyDescent="0.25">
      <c r="AK1439" s="31"/>
      <c r="AL1439" s="31"/>
    </row>
    <row r="1440" spans="37:38" ht="15.75" customHeight="1" x14ac:dyDescent="0.25">
      <c r="AK1440" s="31"/>
      <c r="AL1440" s="31"/>
    </row>
    <row r="1441" spans="37:38" ht="15.75" customHeight="1" x14ac:dyDescent="0.25">
      <c r="AK1441" s="31"/>
      <c r="AL1441" s="31"/>
    </row>
    <row r="1442" spans="37:38" ht="15.75" customHeight="1" x14ac:dyDescent="0.25">
      <c r="AK1442" s="31"/>
      <c r="AL1442" s="31"/>
    </row>
    <row r="1443" spans="37:38" ht="15.75" customHeight="1" x14ac:dyDescent="0.25">
      <c r="AK1443" s="31"/>
      <c r="AL1443" s="31"/>
    </row>
    <row r="1444" spans="37:38" ht="15.75" customHeight="1" x14ac:dyDescent="0.25">
      <c r="AK1444" s="31"/>
      <c r="AL1444" s="31"/>
    </row>
    <row r="1445" spans="37:38" ht="15.75" customHeight="1" x14ac:dyDescent="0.25">
      <c r="AK1445" s="31"/>
      <c r="AL1445" s="31"/>
    </row>
    <row r="1446" spans="37:38" ht="15.75" customHeight="1" x14ac:dyDescent="0.25">
      <c r="AK1446" s="31"/>
      <c r="AL1446" s="31"/>
    </row>
    <row r="1447" spans="37:38" ht="15.75" customHeight="1" x14ac:dyDescent="0.25">
      <c r="AK1447" s="31"/>
      <c r="AL1447" s="31"/>
    </row>
    <row r="1448" spans="37:38" ht="15.75" customHeight="1" x14ac:dyDescent="0.25">
      <c r="AK1448" s="31"/>
      <c r="AL1448" s="31"/>
    </row>
    <row r="1449" spans="37:38" ht="15.75" customHeight="1" x14ac:dyDescent="0.25">
      <c r="AK1449" s="31"/>
      <c r="AL1449" s="31"/>
    </row>
    <row r="1450" spans="37:38" ht="15.75" customHeight="1" x14ac:dyDescent="0.25">
      <c r="AK1450" s="31"/>
      <c r="AL1450" s="31"/>
    </row>
    <row r="1451" spans="37:38" ht="15.75" customHeight="1" x14ac:dyDescent="0.25">
      <c r="AK1451" s="31"/>
      <c r="AL1451" s="31"/>
    </row>
    <row r="1452" spans="37:38" ht="15.75" customHeight="1" x14ac:dyDescent="0.25">
      <c r="AK1452" s="31"/>
      <c r="AL1452" s="31"/>
    </row>
    <row r="1453" spans="37:38" ht="15.75" customHeight="1" x14ac:dyDescent="0.25">
      <c r="AK1453" s="31"/>
      <c r="AL1453" s="31"/>
    </row>
    <row r="1454" spans="37:38" ht="15.75" customHeight="1" x14ac:dyDescent="0.25">
      <c r="AK1454" s="31"/>
      <c r="AL1454" s="31"/>
    </row>
    <row r="1455" spans="37:38" ht="15.75" customHeight="1" x14ac:dyDescent="0.25">
      <c r="AK1455" s="31"/>
      <c r="AL1455" s="31"/>
    </row>
    <row r="1456" spans="37:38" ht="15.75" customHeight="1" x14ac:dyDescent="0.25">
      <c r="AK1456" s="31"/>
      <c r="AL1456" s="31"/>
    </row>
    <row r="1457" spans="37:38" ht="15.75" customHeight="1" x14ac:dyDescent="0.25">
      <c r="AK1457" s="31"/>
      <c r="AL1457" s="31"/>
    </row>
    <row r="1458" spans="37:38" ht="15.75" customHeight="1" x14ac:dyDescent="0.25">
      <c r="AK1458" s="31"/>
      <c r="AL1458" s="31"/>
    </row>
    <row r="1459" spans="37:38" ht="15.75" customHeight="1" x14ac:dyDescent="0.25">
      <c r="AK1459" s="31"/>
      <c r="AL1459" s="31"/>
    </row>
    <row r="1460" spans="37:38" ht="15.75" customHeight="1" x14ac:dyDescent="0.25">
      <c r="AK1460" s="31"/>
      <c r="AL1460" s="31"/>
    </row>
    <row r="1461" spans="37:38" ht="15.75" customHeight="1" x14ac:dyDescent="0.25">
      <c r="AK1461" s="31"/>
      <c r="AL1461" s="31"/>
    </row>
    <row r="1462" spans="37:38" ht="15.75" customHeight="1" x14ac:dyDescent="0.25">
      <c r="AK1462" s="31"/>
      <c r="AL1462" s="31"/>
    </row>
    <row r="1463" spans="37:38" ht="15.75" customHeight="1" x14ac:dyDescent="0.25">
      <c r="AK1463" s="31"/>
      <c r="AL1463" s="31"/>
    </row>
    <row r="1464" spans="37:38" ht="15.75" customHeight="1" x14ac:dyDescent="0.25">
      <c r="AK1464" s="31"/>
      <c r="AL1464" s="31"/>
    </row>
    <row r="1465" spans="37:38" ht="15.75" customHeight="1" x14ac:dyDescent="0.25">
      <c r="AK1465" s="31"/>
      <c r="AL1465" s="31"/>
    </row>
    <row r="1466" spans="37:38" ht="15.75" customHeight="1" x14ac:dyDescent="0.25">
      <c r="AK1466" s="31"/>
      <c r="AL1466" s="31"/>
    </row>
    <row r="1467" spans="37:38" ht="15.75" customHeight="1" x14ac:dyDescent="0.25">
      <c r="AK1467" s="31"/>
      <c r="AL1467" s="31"/>
    </row>
    <row r="1468" spans="37:38" ht="15.75" customHeight="1" x14ac:dyDescent="0.25">
      <c r="AK1468" s="31"/>
      <c r="AL1468" s="31"/>
    </row>
    <row r="1469" spans="37:38" ht="15.75" customHeight="1" x14ac:dyDescent="0.25">
      <c r="AK1469" s="31"/>
      <c r="AL1469" s="31"/>
    </row>
    <row r="1470" spans="37:38" ht="15.75" customHeight="1" x14ac:dyDescent="0.25">
      <c r="AK1470" s="31"/>
      <c r="AL1470" s="31"/>
    </row>
    <row r="1471" spans="37:38" ht="15.75" customHeight="1" x14ac:dyDescent="0.25">
      <c r="AK1471" s="31"/>
      <c r="AL1471" s="31"/>
    </row>
    <row r="1472" spans="37:38" ht="15.75" customHeight="1" x14ac:dyDescent="0.25">
      <c r="AK1472" s="31"/>
      <c r="AL1472" s="31"/>
    </row>
    <row r="1473" spans="37:38" ht="15.75" customHeight="1" x14ac:dyDescent="0.25">
      <c r="AK1473" s="31"/>
      <c r="AL1473" s="31"/>
    </row>
    <row r="1474" spans="37:38" ht="15.75" customHeight="1" x14ac:dyDescent="0.25">
      <c r="AK1474" s="31"/>
      <c r="AL1474" s="31"/>
    </row>
    <row r="1475" spans="37:38" ht="15.75" customHeight="1" x14ac:dyDescent="0.25">
      <c r="AK1475" s="31"/>
      <c r="AL1475" s="31"/>
    </row>
    <row r="1476" spans="37:38" ht="15.75" customHeight="1" x14ac:dyDescent="0.25">
      <c r="AK1476" s="31"/>
      <c r="AL1476" s="31"/>
    </row>
    <row r="1477" spans="37:38" ht="15.75" customHeight="1" x14ac:dyDescent="0.25">
      <c r="AK1477" s="31"/>
      <c r="AL1477" s="31"/>
    </row>
    <row r="1478" spans="37:38" ht="15.75" customHeight="1" x14ac:dyDescent="0.25">
      <c r="AK1478" s="31"/>
      <c r="AL1478" s="31"/>
    </row>
    <row r="1479" spans="37:38" ht="15.75" customHeight="1" x14ac:dyDescent="0.25">
      <c r="AK1479" s="31"/>
      <c r="AL1479" s="31"/>
    </row>
    <row r="1480" spans="37:38" ht="15.75" customHeight="1" x14ac:dyDescent="0.25">
      <c r="AK1480" s="31"/>
      <c r="AL1480" s="31"/>
    </row>
    <row r="1481" spans="37:38" ht="15.75" customHeight="1" x14ac:dyDescent="0.25">
      <c r="AK1481" s="31"/>
      <c r="AL1481" s="31"/>
    </row>
    <row r="1482" spans="37:38" ht="15.75" customHeight="1" x14ac:dyDescent="0.25">
      <c r="AK1482" s="31"/>
      <c r="AL1482" s="31"/>
    </row>
    <row r="1483" spans="37:38" ht="15.75" customHeight="1" x14ac:dyDescent="0.25">
      <c r="AK1483" s="31"/>
      <c r="AL1483" s="31"/>
    </row>
    <row r="1484" spans="37:38" ht="15.75" customHeight="1" x14ac:dyDescent="0.25">
      <c r="AK1484" s="31"/>
      <c r="AL1484" s="31"/>
    </row>
    <row r="1485" spans="37:38" ht="15.75" customHeight="1" x14ac:dyDescent="0.25">
      <c r="AK1485" s="31"/>
      <c r="AL1485" s="31"/>
    </row>
    <row r="1486" spans="37:38" ht="15.75" customHeight="1" x14ac:dyDescent="0.25">
      <c r="AK1486" s="31"/>
      <c r="AL1486" s="31"/>
    </row>
    <row r="1487" spans="37:38" ht="15.75" customHeight="1" x14ac:dyDescent="0.25"/>
    <row r="1488" spans="37:38" ht="15.75" customHeight="1" x14ac:dyDescent="0.25">
      <c r="AK1488" s="31"/>
      <c r="AL1488" s="31"/>
    </row>
    <row r="1489" spans="37:38" ht="15.75" customHeight="1" x14ac:dyDescent="0.25">
      <c r="AK1489" s="31"/>
      <c r="AL1489" s="31"/>
    </row>
    <row r="1490" spans="37:38" ht="15.75" customHeight="1" x14ac:dyDescent="0.25">
      <c r="AK1490" s="31"/>
      <c r="AL1490" s="31"/>
    </row>
    <row r="1491" spans="37:38" ht="15.75" customHeight="1" x14ac:dyDescent="0.25">
      <c r="AK1491" s="31"/>
      <c r="AL1491" s="31"/>
    </row>
    <row r="1492" spans="37:38" ht="15.75" customHeight="1" x14ac:dyDescent="0.25">
      <c r="AK1492" s="31"/>
      <c r="AL1492" s="31"/>
    </row>
    <row r="1493" spans="37:38" ht="15.75" customHeight="1" x14ac:dyDescent="0.25">
      <c r="AK1493" s="31"/>
      <c r="AL1493" s="31"/>
    </row>
    <row r="1494" spans="37:38" ht="15.75" customHeight="1" x14ac:dyDescent="0.25">
      <c r="AK1494" s="31"/>
      <c r="AL1494" s="31"/>
    </row>
    <row r="1495" spans="37:38" ht="15.75" customHeight="1" x14ac:dyDescent="0.25">
      <c r="AK1495" s="31"/>
      <c r="AL1495" s="31"/>
    </row>
    <row r="1496" spans="37:38" ht="15.75" customHeight="1" x14ac:dyDescent="0.25">
      <c r="AK1496" s="31"/>
      <c r="AL1496" s="31"/>
    </row>
    <row r="1497" spans="37:38" ht="15.75" customHeight="1" x14ac:dyDescent="0.25">
      <c r="AK1497" s="31"/>
      <c r="AL1497" s="31"/>
    </row>
    <row r="1498" spans="37:38" ht="15.75" customHeight="1" x14ac:dyDescent="0.25">
      <c r="AK1498" s="31"/>
      <c r="AL1498" s="31"/>
    </row>
    <row r="1499" spans="37:38" ht="15.75" customHeight="1" x14ac:dyDescent="0.25">
      <c r="AK1499" s="31"/>
      <c r="AL1499" s="31"/>
    </row>
    <row r="1500" spans="37:38" ht="15.75" customHeight="1" x14ac:dyDescent="0.25">
      <c r="AK1500" s="31"/>
      <c r="AL1500" s="31"/>
    </row>
    <row r="1501" spans="37:38" ht="15.75" customHeight="1" x14ac:dyDescent="0.25">
      <c r="AK1501" s="31"/>
      <c r="AL1501" s="31"/>
    </row>
    <row r="1502" spans="37:38" ht="15.75" customHeight="1" x14ac:dyDescent="0.25">
      <c r="AK1502" s="31"/>
      <c r="AL1502" s="31"/>
    </row>
    <row r="1503" spans="37:38" ht="15.75" customHeight="1" x14ac:dyDescent="0.25">
      <c r="AK1503" s="31"/>
      <c r="AL1503" s="31"/>
    </row>
    <row r="1504" spans="37:38" ht="15.75" customHeight="1" x14ac:dyDescent="0.25">
      <c r="AK1504" s="31"/>
      <c r="AL1504" s="31"/>
    </row>
    <row r="1505" spans="37:38" ht="15.75" customHeight="1" x14ac:dyDescent="0.25">
      <c r="AK1505" s="31"/>
      <c r="AL1505" s="31"/>
    </row>
    <row r="1506" spans="37:38" ht="15.75" customHeight="1" x14ac:dyDescent="0.25">
      <c r="AK1506" s="31"/>
      <c r="AL1506" s="31"/>
    </row>
    <row r="1507" spans="37:38" ht="15.75" customHeight="1" x14ac:dyDescent="0.25">
      <c r="AK1507" s="31"/>
      <c r="AL1507" s="31"/>
    </row>
    <row r="1508" spans="37:38" ht="15.75" customHeight="1" x14ac:dyDescent="0.25">
      <c r="AK1508" s="31"/>
      <c r="AL1508" s="31"/>
    </row>
    <row r="1509" spans="37:38" ht="15.75" customHeight="1" x14ac:dyDescent="0.25">
      <c r="AK1509" s="31"/>
      <c r="AL1509" s="31"/>
    </row>
    <row r="1510" spans="37:38" ht="15.75" customHeight="1" x14ac:dyDescent="0.25">
      <c r="AK1510" s="31"/>
      <c r="AL1510" s="31"/>
    </row>
    <row r="1511" spans="37:38" ht="15.75" customHeight="1" x14ac:dyDescent="0.25">
      <c r="AK1511" s="31"/>
      <c r="AL1511" s="31"/>
    </row>
    <row r="1512" spans="37:38" ht="15.75" customHeight="1" x14ac:dyDescent="0.25">
      <c r="AK1512" s="31"/>
      <c r="AL1512" s="31"/>
    </row>
    <row r="1513" spans="37:38" ht="15.75" customHeight="1" x14ac:dyDescent="0.25">
      <c r="AK1513" s="31"/>
      <c r="AL1513" s="31"/>
    </row>
    <row r="1514" spans="37:38" ht="15.75" customHeight="1" x14ac:dyDescent="0.25">
      <c r="AK1514" s="31"/>
      <c r="AL1514" s="31"/>
    </row>
    <row r="1515" spans="37:38" ht="15.75" customHeight="1" x14ac:dyDescent="0.25">
      <c r="AK1515" s="31"/>
      <c r="AL1515" s="31"/>
    </row>
    <row r="1516" spans="37:38" ht="15.75" customHeight="1" x14ac:dyDescent="0.25">
      <c r="AK1516" s="31"/>
      <c r="AL1516" s="31"/>
    </row>
    <row r="1517" spans="37:38" ht="15.75" customHeight="1" x14ac:dyDescent="0.25">
      <c r="AK1517" s="31"/>
      <c r="AL1517" s="31"/>
    </row>
    <row r="1518" spans="37:38" ht="15.75" customHeight="1" x14ac:dyDescent="0.25">
      <c r="AK1518" s="31"/>
      <c r="AL1518" s="31"/>
    </row>
    <row r="1519" spans="37:38" ht="15.75" customHeight="1" x14ac:dyDescent="0.25">
      <c r="AK1519" s="31"/>
      <c r="AL1519" s="31"/>
    </row>
    <row r="1520" spans="37:38" ht="15.75" customHeight="1" x14ac:dyDescent="0.25">
      <c r="AK1520" s="31"/>
      <c r="AL1520" s="31"/>
    </row>
    <row r="1521" spans="37:38" ht="15.75" customHeight="1" x14ac:dyDescent="0.25">
      <c r="AK1521" s="31"/>
      <c r="AL1521" s="31"/>
    </row>
    <row r="1522" spans="37:38" ht="15.75" customHeight="1" x14ac:dyDescent="0.25">
      <c r="AK1522" s="31"/>
      <c r="AL1522" s="31"/>
    </row>
    <row r="1523" spans="37:38" ht="15.75" customHeight="1" x14ac:dyDescent="0.25">
      <c r="AK1523" s="31"/>
      <c r="AL1523" s="31"/>
    </row>
    <row r="1524" spans="37:38" ht="15.75" customHeight="1" x14ac:dyDescent="0.25">
      <c r="AK1524" s="31"/>
      <c r="AL1524" s="31"/>
    </row>
    <row r="1525" spans="37:38" ht="15.75" customHeight="1" x14ac:dyDescent="0.25">
      <c r="AK1525" s="31"/>
      <c r="AL1525" s="31"/>
    </row>
    <row r="1526" spans="37:38" ht="15.75" customHeight="1" x14ac:dyDescent="0.25">
      <c r="AK1526" s="31"/>
      <c r="AL1526" s="31"/>
    </row>
    <row r="1527" spans="37:38" ht="15.75" customHeight="1" x14ac:dyDescent="0.25">
      <c r="AK1527" s="31"/>
      <c r="AL1527" s="31"/>
    </row>
    <row r="1528" spans="37:38" ht="15.75" customHeight="1" x14ac:dyDescent="0.25">
      <c r="AK1528" s="31"/>
      <c r="AL1528" s="31"/>
    </row>
    <row r="1529" spans="37:38" ht="15.75" customHeight="1" x14ac:dyDescent="0.25">
      <c r="AK1529" s="31"/>
      <c r="AL1529" s="31"/>
    </row>
    <row r="1530" spans="37:38" ht="15.75" customHeight="1" x14ac:dyDescent="0.25">
      <c r="AK1530" s="31"/>
      <c r="AL1530" s="31"/>
    </row>
    <row r="1531" spans="37:38" ht="15.75" customHeight="1" x14ac:dyDescent="0.25">
      <c r="AK1531" s="31"/>
      <c r="AL1531" s="31"/>
    </row>
    <row r="1532" spans="37:38" ht="15.75" customHeight="1" x14ac:dyDescent="0.25">
      <c r="AK1532" s="31"/>
      <c r="AL1532" s="31"/>
    </row>
    <row r="1533" spans="37:38" ht="15.75" customHeight="1" x14ac:dyDescent="0.25">
      <c r="AK1533" s="31"/>
      <c r="AL1533" s="31"/>
    </row>
    <row r="1534" spans="37:38" ht="15.75" customHeight="1" x14ac:dyDescent="0.25">
      <c r="AK1534" s="31"/>
      <c r="AL1534" s="31"/>
    </row>
    <row r="1535" spans="37:38" ht="15.75" customHeight="1" x14ac:dyDescent="0.25">
      <c r="AK1535" s="31"/>
      <c r="AL1535" s="31"/>
    </row>
    <row r="1536" spans="37:38" ht="15.75" customHeight="1" x14ac:dyDescent="0.25">
      <c r="AK1536" s="31"/>
      <c r="AL1536" s="31"/>
    </row>
    <row r="1537" spans="37:38" ht="15.75" customHeight="1" x14ac:dyDescent="0.25">
      <c r="AK1537" s="31"/>
      <c r="AL1537" s="31"/>
    </row>
    <row r="1538" spans="37:38" ht="15.75" customHeight="1" x14ac:dyDescent="0.25">
      <c r="AK1538" s="31"/>
      <c r="AL1538" s="31"/>
    </row>
    <row r="1539" spans="37:38" ht="15.75" customHeight="1" x14ac:dyDescent="0.25">
      <c r="AK1539" s="31"/>
      <c r="AL1539" s="31"/>
    </row>
    <row r="1540" spans="37:38" ht="15.75" customHeight="1" x14ac:dyDescent="0.25">
      <c r="AK1540" s="31"/>
      <c r="AL1540" s="31"/>
    </row>
    <row r="1541" spans="37:38" ht="15.75" customHeight="1" x14ac:dyDescent="0.25">
      <c r="AK1541" s="31"/>
      <c r="AL1541" s="31"/>
    </row>
    <row r="1542" spans="37:38" ht="15.75" customHeight="1" x14ac:dyDescent="0.25">
      <c r="AK1542" s="31"/>
      <c r="AL1542" s="31"/>
    </row>
    <row r="1543" spans="37:38" ht="15.75" customHeight="1" x14ac:dyDescent="0.25">
      <c r="AK1543" s="31"/>
      <c r="AL1543" s="31"/>
    </row>
    <row r="1544" spans="37:38" ht="15.75" customHeight="1" x14ac:dyDescent="0.25">
      <c r="AK1544" s="31"/>
      <c r="AL1544" s="31"/>
    </row>
    <row r="1545" spans="37:38" ht="15.75" customHeight="1" x14ac:dyDescent="0.25">
      <c r="AK1545" s="31"/>
      <c r="AL1545" s="31"/>
    </row>
    <row r="1546" spans="37:38" ht="15.75" customHeight="1" x14ac:dyDescent="0.25">
      <c r="AK1546" s="31"/>
      <c r="AL1546" s="31"/>
    </row>
    <row r="1547" spans="37:38" ht="15.75" customHeight="1" x14ac:dyDescent="0.25">
      <c r="AK1547" s="31"/>
      <c r="AL1547" s="31"/>
    </row>
    <row r="1548" spans="37:38" ht="15.75" customHeight="1" x14ac:dyDescent="0.25">
      <c r="AK1548" s="31"/>
      <c r="AL1548" s="31"/>
    </row>
    <row r="1549" spans="37:38" ht="15.75" customHeight="1" x14ac:dyDescent="0.25">
      <c r="AK1549" s="31"/>
      <c r="AL1549" s="31"/>
    </row>
    <row r="1550" spans="37:38" ht="15.75" customHeight="1" x14ac:dyDescent="0.25">
      <c r="AK1550" s="31"/>
      <c r="AL1550" s="31"/>
    </row>
    <row r="1551" spans="37:38" ht="15.75" customHeight="1" x14ac:dyDescent="0.25"/>
    <row r="1552" spans="37:38" ht="15.75" customHeight="1" x14ac:dyDescent="0.25"/>
    <row r="1553" ht="15.75" customHeight="1" x14ac:dyDescent="0.25"/>
    <row r="1554" ht="15.75" customHeight="1" x14ac:dyDescent="0.25"/>
    <row r="1555" ht="15.75" customHeight="1" x14ac:dyDescent="0.25"/>
    <row r="1556" ht="15.75" customHeight="1" x14ac:dyDescent="0.25"/>
    <row r="1557" ht="15.75" customHeight="1" x14ac:dyDescent="0.25"/>
    <row r="1558" ht="15.75" customHeight="1" x14ac:dyDescent="0.25"/>
    <row r="1559" ht="15.75" customHeight="1" x14ac:dyDescent="0.25"/>
    <row r="1560" ht="15.75" customHeight="1" x14ac:dyDescent="0.25"/>
    <row r="1561" ht="15.75" customHeight="1" x14ac:dyDescent="0.25"/>
    <row r="1562" ht="15.75" customHeight="1" x14ac:dyDescent="0.25"/>
    <row r="1563" ht="15.75" customHeight="1" x14ac:dyDescent="0.25"/>
    <row r="1564" ht="15.75" customHeight="1" x14ac:dyDescent="0.25"/>
    <row r="1565" ht="15.75" customHeight="1" x14ac:dyDescent="0.25"/>
    <row r="1566" ht="15.75" customHeight="1" x14ac:dyDescent="0.25"/>
    <row r="1567" ht="15.75" customHeight="1" x14ac:dyDescent="0.25"/>
    <row r="1568" ht="15.75" customHeight="1" x14ac:dyDescent="0.25"/>
    <row r="1569" ht="15.75" customHeight="1" x14ac:dyDescent="0.25"/>
    <row r="1570" ht="15.75" customHeight="1" x14ac:dyDescent="0.25"/>
    <row r="1571" ht="15.75" customHeight="1" x14ac:dyDescent="0.25"/>
    <row r="1572" ht="15.75" customHeight="1" x14ac:dyDescent="0.25"/>
    <row r="1573" ht="15.75" customHeight="1" x14ac:dyDescent="0.25"/>
    <row r="1574" ht="15.75" customHeight="1" x14ac:dyDescent="0.25"/>
    <row r="1575" ht="15.75" customHeight="1" x14ac:dyDescent="0.25"/>
    <row r="1576" ht="15.75" customHeight="1" x14ac:dyDescent="0.25"/>
    <row r="1577" ht="15.75" customHeight="1" x14ac:dyDescent="0.25"/>
    <row r="1578" ht="15.75" customHeight="1" x14ac:dyDescent="0.25"/>
    <row r="1579" ht="15.75" customHeight="1" x14ac:dyDescent="0.25"/>
    <row r="1580" ht="15.75" customHeight="1" x14ac:dyDescent="0.25"/>
    <row r="1581" ht="15.75" customHeight="1" x14ac:dyDescent="0.25"/>
    <row r="1582" ht="15.75" customHeight="1" x14ac:dyDescent="0.25"/>
    <row r="1583" ht="15.75" customHeight="1" x14ac:dyDescent="0.25"/>
    <row r="1584" ht="15.75" customHeight="1" x14ac:dyDescent="0.25"/>
    <row r="1585" ht="15.75" customHeight="1" x14ac:dyDescent="0.25"/>
    <row r="1586" ht="15.75" customHeight="1" x14ac:dyDescent="0.25"/>
    <row r="1587" ht="15.75" customHeight="1" x14ac:dyDescent="0.25"/>
    <row r="1588" ht="15.75" customHeight="1" x14ac:dyDescent="0.25"/>
    <row r="1589" ht="15.75" customHeight="1" x14ac:dyDescent="0.25"/>
    <row r="1590" ht="15.75" customHeight="1" x14ac:dyDescent="0.25"/>
    <row r="1591" ht="15.75" customHeight="1" x14ac:dyDescent="0.25"/>
    <row r="1592" ht="15.75" customHeight="1" x14ac:dyDescent="0.25"/>
    <row r="1593" ht="15.75" customHeight="1" x14ac:dyDescent="0.25"/>
    <row r="1594" ht="15.75" customHeight="1" x14ac:dyDescent="0.25"/>
    <row r="1595" ht="15.75" customHeight="1" x14ac:dyDescent="0.25"/>
    <row r="1596" ht="15.75" customHeight="1" x14ac:dyDescent="0.25"/>
    <row r="1597" ht="15.75" customHeight="1" x14ac:dyDescent="0.25"/>
    <row r="1598" ht="15.75" customHeight="1" x14ac:dyDescent="0.25"/>
    <row r="1599" ht="15.75" customHeight="1" x14ac:dyDescent="0.25"/>
    <row r="1600" ht="15.75" customHeight="1" x14ac:dyDescent="0.25"/>
    <row r="1601" ht="15.75" customHeight="1" x14ac:dyDescent="0.25"/>
    <row r="1602" ht="15.75" customHeight="1" x14ac:dyDescent="0.25"/>
    <row r="1603" ht="15.75" customHeight="1" x14ac:dyDescent="0.25"/>
    <row r="1604" ht="15.75" customHeight="1" x14ac:dyDescent="0.25"/>
    <row r="1605" ht="15.75" customHeight="1" x14ac:dyDescent="0.25"/>
    <row r="1606" ht="15.75" customHeight="1" x14ac:dyDescent="0.25"/>
    <row r="1607" ht="15.75" customHeight="1" x14ac:dyDescent="0.25"/>
    <row r="1608" ht="15.75" customHeight="1" x14ac:dyDescent="0.25"/>
    <row r="1609" ht="15.75" customHeight="1" x14ac:dyDescent="0.25"/>
    <row r="1610" ht="15.75" customHeight="1" x14ac:dyDescent="0.25"/>
    <row r="1611" ht="15.75" customHeight="1" x14ac:dyDescent="0.25"/>
    <row r="1612" ht="15.75" customHeight="1" x14ac:dyDescent="0.25"/>
    <row r="1613" ht="15.75" customHeight="1" x14ac:dyDescent="0.25"/>
    <row r="1614" ht="15.75" customHeight="1" x14ac:dyDescent="0.25"/>
    <row r="1615" ht="15.75" customHeight="1" x14ac:dyDescent="0.25"/>
    <row r="1616" ht="15.75" customHeight="1" x14ac:dyDescent="0.25"/>
    <row r="1617" ht="15.75" customHeight="1" x14ac:dyDescent="0.25"/>
    <row r="1618" ht="15.75" customHeight="1" x14ac:dyDescent="0.25"/>
    <row r="1619" ht="15.75" customHeight="1" x14ac:dyDescent="0.25"/>
    <row r="1620" ht="15.75" customHeight="1" x14ac:dyDescent="0.25"/>
    <row r="1621" ht="15.75" customHeight="1" x14ac:dyDescent="0.25"/>
    <row r="1622" ht="15.75" customHeight="1" x14ac:dyDescent="0.25"/>
    <row r="1623" ht="15.75" customHeight="1" x14ac:dyDescent="0.25"/>
    <row r="1624" ht="15.75" customHeight="1" x14ac:dyDescent="0.25"/>
    <row r="1625" ht="15.75" customHeight="1" x14ac:dyDescent="0.25"/>
    <row r="1626" ht="15.75" customHeight="1" x14ac:dyDescent="0.25"/>
    <row r="1627" ht="15.75" customHeight="1" x14ac:dyDescent="0.25"/>
    <row r="1628" ht="15.75" customHeight="1" x14ac:dyDescent="0.25"/>
    <row r="1629" ht="15.75" customHeight="1" x14ac:dyDescent="0.25"/>
    <row r="1630" ht="15.75" customHeight="1" x14ac:dyDescent="0.25"/>
    <row r="1631" ht="15.75" customHeight="1" x14ac:dyDescent="0.25"/>
    <row r="1632" ht="15.75" customHeight="1" x14ac:dyDescent="0.25"/>
    <row r="1633" ht="15.75" customHeight="1" x14ac:dyDescent="0.25"/>
    <row r="1634" ht="15.75" customHeight="1" x14ac:dyDescent="0.25"/>
    <row r="1635" ht="15.75" customHeight="1" x14ac:dyDescent="0.25"/>
    <row r="1636" ht="15.75" customHeight="1" x14ac:dyDescent="0.25"/>
    <row r="1637" ht="15.75" customHeight="1" x14ac:dyDescent="0.25"/>
    <row r="1638" ht="15.75" customHeight="1" x14ac:dyDescent="0.25"/>
    <row r="1639" ht="15.75" customHeight="1" x14ac:dyDescent="0.25"/>
    <row r="1640" ht="15.75" customHeight="1" x14ac:dyDescent="0.25"/>
    <row r="1641" ht="15.75" customHeight="1" x14ac:dyDescent="0.25"/>
    <row r="1642" ht="15.75" customHeight="1" x14ac:dyDescent="0.25"/>
    <row r="1643" ht="15.75" customHeight="1" x14ac:dyDescent="0.25"/>
    <row r="1644" ht="15.75" customHeight="1" x14ac:dyDescent="0.25"/>
    <row r="1645" ht="15.75" customHeight="1" x14ac:dyDescent="0.25"/>
    <row r="1646" ht="15.75" customHeight="1" x14ac:dyDescent="0.25"/>
    <row r="1647" ht="15.75" customHeight="1" x14ac:dyDescent="0.25"/>
    <row r="1648" ht="15.75" customHeight="1" x14ac:dyDescent="0.25"/>
    <row r="1649" ht="15.75" customHeight="1" x14ac:dyDescent="0.25"/>
    <row r="1650" ht="15.75" customHeight="1" x14ac:dyDescent="0.25"/>
    <row r="1651" ht="15.75" customHeight="1" x14ac:dyDescent="0.25"/>
    <row r="1652" ht="15.75" customHeight="1" x14ac:dyDescent="0.25"/>
    <row r="1653" ht="15.75" customHeight="1" x14ac:dyDescent="0.25"/>
    <row r="1654" ht="15.75" customHeight="1" x14ac:dyDescent="0.25"/>
    <row r="1655" ht="15.75" customHeight="1" x14ac:dyDescent="0.25"/>
    <row r="1656" ht="15.75" customHeight="1" x14ac:dyDescent="0.25"/>
    <row r="1657" ht="15.75" customHeight="1" x14ac:dyDescent="0.25"/>
    <row r="1658" ht="15.75" customHeight="1" x14ac:dyDescent="0.25"/>
    <row r="1659" ht="15.75" customHeight="1" x14ac:dyDescent="0.25"/>
    <row r="1660" ht="15.75" customHeight="1" x14ac:dyDescent="0.25"/>
    <row r="1661" ht="15.75" customHeight="1" x14ac:dyDescent="0.25"/>
    <row r="1662" ht="15.75" customHeight="1" x14ac:dyDescent="0.25"/>
    <row r="1663" ht="15.75" customHeight="1" x14ac:dyDescent="0.25"/>
    <row r="1664" ht="15.75" customHeight="1" x14ac:dyDescent="0.25"/>
    <row r="1665" ht="15.75" customHeight="1" x14ac:dyDescent="0.25"/>
    <row r="1666" ht="15.75" customHeight="1" x14ac:dyDescent="0.25"/>
    <row r="1667" ht="15.75" customHeight="1" x14ac:dyDescent="0.25"/>
    <row r="1668" ht="15.75" customHeight="1" x14ac:dyDescent="0.25"/>
    <row r="1669" ht="15.75" customHeight="1" x14ac:dyDescent="0.25"/>
    <row r="1670" ht="15.75" customHeight="1" x14ac:dyDescent="0.25"/>
    <row r="1671" ht="15.75" customHeight="1" x14ac:dyDescent="0.25"/>
    <row r="1672" ht="15.75" customHeight="1" x14ac:dyDescent="0.25"/>
    <row r="1673" ht="15.75" customHeight="1" x14ac:dyDescent="0.25"/>
    <row r="1674" ht="15.75" customHeight="1" x14ac:dyDescent="0.25"/>
    <row r="1675" ht="15.75" customHeight="1" x14ac:dyDescent="0.25"/>
    <row r="1676" ht="15.75" customHeight="1" x14ac:dyDescent="0.25"/>
    <row r="1677" ht="15.75" customHeight="1" x14ac:dyDescent="0.25"/>
    <row r="1678" ht="15.75" customHeight="1" x14ac:dyDescent="0.25"/>
    <row r="1679" ht="15.75" customHeight="1" x14ac:dyDescent="0.25"/>
    <row r="1680" ht="15.75" customHeight="1" x14ac:dyDescent="0.25"/>
    <row r="1681" ht="15.75" customHeight="1" x14ac:dyDescent="0.25"/>
    <row r="1682" ht="15.75" customHeight="1" x14ac:dyDescent="0.25"/>
    <row r="1683" ht="15.75" customHeight="1" x14ac:dyDescent="0.25"/>
    <row r="1684" ht="15.75" customHeight="1" x14ac:dyDescent="0.25"/>
    <row r="1685" ht="15.75" customHeight="1" x14ac:dyDescent="0.25"/>
    <row r="1686" ht="15.75" customHeight="1" x14ac:dyDescent="0.25"/>
    <row r="1687" ht="15.75" customHeight="1" x14ac:dyDescent="0.25"/>
    <row r="1688" ht="15.75" customHeight="1" x14ac:dyDescent="0.25"/>
    <row r="1689" ht="15.75" customHeight="1" x14ac:dyDescent="0.25"/>
    <row r="1690" ht="15.75" customHeight="1" x14ac:dyDescent="0.25"/>
    <row r="1691" ht="15.75" customHeight="1" x14ac:dyDescent="0.25"/>
    <row r="1692" ht="15.75" customHeight="1" x14ac:dyDescent="0.25"/>
    <row r="1693" ht="15.75" customHeight="1" x14ac:dyDescent="0.25"/>
    <row r="1694" ht="15.75" customHeight="1" x14ac:dyDescent="0.25"/>
    <row r="1695" ht="15.75" customHeight="1" x14ac:dyDescent="0.25"/>
    <row r="1696" ht="15.75" customHeight="1" x14ac:dyDescent="0.25"/>
    <row r="1697" ht="15.75" customHeight="1" x14ac:dyDescent="0.25"/>
    <row r="1698" ht="15.75" customHeight="1" x14ac:dyDescent="0.25"/>
    <row r="1699" ht="15.75" customHeight="1" x14ac:dyDescent="0.25"/>
    <row r="1700" ht="15.75" customHeight="1" x14ac:dyDescent="0.25"/>
    <row r="1701" ht="15.75" customHeight="1" x14ac:dyDescent="0.25"/>
    <row r="1702" ht="15.75" customHeight="1" x14ac:dyDescent="0.25"/>
    <row r="1703" ht="15.75" customHeight="1" x14ac:dyDescent="0.25"/>
    <row r="1704" ht="15.75" customHeight="1" x14ac:dyDescent="0.25"/>
    <row r="1705" ht="15.75" customHeight="1" x14ac:dyDescent="0.25"/>
    <row r="1706" ht="15.75" customHeight="1" x14ac:dyDescent="0.25"/>
    <row r="1707" ht="15.75" customHeight="1" x14ac:dyDescent="0.25"/>
    <row r="1708" ht="15.75" customHeight="1" x14ac:dyDescent="0.25"/>
    <row r="1709" ht="15.75" customHeight="1" x14ac:dyDescent="0.25"/>
    <row r="1710" ht="15.75" customHeight="1" x14ac:dyDescent="0.25"/>
    <row r="1711" ht="15.75" customHeight="1" x14ac:dyDescent="0.25"/>
    <row r="1712" ht="15.75" customHeight="1" x14ac:dyDescent="0.25"/>
    <row r="1713" ht="15.75" customHeight="1" x14ac:dyDescent="0.25"/>
    <row r="1714" ht="15.75" customHeight="1" x14ac:dyDescent="0.25"/>
    <row r="1715" ht="15.75" customHeight="1" x14ac:dyDescent="0.25"/>
    <row r="1716" ht="15.75" customHeight="1" x14ac:dyDescent="0.25"/>
    <row r="1717" ht="15.75" customHeight="1" x14ac:dyDescent="0.25"/>
    <row r="1718" ht="15.75" customHeight="1" x14ac:dyDescent="0.25"/>
    <row r="1719" ht="15.75" customHeight="1" x14ac:dyDescent="0.25"/>
    <row r="1720" ht="15.75" customHeight="1" x14ac:dyDescent="0.25"/>
    <row r="1721" ht="15.75" customHeight="1" x14ac:dyDescent="0.25"/>
    <row r="1722" ht="15.75" customHeight="1" x14ac:dyDescent="0.25"/>
    <row r="1723" ht="15.75" customHeight="1" x14ac:dyDescent="0.25"/>
    <row r="1724" ht="15.75" customHeight="1" x14ac:dyDescent="0.25"/>
    <row r="1725" ht="15.75" customHeight="1" x14ac:dyDescent="0.25"/>
    <row r="1726" ht="15.75" customHeight="1" x14ac:dyDescent="0.25"/>
    <row r="1727" ht="15.75" customHeight="1" x14ac:dyDescent="0.25"/>
    <row r="1728" ht="15.75" customHeight="1" x14ac:dyDescent="0.25"/>
    <row r="1729" ht="15.75" customHeight="1" x14ac:dyDescent="0.25"/>
    <row r="1730" ht="15.75" customHeight="1" x14ac:dyDescent="0.25"/>
    <row r="1731" ht="15.75" customHeight="1" x14ac:dyDescent="0.25"/>
    <row r="1732" ht="15.75" customHeight="1" x14ac:dyDescent="0.25"/>
    <row r="1733" ht="15.75" customHeight="1" x14ac:dyDescent="0.25"/>
    <row r="1734" ht="15.75" customHeight="1" x14ac:dyDescent="0.25"/>
    <row r="1735" ht="15.75" customHeight="1" x14ac:dyDescent="0.25"/>
    <row r="1736" ht="15.75" customHeight="1" x14ac:dyDescent="0.25"/>
    <row r="1737" ht="15.75" customHeight="1" x14ac:dyDescent="0.25"/>
    <row r="1738" ht="15.75" customHeight="1" x14ac:dyDescent="0.25"/>
    <row r="1739" ht="15.75" customHeight="1" x14ac:dyDescent="0.25"/>
    <row r="1740" ht="15.75" customHeight="1" x14ac:dyDescent="0.25"/>
    <row r="1741" ht="15.75" customHeight="1" x14ac:dyDescent="0.25"/>
    <row r="1742" ht="15.75" customHeight="1" x14ac:dyDescent="0.25"/>
    <row r="1743" ht="15.75" customHeight="1" x14ac:dyDescent="0.25"/>
    <row r="1744" ht="15.75" customHeight="1" x14ac:dyDescent="0.25"/>
    <row r="1745" ht="15.75" customHeight="1" x14ac:dyDescent="0.25"/>
    <row r="1746" ht="15.75" customHeight="1" x14ac:dyDescent="0.25"/>
    <row r="1747" ht="15.75" customHeight="1" x14ac:dyDescent="0.25"/>
    <row r="1748" ht="15.75" customHeight="1" x14ac:dyDescent="0.25"/>
    <row r="1749" ht="15.75" customHeight="1" x14ac:dyDescent="0.25"/>
  </sheetData>
  <autoFilter ref="A1:AK1293" xr:uid="{00000000-0009-0000-0000-000000000000}"/>
  <mergeCells count="1">
    <mergeCell ref="R1:Z1"/>
  </mergeCells>
  <hyperlinks>
    <hyperlink ref="R1214" r:id="rId1" xr:uid="{16B75075-B9D2-4176-B684-150E718FB417}"/>
  </hyperlinks>
  <pageMargins left="0.7" right="0.7" top="0.75" bottom="0.75" header="0" footer="0"/>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BA1000"/>
  <sheetViews>
    <sheetView workbookViewId="0">
      <selection activeCell="D6" sqref="D6"/>
    </sheetView>
  </sheetViews>
  <sheetFormatPr baseColWidth="10" defaultColWidth="14.44140625" defaultRowHeight="15" customHeight="1" x14ac:dyDescent="0.25"/>
  <cols>
    <col min="1" max="1" width="26.5546875" customWidth="1"/>
    <col min="2" max="2" width="9.44140625" customWidth="1"/>
    <col min="3" max="3" width="1.5546875" customWidth="1"/>
    <col min="5" max="5" width="8.33203125" customWidth="1"/>
    <col min="6" max="6" width="1.5546875" customWidth="1"/>
    <col min="8" max="8" width="8.44140625" customWidth="1"/>
    <col min="9" max="9" width="1.5546875" customWidth="1"/>
    <col min="10" max="10" width="16.5546875" customWidth="1"/>
    <col min="11" max="11" width="8.109375" customWidth="1"/>
    <col min="12" max="12" width="1.5546875" customWidth="1"/>
    <col min="13" max="13" width="15.88671875" customWidth="1"/>
    <col min="14" max="14" width="8.33203125" customWidth="1"/>
    <col min="15" max="15" width="1.5546875" customWidth="1"/>
    <col min="18" max="18" width="1.5546875" customWidth="1"/>
    <col min="21" max="21" width="1.5546875" customWidth="1"/>
    <col min="24" max="24" width="1.5546875" customWidth="1"/>
    <col min="27" max="27" width="1.5546875" customWidth="1"/>
    <col min="30" max="30" width="1.5546875" customWidth="1"/>
    <col min="33" max="33" width="1.5546875" customWidth="1"/>
    <col min="36" max="36" width="1.5546875" customWidth="1"/>
    <col min="39" max="39" width="1.5546875" customWidth="1"/>
    <col min="42" max="42" width="1.5546875" customWidth="1"/>
    <col min="45" max="45" width="1.5546875" customWidth="1"/>
    <col min="48" max="48" width="1.5546875" customWidth="1"/>
    <col min="51" max="51" width="1.5546875" customWidth="1"/>
  </cols>
  <sheetData>
    <row r="1" spans="1:53" ht="15" customHeight="1" x14ac:dyDescent="0.25">
      <c r="A1" s="39" t="s">
        <v>1</v>
      </c>
      <c r="B1" s="40"/>
      <c r="C1" s="9"/>
      <c r="D1" s="39" t="s">
        <v>2</v>
      </c>
      <c r="E1" s="40"/>
      <c r="F1" s="10"/>
      <c r="G1" s="39" t="s">
        <v>3</v>
      </c>
      <c r="H1" s="40"/>
      <c r="I1" s="10"/>
      <c r="J1" s="42" t="s">
        <v>4</v>
      </c>
      <c r="K1" s="40"/>
      <c r="L1" s="10"/>
      <c r="M1" s="42" t="s">
        <v>5</v>
      </c>
      <c r="N1" s="40"/>
      <c r="O1" s="10"/>
      <c r="P1" s="39" t="s">
        <v>6</v>
      </c>
      <c r="Q1" s="40"/>
      <c r="R1" s="10"/>
      <c r="S1" s="39" t="s">
        <v>7</v>
      </c>
      <c r="T1" s="40"/>
      <c r="U1" s="10"/>
      <c r="V1" s="39" t="s">
        <v>15</v>
      </c>
      <c r="W1" s="40"/>
      <c r="X1" s="10"/>
      <c r="Y1" s="42" t="s">
        <v>16</v>
      </c>
      <c r="Z1" s="40"/>
      <c r="AA1" s="10"/>
      <c r="AB1" s="42" t="s">
        <v>17</v>
      </c>
      <c r="AC1" s="40"/>
      <c r="AD1" s="10"/>
      <c r="AE1" s="42" t="s">
        <v>18</v>
      </c>
      <c r="AF1" s="40"/>
      <c r="AG1" s="10"/>
      <c r="AH1" s="39" t="s">
        <v>19</v>
      </c>
      <c r="AI1" s="40"/>
      <c r="AJ1" s="10"/>
      <c r="AK1" s="39" t="s">
        <v>20</v>
      </c>
      <c r="AL1" s="40"/>
      <c r="AM1" s="10"/>
      <c r="AN1" s="39" t="s">
        <v>21</v>
      </c>
      <c r="AO1" s="40"/>
      <c r="AP1" s="10"/>
      <c r="AQ1" s="39" t="s">
        <v>22</v>
      </c>
      <c r="AR1" s="40"/>
      <c r="AS1" s="10"/>
      <c r="AT1" s="39" t="s">
        <v>23</v>
      </c>
      <c r="AU1" s="40"/>
      <c r="AV1" s="10"/>
      <c r="AW1" s="39" t="s">
        <v>24</v>
      </c>
      <c r="AX1" s="40"/>
      <c r="AY1" s="10"/>
      <c r="AZ1" s="41" t="s">
        <v>25</v>
      </c>
      <c r="BA1" s="40"/>
    </row>
    <row r="2" spans="1:53" ht="15" customHeight="1" x14ac:dyDescent="0.25">
      <c r="A2" t="s">
        <v>30</v>
      </c>
      <c r="B2" s="12">
        <v>1176</v>
      </c>
      <c r="C2" s="37"/>
      <c r="D2" s="12" t="s">
        <v>116</v>
      </c>
      <c r="E2" s="12">
        <v>727</v>
      </c>
      <c r="F2" s="38"/>
      <c r="G2" s="12" t="s">
        <v>46</v>
      </c>
      <c r="H2" s="12">
        <v>711</v>
      </c>
      <c r="I2" s="38"/>
      <c r="J2" t="s">
        <v>81</v>
      </c>
      <c r="K2">
        <f>COUNTIF('Form responses'!E2:E1293, J2)</f>
        <v>799</v>
      </c>
      <c r="L2" s="38"/>
      <c r="M2" s="12" t="s">
        <v>36</v>
      </c>
      <c r="N2" s="12">
        <v>212</v>
      </c>
      <c r="O2" s="38"/>
      <c r="P2" t="s">
        <v>87</v>
      </c>
      <c r="Q2" s="12">
        <v>728</v>
      </c>
      <c r="R2" s="38"/>
      <c r="S2" t="s">
        <v>142</v>
      </c>
      <c r="T2" s="13">
        <v>116</v>
      </c>
      <c r="U2" s="38"/>
      <c r="V2" t="s">
        <v>92</v>
      </c>
      <c r="W2" s="12">
        <v>330</v>
      </c>
      <c r="X2" s="38"/>
      <c r="Y2" s="12" t="s">
        <v>145</v>
      </c>
      <c r="Z2" s="12">
        <v>755</v>
      </c>
      <c r="AA2" s="38"/>
      <c r="AB2" t="s">
        <v>98</v>
      </c>
      <c r="AC2" s="12">
        <v>251</v>
      </c>
      <c r="AD2" s="38"/>
      <c r="AE2" t="s">
        <v>131</v>
      </c>
      <c r="AF2" s="12">
        <v>428</v>
      </c>
      <c r="AG2" s="38"/>
      <c r="AH2" s="8" t="s">
        <v>149</v>
      </c>
      <c r="AI2" s="14">
        <v>226</v>
      </c>
      <c r="AJ2" s="38"/>
      <c r="AK2" s="12" t="s">
        <v>54</v>
      </c>
      <c r="AL2" s="12">
        <v>872</v>
      </c>
      <c r="AM2" s="38"/>
      <c r="AN2" t="s">
        <v>67</v>
      </c>
      <c r="AO2" s="12">
        <v>579</v>
      </c>
      <c r="AP2" s="38"/>
      <c r="AQ2" s="12" t="s">
        <v>56</v>
      </c>
      <c r="AR2" s="12">
        <v>1133</v>
      </c>
      <c r="AS2" s="38"/>
      <c r="AT2" t="s">
        <v>75</v>
      </c>
      <c r="AU2" s="12">
        <v>491</v>
      </c>
      <c r="AV2" s="38"/>
      <c r="AW2" s="12" t="s">
        <v>58</v>
      </c>
      <c r="AX2" s="11">
        <v>504</v>
      </c>
      <c r="AY2" s="38"/>
      <c r="AZ2" s="15" t="s">
        <v>77</v>
      </c>
      <c r="BA2" s="16">
        <v>406</v>
      </c>
    </row>
    <row r="3" spans="1:53" ht="15" customHeight="1" x14ac:dyDescent="0.25">
      <c r="A3" t="s">
        <v>26</v>
      </c>
      <c r="B3" s="12">
        <v>586</v>
      </c>
      <c r="C3" s="35"/>
      <c r="D3" s="12" t="s">
        <v>95</v>
      </c>
      <c r="E3" s="12">
        <v>680</v>
      </c>
      <c r="F3" s="35"/>
      <c r="G3" s="12" t="s">
        <v>165</v>
      </c>
      <c r="H3" s="12">
        <v>583</v>
      </c>
      <c r="I3" s="35"/>
      <c r="J3" t="s">
        <v>48</v>
      </c>
      <c r="K3" s="17">
        <f>COUNTIF('Form responses'!E2:E1293, J3)</f>
        <v>486</v>
      </c>
      <c r="L3" s="35"/>
      <c r="M3" s="12" t="s">
        <v>175</v>
      </c>
      <c r="N3" s="13">
        <v>108</v>
      </c>
      <c r="O3" s="35"/>
      <c r="P3" s="12" t="s">
        <v>48</v>
      </c>
      <c r="Q3" s="12">
        <v>498</v>
      </c>
      <c r="R3" s="35"/>
      <c r="S3" t="s">
        <v>176</v>
      </c>
      <c r="T3" s="13">
        <v>114</v>
      </c>
      <c r="U3" s="35"/>
      <c r="V3" t="s">
        <v>110</v>
      </c>
      <c r="W3" s="12">
        <v>174</v>
      </c>
      <c r="X3" s="35"/>
      <c r="Y3" s="12" t="s">
        <v>179</v>
      </c>
      <c r="Z3" s="12">
        <v>264</v>
      </c>
      <c r="AA3" s="35"/>
      <c r="AB3" t="s">
        <v>181</v>
      </c>
      <c r="AC3" s="12">
        <v>202</v>
      </c>
      <c r="AD3" s="35"/>
      <c r="AE3" t="s">
        <v>94</v>
      </c>
      <c r="AF3" s="12">
        <v>424</v>
      </c>
      <c r="AG3" s="35"/>
      <c r="AH3" s="8" t="s">
        <v>182</v>
      </c>
      <c r="AI3" s="14">
        <v>159</v>
      </c>
      <c r="AJ3" s="35"/>
      <c r="AK3" t="s">
        <v>114</v>
      </c>
      <c r="AL3" s="12">
        <v>203</v>
      </c>
      <c r="AM3" s="35"/>
      <c r="AN3" t="s">
        <v>101</v>
      </c>
      <c r="AO3" s="12">
        <v>448</v>
      </c>
      <c r="AP3" s="35"/>
      <c r="AQ3" t="s">
        <v>109</v>
      </c>
      <c r="AR3" s="12">
        <v>89</v>
      </c>
      <c r="AS3" s="35"/>
      <c r="AT3" t="s">
        <v>68</v>
      </c>
      <c r="AU3" s="12">
        <v>415</v>
      </c>
      <c r="AV3" s="35"/>
      <c r="AW3" t="s">
        <v>76</v>
      </c>
      <c r="AX3" s="11">
        <v>475</v>
      </c>
      <c r="AY3" s="35"/>
      <c r="AZ3" s="15" t="s">
        <v>115</v>
      </c>
      <c r="BA3" s="16">
        <v>127</v>
      </c>
    </row>
    <row r="4" spans="1:53" ht="15" customHeight="1" x14ac:dyDescent="0.25">
      <c r="A4" t="s">
        <v>31</v>
      </c>
      <c r="B4" s="12">
        <v>306</v>
      </c>
      <c r="C4" s="35"/>
      <c r="D4" s="12" t="s">
        <v>45</v>
      </c>
      <c r="E4" s="12">
        <v>629</v>
      </c>
      <c r="F4" s="35"/>
      <c r="G4" s="12" t="s">
        <v>91</v>
      </c>
      <c r="H4" s="12">
        <v>239</v>
      </c>
      <c r="I4" s="35"/>
      <c r="L4" s="35"/>
      <c r="M4" s="12" t="s">
        <v>186</v>
      </c>
      <c r="N4" s="12">
        <v>74</v>
      </c>
      <c r="O4" s="35"/>
      <c r="P4" t="s">
        <v>81</v>
      </c>
      <c r="Q4" s="12">
        <v>51</v>
      </c>
      <c r="R4" s="35"/>
      <c r="S4" t="s">
        <v>188</v>
      </c>
      <c r="T4" s="12">
        <v>103</v>
      </c>
      <c r="U4" s="35"/>
      <c r="V4" t="s">
        <v>106</v>
      </c>
      <c r="W4" s="12">
        <v>168</v>
      </c>
      <c r="X4" s="35"/>
      <c r="Y4" s="12" t="s">
        <v>189</v>
      </c>
      <c r="Z4" s="12">
        <v>156</v>
      </c>
      <c r="AA4" s="35"/>
      <c r="AB4" t="s">
        <v>121</v>
      </c>
      <c r="AC4" s="12">
        <v>200</v>
      </c>
      <c r="AD4" s="35"/>
      <c r="AE4" s="12" t="s">
        <v>52</v>
      </c>
      <c r="AF4" s="12">
        <v>159</v>
      </c>
      <c r="AG4" s="35"/>
      <c r="AH4" s="8" t="s">
        <v>192</v>
      </c>
      <c r="AI4" s="14">
        <v>128</v>
      </c>
      <c r="AJ4" s="35"/>
      <c r="AK4" t="s">
        <v>84</v>
      </c>
      <c r="AL4" s="12">
        <v>129</v>
      </c>
      <c r="AM4" s="35"/>
      <c r="AN4" s="12" t="s">
        <v>55</v>
      </c>
      <c r="AO4" s="12">
        <v>191</v>
      </c>
      <c r="AP4" s="35"/>
      <c r="AQ4" t="s">
        <v>57</v>
      </c>
      <c r="AR4" s="12">
        <v>61</v>
      </c>
      <c r="AS4" s="35"/>
      <c r="AT4" t="s">
        <v>161</v>
      </c>
      <c r="AU4" s="12">
        <v>218</v>
      </c>
      <c r="AV4" s="35"/>
      <c r="AW4" t="s">
        <v>57</v>
      </c>
      <c r="AX4" s="11">
        <v>152</v>
      </c>
      <c r="AY4" s="35"/>
      <c r="AZ4" s="15" t="s">
        <v>57</v>
      </c>
      <c r="BA4" s="16">
        <v>125</v>
      </c>
    </row>
    <row r="5" spans="1:53" ht="15" customHeight="1" x14ac:dyDescent="0.25">
      <c r="A5" t="s">
        <v>28</v>
      </c>
      <c r="B5" s="12">
        <v>189</v>
      </c>
      <c r="C5" s="35"/>
      <c r="D5" s="12" t="s">
        <v>195</v>
      </c>
      <c r="E5" s="12">
        <v>279</v>
      </c>
      <c r="F5" s="35"/>
      <c r="G5" s="12" t="s">
        <v>133</v>
      </c>
      <c r="H5" s="12">
        <v>233</v>
      </c>
      <c r="I5" s="35"/>
      <c r="L5" s="35"/>
      <c r="M5" s="12" t="s">
        <v>139</v>
      </c>
      <c r="N5" s="12">
        <v>59</v>
      </c>
      <c r="O5" s="35"/>
      <c r="R5" s="35"/>
      <c r="S5" t="s">
        <v>197</v>
      </c>
      <c r="T5" s="13">
        <v>93</v>
      </c>
      <c r="U5" s="35"/>
      <c r="V5" t="s">
        <v>89</v>
      </c>
      <c r="W5" s="12">
        <v>137</v>
      </c>
      <c r="X5" s="35"/>
      <c r="Y5" s="12" t="s">
        <v>199</v>
      </c>
      <c r="Z5" s="12">
        <v>69</v>
      </c>
      <c r="AA5" s="35"/>
      <c r="AB5" t="s">
        <v>112</v>
      </c>
      <c r="AC5" s="12">
        <v>165</v>
      </c>
      <c r="AD5" s="35"/>
      <c r="AE5" t="s">
        <v>99</v>
      </c>
      <c r="AF5" s="12">
        <v>134</v>
      </c>
      <c r="AG5" s="35"/>
      <c r="AH5" s="8" t="s">
        <v>201</v>
      </c>
      <c r="AI5" s="14">
        <v>105</v>
      </c>
      <c r="AJ5" s="35"/>
      <c r="AK5" t="s">
        <v>202</v>
      </c>
      <c r="AL5" s="12">
        <v>39</v>
      </c>
      <c r="AM5" s="35"/>
      <c r="AN5" t="s">
        <v>203</v>
      </c>
      <c r="AO5" s="12">
        <v>54</v>
      </c>
      <c r="AP5" s="35"/>
      <c r="AQ5" s="12"/>
      <c r="AR5" s="12"/>
      <c r="AS5" s="35"/>
      <c r="AT5" t="s">
        <v>205</v>
      </c>
      <c r="AU5" s="12">
        <v>100</v>
      </c>
      <c r="AV5" s="35"/>
      <c r="AW5" t="s">
        <v>126</v>
      </c>
      <c r="AX5" s="11">
        <v>133</v>
      </c>
      <c r="AY5" s="35"/>
      <c r="AZ5" s="15" t="s">
        <v>132</v>
      </c>
      <c r="BA5" s="16">
        <v>67</v>
      </c>
    </row>
    <row r="6" spans="1:53" ht="15" customHeight="1" x14ac:dyDescent="0.25">
      <c r="A6" t="s">
        <v>29</v>
      </c>
      <c r="B6" s="12">
        <v>93</v>
      </c>
      <c r="C6" s="35"/>
      <c r="D6" s="12" t="s">
        <v>206</v>
      </c>
      <c r="E6" s="12">
        <v>237</v>
      </c>
      <c r="F6" s="35"/>
      <c r="I6" s="35"/>
      <c r="L6" s="35"/>
      <c r="M6" s="12" t="s">
        <v>34</v>
      </c>
      <c r="N6" s="12">
        <v>54</v>
      </c>
      <c r="O6" s="35"/>
      <c r="R6" s="35"/>
      <c r="S6" t="s">
        <v>209</v>
      </c>
      <c r="T6" s="16">
        <v>86</v>
      </c>
      <c r="U6" s="35"/>
      <c r="V6" t="s">
        <v>73</v>
      </c>
      <c r="W6" s="12">
        <v>126</v>
      </c>
      <c r="X6" s="35"/>
      <c r="Y6" s="12" t="s">
        <v>211</v>
      </c>
      <c r="Z6" s="12">
        <v>60</v>
      </c>
      <c r="AA6" s="35"/>
      <c r="AB6" t="s">
        <v>212</v>
      </c>
      <c r="AC6" s="12">
        <v>161</v>
      </c>
      <c r="AD6" s="35"/>
      <c r="AE6" t="s">
        <v>168</v>
      </c>
      <c r="AF6" s="12">
        <v>110</v>
      </c>
      <c r="AG6" s="35"/>
      <c r="AH6" s="8" t="s">
        <v>214</v>
      </c>
      <c r="AI6" s="14">
        <v>86</v>
      </c>
      <c r="AJ6" s="35"/>
      <c r="AK6" t="s">
        <v>119</v>
      </c>
      <c r="AL6" s="12">
        <v>38</v>
      </c>
      <c r="AM6" s="35"/>
      <c r="AN6" s="12"/>
      <c r="AO6" s="12"/>
      <c r="AP6" s="35"/>
      <c r="AQ6" s="12"/>
      <c r="AR6" s="12"/>
      <c r="AS6" s="35"/>
      <c r="AT6" s="12" t="s">
        <v>57</v>
      </c>
      <c r="AU6" s="12">
        <v>61</v>
      </c>
      <c r="AV6" s="35"/>
      <c r="AW6" t="s">
        <v>144</v>
      </c>
      <c r="AX6" s="11">
        <v>27</v>
      </c>
      <c r="AY6" s="35"/>
      <c r="AZ6" s="15" t="s">
        <v>174</v>
      </c>
      <c r="BA6" s="16">
        <v>58</v>
      </c>
    </row>
    <row r="7" spans="1:53" ht="15" customHeight="1" x14ac:dyDescent="0.25">
      <c r="A7" s="12" t="s">
        <v>217</v>
      </c>
      <c r="B7" s="12">
        <v>22</v>
      </c>
      <c r="C7" s="35"/>
      <c r="D7" s="12" t="s">
        <v>218</v>
      </c>
      <c r="E7" s="12">
        <v>110</v>
      </c>
      <c r="F7" s="35"/>
      <c r="I7" s="35"/>
      <c r="L7" s="35"/>
      <c r="M7" s="12" t="s">
        <v>220</v>
      </c>
      <c r="N7" s="12">
        <v>48</v>
      </c>
      <c r="O7" s="35"/>
      <c r="R7" s="35"/>
      <c r="S7" t="s">
        <v>222</v>
      </c>
      <c r="T7" s="13">
        <v>79</v>
      </c>
      <c r="U7" s="35"/>
      <c r="V7" t="s">
        <v>64</v>
      </c>
      <c r="W7" s="12">
        <v>112</v>
      </c>
      <c r="X7" s="35"/>
      <c r="AA7" s="35"/>
      <c r="AB7" s="12" t="s">
        <v>51</v>
      </c>
      <c r="AC7" s="12">
        <v>145</v>
      </c>
      <c r="AD7" s="35"/>
      <c r="AE7" t="s">
        <v>65</v>
      </c>
      <c r="AF7" s="12">
        <v>32</v>
      </c>
      <c r="AG7" s="35"/>
      <c r="AH7" s="8" t="s">
        <v>224</v>
      </c>
      <c r="AI7" s="14">
        <v>78</v>
      </c>
      <c r="AJ7" s="35"/>
      <c r="AM7" s="35"/>
      <c r="AP7" s="35"/>
      <c r="AS7" s="35"/>
      <c r="AV7" s="35"/>
      <c r="AW7" t="s">
        <v>226</v>
      </c>
      <c r="AX7" s="11">
        <v>1</v>
      </c>
      <c r="AY7" s="35"/>
      <c r="AZ7" s="15" t="s">
        <v>187</v>
      </c>
      <c r="BA7" s="16">
        <v>56</v>
      </c>
    </row>
    <row r="8" spans="1:53" ht="15" customHeight="1" x14ac:dyDescent="0.25">
      <c r="A8" s="12" t="s">
        <v>12</v>
      </c>
      <c r="B8" s="12">
        <v>21</v>
      </c>
      <c r="C8" s="35"/>
      <c r="D8" s="12" t="s">
        <v>227</v>
      </c>
      <c r="E8" s="12">
        <v>102</v>
      </c>
      <c r="F8" s="35"/>
      <c r="I8" s="35"/>
      <c r="L8" s="35"/>
      <c r="M8" s="12" t="s">
        <v>231</v>
      </c>
      <c r="N8" s="12">
        <v>34</v>
      </c>
      <c r="O8" s="35"/>
      <c r="R8" s="35"/>
      <c r="S8" t="s">
        <v>232</v>
      </c>
      <c r="T8" s="16">
        <v>70</v>
      </c>
      <c r="U8" s="35"/>
      <c r="V8" t="s">
        <v>158</v>
      </c>
      <c r="W8" s="12">
        <v>92</v>
      </c>
      <c r="X8" s="35"/>
      <c r="AA8" s="35"/>
      <c r="AB8" t="s">
        <v>93</v>
      </c>
      <c r="AC8" s="12">
        <v>87</v>
      </c>
      <c r="AD8" s="35"/>
      <c r="AG8" s="35"/>
      <c r="AH8" s="8" t="s">
        <v>234</v>
      </c>
      <c r="AI8" s="14">
        <v>72</v>
      </c>
      <c r="AJ8" s="35"/>
      <c r="AM8" s="35"/>
      <c r="AP8" s="35"/>
      <c r="AS8" s="35"/>
      <c r="AV8" s="35"/>
      <c r="AY8" s="35"/>
      <c r="AZ8" s="15" t="s">
        <v>69</v>
      </c>
      <c r="BA8" s="16">
        <v>31</v>
      </c>
    </row>
    <row r="9" spans="1:53" ht="15" customHeight="1" x14ac:dyDescent="0.25">
      <c r="A9" s="12" t="s">
        <v>38</v>
      </c>
      <c r="B9" s="12">
        <v>11</v>
      </c>
      <c r="C9" s="35"/>
      <c r="F9" s="35"/>
      <c r="I9" s="35"/>
      <c r="L9" s="35"/>
      <c r="M9" s="12" t="s">
        <v>236</v>
      </c>
      <c r="N9" s="12">
        <v>29</v>
      </c>
      <c r="O9" s="35"/>
      <c r="R9" s="35"/>
      <c r="S9" s="12" t="s">
        <v>238</v>
      </c>
      <c r="T9" s="12">
        <v>69</v>
      </c>
      <c r="U9" s="35"/>
      <c r="V9" s="12" t="s">
        <v>50</v>
      </c>
      <c r="W9" s="12">
        <v>89</v>
      </c>
      <c r="X9" s="35"/>
      <c r="Y9" s="4"/>
      <c r="AA9" s="35"/>
      <c r="AB9" t="s">
        <v>167</v>
      </c>
      <c r="AC9" s="12">
        <v>41</v>
      </c>
      <c r="AD9" s="35"/>
      <c r="AG9" s="35"/>
      <c r="AH9" s="8" t="s">
        <v>242</v>
      </c>
      <c r="AI9" s="14">
        <v>63</v>
      </c>
      <c r="AJ9" s="35"/>
      <c r="AM9" s="35"/>
      <c r="AP9" s="35"/>
      <c r="AS9" s="35"/>
      <c r="AV9" s="35"/>
      <c r="AY9" s="35"/>
      <c r="AZ9" s="15" t="s">
        <v>244</v>
      </c>
      <c r="BA9" s="16">
        <v>31</v>
      </c>
    </row>
    <row r="10" spans="1:53" ht="15" customHeight="1" x14ac:dyDescent="0.25">
      <c r="A10" s="12" t="s">
        <v>245</v>
      </c>
      <c r="B10" s="12">
        <v>8</v>
      </c>
      <c r="C10" s="35"/>
      <c r="F10" s="35"/>
      <c r="I10" s="35"/>
      <c r="L10" s="35"/>
      <c r="M10" s="12" t="s">
        <v>211</v>
      </c>
      <c r="N10" s="12">
        <v>6</v>
      </c>
      <c r="O10" s="35"/>
      <c r="R10" s="35"/>
      <c r="S10" t="s">
        <v>246</v>
      </c>
      <c r="T10" s="12">
        <v>67</v>
      </c>
      <c r="U10" s="35"/>
      <c r="V10" t="s">
        <v>184</v>
      </c>
      <c r="W10" s="12">
        <v>44</v>
      </c>
      <c r="X10" s="35"/>
      <c r="AA10" s="35"/>
      <c r="AB10" t="s">
        <v>248</v>
      </c>
      <c r="AC10" s="12">
        <v>16</v>
      </c>
      <c r="AD10" s="35"/>
      <c r="AG10" s="35"/>
      <c r="AH10" s="8" t="s">
        <v>249</v>
      </c>
      <c r="AI10" s="14">
        <v>55</v>
      </c>
      <c r="AJ10" s="35"/>
      <c r="AM10" s="35"/>
      <c r="AP10" s="35"/>
      <c r="AS10" s="35"/>
      <c r="AV10" s="35"/>
      <c r="AY10" s="35"/>
      <c r="AZ10" s="16" t="s">
        <v>59</v>
      </c>
      <c r="BA10" s="16">
        <v>31</v>
      </c>
    </row>
    <row r="11" spans="1:53" ht="15" customHeight="1" x14ac:dyDescent="0.25">
      <c r="A11" t="s">
        <v>27</v>
      </c>
      <c r="B11" s="12">
        <v>8</v>
      </c>
      <c r="C11" s="35"/>
      <c r="F11" s="35"/>
      <c r="I11" s="35"/>
      <c r="L11" s="35"/>
      <c r="M11" s="12" t="s">
        <v>253</v>
      </c>
      <c r="N11" s="12">
        <v>6</v>
      </c>
      <c r="O11" s="35"/>
      <c r="R11" s="35"/>
      <c r="S11" s="4"/>
      <c r="U11" s="35"/>
      <c r="X11" s="35"/>
      <c r="AA11" s="35"/>
      <c r="AD11" s="35"/>
      <c r="AG11" s="35"/>
      <c r="AH11" s="8" t="s">
        <v>254</v>
      </c>
      <c r="AI11" s="14">
        <v>55</v>
      </c>
      <c r="AJ11" s="35"/>
      <c r="AM11" s="35"/>
      <c r="AP11" s="35"/>
      <c r="AS11" s="35"/>
      <c r="AV11" s="35"/>
      <c r="AY11" s="35"/>
      <c r="AZ11" s="15" t="s">
        <v>256</v>
      </c>
      <c r="BA11" s="16">
        <v>27</v>
      </c>
    </row>
    <row r="12" spans="1:53" ht="15" customHeight="1" x14ac:dyDescent="0.25">
      <c r="A12" s="12" t="s">
        <v>211</v>
      </c>
      <c r="B12" s="12">
        <v>7</v>
      </c>
      <c r="C12" s="35"/>
      <c r="F12" s="35"/>
      <c r="I12" s="35"/>
      <c r="L12" s="35"/>
      <c r="M12" s="4"/>
      <c r="O12" s="35"/>
      <c r="R12" s="35"/>
      <c r="U12" s="35"/>
      <c r="X12" s="35"/>
      <c r="AA12" s="35"/>
      <c r="AD12" s="35"/>
      <c r="AG12" s="35"/>
      <c r="AH12" s="4"/>
      <c r="AJ12" s="35"/>
      <c r="AM12" s="35"/>
      <c r="AP12" s="35"/>
      <c r="AS12" s="35"/>
      <c r="AV12" s="35"/>
      <c r="AY12" s="35"/>
      <c r="AZ12" s="15" t="s">
        <v>233</v>
      </c>
      <c r="BA12" s="16">
        <v>23</v>
      </c>
    </row>
    <row r="13" spans="1:53" ht="15" customHeight="1" x14ac:dyDescent="0.25">
      <c r="A13" s="12" t="s">
        <v>33</v>
      </c>
      <c r="B13" s="12">
        <v>2</v>
      </c>
      <c r="C13" s="35"/>
      <c r="F13" s="35"/>
      <c r="I13" s="35"/>
      <c r="L13" s="35"/>
      <c r="O13" s="35"/>
      <c r="R13" s="35"/>
      <c r="U13" s="35"/>
      <c r="X13" s="35"/>
      <c r="AA13" s="35"/>
      <c r="AD13" s="35"/>
      <c r="AG13" s="35"/>
      <c r="AJ13" s="35"/>
      <c r="AM13" s="35"/>
      <c r="AP13" s="35"/>
      <c r="AS13" s="35"/>
      <c r="AV13" s="35"/>
      <c r="AY13" s="35"/>
      <c r="AZ13" s="15" t="s">
        <v>259</v>
      </c>
      <c r="BA13" s="16">
        <v>20</v>
      </c>
    </row>
    <row r="14" spans="1:53" ht="15" customHeight="1" x14ac:dyDescent="0.25">
      <c r="A14" s="4"/>
      <c r="C14" s="35"/>
      <c r="F14" s="35"/>
      <c r="I14" s="35"/>
      <c r="L14" s="35"/>
      <c r="O14" s="35"/>
      <c r="R14" s="35"/>
      <c r="U14" s="35"/>
      <c r="X14" s="35"/>
      <c r="AA14" s="35"/>
      <c r="AD14" s="35"/>
      <c r="AG14" s="35"/>
      <c r="AJ14" s="35"/>
      <c r="AM14" s="35"/>
      <c r="AP14" s="35"/>
      <c r="AS14" s="35"/>
      <c r="AV14" s="35"/>
      <c r="AY14" s="35"/>
      <c r="AZ14" s="15" t="s">
        <v>260</v>
      </c>
      <c r="BA14" s="16">
        <v>16</v>
      </c>
    </row>
    <row r="15" spans="1:53" ht="15" customHeight="1" x14ac:dyDescent="0.25">
      <c r="A15" s="36" t="s">
        <v>263</v>
      </c>
      <c r="B15" s="35"/>
      <c r="C15" s="35"/>
      <c r="D15" s="18" t="s">
        <v>274</v>
      </c>
      <c r="E15" s="19"/>
      <c r="F15" s="35"/>
      <c r="G15" s="34"/>
      <c r="H15" s="35"/>
      <c r="I15" s="35"/>
      <c r="J15" s="34"/>
      <c r="K15" s="35"/>
      <c r="L15" s="35"/>
      <c r="M15" s="36" t="s">
        <v>279</v>
      </c>
      <c r="N15" s="35"/>
      <c r="O15" s="35"/>
      <c r="P15" s="34"/>
      <c r="Q15" s="35"/>
      <c r="R15" s="35"/>
      <c r="S15" s="36" t="s">
        <v>280</v>
      </c>
      <c r="T15" s="35"/>
      <c r="U15" s="35"/>
      <c r="V15" s="34"/>
      <c r="W15" s="35"/>
      <c r="X15" s="35"/>
      <c r="Y15" s="36" t="s">
        <v>281</v>
      </c>
      <c r="Z15" s="35"/>
      <c r="AA15" s="35"/>
      <c r="AB15" s="34"/>
      <c r="AC15" s="35"/>
      <c r="AD15" s="35"/>
      <c r="AE15" s="34"/>
      <c r="AF15" s="35"/>
      <c r="AG15" s="35"/>
      <c r="AH15" s="36" t="s">
        <v>283</v>
      </c>
      <c r="AI15" s="35"/>
      <c r="AJ15" s="35"/>
      <c r="AK15" s="34"/>
      <c r="AL15" s="35"/>
      <c r="AM15" s="35"/>
      <c r="AN15" s="34"/>
      <c r="AO15" s="35"/>
      <c r="AP15" s="35"/>
      <c r="AQ15" s="34"/>
      <c r="AR15" s="35"/>
      <c r="AS15" s="35"/>
      <c r="AT15" s="34"/>
      <c r="AU15" s="35"/>
      <c r="AV15" s="35"/>
      <c r="AW15" s="34"/>
      <c r="AX15" s="35"/>
      <c r="AY15" s="35"/>
      <c r="AZ15" s="15" t="s">
        <v>286</v>
      </c>
      <c r="BA15" s="16">
        <v>15</v>
      </c>
    </row>
    <row r="16" spans="1:53" ht="15" customHeight="1" x14ac:dyDescent="0.25">
      <c r="AY16" s="38"/>
      <c r="AZ16" s="15" t="s">
        <v>288</v>
      </c>
      <c r="BA16" s="16">
        <v>14</v>
      </c>
    </row>
    <row r="17" spans="51:53" ht="15" customHeight="1" x14ac:dyDescent="0.25">
      <c r="AY17" s="35"/>
      <c r="AZ17" s="15" t="s">
        <v>291</v>
      </c>
      <c r="BA17" s="16">
        <v>12</v>
      </c>
    </row>
    <row r="18" spans="51:53" ht="15" customHeight="1" x14ac:dyDescent="0.25">
      <c r="AY18" s="35"/>
      <c r="AZ18" s="15" t="s">
        <v>293</v>
      </c>
      <c r="BA18" s="16">
        <v>11</v>
      </c>
    </row>
    <row r="19" spans="51:53" ht="15" customHeight="1" x14ac:dyDescent="0.25">
      <c r="AY19" s="35"/>
      <c r="AZ19" s="15" t="s">
        <v>170</v>
      </c>
      <c r="BA19" s="16">
        <v>11</v>
      </c>
    </row>
    <row r="20" spans="51:53" ht="15" customHeight="1" x14ac:dyDescent="0.25">
      <c r="AY20" s="35"/>
      <c r="AZ20" s="15" t="s">
        <v>295</v>
      </c>
      <c r="BA20" s="16">
        <v>8</v>
      </c>
    </row>
    <row r="21" spans="51:53" ht="15" customHeight="1" x14ac:dyDescent="0.25">
      <c r="AY21" s="35"/>
      <c r="AZ21" s="15" t="s">
        <v>296</v>
      </c>
      <c r="BA21" s="16">
        <v>8</v>
      </c>
    </row>
    <row r="22" spans="51:53" ht="15" customHeight="1" x14ac:dyDescent="0.25">
      <c r="AY22" s="35"/>
      <c r="AZ22" s="15" t="s">
        <v>297</v>
      </c>
      <c r="BA22" s="16">
        <v>8</v>
      </c>
    </row>
    <row r="23" spans="51:53" ht="15" customHeight="1" x14ac:dyDescent="0.25">
      <c r="AY23" s="35"/>
      <c r="AZ23" s="15" t="s">
        <v>204</v>
      </c>
      <c r="BA23" s="16">
        <v>8</v>
      </c>
    </row>
    <row r="24" spans="51:53" ht="15" customHeight="1" x14ac:dyDescent="0.25">
      <c r="AY24" s="35"/>
      <c r="AZ24" s="15" t="s">
        <v>300</v>
      </c>
      <c r="BA24" s="16">
        <v>8</v>
      </c>
    </row>
    <row r="25" spans="51:53" ht="15" customHeight="1" x14ac:dyDescent="0.25">
      <c r="AY25" s="35"/>
      <c r="AZ25" s="15" t="s">
        <v>255</v>
      </c>
      <c r="BA25" s="16">
        <v>7</v>
      </c>
    </row>
    <row r="26" spans="51:53" ht="15" customHeight="1" x14ac:dyDescent="0.25">
      <c r="AY26" s="35"/>
      <c r="AZ26" s="15" t="s">
        <v>304</v>
      </c>
      <c r="BA26" s="16">
        <v>7</v>
      </c>
    </row>
    <row r="27" spans="51:53" ht="15" customHeight="1" x14ac:dyDescent="0.25">
      <c r="AY27" s="35"/>
      <c r="AZ27" s="15" t="s">
        <v>102</v>
      </c>
      <c r="BA27" s="16">
        <v>7</v>
      </c>
    </row>
    <row r="28" spans="51:53" ht="15" customHeight="1" x14ac:dyDescent="0.25">
      <c r="AY28" s="35"/>
      <c r="AZ28" s="15" t="s">
        <v>162</v>
      </c>
      <c r="BA28" s="16">
        <v>6</v>
      </c>
    </row>
    <row r="29" spans="51:53" ht="15" customHeight="1" x14ac:dyDescent="0.25">
      <c r="AY29" s="35"/>
      <c r="AZ29" s="15" t="s">
        <v>309</v>
      </c>
      <c r="BA29" s="16">
        <v>6</v>
      </c>
    </row>
    <row r="30" spans="51:53" ht="13.2" x14ac:dyDescent="0.25">
      <c r="AY30" s="38"/>
      <c r="AZ30" s="15" t="s">
        <v>312</v>
      </c>
      <c r="BA30" s="16">
        <v>6</v>
      </c>
    </row>
    <row r="31" spans="51:53" ht="13.2" x14ac:dyDescent="0.25">
      <c r="AY31" s="35"/>
      <c r="AZ31" s="15" t="s">
        <v>313</v>
      </c>
      <c r="BA31" s="16">
        <v>6</v>
      </c>
    </row>
    <row r="32" spans="51:53" ht="13.2" x14ac:dyDescent="0.25">
      <c r="AY32" s="35"/>
      <c r="AZ32" s="15" t="s">
        <v>314</v>
      </c>
      <c r="BA32" s="16">
        <v>6</v>
      </c>
    </row>
    <row r="33" spans="51:53" ht="13.2" x14ac:dyDescent="0.25">
      <c r="AY33" s="35"/>
      <c r="AZ33" s="15" t="s">
        <v>318</v>
      </c>
      <c r="BA33" s="16">
        <v>5</v>
      </c>
    </row>
    <row r="34" spans="51:53" ht="13.2" x14ac:dyDescent="0.25">
      <c r="AY34" s="35"/>
      <c r="AZ34" s="15" t="s">
        <v>320</v>
      </c>
      <c r="BA34" s="16">
        <v>5</v>
      </c>
    </row>
    <row r="35" spans="51:53" ht="13.2" x14ac:dyDescent="0.25">
      <c r="AY35" s="35"/>
      <c r="AZ35" s="15" t="s">
        <v>321</v>
      </c>
      <c r="BA35" s="16">
        <v>5</v>
      </c>
    </row>
    <row r="36" spans="51:53" ht="13.2" x14ac:dyDescent="0.25">
      <c r="AY36" s="35"/>
      <c r="AZ36" s="15" t="s">
        <v>324</v>
      </c>
      <c r="BA36" s="16">
        <v>5</v>
      </c>
    </row>
    <row r="37" spans="51:53" ht="13.2" x14ac:dyDescent="0.25">
      <c r="AY37" s="35"/>
      <c r="AZ37" s="15" t="s">
        <v>328</v>
      </c>
      <c r="BA37" s="16">
        <v>5</v>
      </c>
    </row>
    <row r="38" spans="51:53" ht="13.2" x14ac:dyDescent="0.25">
      <c r="AY38" s="35"/>
      <c r="AZ38" s="15" t="s">
        <v>137</v>
      </c>
      <c r="BA38" s="16">
        <v>5</v>
      </c>
    </row>
    <row r="39" spans="51:53" ht="13.2" x14ac:dyDescent="0.25">
      <c r="AY39" s="35"/>
      <c r="AZ39" s="15" t="s">
        <v>329</v>
      </c>
      <c r="BA39" s="16">
        <v>4</v>
      </c>
    </row>
    <row r="40" spans="51:53" ht="13.2" x14ac:dyDescent="0.25">
      <c r="AY40" s="35"/>
      <c r="AZ40" s="15" t="s">
        <v>333</v>
      </c>
      <c r="BA40" s="16">
        <v>4</v>
      </c>
    </row>
    <row r="41" spans="51:53" ht="13.2" x14ac:dyDescent="0.25">
      <c r="AY41" s="35"/>
      <c r="AZ41" s="15" t="s">
        <v>334</v>
      </c>
      <c r="BA41" s="16">
        <v>4</v>
      </c>
    </row>
    <row r="42" spans="51:53" ht="13.2" x14ac:dyDescent="0.25">
      <c r="AY42" s="35"/>
      <c r="AZ42" s="15" t="s">
        <v>335</v>
      </c>
      <c r="BA42" s="16">
        <v>4</v>
      </c>
    </row>
    <row r="43" spans="51:53" ht="13.2" x14ac:dyDescent="0.25">
      <c r="AY43" s="35"/>
      <c r="AZ43" s="15" t="s">
        <v>338</v>
      </c>
      <c r="BA43" s="16">
        <v>4</v>
      </c>
    </row>
    <row r="44" spans="51:53" ht="13.2" x14ac:dyDescent="0.25">
      <c r="AY44" s="38"/>
      <c r="AZ44" s="15" t="s">
        <v>340</v>
      </c>
      <c r="BA44" s="16">
        <v>4</v>
      </c>
    </row>
    <row r="45" spans="51:53" ht="13.2" x14ac:dyDescent="0.25">
      <c r="AY45" s="35"/>
      <c r="AZ45" s="15" t="s">
        <v>344</v>
      </c>
      <c r="BA45" s="16">
        <v>4</v>
      </c>
    </row>
    <row r="46" spans="51:53" ht="13.2" x14ac:dyDescent="0.25">
      <c r="AY46" s="35"/>
      <c r="AZ46" s="15" t="s">
        <v>347</v>
      </c>
      <c r="BA46" s="16">
        <v>4</v>
      </c>
    </row>
    <row r="47" spans="51:53" ht="13.2" x14ac:dyDescent="0.25">
      <c r="AY47" s="35"/>
      <c r="AZ47" s="15" t="s">
        <v>348</v>
      </c>
      <c r="BA47" s="16">
        <v>3</v>
      </c>
    </row>
    <row r="48" spans="51:53" ht="13.2" x14ac:dyDescent="0.25">
      <c r="AY48" s="35"/>
      <c r="AZ48" s="15" t="s">
        <v>350</v>
      </c>
      <c r="BA48" s="16">
        <v>3</v>
      </c>
    </row>
    <row r="49" spans="51:53" ht="13.2" x14ac:dyDescent="0.25">
      <c r="AY49" s="35"/>
      <c r="AZ49" s="15" t="s">
        <v>225</v>
      </c>
      <c r="BA49" s="16">
        <v>3</v>
      </c>
    </row>
    <row r="50" spans="51:53" ht="13.2" x14ac:dyDescent="0.25">
      <c r="AY50" s="35"/>
      <c r="AZ50" s="15" t="s">
        <v>353</v>
      </c>
      <c r="BA50" s="16">
        <v>3</v>
      </c>
    </row>
    <row r="51" spans="51:53" ht="13.2" x14ac:dyDescent="0.25">
      <c r="AY51" s="35"/>
      <c r="AZ51" s="15" t="s">
        <v>356</v>
      </c>
      <c r="BA51" s="16">
        <v>3</v>
      </c>
    </row>
    <row r="52" spans="51:53" ht="13.2" x14ac:dyDescent="0.25">
      <c r="AY52" s="35"/>
      <c r="AZ52" s="15" t="s">
        <v>359</v>
      </c>
      <c r="BA52" s="16">
        <v>2</v>
      </c>
    </row>
    <row r="53" spans="51:53" ht="13.2" x14ac:dyDescent="0.25">
      <c r="AY53" s="35"/>
      <c r="AZ53" s="15" t="s">
        <v>360</v>
      </c>
      <c r="BA53" s="16">
        <v>2</v>
      </c>
    </row>
    <row r="54" spans="51:53" ht="13.2" x14ac:dyDescent="0.25">
      <c r="AY54" s="35"/>
      <c r="AZ54" s="15" t="s">
        <v>361</v>
      </c>
      <c r="BA54" s="16">
        <v>2</v>
      </c>
    </row>
    <row r="55" spans="51:53" ht="13.2" x14ac:dyDescent="0.25">
      <c r="AY55" s="35"/>
      <c r="AZ55" s="15" t="s">
        <v>362</v>
      </c>
      <c r="BA55" s="16">
        <v>2</v>
      </c>
    </row>
    <row r="56" spans="51:53" ht="13.2" x14ac:dyDescent="0.25">
      <c r="AY56" s="35"/>
      <c r="AZ56" s="15" t="s">
        <v>363</v>
      </c>
      <c r="BA56" s="16">
        <v>2</v>
      </c>
    </row>
    <row r="57" spans="51:53" ht="13.2" x14ac:dyDescent="0.25">
      <c r="AY57" s="35"/>
      <c r="AZ57" s="15" t="s">
        <v>364</v>
      </c>
      <c r="BA57" s="16">
        <v>1</v>
      </c>
    </row>
    <row r="58" spans="51:53" ht="13.2" x14ac:dyDescent="0.25">
      <c r="AY58" s="38"/>
      <c r="AZ58" s="15" t="s">
        <v>367</v>
      </c>
      <c r="BA58" s="16">
        <v>1</v>
      </c>
    </row>
    <row r="59" spans="51:53" ht="13.2" x14ac:dyDescent="0.25">
      <c r="AY59" s="35"/>
      <c r="AZ59" s="15" t="s">
        <v>368</v>
      </c>
      <c r="BA59" s="16">
        <v>1</v>
      </c>
    </row>
    <row r="60" spans="51:53" ht="13.2" x14ac:dyDescent="0.25">
      <c r="AY60" s="35"/>
      <c r="AZ60" s="15" t="s">
        <v>371</v>
      </c>
      <c r="BA60" s="16">
        <v>1</v>
      </c>
    </row>
    <row r="61" spans="51:53" ht="13.2" x14ac:dyDescent="0.25">
      <c r="AY61" s="35"/>
      <c r="AZ61" s="15" t="s">
        <v>374</v>
      </c>
      <c r="BA61" s="16">
        <v>1</v>
      </c>
    </row>
    <row r="62" spans="51:53" ht="13.2" x14ac:dyDescent="0.25">
      <c r="AY62" s="35"/>
      <c r="AZ62" s="15" t="s">
        <v>375</v>
      </c>
      <c r="BA62" s="16">
        <v>1</v>
      </c>
    </row>
    <row r="63" spans="51:53" ht="13.2" x14ac:dyDescent="0.25">
      <c r="AY63" s="35"/>
      <c r="AZ63" s="15" t="s">
        <v>376</v>
      </c>
      <c r="BA63" s="16">
        <v>1</v>
      </c>
    </row>
    <row r="64" spans="51:53" ht="13.2" x14ac:dyDescent="0.25">
      <c r="AY64" s="35"/>
      <c r="AZ64" s="15" t="s">
        <v>377</v>
      </c>
      <c r="BA64" s="16">
        <v>1</v>
      </c>
    </row>
    <row r="65" spans="51:53" ht="13.2" x14ac:dyDescent="0.25">
      <c r="AY65" s="35"/>
      <c r="AZ65" s="15" t="s">
        <v>381</v>
      </c>
      <c r="BA65" s="16">
        <v>1</v>
      </c>
    </row>
    <row r="66" spans="51:53" ht="13.2" x14ac:dyDescent="0.25">
      <c r="AY66" s="35"/>
      <c r="AZ66" s="15" t="s">
        <v>383</v>
      </c>
      <c r="BA66" s="16">
        <v>1</v>
      </c>
    </row>
    <row r="67" spans="51:53" ht="13.2" x14ac:dyDescent="0.25">
      <c r="AY67" s="35"/>
      <c r="AZ67" s="15" t="s">
        <v>385</v>
      </c>
      <c r="BA67" s="16">
        <v>1</v>
      </c>
    </row>
    <row r="68" spans="51:53" ht="13.2" x14ac:dyDescent="0.25">
      <c r="AY68" s="35"/>
      <c r="AZ68" s="15" t="s">
        <v>386</v>
      </c>
      <c r="BA68" s="16">
        <v>1</v>
      </c>
    </row>
    <row r="69" spans="51:53" ht="13.2" x14ac:dyDescent="0.25">
      <c r="AY69" s="35"/>
      <c r="AZ69" s="15" t="s">
        <v>387</v>
      </c>
      <c r="BA69" s="16">
        <v>1</v>
      </c>
    </row>
    <row r="70" spans="51:53" ht="13.2" x14ac:dyDescent="0.25">
      <c r="AY70" s="35"/>
      <c r="AZ70" s="15" t="s">
        <v>390</v>
      </c>
      <c r="BA70" s="16">
        <v>1</v>
      </c>
    </row>
    <row r="71" spans="51:53" ht="13.2" x14ac:dyDescent="0.25">
      <c r="AY71" s="35"/>
      <c r="AZ71" s="15" t="s">
        <v>391</v>
      </c>
      <c r="BA71" s="16">
        <v>1</v>
      </c>
    </row>
    <row r="72" spans="51:53" ht="13.2" x14ac:dyDescent="0.25">
      <c r="AY72" s="38"/>
      <c r="AZ72" s="15" t="s">
        <v>396</v>
      </c>
      <c r="BA72" s="16">
        <v>1</v>
      </c>
    </row>
    <row r="73" spans="51:53" ht="13.2" x14ac:dyDescent="0.25">
      <c r="AY73" s="35"/>
      <c r="AZ73" s="15" t="s">
        <v>398</v>
      </c>
      <c r="BA73" s="16">
        <v>1</v>
      </c>
    </row>
    <row r="74" spans="51:53" ht="13.2" x14ac:dyDescent="0.25">
      <c r="AY74" s="35"/>
      <c r="AZ74" s="15" t="s">
        <v>401</v>
      </c>
      <c r="BA74" s="16">
        <v>1</v>
      </c>
    </row>
    <row r="75" spans="51:53" ht="13.2" x14ac:dyDescent="0.25">
      <c r="AY75" s="35"/>
      <c r="AZ75" s="15" t="s">
        <v>403</v>
      </c>
      <c r="BA75" s="16">
        <v>1</v>
      </c>
    </row>
    <row r="76" spans="51:53" ht="13.2" x14ac:dyDescent="0.25">
      <c r="AY76" s="35"/>
      <c r="AZ76" s="15" t="s">
        <v>404</v>
      </c>
      <c r="BA76" s="16">
        <v>1</v>
      </c>
    </row>
    <row r="77" spans="51:53" ht="13.2" x14ac:dyDescent="0.25">
      <c r="AY77" s="35"/>
      <c r="AZ77" s="15" t="s">
        <v>266</v>
      </c>
      <c r="BA77" s="16">
        <v>1</v>
      </c>
    </row>
    <row r="78" spans="51:53" ht="13.2" x14ac:dyDescent="0.25">
      <c r="AY78" s="35"/>
      <c r="AZ78" s="15" t="s">
        <v>408</v>
      </c>
      <c r="BA78" s="16">
        <v>1</v>
      </c>
    </row>
    <row r="79" spans="51:53" ht="13.2" x14ac:dyDescent="0.25">
      <c r="AY79" s="35"/>
      <c r="AZ79" s="15" t="s">
        <v>409</v>
      </c>
      <c r="BA79" s="16">
        <v>1</v>
      </c>
    </row>
    <row r="80" spans="51:53" ht="13.2" x14ac:dyDescent="0.25">
      <c r="AY80" s="35"/>
      <c r="AZ80" s="15" t="s">
        <v>410</v>
      </c>
      <c r="BA80" s="16">
        <v>1</v>
      </c>
    </row>
    <row r="81" spans="51:53" ht="13.2" x14ac:dyDescent="0.25">
      <c r="AY81" s="35"/>
      <c r="AZ81" s="15" t="s">
        <v>411</v>
      </c>
      <c r="BA81" s="16">
        <v>1</v>
      </c>
    </row>
    <row r="82" spans="51:53" ht="13.2" x14ac:dyDescent="0.25">
      <c r="AY82" s="35"/>
      <c r="AZ82" s="15" t="s">
        <v>412</v>
      </c>
      <c r="BA82" s="16">
        <v>1</v>
      </c>
    </row>
    <row r="83" spans="51:53" ht="13.2" x14ac:dyDescent="0.25">
      <c r="AY83" s="35"/>
      <c r="AZ83" s="15" t="s">
        <v>415</v>
      </c>
      <c r="BA83" s="16">
        <v>1</v>
      </c>
    </row>
    <row r="84" spans="51:53" ht="13.2" x14ac:dyDescent="0.25">
      <c r="AY84" s="35"/>
      <c r="AZ84" s="15" t="s">
        <v>417</v>
      </c>
      <c r="BA84" s="16">
        <v>1</v>
      </c>
    </row>
    <row r="85" spans="51:53" ht="13.2" x14ac:dyDescent="0.25">
      <c r="AY85" s="35"/>
      <c r="AZ85" s="15" t="s">
        <v>418</v>
      </c>
      <c r="BA85" s="16">
        <v>1</v>
      </c>
    </row>
    <row r="86" spans="51:53" ht="13.2" x14ac:dyDescent="0.25">
      <c r="AZ86" s="15" t="s">
        <v>421</v>
      </c>
      <c r="BA86" s="16">
        <v>1</v>
      </c>
    </row>
    <row r="87" spans="51:53" ht="13.2" x14ac:dyDescent="0.25">
      <c r="AZ87" s="15" t="s">
        <v>424</v>
      </c>
      <c r="BA87" s="16">
        <v>1</v>
      </c>
    </row>
    <row r="88" spans="51:53" ht="13.2" x14ac:dyDescent="0.25">
      <c r="AZ88" s="15" t="s">
        <v>425</v>
      </c>
      <c r="BA88" s="16">
        <v>1</v>
      </c>
    </row>
    <row r="89" spans="51:53" ht="13.2" x14ac:dyDescent="0.25">
      <c r="AZ89" s="15"/>
      <c r="BA89" s="15"/>
    </row>
    <row r="90" spans="51:53" ht="13.2" x14ac:dyDescent="0.25">
      <c r="AZ90" s="15"/>
      <c r="BA90" s="15"/>
    </row>
    <row r="91" spans="51:53" ht="13.2" x14ac:dyDescent="0.25">
      <c r="AZ91" s="15"/>
      <c r="BA91" s="15"/>
    </row>
    <row r="92" spans="51:53" ht="13.2" x14ac:dyDescent="0.25">
      <c r="AZ92" s="15"/>
      <c r="BA92" s="15"/>
    </row>
    <row r="93" spans="51:53" ht="13.2" x14ac:dyDescent="0.25">
      <c r="AZ93" s="15"/>
      <c r="BA93" s="15"/>
    </row>
    <row r="94" spans="51:53" ht="13.2" x14ac:dyDescent="0.25">
      <c r="AZ94" s="15"/>
      <c r="BA94" s="15"/>
    </row>
    <row r="95" spans="51:53" ht="13.2" x14ac:dyDescent="0.25">
      <c r="AZ95" s="15"/>
      <c r="BA95" s="15"/>
    </row>
    <row r="96" spans="51:53" ht="13.2" x14ac:dyDescent="0.25">
      <c r="AZ96" s="15"/>
      <c r="BA96" s="15"/>
    </row>
    <row r="97" spans="52:53" ht="13.2" x14ac:dyDescent="0.25">
      <c r="AZ97" s="15"/>
      <c r="BA97" s="15"/>
    </row>
    <row r="98" spans="52:53" ht="13.2" x14ac:dyDescent="0.25">
      <c r="AZ98" s="15"/>
      <c r="BA98" s="15"/>
    </row>
    <row r="99" spans="52:53" ht="13.2" x14ac:dyDescent="0.25">
      <c r="AZ99" s="15"/>
      <c r="BA99" s="15"/>
    </row>
    <row r="100" spans="52:53" ht="13.2" x14ac:dyDescent="0.25">
      <c r="AZ100" s="15"/>
      <c r="BA100" s="15"/>
    </row>
    <row r="101" spans="52:53" ht="13.2" x14ac:dyDescent="0.25">
      <c r="AZ101" s="15"/>
      <c r="BA101" s="15"/>
    </row>
    <row r="102" spans="52:53" ht="13.2" x14ac:dyDescent="0.25">
      <c r="AZ102" s="15"/>
      <c r="BA102" s="15"/>
    </row>
    <row r="103" spans="52:53" ht="13.2" x14ac:dyDescent="0.25">
      <c r="AZ103" s="15"/>
      <c r="BA103" s="15"/>
    </row>
    <row r="104" spans="52:53" ht="13.2" x14ac:dyDescent="0.25">
      <c r="AZ104" s="15"/>
      <c r="BA104" s="15"/>
    </row>
    <row r="105" spans="52:53" ht="13.2" x14ac:dyDescent="0.25">
      <c r="AZ105" s="15"/>
      <c r="BA105" s="15"/>
    </row>
    <row r="106" spans="52:53" ht="13.2" x14ac:dyDescent="0.25">
      <c r="AZ106" s="15"/>
      <c r="BA106" s="15"/>
    </row>
    <row r="107" spans="52:53" ht="13.2" x14ac:dyDescent="0.25">
      <c r="AZ107" s="15"/>
      <c r="BA107" s="15"/>
    </row>
    <row r="108" spans="52:53" ht="13.2" x14ac:dyDescent="0.25">
      <c r="AZ108" s="15"/>
      <c r="BA108" s="15"/>
    </row>
    <row r="109" spans="52:53" ht="13.2" x14ac:dyDescent="0.25">
      <c r="AZ109" s="15"/>
      <c r="BA109" s="15"/>
    </row>
    <row r="110" spans="52:53" ht="13.2" x14ac:dyDescent="0.25">
      <c r="AZ110" s="15"/>
      <c r="BA110" s="15"/>
    </row>
    <row r="111" spans="52:53" ht="13.2" x14ac:dyDescent="0.25">
      <c r="AZ111" s="15"/>
      <c r="BA111" s="15"/>
    </row>
    <row r="112" spans="52:53" ht="13.2" x14ac:dyDescent="0.25">
      <c r="AZ112" s="15"/>
      <c r="BA112" s="15"/>
    </row>
    <row r="113" spans="52:53" ht="13.2" x14ac:dyDescent="0.25">
      <c r="AZ113" s="15"/>
      <c r="BA113" s="15"/>
    </row>
    <row r="114" spans="52:53" ht="13.2" x14ac:dyDescent="0.25">
      <c r="AZ114" s="15"/>
      <c r="BA114" s="15"/>
    </row>
    <row r="115" spans="52:53" ht="13.2" x14ac:dyDescent="0.25">
      <c r="AZ115" s="15"/>
      <c r="BA115" s="15"/>
    </row>
    <row r="116" spans="52:53" ht="13.2" x14ac:dyDescent="0.25">
      <c r="AZ116" s="15"/>
      <c r="BA116" s="15"/>
    </row>
    <row r="117" spans="52:53" ht="13.2" x14ac:dyDescent="0.25">
      <c r="AZ117" s="15"/>
      <c r="BA117" s="15"/>
    </row>
    <row r="118" spans="52:53" ht="13.2" x14ac:dyDescent="0.25">
      <c r="AZ118" s="15"/>
      <c r="BA118" s="15"/>
    </row>
    <row r="119" spans="52:53" ht="13.2" x14ac:dyDescent="0.25">
      <c r="AZ119" s="15"/>
      <c r="BA119" s="15"/>
    </row>
    <row r="120" spans="52:53" ht="13.2" x14ac:dyDescent="0.25">
      <c r="AZ120" s="15"/>
      <c r="BA120" s="15"/>
    </row>
    <row r="121" spans="52:53" ht="13.2" x14ac:dyDescent="0.25">
      <c r="AZ121" s="15"/>
      <c r="BA121" s="15"/>
    </row>
    <row r="122" spans="52:53" ht="13.2" x14ac:dyDescent="0.25">
      <c r="AZ122" s="15"/>
      <c r="BA122" s="15"/>
    </row>
    <row r="123" spans="52:53" ht="13.2" x14ac:dyDescent="0.25">
      <c r="AZ123" s="15"/>
      <c r="BA123" s="15"/>
    </row>
    <row r="124" spans="52:53" ht="13.2" x14ac:dyDescent="0.25">
      <c r="AZ124" s="15"/>
      <c r="BA124" s="15"/>
    </row>
    <row r="125" spans="52:53" ht="13.2" x14ac:dyDescent="0.25">
      <c r="AZ125" s="15"/>
      <c r="BA125" s="15"/>
    </row>
    <row r="126" spans="52:53" ht="13.2" x14ac:dyDescent="0.25">
      <c r="AZ126" s="15"/>
      <c r="BA126" s="15"/>
    </row>
    <row r="127" spans="52:53" ht="13.2" x14ac:dyDescent="0.25">
      <c r="AZ127" s="15"/>
      <c r="BA127" s="15"/>
    </row>
    <row r="128" spans="52:53" ht="13.2" x14ac:dyDescent="0.25">
      <c r="AZ128" s="15"/>
      <c r="BA128" s="15"/>
    </row>
    <row r="129" spans="52:53" ht="13.2" x14ac:dyDescent="0.25">
      <c r="AZ129" s="15"/>
      <c r="BA129" s="15"/>
    </row>
    <row r="130" spans="52:53" ht="13.2" x14ac:dyDescent="0.25">
      <c r="AZ130" s="15"/>
      <c r="BA130" s="15"/>
    </row>
    <row r="131" spans="52:53" ht="13.2" x14ac:dyDescent="0.25">
      <c r="AZ131" s="15"/>
      <c r="BA131" s="15"/>
    </row>
    <row r="132" spans="52:53" ht="13.2" x14ac:dyDescent="0.25">
      <c r="AZ132" s="15"/>
      <c r="BA132" s="15"/>
    </row>
    <row r="133" spans="52:53" ht="13.2" x14ac:dyDescent="0.25">
      <c r="AZ133" s="15"/>
      <c r="BA133" s="15"/>
    </row>
    <row r="134" spans="52:53" ht="13.2" x14ac:dyDescent="0.25">
      <c r="AZ134" s="15"/>
      <c r="BA134" s="15"/>
    </row>
    <row r="135" spans="52:53" ht="13.2" x14ac:dyDescent="0.25">
      <c r="AZ135" s="15"/>
      <c r="BA135" s="15"/>
    </row>
    <row r="136" spans="52:53" ht="13.2" x14ac:dyDescent="0.25">
      <c r="AZ136" s="15"/>
      <c r="BA136" s="15"/>
    </row>
    <row r="137" spans="52:53" ht="13.2" x14ac:dyDescent="0.25">
      <c r="AZ137" s="15"/>
      <c r="BA137" s="15"/>
    </row>
    <row r="138" spans="52:53" ht="13.2" x14ac:dyDescent="0.25">
      <c r="AZ138" s="15"/>
      <c r="BA138" s="15"/>
    </row>
    <row r="139" spans="52:53" ht="13.2" x14ac:dyDescent="0.25">
      <c r="AZ139" s="15"/>
      <c r="BA139" s="15"/>
    </row>
    <row r="140" spans="52:53" ht="13.2" x14ac:dyDescent="0.25">
      <c r="AZ140" s="15"/>
      <c r="BA140" s="15"/>
    </row>
    <row r="141" spans="52:53" ht="13.2" x14ac:dyDescent="0.25">
      <c r="AZ141" s="15"/>
      <c r="BA141" s="15"/>
    </row>
    <row r="142" spans="52:53" ht="13.2" x14ac:dyDescent="0.25">
      <c r="AZ142" s="15"/>
      <c r="BA142" s="15"/>
    </row>
    <row r="143" spans="52:53" ht="13.2" x14ac:dyDescent="0.25">
      <c r="AZ143" s="15"/>
      <c r="BA143" s="15"/>
    </row>
    <row r="144" spans="52:53" ht="13.2" x14ac:dyDescent="0.25">
      <c r="AZ144" s="15"/>
      <c r="BA144" s="15"/>
    </row>
    <row r="145" spans="52:53" ht="13.2" x14ac:dyDescent="0.25">
      <c r="AZ145" s="15"/>
      <c r="BA145" s="15"/>
    </row>
    <row r="146" spans="52:53" ht="13.2" x14ac:dyDescent="0.25">
      <c r="AZ146" s="15"/>
      <c r="BA146" s="15"/>
    </row>
    <row r="147" spans="52:53" ht="13.2" x14ac:dyDescent="0.25">
      <c r="AZ147" s="15"/>
      <c r="BA147" s="15"/>
    </row>
    <row r="148" spans="52:53" ht="13.2" x14ac:dyDescent="0.25">
      <c r="AZ148" s="15"/>
      <c r="BA148" s="15"/>
    </row>
    <row r="149" spans="52:53" ht="13.2" x14ac:dyDescent="0.25">
      <c r="AZ149" s="15"/>
      <c r="BA149" s="15"/>
    </row>
    <row r="150" spans="52:53" ht="13.2" x14ac:dyDescent="0.25">
      <c r="AZ150" s="15"/>
      <c r="BA150" s="15"/>
    </row>
    <row r="151" spans="52:53" ht="13.2" x14ac:dyDescent="0.25">
      <c r="AZ151" s="15"/>
      <c r="BA151" s="15"/>
    </row>
    <row r="152" spans="52:53" ht="13.2" x14ac:dyDescent="0.25">
      <c r="AZ152" s="15"/>
      <c r="BA152" s="15"/>
    </row>
    <row r="153" spans="52:53" ht="13.2" x14ac:dyDescent="0.25">
      <c r="AZ153" s="15"/>
      <c r="BA153" s="15"/>
    </row>
    <row r="154" spans="52:53" ht="13.2" x14ac:dyDescent="0.25">
      <c r="AZ154" s="15"/>
      <c r="BA154" s="15"/>
    </row>
    <row r="155" spans="52:53" ht="13.2" x14ac:dyDescent="0.25">
      <c r="AZ155" s="15"/>
      <c r="BA155" s="15"/>
    </row>
    <row r="156" spans="52:53" ht="13.2" x14ac:dyDescent="0.25">
      <c r="AZ156" s="15"/>
      <c r="BA156" s="15"/>
    </row>
    <row r="157" spans="52:53" ht="13.2" x14ac:dyDescent="0.25">
      <c r="AZ157" s="15"/>
      <c r="BA157" s="15"/>
    </row>
    <row r="158" spans="52:53" ht="13.2" x14ac:dyDescent="0.25">
      <c r="AZ158" s="15"/>
      <c r="BA158" s="15"/>
    </row>
    <row r="159" spans="52:53" ht="13.2" x14ac:dyDescent="0.25">
      <c r="AZ159" s="15"/>
      <c r="BA159" s="15"/>
    </row>
    <row r="160" spans="52:53" ht="13.2" x14ac:dyDescent="0.25">
      <c r="AZ160" s="15"/>
      <c r="BA160" s="15"/>
    </row>
    <row r="161" spans="52:53" ht="13.2" x14ac:dyDescent="0.25">
      <c r="AZ161" s="15"/>
      <c r="BA161" s="15"/>
    </row>
    <row r="162" spans="52:53" ht="13.2" x14ac:dyDescent="0.25">
      <c r="AZ162" s="15"/>
      <c r="BA162" s="15"/>
    </row>
    <row r="163" spans="52:53" ht="13.2" x14ac:dyDescent="0.25">
      <c r="AZ163" s="15"/>
      <c r="BA163" s="15"/>
    </row>
    <row r="164" spans="52:53" ht="13.2" x14ac:dyDescent="0.25">
      <c r="AZ164" s="15"/>
      <c r="BA164" s="15"/>
    </row>
    <row r="165" spans="52:53" ht="13.2" x14ac:dyDescent="0.25">
      <c r="AZ165" s="15"/>
      <c r="BA165" s="15"/>
    </row>
    <row r="166" spans="52:53" ht="13.2" x14ac:dyDescent="0.25">
      <c r="AZ166" s="15"/>
      <c r="BA166" s="15"/>
    </row>
    <row r="167" spans="52:53" ht="13.2" x14ac:dyDescent="0.25">
      <c r="AZ167" s="15"/>
      <c r="BA167" s="15"/>
    </row>
    <row r="168" spans="52:53" ht="13.2" x14ac:dyDescent="0.25">
      <c r="AZ168" s="15"/>
      <c r="BA168" s="15"/>
    </row>
    <row r="169" spans="52:53" ht="13.2" x14ac:dyDescent="0.25">
      <c r="AZ169" s="15"/>
      <c r="BA169" s="15"/>
    </row>
    <row r="170" spans="52:53" ht="13.2" x14ac:dyDescent="0.25">
      <c r="AZ170" s="15"/>
      <c r="BA170" s="15"/>
    </row>
    <row r="171" spans="52:53" ht="13.2" x14ac:dyDescent="0.25">
      <c r="AZ171" s="15"/>
      <c r="BA171" s="15"/>
    </row>
    <row r="172" spans="52:53" ht="13.2" x14ac:dyDescent="0.25">
      <c r="AZ172" s="15"/>
      <c r="BA172" s="15"/>
    </row>
    <row r="173" spans="52:53" ht="13.2" x14ac:dyDescent="0.25">
      <c r="AZ173" s="15"/>
      <c r="BA173" s="15"/>
    </row>
    <row r="174" spans="52:53" ht="13.2" x14ac:dyDescent="0.25">
      <c r="AZ174" s="15"/>
      <c r="BA174" s="15"/>
    </row>
    <row r="175" spans="52:53" ht="13.2" x14ac:dyDescent="0.25">
      <c r="AZ175" s="15"/>
      <c r="BA175" s="15"/>
    </row>
    <row r="176" spans="52:53" ht="13.2" x14ac:dyDescent="0.25">
      <c r="AZ176" s="15"/>
      <c r="BA176" s="15"/>
    </row>
    <row r="177" spans="52:53" ht="13.2" x14ac:dyDescent="0.25">
      <c r="AZ177" s="15"/>
      <c r="BA177" s="15"/>
    </row>
    <row r="178" spans="52:53" ht="13.2" x14ac:dyDescent="0.25">
      <c r="AZ178" s="15"/>
      <c r="BA178" s="15"/>
    </row>
    <row r="179" spans="52:53" ht="13.2" x14ac:dyDescent="0.25">
      <c r="AZ179" s="15"/>
      <c r="BA179" s="15"/>
    </row>
    <row r="180" spans="52:53" ht="13.2" x14ac:dyDescent="0.25">
      <c r="AZ180" s="15"/>
      <c r="BA180" s="15"/>
    </row>
    <row r="181" spans="52:53" ht="13.2" x14ac:dyDescent="0.25">
      <c r="AZ181" s="15"/>
      <c r="BA181" s="15"/>
    </row>
    <row r="182" spans="52:53" ht="13.2" x14ac:dyDescent="0.25">
      <c r="AZ182" s="15"/>
      <c r="BA182" s="15"/>
    </row>
    <row r="183" spans="52:53" ht="13.2" x14ac:dyDescent="0.25">
      <c r="AZ183" s="15"/>
      <c r="BA183" s="15"/>
    </row>
    <row r="184" spans="52:53" ht="13.2" x14ac:dyDescent="0.25">
      <c r="AZ184" s="15"/>
      <c r="BA184" s="15"/>
    </row>
    <row r="185" spans="52:53" ht="13.2" x14ac:dyDescent="0.25">
      <c r="AZ185" s="15"/>
      <c r="BA185" s="15"/>
    </row>
    <row r="186" spans="52:53" ht="13.2" x14ac:dyDescent="0.25">
      <c r="AZ186" s="15"/>
      <c r="BA186" s="15"/>
    </row>
    <row r="187" spans="52:53" ht="13.2" x14ac:dyDescent="0.25">
      <c r="AZ187" s="15"/>
      <c r="BA187" s="15"/>
    </row>
    <row r="188" spans="52:53" ht="13.2" x14ac:dyDescent="0.25">
      <c r="AZ188" s="15"/>
      <c r="BA188" s="15"/>
    </row>
    <row r="189" spans="52:53" ht="13.2" x14ac:dyDescent="0.25">
      <c r="AZ189" s="15"/>
      <c r="BA189" s="15"/>
    </row>
    <row r="190" spans="52:53" ht="13.2" x14ac:dyDescent="0.25">
      <c r="AZ190" s="15"/>
      <c r="BA190" s="15"/>
    </row>
    <row r="191" spans="52:53" ht="13.2" x14ac:dyDescent="0.25">
      <c r="AZ191" s="15"/>
      <c r="BA191" s="15"/>
    </row>
    <row r="192" spans="52:53" ht="13.2" x14ac:dyDescent="0.25">
      <c r="AZ192" s="15"/>
      <c r="BA192" s="15"/>
    </row>
    <row r="193" spans="52:53" ht="13.2" x14ac:dyDescent="0.25">
      <c r="AZ193" s="15"/>
      <c r="BA193" s="15"/>
    </row>
    <row r="194" spans="52:53" ht="13.2" x14ac:dyDescent="0.25">
      <c r="AZ194" s="15"/>
      <c r="BA194" s="15"/>
    </row>
    <row r="195" spans="52:53" ht="13.2" x14ac:dyDescent="0.25">
      <c r="AZ195" s="15"/>
      <c r="BA195" s="15"/>
    </row>
    <row r="196" spans="52:53" ht="13.2" x14ac:dyDescent="0.25">
      <c r="AZ196" s="15"/>
      <c r="BA196" s="15"/>
    </row>
    <row r="197" spans="52:53" ht="13.2" x14ac:dyDescent="0.25">
      <c r="AZ197" s="15"/>
      <c r="BA197" s="15"/>
    </row>
    <row r="198" spans="52:53" ht="13.2" x14ac:dyDescent="0.25">
      <c r="AZ198" s="15"/>
      <c r="BA198" s="15"/>
    </row>
    <row r="199" spans="52:53" ht="13.2" x14ac:dyDescent="0.25">
      <c r="AZ199" s="15"/>
      <c r="BA199" s="15"/>
    </row>
    <row r="200" spans="52:53" ht="13.2" x14ac:dyDescent="0.25">
      <c r="AZ200" s="15"/>
      <c r="BA200" s="15"/>
    </row>
    <row r="201" spans="52:53" ht="13.2" x14ac:dyDescent="0.25">
      <c r="AZ201" s="15"/>
      <c r="BA201" s="15"/>
    </row>
    <row r="202" spans="52:53" ht="13.2" x14ac:dyDescent="0.25">
      <c r="AZ202" s="15"/>
      <c r="BA202" s="15"/>
    </row>
    <row r="203" spans="52:53" ht="13.2" x14ac:dyDescent="0.25">
      <c r="AZ203" s="15"/>
      <c r="BA203" s="15"/>
    </row>
    <row r="204" spans="52:53" ht="13.2" x14ac:dyDescent="0.25">
      <c r="AZ204" s="15"/>
      <c r="BA204" s="15"/>
    </row>
    <row r="205" spans="52:53" ht="13.2" x14ac:dyDescent="0.25">
      <c r="AZ205" s="15"/>
      <c r="BA205" s="15"/>
    </row>
    <row r="206" spans="52:53" ht="13.2" x14ac:dyDescent="0.25">
      <c r="AZ206" s="15"/>
      <c r="BA206" s="15"/>
    </row>
    <row r="207" spans="52:53" ht="13.2" x14ac:dyDescent="0.25">
      <c r="AZ207" s="15"/>
      <c r="BA207" s="15"/>
    </row>
    <row r="208" spans="52:53" ht="13.2" x14ac:dyDescent="0.25">
      <c r="AZ208" s="15"/>
      <c r="BA208" s="15"/>
    </row>
    <row r="209" spans="52:53" ht="13.2" x14ac:dyDescent="0.25">
      <c r="AZ209" s="15"/>
      <c r="BA209" s="15"/>
    </row>
    <row r="210" spans="52:53" ht="13.2" x14ac:dyDescent="0.25">
      <c r="AZ210" s="15"/>
      <c r="BA210" s="15"/>
    </row>
    <row r="211" spans="52:53" ht="13.2" x14ac:dyDescent="0.25">
      <c r="AZ211" s="15"/>
      <c r="BA211" s="15"/>
    </row>
    <row r="212" spans="52:53" ht="13.2" x14ac:dyDescent="0.25">
      <c r="AZ212" s="15"/>
      <c r="BA212" s="15"/>
    </row>
    <row r="213" spans="52:53" ht="13.2" x14ac:dyDescent="0.25">
      <c r="AZ213" s="15"/>
      <c r="BA213" s="15"/>
    </row>
    <row r="214" spans="52:53" ht="13.2" x14ac:dyDescent="0.25">
      <c r="AZ214" s="15"/>
      <c r="BA214" s="15"/>
    </row>
    <row r="215" spans="52:53" ht="13.2" x14ac:dyDescent="0.25">
      <c r="AZ215" s="15"/>
      <c r="BA215" s="15"/>
    </row>
    <row r="216" spans="52:53" ht="13.2" x14ac:dyDescent="0.25">
      <c r="AZ216" s="15"/>
      <c r="BA216" s="15"/>
    </row>
    <row r="217" spans="52:53" ht="13.2" x14ac:dyDescent="0.25">
      <c r="AZ217" s="15"/>
      <c r="BA217" s="15"/>
    </row>
    <row r="218" spans="52:53" ht="13.2" x14ac:dyDescent="0.25">
      <c r="AZ218" s="15"/>
      <c r="BA218" s="15"/>
    </row>
    <row r="219" spans="52:53" ht="13.2" x14ac:dyDescent="0.25">
      <c r="AZ219" s="15"/>
      <c r="BA219" s="15"/>
    </row>
    <row r="220" spans="52:53" ht="13.2" x14ac:dyDescent="0.25">
      <c r="AZ220" s="15"/>
      <c r="BA220" s="15"/>
    </row>
    <row r="221" spans="52:53" ht="13.2" x14ac:dyDescent="0.25">
      <c r="AZ221" s="15"/>
      <c r="BA221" s="15"/>
    </row>
    <row r="222" spans="52:53" ht="13.2" x14ac:dyDescent="0.25">
      <c r="AZ222" s="15"/>
      <c r="BA222" s="15"/>
    </row>
    <row r="223" spans="52:53" ht="13.2" x14ac:dyDescent="0.25">
      <c r="AZ223" s="15"/>
      <c r="BA223" s="15"/>
    </row>
    <row r="224" spans="52:53" ht="13.2" x14ac:dyDescent="0.25">
      <c r="AZ224" s="15"/>
      <c r="BA224" s="15"/>
    </row>
    <row r="225" spans="52:53" ht="13.2" x14ac:dyDescent="0.25">
      <c r="AZ225" s="15"/>
      <c r="BA225" s="15"/>
    </row>
    <row r="226" spans="52:53" ht="13.2" x14ac:dyDescent="0.25">
      <c r="AZ226" s="15"/>
      <c r="BA226" s="15"/>
    </row>
    <row r="227" spans="52:53" ht="13.2" x14ac:dyDescent="0.25">
      <c r="AZ227" s="15"/>
      <c r="BA227" s="15"/>
    </row>
    <row r="228" spans="52:53" ht="13.2" x14ac:dyDescent="0.25">
      <c r="AZ228" s="15"/>
      <c r="BA228" s="15"/>
    </row>
    <row r="229" spans="52:53" ht="13.2" x14ac:dyDescent="0.25">
      <c r="AZ229" s="15"/>
      <c r="BA229" s="15"/>
    </row>
    <row r="230" spans="52:53" ht="13.2" x14ac:dyDescent="0.25">
      <c r="AZ230" s="15"/>
      <c r="BA230" s="15"/>
    </row>
    <row r="231" spans="52:53" ht="13.2" x14ac:dyDescent="0.25">
      <c r="AZ231" s="15"/>
      <c r="BA231" s="15"/>
    </row>
    <row r="232" spans="52:53" ht="13.2" x14ac:dyDescent="0.25">
      <c r="AZ232" s="15"/>
      <c r="BA232" s="15"/>
    </row>
    <row r="233" spans="52:53" ht="13.2" x14ac:dyDescent="0.25">
      <c r="AZ233" s="15"/>
      <c r="BA233" s="15"/>
    </row>
    <row r="234" spans="52:53" ht="13.2" x14ac:dyDescent="0.25">
      <c r="AZ234" s="15"/>
      <c r="BA234" s="15"/>
    </row>
    <row r="235" spans="52:53" ht="13.2" x14ac:dyDescent="0.25">
      <c r="AZ235" s="15"/>
      <c r="BA235" s="15"/>
    </row>
    <row r="236" spans="52:53" ht="13.2" x14ac:dyDescent="0.25">
      <c r="AZ236" s="15"/>
      <c r="BA236" s="15"/>
    </row>
    <row r="237" spans="52:53" ht="13.2" x14ac:dyDescent="0.25">
      <c r="AZ237" s="15"/>
      <c r="BA237" s="15"/>
    </row>
    <row r="238" spans="52:53" ht="13.2" x14ac:dyDescent="0.25">
      <c r="AZ238" s="15"/>
      <c r="BA238" s="15"/>
    </row>
    <row r="239" spans="52:53" ht="13.2" x14ac:dyDescent="0.25">
      <c r="AZ239" s="15"/>
      <c r="BA239" s="15"/>
    </row>
    <row r="240" spans="52:53" ht="13.2" x14ac:dyDescent="0.25">
      <c r="AZ240" s="15"/>
      <c r="BA240" s="15"/>
    </row>
    <row r="241" spans="52:53" ht="13.2" x14ac:dyDescent="0.25">
      <c r="AZ241" s="15"/>
      <c r="BA241" s="15"/>
    </row>
    <row r="242" spans="52:53" ht="13.2" x14ac:dyDescent="0.25">
      <c r="AZ242" s="15"/>
      <c r="BA242" s="15"/>
    </row>
    <row r="243" spans="52:53" ht="13.2" x14ac:dyDescent="0.25">
      <c r="AZ243" s="15"/>
      <c r="BA243" s="15"/>
    </row>
    <row r="244" spans="52:53" ht="13.2" x14ac:dyDescent="0.25">
      <c r="AZ244" s="15"/>
      <c r="BA244" s="15"/>
    </row>
    <row r="245" spans="52:53" ht="13.2" x14ac:dyDescent="0.25">
      <c r="AZ245" s="15"/>
      <c r="BA245" s="15"/>
    </row>
    <row r="246" spans="52:53" ht="13.2" x14ac:dyDescent="0.25">
      <c r="AZ246" s="15"/>
      <c r="BA246" s="15"/>
    </row>
    <row r="247" spans="52:53" ht="13.2" x14ac:dyDescent="0.25">
      <c r="AZ247" s="15"/>
      <c r="BA247" s="15"/>
    </row>
    <row r="248" spans="52:53" ht="13.2" x14ac:dyDescent="0.25">
      <c r="AZ248" s="15"/>
      <c r="BA248" s="15"/>
    </row>
    <row r="249" spans="52:53" ht="13.2" x14ac:dyDescent="0.25">
      <c r="AZ249" s="15"/>
      <c r="BA249" s="15"/>
    </row>
    <row r="250" spans="52:53" ht="13.2" x14ac:dyDescent="0.25">
      <c r="AZ250" s="15"/>
      <c r="BA250" s="15"/>
    </row>
    <row r="251" spans="52:53" ht="13.2" x14ac:dyDescent="0.25">
      <c r="AZ251" s="15"/>
      <c r="BA251" s="15"/>
    </row>
    <row r="252" spans="52:53" ht="13.2" x14ac:dyDescent="0.25">
      <c r="AZ252" s="15"/>
      <c r="BA252" s="15"/>
    </row>
    <row r="253" spans="52:53" ht="13.2" x14ac:dyDescent="0.25">
      <c r="AZ253" s="15"/>
      <c r="BA253" s="15"/>
    </row>
    <row r="254" spans="52:53" ht="13.2" x14ac:dyDescent="0.25">
      <c r="AZ254" s="15"/>
      <c r="BA254" s="15"/>
    </row>
    <row r="255" spans="52:53" ht="13.2" x14ac:dyDescent="0.25">
      <c r="AZ255" s="15"/>
      <c r="BA255" s="15"/>
    </row>
    <row r="256" spans="52:53" ht="13.2" x14ac:dyDescent="0.25">
      <c r="AZ256" s="15"/>
      <c r="BA256" s="15"/>
    </row>
    <row r="257" spans="52:53" ht="13.2" x14ac:dyDescent="0.25">
      <c r="AZ257" s="15"/>
      <c r="BA257" s="15"/>
    </row>
    <row r="258" spans="52:53" ht="13.2" x14ac:dyDescent="0.25">
      <c r="AZ258" s="15"/>
      <c r="BA258" s="15"/>
    </row>
    <row r="259" spans="52:53" ht="13.2" x14ac:dyDescent="0.25">
      <c r="AZ259" s="15"/>
      <c r="BA259" s="15"/>
    </row>
    <row r="260" spans="52:53" ht="13.2" x14ac:dyDescent="0.25">
      <c r="AZ260" s="15"/>
      <c r="BA260" s="15"/>
    </row>
    <row r="261" spans="52:53" ht="13.2" x14ac:dyDescent="0.25">
      <c r="AZ261" s="15"/>
      <c r="BA261" s="15"/>
    </row>
    <row r="262" spans="52:53" ht="13.2" x14ac:dyDescent="0.25">
      <c r="AZ262" s="15"/>
      <c r="BA262" s="15"/>
    </row>
    <row r="263" spans="52:53" ht="13.2" x14ac:dyDescent="0.25">
      <c r="AZ263" s="15"/>
      <c r="BA263" s="15"/>
    </row>
    <row r="264" spans="52:53" ht="13.2" x14ac:dyDescent="0.25">
      <c r="AZ264" s="15"/>
      <c r="BA264" s="15"/>
    </row>
    <row r="265" spans="52:53" ht="13.2" x14ac:dyDescent="0.25">
      <c r="AZ265" s="15"/>
      <c r="BA265" s="15"/>
    </row>
    <row r="266" spans="52:53" ht="13.2" x14ac:dyDescent="0.25">
      <c r="AZ266" s="15"/>
      <c r="BA266" s="15"/>
    </row>
    <row r="267" spans="52:53" ht="13.2" x14ac:dyDescent="0.25">
      <c r="AZ267" s="15"/>
      <c r="BA267" s="15"/>
    </row>
    <row r="268" spans="52:53" ht="13.2" x14ac:dyDescent="0.25">
      <c r="AZ268" s="15"/>
      <c r="BA268" s="15"/>
    </row>
    <row r="269" spans="52:53" ht="13.2" x14ac:dyDescent="0.25">
      <c r="AZ269" s="15"/>
      <c r="BA269" s="15"/>
    </row>
    <row r="270" spans="52:53" ht="13.2" x14ac:dyDescent="0.25">
      <c r="AZ270" s="15"/>
      <c r="BA270" s="15"/>
    </row>
    <row r="271" spans="52:53" ht="13.2" x14ac:dyDescent="0.25">
      <c r="AZ271" s="15"/>
      <c r="BA271" s="15"/>
    </row>
    <row r="272" spans="52:53" ht="13.2" x14ac:dyDescent="0.25">
      <c r="AZ272" s="15"/>
      <c r="BA272" s="15"/>
    </row>
    <row r="273" spans="52:53" ht="13.2" x14ac:dyDescent="0.25">
      <c r="AZ273" s="15"/>
      <c r="BA273" s="15"/>
    </row>
    <row r="274" spans="52:53" ht="13.2" x14ac:dyDescent="0.25">
      <c r="AZ274" s="15"/>
      <c r="BA274" s="15"/>
    </row>
    <row r="275" spans="52:53" ht="13.2" x14ac:dyDescent="0.25">
      <c r="AZ275" s="15"/>
      <c r="BA275" s="15"/>
    </row>
    <row r="276" spans="52:53" ht="13.2" x14ac:dyDescent="0.25">
      <c r="AZ276" s="15"/>
      <c r="BA276" s="15"/>
    </row>
    <row r="277" spans="52:53" ht="13.2" x14ac:dyDescent="0.25">
      <c r="AZ277" s="15"/>
      <c r="BA277" s="15"/>
    </row>
    <row r="278" spans="52:53" ht="13.2" x14ac:dyDescent="0.25">
      <c r="AZ278" s="15"/>
      <c r="BA278" s="15"/>
    </row>
    <row r="279" spans="52:53" ht="13.2" x14ac:dyDescent="0.25">
      <c r="AZ279" s="15"/>
      <c r="BA279" s="15"/>
    </row>
    <row r="280" spans="52:53" ht="13.2" x14ac:dyDescent="0.25">
      <c r="AZ280" s="15"/>
      <c r="BA280" s="15"/>
    </row>
    <row r="281" spans="52:53" ht="13.2" x14ac:dyDescent="0.25">
      <c r="AZ281" s="15"/>
      <c r="BA281" s="15"/>
    </row>
    <row r="282" spans="52:53" ht="13.2" x14ac:dyDescent="0.25">
      <c r="AZ282" s="15"/>
      <c r="BA282" s="15"/>
    </row>
    <row r="283" spans="52:53" ht="13.2" x14ac:dyDescent="0.25">
      <c r="AZ283" s="15"/>
      <c r="BA283" s="15"/>
    </row>
    <row r="284" spans="52:53" ht="13.2" x14ac:dyDescent="0.25">
      <c r="AZ284" s="15"/>
      <c r="BA284" s="15"/>
    </row>
    <row r="285" spans="52:53" ht="13.2" x14ac:dyDescent="0.25">
      <c r="AZ285" s="15"/>
      <c r="BA285" s="15"/>
    </row>
    <row r="286" spans="52:53" ht="13.2" x14ac:dyDescent="0.25">
      <c r="AZ286" s="15"/>
      <c r="BA286" s="15"/>
    </row>
    <row r="287" spans="52:53" ht="13.2" x14ac:dyDescent="0.25">
      <c r="AZ287" s="15"/>
      <c r="BA287" s="15"/>
    </row>
    <row r="288" spans="52:53" ht="13.2" x14ac:dyDescent="0.25">
      <c r="AZ288" s="15"/>
      <c r="BA288" s="15"/>
    </row>
    <row r="289" spans="52:53" ht="13.2" x14ac:dyDescent="0.25">
      <c r="AZ289" s="15"/>
      <c r="BA289" s="15"/>
    </row>
    <row r="290" spans="52:53" ht="13.2" x14ac:dyDescent="0.25">
      <c r="AZ290" s="15"/>
      <c r="BA290" s="15"/>
    </row>
    <row r="291" spans="52:53" ht="13.2" x14ac:dyDescent="0.25">
      <c r="AZ291" s="15"/>
      <c r="BA291" s="15"/>
    </row>
    <row r="292" spans="52:53" ht="13.2" x14ac:dyDescent="0.25">
      <c r="AZ292" s="15"/>
      <c r="BA292" s="15"/>
    </row>
    <row r="293" spans="52:53" ht="13.2" x14ac:dyDescent="0.25">
      <c r="AZ293" s="15"/>
      <c r="BA293" s="15"/>
    </row>
    <row r="294" spans="52:53" ht="13.2" x14ac:dyDescent="0.25">
      <c r="AZ294" s="15"/>
      <c r="BA294" s="15"/>
    </row>
    <row r="295" spans="52:53" ht="13.2" x14ac:dyDescent="0.25">
      <c r="AZ295" s="15"/>
      <c r="BA295" s="15"/>
    </row>
    <row r="296" spans="52:53" ht="13.2" x14ac:dyDescent="0.25">
      <c r="AZ296" s="15"/>
      <c r="BA296" s="15"/>
    </row>
    <row r="297" spans="52:53" ht="13.2" x14ac:dyDescent="0.25">
      <c r="AZ297" s="15"/>
      <c r="BA297" s="15"/>
    </row>
    <row r="298" spans="52:53" ht="13.2" x14ac:dyDescent="0.25">
      <c r="AZ298" s="15"/>
      <c r="BA298" s="15"/>
    </row>
    <row r="299" spans="52:53" ht="13.2" x14ac:dyDescent="0.25">
      <c r="AZ299" s="15"/>
      <c r="BA299" s="15"/>
    </row>
    <row r="300" spans="52:53" ht="13.2" x14ac:dyDescent="0.25">
      <c r="AZ300" s="15"/>
      <c r="BA300" s="15"/>
    </row>
    <row r="301" spans="52:53" ht="13.2" x14ac:dyDescent="0.25">
      <c r="AZ301" s="15"/>
      <c r="BA301" s="15"/>
    </row>
    <row r="302" spans="52:53" ht="13.2" x14ac:dyDescent="0.25">
      <c r="AZ302" s="15"/>
      <c r="BA302" s="15"/>
    </row>
    <row r="303" spans="52:53" ht="13.2" x14ac:dyDescent="0.25">
      <c r="AZ303" s="15"/>
      <c r="BA303" s="15"/>
    </row>
    <row r="304" spans="52:53" ht="13.2" x14ac:dyDescent="0.25">
      <c r="AZ304" s="15"/>
      <c r="BA304" s="15"/>
    </row>
    <row r="305" spans="52:53" ht="13.2" x14ac:dyDescent="0.25">
      <c r="AZ305" s="15"/>
      <c r="BA305" s="15"/>
    </row>
    <row r="306" spans="52:53" ht="13.2" x14ac:dyDescent="0.25">
      <c r="AZ306" s="15"/>
      <c r="BA306" s="15"/>
    </row>
    <row r="307" spans="52:53" ht="13.2" x14ac:dyDescent="0.25">
      <c r="AZ307" s="15"/>
      <c r="BA307" s="15"/>
    </row>
    <row r="308" spans="52:53" ht="13.2" x14ac:dyDescent="0.25">
      <c r="AZ308" s="15"/>
      <c r="BA308" s="15"/>
    </row>
    <row r="309" spans="52:53" ht="13.2" x14ac:dyDescent="0.25">
      <c r="AZ309" s="15"/>
      <c r="BA309" s="15"/>
    </row>
    <row r="310" spans="52:53" ht="13.2" x14ac:dyDescent="0.25">
      <c r="AZ310" s="15"/>
      <c r="BA310" s="15"/>
    </row>
    <row r="311" spans="52:53" ht="13.2" x14ac:dyDescent="0.25">
      <c r="AZ311" s="15"/>
      <c r="BA311" s="15"/>
    </row>
    <row r="312" spans="52:53" ht="13.2" x14ac:dyDescent="0.25">
      <c r="AZ312" s="15"/>
      <c r="BA312" s="15"/>
    </row>
    <row r="313" spans="52:53" ht="13.2" x14ac:dyDescent="0.25">
      <c r="AZ313" s="15"/>
      <c r="BA313" s="15"/>
    </row>
    <row r="314" spans="52:53" ht="13.2" x14ac:dyDescent="0.25">
      <c r="AZ314" s="15"/>
      <c r="BA314" s="15"/>
    </row>
    <row r="315" spans="52:53" ht="13.2" x14ac:dyDescent="0.25">
      <c r="AZ315" s="15"/>
      <c r="BA315" s="15"/>
    </row>
    <row r="316" spans="52:53" ht="13.2" x14ac:dyDescent="0.25">
      <c r="AZ316" s="15"/>
      <c r="BA316" s="15"/>
    </row>
    <row r="317" spans="52:53" ht="13.2" x14ac:dyDescent="0.25">
      <c r="AZ317" s="15"/>
      <c r="BA317" s="15"/>
    </row>
    <row r="318" spans="52:53" ht="13.2" x14ac:dyDescent="0.25">
      <c r="AZ318" s="15"/>
      <c r="BA318" s="15"/>
    </row>
    <row r="319" spans="52:53" ht="13.2" x14ac:dyDescent="0.25">
      <c r="AZ319" s="15"/>
      <c r="BA319" s="15"/>
    </row>
    <row r="320" spans="52:53" ht="13.2" x14ac:dyDescent="0.25">
      <c r="AZ320" s="15"/>
      <c r="BA320" s="15"/>
    </row>
    <row r="321" spans="52:53" ht="13.2" x14ac:dyDescent="0.25">
      <c r="AZ321" s="15"/>
      <c r="BA321" s="15"/>
    </row>
    <row r="322" spans="52:53" ht="13.2" x14ac:dyDescent="0.25">
      <c r="AZ322" s="15"/>
      <c r="BA322" s="15"/>
    </row>
    <row r="323" spans="52:53" ht="13.2" x14ac:dyDescent="0.25">
      <c r="AZ323" s="15"/>
      <c r="BA323" s="15"/>
    </row>
    <row r="324" spans="52:53" ht="13.2" x14ac:dyDescent="0.25">
      <c r="AZ324" s="15"/>
      <c r="BA324" s="15"/>
    </row>
    <row r="325" spans="52:53" ht="13.2" x14ac:dyDescent="0.25">
      <c r="AZ325" s="15"/>
      <c r="BA325" s="15"/>
    </row>
    <row r="326" spans="52:53" ht="13.2" x14ac:dyDescent="0.25">
      <c r="AZ326" s="15"/>
      <c r="BA326" s="15"/>
    </row>
    <row r="327" spans="52:53" ht="13.2" x14ac:dyDescent="0.25">
      <c r="AZ327" s="15"/>
      <c r="BA327" s="15"/>
    </row>
    <row r="328" spans="52:53" ht="13.2" x14ac:dyDescent="0.25">
      <c r="AZ328" s="15"/>
      <c r="BA328" s="15"/>
    </row>
    <row r="329" spans="52:53" ht="13.2" x14ac:dyDescent="0.25">
      <c r="AZ329" s="15"/>
      <c r="BA329" s="15"/>
    </row>
    <row r="330" spans="52:53" ht="13.2" x14ac:dyDescent="0.25">
      <c r="AZ330" s="15"/>
      <c r="BA330" s="15"/>
    </row>
    <row r="331" spans="52:53" ht="13.2" x14ac:dyDescent="0.25">
      <c r="AZ331" s="15"/>
      <c r="BA331" s="15"/>
    </row>
    <row r="332" spans="52:53" ht="13.2" x14ac:dyDescent="0.25">
      <c r="AZ332" s="15"/>
      <c r="BA332" s="15"/>
    </row>
    <row r="333" spans="52:53" ht="13.2" x14ac:dyDescent="0.25">
      <c r="AZ333" s="15"/>
      <c r="BA333" s="15"/>
    </row>
    <row r="334" spans="52:53" ht="13.2" x14ac:dyDescent="0.25">
      <c r="AZ334" s="15"/>
      <c r="BA334" s="15"/>
    </row>
    <row r="335" spans="52:53" ht="13.2" x14ac:dyDescent="0.25">
      <c r="AZ335" s="15"/>
      <c r="BA335" s="15"/>
    </row>
    <row r="336" spans="52:53" ht="13.2" x14ac:dyDescent="0.25">
      <c r="AZ336" s="15"/>
      <c r="BA336" s="15"/>
    </row>
    <row r="337" spans="52:53" ht="13.2" x14ac:dyDescent="0.25">
      <c r="AZ337" s="15"/>
      <c r="BA337" s="15"/>
    </row>
    <row r="338" spans="52:53" ht="13.2" x14ac:dyDescent="0.25">
      <c r="AZ338" s="15"/>
      <c r="BA338" s="15"/>
    </row>
    <row r="339" spans="52:53" ht="13.2" x14ac:dyDescent="0.25">
      <c r="AZ339" s="15"/>
      <c r="BA339" s="15"/>
    </row>
    <row r="340" spans="52:53" ht="13.2" x14ac:dyDescent="0.25">
      <c r="AZ340" s="15"/>
      <c r="BA340" s="15"/>
    </row>
    <row r="341" spans="52:53" ht="13.2" x14ac:dyDescent="0.25">
      <c r="AZ341" s="15"/>
      <c r="BA341" s="15"/>
    </row>
    <row r="342" spans="52:53" ht="13.2" x14ac:dyDescent="0.25">
      <c r="AZ342" s="15"/>
      <c r="BA342" s="15"/>
    </row>
    <row r="343" spans="52:53" ht="13.2" x14ac:dyDescent="0.25">
      <c r="AZ343" s="15"/>
      <c r="BA343" s="15"/>
    </row>
    <row r="344" spans="52:53" ht="13.2" x14ac:dyDescent="0.25">
      <c r="AZ344" s="15"/>
      <c r="BA344" s="15"/>
    </row>
    <row r="345" spans="52:53" ht="13.2" x14ac:dyDescent="0.25">
      <c r="AZ345" s="15"/>
      <c r="BA345" s="15"/>
    </row>
    <row r="346" spans="52:53" ht="13.2" x14ac:dyDescent="0.25">
      <c r="AZ346" s="15"/>
      <c r="BA346" s="15"/>
    </row>
    <row r="347" spans="52:53" ht="13.2" x14ac:dyDescent="0.25">
      <c r="AZ347" s="15"/>
      <c r="BA347" s="15"/>
    </row>
    <row r="348" spans="52:53" ht="13.2" x14ac:dyDescent="0.25">
      <c r="AZ348" s="15"/>
      <c r="BA348" s="15"/>
    </row>
    <row r="349" spans="52:53" ht="13.2" x14ac:dyDescent="0.25">
      <c r="AZ349" s="15"/>
      <c r="BA349" s="15"/>
    </row>
    <row r="350" spans="52:53" ht="13.2" x14ac:dyDescent="0.25">
      <c r="AZ350" s="15"/>
      <c r="BA350" s="15"/>
    </row>
    <row r="351" spans="52:53" ht="13.2" x14ac:dyDescent="0.25">
      <c r="AZ351" s="15"/>
      <c r="BA351" s="15"/>
    </row>
    <row r="352" spans="52:53" ht="13.2" x14ac:dyDescent="0.25">
      <c r="AZ352" s="15"/>
      <c r="BA352" s="15"/>
    </row>
    <row r="353" spans="52:53" ht="13.2" x14ac:dyDescent="0.25">
      <c r="AZ353" s="15"/>
      <c r="BA353" s="15"/>
    </row>
    <row r="354" spans="52:53" ht="13.2" x14ac:dyDescent="0.25">
      <c r="AZ354" s="15"/>
      <c r="BA354" s="15"/>
    </row>
    <row r="355" spans="52:53" ht="13.2" x14ac:dyDescent="0.25">
      <c r="AZ355" s="15"/>
      <c r="BA355" s="15"/>
    </row>
    <row r="356" spans="52:53" ht="13.2" x14ac:dyDescent="0.25">
      <c r="AZ356" s="15"/>
      <c r="BA356" s="15"/>
    </row>
    <row r="357" spans="52:53" ht="13.2" x14ac:dyDescent="0.25">
      <c r="AZ357" s="15"/>
      <c r="BA357" s="15"/>
    </row>
    <row r="358" spans="52:53" ht="13.2" x14ac:dyDescent="0.25">
      <c r="AZ358" s="15"/>
      <c r="BA358" s="15"/>
    </row>
    <row r="359" spans="52:53" ht="13.2" x14ac:dyDescent="0.25">
      <c r="AZ359" s="15"/>
      <c r="BA359" s="15"/>
    </row>
    <row r="360" spans="52:53" ht="13.2" x14ac:dyDescent="0.25">
      <c r="AZ360" s="15"/>
      <c r="BA360" s="15"/>
    </row>
    <row r="361" spans="52:53" ht="13.2" x14ac:dyDescent="0.25">
      <c r="AZ361" s="15"/>
      <c r="BA361" s="15"/>
    </row>
    <row r="362" spans="52:53" ht="13.2" x14ac:dyDescent="0.25">
      <c r="AZ362" s="15"/>
      <c r="BA362" s="15"/>
    </row>
    <row r="363" spans="52:53" ht="13.2" x14ac:dyDescent="0.25">
      <c r="AZ363" s="15"/>
      <c r="BA363" s="15"/>
    </row>
    <row r="364" spans="52:53" ht="13.2" x14ac:dyDescent="0.25">
      <c r="AZ364" s="15"/>
      <c r="BA364" s="15"/>
    </row>
    <row r="365" spans="52:53" ht="13.2" x14ac:dyDescent="0.25">
      <c r="AZ365" s="15"/>
      <c r="BA365" s="15"/>
    </row>
    <row r="366" spans="52:53" ht="13.2" x14ac:dyDescent="0.25">
      <c r="AZ366" s="15"/>
      <c r="BA366" s="15"/>
    </row>
    <row r="367" spans="52:53" ht="13.2" x14ac:dyDescent="0.25">
      <c r="AZ367" s="15"/>
      <c r="BA367" s="15"/>
    </row>
    <row r="368" spans="52:53" ht="13.2" x14ac:dyDescent="0.25">
      <c r="AZ368" s="15"/>
      <c r="BA368" s="15"/>
    </row>
    <row r="369" spans="52:53" ht="13.2" x14ac:dyDescent="0.25">
      <c r="AZ369" s="15"/>
      <c r="BA369" s="15"/>
    </row>
    <row r="370" spans="52:53" ht="13.2" x14ac:dyDescent="0.25">
      <c r="AZ370" s="15"/>
      <c r="BA370" s="15"/>
    </row>
    <row r="371" spans="52:53" ht="13.2" x14ac:dyDescent="0.25">
      <c r="AZ371" s="15"/>
      <c r="BA371" s="15"/>
    </row>
    <row r="372" spans="52:53" ht="13.2" x14ac:dyDescent="0.25">
      <c r="AZ372" s="15"/>
      <c r="BA372" s="15"/>
    </row>
    <row r="373" spans="52:53" ht="13.2" x14ac:dyDescent="0.25">
      <c r="AZ373" s="15"/>
      <c r="BA373" s="15"/>
    </row>
    <row r="374" spans="52:53" ht="13.2" x14ac:dyDescent="0.25">
      <c r="AZ374" s="15"/>
      <c r="BA374" s="15"/>
    </row>
    <row r="375" spans="52:53" ht="13.2" x14ac:dyDescent="0.25">
      <c r="AZ375" s="15"/>
      <c r="BA375" s="15"/>
    </row>
    <row r="376" spans="52:53" ht="13.2" x14ac:dyDescent="0.25">
      <c r="AZ376" s="15"/>
      <c r="BA376" s="15"/>
    </row>
    <row r="377" spans="52:53" ht="13.2" x14ac:dyDescent="0.25">
      <c r="AZ377" s="15"/>
      <c r="BA377" s="15"/>
    </row>
    <row r="378" spans="52:53" ht="13.2" x14ac:dyDescent="0.25">
      <c r="AZ378" s="15"/>
      <c r="BA378" s="15"/>
    </row>
    <row r="379" spans="52:53" ht="13.2" x14ac:dyDescent="0.25">
      <c r="AZ379" s="15"/>
      <c r="BA379" s="15"/>
    </row>
    <row r="380" spans="52:53" ht="13.2" x14ac:dyDescent="0.25">
      <c r="AZ380" s="15"/>
      <c r="BA380" s="15"/>
    </row>
    <row r="381" spans="52:53" ht="13.2" x14ac:dyDescent="0.25">
      <c r="AZ381" s="15"/>
      <c r="BA381" s="15"/>
    </row>
    <row r="382" spans="52:53" ht="13.2" x14ac:dyDescent="0.25">
      <c r="AZ382" s="15"/>
      <c r="BA382" s="15"/>
    </row>
    <row r="383" spans="52:53" ht="13.2" x14ac:dyDescent="0.25">
      <c r="AZ383" s="15"/>
      <c r="BA383" s="15"/>
    </row>
    <row r="384" spans="52:53" ht="13.2" x14ac:dyDescent="0.25">
      <c r="AZ384" s="15"/>
      <c r="BA384" s="15"/>
    </row>
    <row r="385" spans="52:53" ht="13.2" x14ac:dyDescent="0.25">
      <c r="AZ385" s="15"/>
      <c r="BA385" s="15"/>
    </row>
    <row r="386" spans="52:53" ht="13.2" x14ac:dyDescent="0.25">
      <c r="AZ386" s="15"/>
      <c r="BA386" s="15"/>
    </row>
    <row r="387" spans="52:53" ht="13.2" x14ac:dyDescent="0.25">
      <c r="AZ387" s="15"/>
      <c r="BA387" s="15"/>
    </row>
    <row r="388" spans="52:53" ht="13.2" x14ac:dyDescent="0.25">
      <c r="AZ388" s="15"/>
      <c r="BA388" s="15"/>
    </row>
    <row r="389" spans="52:53" ht="13.2" x14ac:dyDescent="0.25">
      <c r="AZ389" s="15"/>
      <c r="BA389" s="15"/>
    </row>
    <row r="390" spans="52:53" ht="13.2" x14ac:dyDescent="0.25">
      <c r="AZ390" s="15"/>
      <c r="BA390" s="15"/>
    </row>
    <row r="391" spans="52:53" ht="13.2" x14ac:dyDescent="0.25">
      <c r="AZ391" s="15"/>
      <c r="BA391" s="15"/>
    </row>
    <row r="392" spans="52:53" ht="13.2" x14ac:dyDescent="0.25">
      <c r="AZ392" s="15"/>
      <c r="BA392" s="15"/>
    </row>
    <row r="393" spans="52:53" ht="13.2" x14ac:dyDescent="0.25">
      <c r="AZ393" s="15"/>
      <c r="BA393" s="15"/>
    </row>
    <row r="394" spans="52:53" ht="13.2" x14ac:dyDescent="0.25">
      <c r="AZ394" s="15"/>
      <c r="BA394" s="15"/>
    </row>
    <row r="395" spans="52:53" ht="13.2" x14ac:dyDescent="0.25">
      <c r="AZ395" s="15"/>
      <c r="BA395" s="15"/>
    </row>
    <row r="396" spans="52:53" ht="13.2" x14ac:dyDescent="0.25">
      <c r="AZ396" s="15"/>
      <c r="BA396" s="15"/>
    </row>
    <row r="397" spans="52:53" ht="13.2" x14ac:dyDescent="0.25">
      <c r="AZ397" s="15"/>
      <c r="BA397" s="15"/>
    </row>
    <row r="398" spans="52:53" ht="13.2" x14ac:dyDescent="0.25">
      <c r="AZ398" s="15"/>
      <c r="BA398" s="15"/>
    </row>
    <row r="399" spans="52:53" ht="13.2" x14ac:dyDescent="0.25">
      <c r="AZ399" s="15"/>
      <c r="BA399" s="15"/>
    </row>
    <row r="400" spans="52:53" ht="13.2" x14ac:dyDescent="0.25">
      <c r="AZ400" s="15"/>
      <c r="BA400" s="15"/>
    </row>
    <row r="401" spans="52:53" ht="13.2" x14ac:dyDescent="0.25">
      <c r="AZ401" s="15"/>
      <c r="BA401" s="15"/>
    </row>
    <row r="402" spans="52:53" ht="13.2" x14ac:dyDescent="0.25">
      <c r="AZ402" s="15"/>
      <c r="BA402" s="15"/>
    </row>
    <row r="403" spans="52:53" ht="13.2" x14ac:dyDescent="0.25">
      <c r="AZ403" s="15"/>
      <c r="BA403" s="15"/>
    </row>
    <row r="404" spans="52:53" ht="13.2" x14ac:dyDescent="0.25">
      <c r="AZ404" s="15"/>
      <c r="BA404" s="15"/>
    </row>
    <row r="405" spans="52:53" ht="13.2" x14ac:dyDescent="0.25">
      <c r="AZ405" s="15"/>
      <c r="BA405" s="15"/>
    </row>
    <row r="406" spans="52:53" ht="13.2" x14ac:dyDescent="0.25">
      <c r="AZ406" s="15"/>
      <c r="BA406" s="15"/>
    </row>
    <row r="407" spans="52:53" ht="13.2" x14ac:dyDescent="0.25">
      <c r="AZ407" s="15"/>
      <c r="BA407" s="15"/>
    </row>
    <row r="408" spans="52:53" ht="13.2" x14ac:dyDescent="0.25">
      <c r="AZ408" s="15"/>
      <c r="BA408" s="15"/>
    </row>
    <row r="409" spans="52:53" ht="13.2" x14ac:dyDescent="0.25">
      <c r="AZ409" s="15"/>
      <c r="BA409" s="15"/>
    </row>
    <row r="410" spans="52:53" ht="13.2" x14ac:dyDescent="0.25">
      <c r="AZ410" s="15"/>
      <c r="BA410" s="15"/>
    </row>
    <row r="411" spans="52:53" ht="13.2" x14ac:dyDescent="0.25">
      <c r="AZ411" s="15"/>
      <c r="BA411" s="15"/>
    </row>
    <row r="412" spans="52:53" ht="13.2" x14ac:dyDescent="0.25">
      <c r="AZ412" s="15"/>
      <c r="BA412" s="15"/>
    </row>
    <row r="413" spans="52:53" ht="13.2" x14ac:dyDescent="0.25">
      <c r="AZ413" s="15"/>
      <c r="BA413" s="15"/>
    </row>
    <row r="414" spans="52:53" ht="13.2" x14ac:dyDescent="0.25">
      <c r="AZ414" s="15"/>
      <c r="BA414" s="15"/>
    </row>
    <row r="415" spans="52:53" ht="13.2" x14ac:dyDescent="0.25">
      <c r="AZ415" s="15"/>
      <c r="BA415" s="15"/>
    </row>
    <row r="416" spans="52:53" ht="13.2" x14ac:dyDescent="0.25">
      <c r="AZ416" s="15"/>
      <c r="BA416" s="15"/>
    </row>
    <row r="417" spans="52:53" ht="13.2" x14ac:dyDescent="0.25">
      <c r="AZ417" s="15"/>
      <c r="BA417" s="15"/>
    </row>
    <row r="418" spans="52:53" ht="13.2" x14ac:dyDescent="0.25">
      <c r="AZ418" s="15"/>
      <c r="BA418" s="15"/>
    </row>
    <row r="419" spans="52:53" ht="13.2" x14ac:dyDescent="0.25">
      <c r="AZ419" s="15"/>
      <c r="BA419" s="15"/>
    </row>
    <row r="420" spans="52:53" ht="13.2" x14ac:dyDescent="0.25">
      <c r="AZ420" s="15"/>
      <c r="BA420" s="15"/>
    </row>
    <row r="421" spans="52:53" ht="13.2" x14ac:dyDescent="0.25">
      <c r="AZ421" s="15"/>
      <c r="BA421" s="15"/>
    </row>
    <row r="422" spans="52:53" ht="13.2" x14ac:dyDescent="0.25">
      <c r="AZ422" s="15"/>
      <c r="BA422" s="15"/>
    </row>
    <row r="423" spans="52:53" ht="13.2" x14ac:dyDescent="0.25">
      <c r="AZ423" s="15"/>
      <c r="BA423" s="15"/>
    </row>
    <row r="424" spans="52:53" ht="13.2" x14ac:dyDescent="0.25">
      <c r="AZ424" s="15"/>
      <c r="BA424" s="15"/>
    </row>
    <row r="425" spans="52:53" ht="13.2" x14ac:dyDescent="0.25">
      <c r="AZ425" s="15"/>
      <c r="BA425" s="15"/>
    </row>
    <row r="426" spans="52:53" ht="13.2" x14ac:dyDescent="0.25">
      <c r="AZ426" s="15"/>
      <c r="BA426" s="15"/>
    </row>
    <row r="427" spans="52:53" ht="13.2" x14ac:dyDescent="0.25">
      <c r="AZ427" s="15"/>
      <c r="BA427" s="15"/>
    </row>
    <row r="428" spans="52:53" ht="13.2" x14ac:dyDescent="0.25">
      <c r="AZ428" s="15"/>
      <c r="BA428" s="15"/>
    </row>
    <row r="429" spans="52:53" ht="13.2" x14ac:dyDescent="0.25">
      <c r="AZ429" s="15"/>
      <c r="BA429" s="15"/>
    </row>
    <row r="430" spans="52:53" ht="13.2" x14ac:dyDescent="0.25">
      <c r="AZ430" s="15"/>
      <c r="BA430" s="15"/>
    </row>
    <row r="431" spans="52:53" ht="13.2" x14ac:dyDescent="0.25">
      <c r="AZ431" s="15"/>
      <c r="BA431" s="15"/>
    </row>
    <row r="432" spans="52:53" ht="13.2" x14ac:dyDescent="0.25">
      <c r="AZ432" s="15"/>
      <c r="BA432" s="15"/>
    </row>
    <row r="433" spans="52:53" ht="13.2" x14ac:dyDescent="0.25">
      <c r="AZ433" s="15"/>
      <c r="BA433" s="15"/>
    </row>
    <row r="434" spans="52:53" ht="13.2" x14ac:dyDescent="0.25">
      <c r="AZ434" s="15"/>
      <c r="BA434" s="15"/>
    </row>
    <row r="435" spans="52:53" ht="13.2" x14ac:dyDescent="0.25">
      <c r="AZ435" s="15"/>
      <c r="BA435" s="15"/>
    </row>
    <row r="436" spans="52:53" ht="13.2" x14ac:dyDescent="0.25">
      <c r="AZ436" s="15"/>
      <c r="BA436" s="15"/>
    </row>
    <row r="437" spans="52:53" ht="13.2" x14ac:dyDescent="0.25">
      <c r="AZ437" s="15"/>
      <c r="BA437" s="15"/>
    </row>
    <row r="438" spans="52:53" ht="13.2" x14ac:dyDescent="0.25">
      <c r="AZ438" s="15"/>
      <c r="BA438" s="15"/>
    </row>
    <row r="439" spans="52:53" ht="13.2" x14ac:dyDescent="0.25">
      <c r="AZ439" s="15"/>
      <c r="BA439" s="15"/>
    </row>
    <row r="440" spans="52:53" ht="13.2" x14ac:dyDescent="0.25">
      <c r="AZ440" s="15"/>
      <c r="BA440" s="15"/>
    </row>
    <row r="441" spans="52:53" ht="13.2" x14ac:dyDescent="0.25">
      <c r="AZ441" s="15"/>
      <c r="BA441" s="15"/>
    </row>
    <row r="442" spans="52:53" ht="13.2" x14ac:dyDescent="0.25">
      <c r="AZ442" s="15"/>
      <c r="BA442" s="15"/>
    </row>
    <row r="443" spans="52:53" ht="13.2" x14ac:dyDescent="0.25">
      <c r="AZ443" s="15"/>
      <c r="BA443" s="15"/>
    </row>
    <row r="444" spans="52:53" ht="13.2" x14ac:dyDescent="0.25">
      <c r="AZ444" s="15"/>
      <c r="BA444" s="15"/>
    </row>
    <row r="445" spans="52:53" ht="13.2" x14ac:dyDescent="0.25">
      <c r="AZ445" s="15"/>
      <c r="BA445" s="15"/>
    </row>
    <row r="446" spans="52:53" ht="13.2" x14ac:dyDescent="0.25">
      <c r="AZ446" s="15"/>
      <c r="BA446" s="15"/>
    </row>
    <row r="447" spans="52:53" ht="13.2" x14ac:dyDescent="0.25">
      <c r="AZ447" s="15"/>
      <c r="BA447" s="15"/>
    </row>
    <row r="448" spans="52:53" ht="13.2" x14ac:dyDescent="0.25">
      <c r="AZ448" s="15"/>
      <c r="BA448" s="15"/>
    </row>
    <row r="449" spans="52:53" ht="13.2" x14ac:dyDescent="0.25">
      <c r="AZ449" s="15"/>
      <c r="BA449" s="15"/>
    </row>
    <row r="450" spans="52:53" ht="13.2" x14ac:dyDescent="0.25">
      <c r="AZ450" s="15"/>
      <c r="BA450" s="15"/>
    </row>
    <row r="451" spans="52:53" ht="13.2" x14ac:dyDescent="0.25">
      <c r="AZ451" s="15"/>
      <c r="BA451" s="15"/>
    </row>
    <row r="452" spans="52:53" ht="13.2" x14ac:dyDescent="0.25">
      <c r="AZ452" s="15"/>
      <c r="BA452" s="15"/>
    </row>
    <row r="453" spans="52:53" ht="13.2" x14ac:dyDescent="0.25">
      <c r="AZ453" s="15"/>
      <c r="BA453" s="15"/>
    </row>
    <row r="454" spans="52:53" ht="13.2" x14ac:dyDescent="0.25">
      <c r="AZ454" s="15"/>
      <c r="BA454" s="15"/>
    </row>
    <row r="455" spans="52:53" ht="13.2" x14ac:dyDescent="0.25">
      <c r="AZ455" s="15"/>
      <c r="BA455" s="15"/>
    </row>
    <row r="456" spans="52:53" ht="13.2" x14ac:dyDescent="0.25">
      <c r="AZ456" s="15"/>
      <c r="BA456" s="15"/>
    </row>
    <row r="457" spans="52:53" ht="13.2" x14ac:dyDescent="0.25">
      <c r="AZ457" s="15"/>
      <c r="BA457" s="15"/>
    </row>
    <row r="458" spans="52:53" ht="13.2" x14ac:dyDescent="0.25">
      <c r="AZ458" s="15"/>
      <c r="BA458" s="15"/>
    </row>
    <row r="459" spans="52:53" ht="13.2" x14ac:dyDescent="0.25">
      <c r="AZ459" s="15"/>
      <c r="BA459" s="15"/>
    </row>
    <row r="460" spans="52:53" ht="13.2" x14ac:dyDescent="0.25">
      <c r="AZ460" s="15"/>
      <c r="BA460" s="15"/>
    </row>
    <row r="461" spans="52:53" ht="13.2" x14ac:dyDescent="0.25">
      <c r="AZ461" s="15"/>
      <c r="BA461" s="15"/>
    </row>
    <row r="462" spans="52:53" ht="13.2" x14ac:dyDescent="0.25">
      <c r="AZ462" s="15"/>
      <c r="BA462" s="15"/>
    </row>
    <row r="463" spans="52:53" ht="13.2" x14ac:dyDescent="0.25">
      <c r="AZ463" s="15"/>
      <c r="BA463" s="15"/>
    </row>
    <row r="464" spans="52:53" ht="13.2" x14ac:dyDescent="0.25">
      <c r="AZ464" s="15"/>
      <c r="BA464" s="15"/>
    </row>
    <row r="465" spans="52:53" ht="13.2" x14ac:dyDescent="0.25">
      <c r="AZ465" s="15"/>
      <c r="BA465" s="15"/>
    </row>
    <row r="466" spans="52:53" ht="13.2" x14ac:dyDescent="0.25">
      <c r="AZ466" s="15"/>
      <c r="BA466" s="15"/>
    </row>
    <row r="467" spans="52:53" ht="13.2" x14ac:dyDescent="0.25">
      <c r="AZ467" s="15"/>
      <c r="BA467" s="15"/>
    </row>
    <row r="468" spans="52:53" ht="13.2" x14ac:dyDescent="0.25">
      <c r="AZ468" s="15"/>
      <c r="BA468" s="15"/>
    </row>
    <row r="469" spans="52:53" ht="13.2" x14ac:dyDescent="0.25">
      <c r="AZ469" s="15"/>
      <c r="BA469" s="15"/>
    </row>
    <row r="470" spans="52:53" ht="13.2" x14ac:dyDescent="0.25">
      <c r="AZ470" s="15"/>
      <c r="BA470" s="15"/>
    </row>
    <row r="471" spans="52:53" ht="13.2" x14ac:dyDescent="0.25">
      <c r="AZ471" s="15"/>
      <c r="BA471" s="15"/>
    </row>
    <row r="472" spans="52:53" ht="13.2" x14ac:dyDescent="0.25">
      <c r="AZ472" s="15"/>
      <c r="BA472" s="15"/>
    </row>
    <row r="473" spans="52:53" ht="13.2" x14ac:dyDescent="0.25">
      <c r="AZ473" s="15"/>
      <c r="BA473" s="15"/>
    </row>
    <row r="474" spans="52:53" ht="13.2" x14ac:dyDescent="0.25">
      <c r="AZ474" s="15"/>
      <c r="BA474" s="15"/>
    </row>
    <row r="475" spans="52:53" ht="13.2" x14ac:dyDescent="0.25">
      <c r="AZ475" s="15"/>
      <c r="BA475" s="15"/>
    </row>
    <row r="476" spans="52:53" ht="13.2" x14ac:dyDescent="0.25">
      <c r="AZ476" s="15"/>
      <c r="BA476" s="15"/>
    </row>
    <row r="477" spans="52:53" ht="13.2" x14ac:dyDescent="0.25">
      <c r="AZ477" s="15"/>
      <c r="BA477" s="15"/>
    </row>
    <row r="478" spans="52:53" ht="13.2" x14ac:dyDescent="0.25">
      <c r="AZ478" s="15"/>
      <c r="BA478" s="15"/>
    </row>
    <row r="479" spans="52:53" ht="13.2" x14ac:dyDescent="0.25">
      <c r="AZ479" s="15"/>
      <c r="BA479" s="15"/>
    </row>
    <row r="480" spans="52:53" ht="13.2" x14ac:dyDescent="0.25">
      <c r="AZ480" s="15"/>
      <c r="BA480" s="15"/>
    </row>
    <row r="481" spans="52:53" ht="13.2" x14ac:dyDescent="0.25">
      <c r="AZ481" s="15"/>
      <c r="BA481" s="15"/>
    </row>
    <row r="482" spans="52:53" ht="13.2" x14ac:dyDescent="0.25">
      <c r="AZ482" s="15"/>
      <c r="BA482" s="15"/>
    </row>
    <row r="483" spans="52:53" ht="13.2" x14ac:dyDescent="0.25">
      <c r="AZ483" s="15"/>
      <c r="BA483" s="15"/>
    </row>
    <row r="484" spans="52:53" ht="13.2" x14ac:dyDescent="0.25">
      <c r="AZ484" s="15"/>
      <c r="BA484" s="15"/>
    </row>
    <row r="485" spans="52:53" ht="13.2" x14ac:dyDescent="0.25">
      <c r="AZ485" s="15"/>
      <c r="BA485" s="15"/>
    </row>
    <row r="486" spans="52:53" ht="13.2" x14ac:dyDescent="0.25">
      <c r="AZ486" s="15"/>
      <c r="BA486" s="15"/>
    </row>
    <row r="487" spans="52:53" ht="13.2" x14ac:dyDescent="0.25">
      <c r="AZ487" s="15"/>
      <c r="BA487" s="15"/>
    </row>
    <row r="488" spans="52:53" ht="13.2" x14ac:dyDescent="0.25">
      <c r="AZ488" s="15"/>
      <c r="BA488" s="15"/>
    </row>
    <row r="489" spans="52:53" ht="13.2" x14ac:dyDescent="0.25">
      <c r="AZ489" s="15"/>
      <c r="BA489" s="15"/>
    </row>
    <row r="490" spans="52:53" ht="13.2" x14ac:dyDescent="0.25">
      <c r="AZ490" s="15"/>
      <c r="BA490" s="15"/>
    </row>
    <row r="491" spans="52:53" ht="13.2" x14ac:dyDescent="0.25">
      <c r="AZ491" s="15"/>
      <c r="BA491" s="15"/>
    </row>
    <row r="492" spans="52:53" ht="13.2" x14ac:dyDescent="0.25">
      <c r="AZ492" s="15"/>
      <c r="BA492" s="15"/>
    </row>
    <row r="493" spans="52:53" ht="13.2" x14ac:dyDescent="0.25">
      <c r="AZ493" s="15"/>
      <c r="BA493" s="15"/>
    </row>
    <row r="494" spans="52:53" ht="13.2" x14ac:dyDescent="0.25">
      <c r="AZ494" s="15"/>
      <c r="BA494" s="15"/>
    </row>
    <row r="495" spans="52:53" ht="13.2" x14ac:dyDescent="0.25">
      <c r="AZ495" s="15"/>
      <c r="BA495" s="15"/>
    </row>
    <row r="496" spans="52:53" ht="13.2" x14ac:dyDescent="0.25">
      <c r="AZ496" s="15"/>
      <c r="BA496" s="15"/>
    </row>
    <row r="497" spans="52:53" ht="13.2" x14ac:dyDescent="0.25">
      <c r="AZ497" s="15"/>
      <c r="BA497" s="15"/>
    </row>
    <row r="498" spans="52:53" ht="13.2" x14ac:dyDescent="0.25">
      <c r="AZ498" s="15"/>
      <c r="BA498" s="15"/>
    </row>
    <row r="499" spans="52:53" ht="13.2" x14ac:dyDescent="0.25">
      <c r="AZ499" s="15"/>
      <c r="BA499" s="15"/>
    </row>
    <row r="500" spans="52:53" ht="13.2" x14ac:dyDescent="0.25">
      <c r="AZ500" s="15"/>
      <c r="BA500" s="15"/>
    </row>
    <row r="501" spans="52:53" ht="13.2" x14ac:dyDescent="0.25">
      <c r="AZ501" s="15"/>
      <c r="BA501" s="15"/>
    </row>
    <row r="502" spans="52:53" ht="13.2" x14ac:dyDescent="0.25">
      <c r="AZ502" s="15"/>
      <c r="BA502" s="15"/>
    </row>
    <row r="503" spans="52:53" ht="13.2" x14ac:dyDescent="0.25">
      <c r="AZ503" s="15"/>
      <c r="BA503" s="15"/>
    </row>
    <row r="504" spans="52:53" ht="13.2" x14ac:dyDescent="0.25">
      <c r="AZ504" s="15"/>
      <c r="BA504" s="15"/>
    </row>
    <row r="505" spans="52:53" ht="13.2" x14ac:dyDescent="0.25">
      <c r="AZ505" s="15"/>
      <c r="BA505" s="15"/>
    </row>
    <row r="506" spans="52:53" ht="13.2" x14ac:dyDescent="0.25">
      <c r="AZ506" s="15"/>
      <c r="BA506" s="15"/>
    </row>
    <row r="507" spans="52:53" ht="13.2" x14ac:dyDescent="0.25">
      <c r="AZ507" s="15"/>
      <c r="BA507" s="15"/>
    </row>
    <row r="508" spans="52:53" ht="13.2" x14ac:dyDescent="0.25">
      <c r="AZ508" s="15"/>
      <c r="BA508" s="15"/>
    </row>
    <row r="509" spans="52:53" ht="13.2" x14ac:dyDescent="0.25">
      <c r="AZ509" s="15"/>
      <c r="BA509" s="15"/>
    </row>
    <row r="510" spans="52:53" ht="13.2" x14ac:dyDescent="0.25">
      <c r="AZ510" s="15"/>
      <c r="BA510" s="15"/>
    </row>
    <row r="511" spans="52:53" ht="13.2" x14ac:dyDescent="0.25">
      <c r="AZ511" s="15"/>
      <c r="BA511" s="15"/>
    </row>
    <row r="512" spans="52:53" ht="13.2" x14ac:dyDescent="0.25">
      <c r="AZ512" s="15"/>
      <c r="BA512" s="15"/>
    </row>
    <row r="513" spans="52:53" ht="13.2" x14ac:dyDescent="0.25">
      <c r="AZ513" s="15"/>
      <c r="BA513" s="15"/>
    </row>
    <row r="514" spans="52:53" ht="13.2" x14ac:dyDescent="0.25">
      <c r="AZ514" s="15"/>
      <c r="BA514" s="15"/>
    </row>
    <row r="515" spans="52:53" ht="13.2" x14ac:dyDescent="0.25">
      <c r="AZ515" s="15"/>
      <c r="BA515" s="15"/>
    </row>
    <row r="516" spans="52:53" ht="13.2" x14ac:dyDescent="0.25">
      <c r="AZ516" s="15"/>
      <c r="BA516" s="15"/>
    </row>
    <row r="517" spans="52:53" ht="13.2" x14ac:dyDescent="0.25">
      <c r="AZ517" s="15"/>
      <c r="BA517" s="15"/>
    </row>
    <row r="518" spans="52:53" ht="13.2" x14ac:dyDescent="0.25">
      <c r="AZ518" s="15"/>
      <c r="BA518" s="15"/>
    </row>
    <row r="519" spans="52:53" ht="13.2" x14ac:dyDescent="0.25">
      <c r="AZ519" s="15"/>
      <c r="BA519" s="15"/>
    </row>
    <row r="520" spans="52:53" ht="13.2" x14ac:dyDescent="0.25">
      <c r="AZ520" s="15"/>
      <c r="BA520" s="15"/>
    </row>
    <row r="521" spans="52:53" ht="13.2" x14ac:dyDescent="0.25">
      <c r="AZ521" s="15"/>
      <c r="BA521" s="15"/>
    </row>
    <row r="522" spans="52:53" ht="13.2" x14ac:dyDescent="0.25">
      <c r="AZ522" s="15"/>
      <c r="BA522" s="15"/>
    </row>
    <row r="523" spans="52:53" ht="13.2" x14ac:dyDescent="0.25">
      <c r="AZ523" s="15"/>
      <c r="BA523" s="15"/>
    </row>
    <row r="524" spans="52:53" ht="13.2" x14ac:dyDescent="0.25">
      <c r="AZ524" s="15"/>
      <c r="BA524" s="15"/>
    </row>
    <row r="525" spans="52:53" ht="13.2" x14ac:dyDescent="0.25">
      <c r="AZ525" s="15"/>
      <c r="BA525" s="15"/>
    </row>
    <row r="526" spans="52:53" ht="13.2" x14ac:dyDescent="0.25">
      <c r="AZ526" s="15"/>
      <c r="BA526" s="15"/>
    </row>
    <row r="527" spans="52:53" ht="13.2" x14ac:dyDescent="0.25">
      <c r="AZ527" s="15"/>
      <c r="BA527" s="15"/>
    </row>
    <row r="528" spans="52:53" ht="13.2" x14ac:dyDescent="0.25">
      <c r="AZ528" s="15"/>
      <c r="BA528" s="15"/>
    </row>
    <row r="529" spans="52:53" ht="13.2" x14ac:dyDescent="0.25">
      <c r="AZ529" s="15"/>
      <c r="BA529" s="15"/>
    </row>
    <row r="530" spans="52:53" ht="13.2" x14ac:dyDescent="0.25">
      <c r="AZ530" s="15"/>
      <c r="BA530" s="15"/>
    </row>
    <row r="531" spans="52:53" ht="13.2" x14ac:dyDescent="0.25">
      <c r="AZ531" s="15"/>
      <c r="BA531" s="15"/>
    </row>
    <row r="532" spans="52:53" ht="13.2" x14ac:dyDescent="0.25">
      <c r="AZ532" s="15"/>
      <c r="BA532" s="15"/>
    </row>
    <row r="533" spans="52:53" ht="13.2" x14ac:dyDescent="0.25">
      <c r="AZ533" s="15"/>
      <c r="BA533" s="15"/>
    </row>
    <row r="534" spans="52:53" ht="13.2" x14ac:dyDescent="0.25">
      <c r="AZ534" s="15"/>
      <c r="BA534" s="15"/>
    </row>
    <row r="535" spans="52:53" ht="13.2" x14ac:dyDescent="0.25">
      <c r="AZ535" s="15"/>
      <c r="BA535" s="15"/>
    </row>
    <row r="536" spans="52:53" ht="13.2" x14ac:dyDescent="0.25">
      <c r="AZ536" s="15"/>
      <c r="BA536" s="15"/>
    </row>
    <row r="537" spans="52:53" ht="13.2" x14ac:dyDescent="0.25">
      <c r="AZ537" s="15"/>
      <c r="BA537" s="15"/>
    </row>
    <row r="538" spans="52:53" ht="13.2" x14ac:dyDescent="0.25">
      <c r="AZ538" s="15"/>
      <c r="BA538" s="15"/>
    </row>
    <row r="539" spans="52:53" ht="13.2" x14ac:dyDescent="0.25">
      <c r="AZ539" s="15"/>
      <c r="BA539" s="15"/>
    </row>
    <row r="540" spans="52:53" ht="13.2" x14ac:dyDescent="0.25">
      <c r="AZ540" s="15"/>
      <c r="BA540" s="15"/>
    </row>
    <row r="541" spans="52:53" ht="13.2" x14ac:dyDescent="0.25">
      <c r="AZ541" s="15"/>
      <c r="BA541" s="15"/>
    </row>
    <row r="542" spans="52:53" ht="13.2" x14ac:dyDescent="0.25">
      <c r="AZ542" s="15"/>
      <c r="BA542" s="15"/>
    </row>
    <row r="543" spans="52:53" ht="13.2" x14ac:dyDescent="0.25">
      <c r="AZ543" s="15"/>
      <c r="BA543" s="15"/>
    </row>
    <row r="544" spans="52:53" ht="13.2" x14ac:dyDescent="0.25">
      <c r="AZ544" s="15"/>
      <c r="BA544" s="15"/>
    </row>
    <row r="545" spans="52:53" ht="13.2" x14ac:dyDescent="0.25">
      <c r="AZ545" s="15"/>
      <c r="BA545" s="15"/>
    </row>
    <row r="546" spans="52:53" ht="13.2" x14ac:dyDescent="0.25">
      <c r="AZ546" s="15"/>
      <c r="BA546" s="15"/>
    </row>
    <row r="547" spans="52:53" ht="13.2" x14ac:dyDescent="0.25">
      <c r="AZ547" s="15"/>
      <c r="BA547" s="15"/>
    </row>
    <row r="548" spans="52:53" ht="13.2" x14ac:dyDescent="0.25">
      <c r="AZ548" s="15"/>
      <c r="BA548" s="15"/>
    </row>
    <row r="549" spans="52:53" ht="13.2" x14ac:dyDescent="0.25">
      <c r="AZ549" s="15"/>
      <c r="BA549" s="15"/>
    </row>
    <row r="550" spans="52:53" ht="13.2" x14ac:dyDescent="0.25">
      <c r="AZ550" s="15"/>
      <c r="BA550" s="15"/>
    </row>
    <row r="551" spans="52:53" ht="13.2" x14ac:dyDescent="0.25">
      <c r="AZ551" s="15"/>
      <c r="BA551" s="15"/>
    </row>
    <row r="552" spans="52:53" ht="13.2" x14ac:dyDescent="0.25">
      <c r="AZ552" s="15"/>
      <c r="BA552" s="15"/>
    </row>
    <row r="553" spans="52:53" ht="13.2" x14ac:dyDescent="0.25">
      <c r="AZ553" s="15"/>
      <c r="BA553" s="15"/>
    </row>
    <row r="554" spans="52:53" ht="13.2" x14ac:dyDescent="0.25">
      <c r="AZ554" s="15"/>
      <c r="BA554" s="15"/>
    </row>
    <row r="555" spans="52:53" ht="13.2" x14ac:dyDescent="0.25">
      <c r="AZ555" s="15"/>
      <c r="BA555" s="15"/>
    </row>
    <row r="556" spans="52:53" ht="13.2" x14ac:dyDescent="0.25">
      <c r="AZ556" s="15"/>
      <c r="BA556" s="15"/>
    </row>
    <row r="557" spans="52:53" ht="13.2" x14ac:dyDescent="0.25">
      <c r="AZ557" s="15"/>
      <c r="BA557" s="15"/>
    </row>
    <row r="558" spans="52:53" ht="13.2" x14ac:dyDescent="0.25">
      <c r="AZ558" s="15"/>
      <c r="BA558" s="15"/>
    </row>
    <row r="559" spans="52:53" ht="13.2" x14ac:dyDescent="0.25">
      <c r="AZ559" s="15"/>
      <c r="BA559" s="15"/>
    </row>
    <row r="560" spans="52:53" ht="13.2" x14ac:dyDescent="0.25">
      <c r="AZ560" s="15"/>
      <c r="BA560" s="15"/>
    </row>
    <row r="561" spans="52:53" ht="13.2" x14ac:dyDescent="0.25">
      <c r="AZ561" s="15"/>
      <c r="BA561" s="15"/>
    </row>
    <row r="562" spans="52:53" ht="13.2" x14ac:dyDescent="0.25">
      <c r="AZ562" s="15"/>
      <c r="BA562" s="15"/>
    </row>
    <row r="563" spans="52:53" ht="13.2" x14ac:dyDescent="0.25">
      <c r="AZ563" s="15"/>
      <c r="BA563" s="15"/>
    </row>
    <row r="564" spans="52:53" ht="13.2" x14ac:dyDescent="0.25">
      <c r="AZ564" s="15"/>
      <c r="BA564" s="15"/>
    </row>
    <row r="565" spans="52:53" ht="13.2" x14ac:dyDescent="0.25">
      <c r="AZ565" s="15"/>
      <c r="BA565" s="15"/>
    </row>
    <row r="566" spans="52:53" ht="13.2" x14ac:dyDescent="0.25">
      <c r="AZ566" s="15"/>
      <c r="BA566" s="15"/>
    </row>
    <row r="567" spans="52:53" ht="13.2" x14ac:dyDescent="0.25">
      <c r="AZ567" s="15"/>
      <c r="BA567" s="15"/>
    </row>
    <row r="568" spans="52:53" ht="13.2" x14ac:dyDescent="0.25">
      <c r="AZ568" s="15"/>
      <c r="BA568" s="15"/>
    </row>
    <row r="569" spans="52:53" ht="13.2" x14ac:dyDescent="0.25">
      <c r="AZ569" s="15"/>
      <c r="BA569" s="15"/>
    </row>
    <row r="570" spans="52:53" ht="13.2" x14ac:dyDescent="0.25">
      <c r="AZ570" s="15"/>
      <c r="BA570" s="15"/>
    </row>
    <row r="571" spans="52:53" ht="13.2" x14ac:dyDescent="0.25">
      <c r="AZ571" s="15"/>
      <c r="BA571" s="15"/>
    </row>
    <row r="572" spans="52:53" ht="13.2" x14ac:dyDescent="0.25">
      <c r="AZ572" s="15"/>
      <c r="BA572" s="15"/>
    </row>
    <row r="573" spans="52:53" ht="13.2" x14ac:dyDescent="0.25">
      <c r="AZ573" s="15"/>
      <c r="BA573" s="15"/>
    </row>
    <row r="574" spans="52:53" ht="13.2" x14ac:dyDescent="0.25">
      <c r="AZ574" s="15"/>
      <c r="BA574" s="15"/>
    </row>
    <row r="575" spans="52:53" ht="13.2" x14ac:dyDescent="0.25">
      <c r="AZ575" s="15"/>
      <c r="BA575" s="15"/>
    </row>
    <row r="576" spans="52:53" ht="13.2" x14ac:dyDescent="0.25">
      <c r="AZ576" s="15"/>
      <c r="BA576" s="15"/>
    </row>
    <row r="577" spans="52:53" ht="13.2" x14ac:dyDescent="0.25">
      <c r="AZ577" s="15"/>
      <c r="BA577" s="15"/>
    </row>
    <row r="578" spans="52:53" ht="13.2" x14ac:dyDescent="0.25">
      <c r="AZ578" s="15"/>
      <c r="BA578" s="15"/>
    </row>
    <row r="579" spans="52:53" ht="13.2" x14ac:dyDescent="0.25">
      <c r="AZ579" s="15"/>
      <c r="BA579" s="15"/>
    </row>
    <row r="580" spans="52:53" ht="13.2" x14ac:dyDescent="0.25">
      <c r="AZ580" s="15"/>
      <c r="BA580" s="15"/>
    </row>
    <row r="581" spans="52:53" ht="13.2" x14ac:dyDescent="0.25">
      <c r="AZ581" s="15"/>
      <c r="BA581" s="15"/>
    </row>
    <row r="582" spans="52:53" ht="13.2" x14ac:dyDescent="0.25">
      <c r="AZ582" s="15"/>
      <c r="BA582" s="15"/>
    </row>
    <row r="583" spans="52:53" ht="13.2" x14ac:dyDescent="0.25">
      <c r="AZ583" s="15"/>
      <c r="BA583" s="15"/>
    </row>
    <row r="584" spans="52:53" ht="13.2" x14ac:dyDescent="0.25">
      <c r="AZ584" s="15"/>
      <c r="BA584" s="15"/>
    </row>
    <row r="585" spans="52:53" ht="13.2" x14ac:dyDescent="0.25">
      <c r="AZ585" s="15"/>
      <c r="BA585" s="15"/>
    </row>
    <row r="586" spans="52:53" ht="13.2" x14ac:dyDescent="0.25">
      <c r="AZ586" s="15"/>
      <c r="BA586" s="15"/>
    </row>
    <row r="587" spans="52:53" ht="13.2" x14ac:dyDescent="0.25">
      <c r="AZ587" s="15"/>
      <c r="BA587" s="15"/>
    </row>
    <row r="588" spans="52:53" ht="13.2" x14ac:dyDescent="0.25">
      <c r="AZ588" s="15"/>
      <c r="BA588" s="15"/>
    </row>
    <row r="589" spans="52:53" ht="13.2" x14ac:dyDescent="0.25">
      <c r="AZ589" s="15"/>
      <c r="BA589" s="15"/>
    </row>
    <row r="590" spans="52:53" ht="13.2" x14ac:dyDescent="0.25">
      <c r="AZ590" s="15"/>
      <c r="BA590" s="15"/>
    </row>
    <row r="591" spans="52:53" ht="13.2" x14ac:dyDescent="0.25">
      <c r="AZ591" s="15"/>
      <c r="BA591" s="15"/>
    </row>
    <row r="592" spans="52:53" ht="13.2" x14ac:dyDescent="0.25">
      <c r="AZ592" s="15"/>
      <c r="BA592" s="15"/>
    </row>
    <row r="593" spans="52:53" ht="13.2" x14ac:dyDescent="0.25">
      <c r="AZ593" s="15"/>
      <c r="BA593" s="15"/>
    </row>
    <row r="594" spans="52:53" ht="13.2" x14ac:dyDescent="0.25">
      <c r="AZ594" s="15"/>
      <c r="BA594" s="15"/>
    </row>
    <row r="595" spans="52:53" ht="13.2" x14ac:dyDescent="0.25">
      <c r="AZ595" s="15"/>
      <c r="BA595" s="15"/>
    </row>
    <row r="596" spans="52:53" ht="13.2" x14ac:dyDescent="0.25">
      <c r="AZ596" s="15"/>
      <c r="BA596" s="15"/>
    </row>
    <row r="597" spans="52:53" ht="13.2" x14ac:dyDescent="0.25">
      <c r="AZ597" s="15"/>
      <c r="BA597" s="15"/>
    </row>
    <row r="598" spans="52:53" ht="13.2" x14ac:dyDescent="0.25">
      <c r="AZ598" s="15"/>
      <c r="BA598" s="15"/>
    </row>
    <row r="599" spans="52:53" ht="13.2" x14ac:dyDescent="0.25">
      <c r="AZ599" s="15"/>
      <c r="BA599" s="15"/>
    </row>
    <row r="600" spans="52:53" ht="13.2" x14ac:dyDescent="0.25">
      <c r="AZ600" s="15"/>
      <c r="BA600" s="15"/>
    </row>
    <row r="601" spans="52:53" ht="13.2" x14ac:dyDescent="0.25">
      <c r="AZ601" s="15"/>
      <c r="BA601" s="15"/>
    </row>
    <row r="602" spans="52:53" ht="13.2" x14ac:dyDescent="0.25">
      <c r="AZ602" s="15"/>
      <c r="BA602" s="15"/>
    </row>
    <row r="603" spans="52:53" ht="13.2" x14ac:dyDescent="0.25">
      <c r="AZ603" s="15"/>
      <c r="BA603" s="15"/>
    </row>
    <row r="604" spans="52:53" ht="13.2" x14ac:dyDescent="0.25">
      <c r="AZ604" s="15"/>
      <c r="BA604" s="15"/>
    </row>
    <row r="605" spans="52:53" ht="13.2" x14ac:dyDescent="0.25">
      <c r="AZ605" s="15"/>
      <c r="BA605" s="15"/>
    </row>
    <row r="606" spans="52:53" ht="13.2" x14ac:dyDescent="0.25">
      <c r="AZ606" s="15"/>
      <c r="BA606" s="15"/>
    </row>
    <row r="607" spans="52:53" ht="13.2" x14ac:dyDescent="0.25">
      <c r="AZ607" s="15"/>
      <c r="BA607" s="15"/>
    </row>
    <row r="608" spans="52:53" ht="13.2" x14ac:dyDescent="0.25">
      <c r="AZ608" s="15"/>
      <c r="BA608" s="15"/>
    </row>
    <row r="609" spans="52:53" ht="13.2" x14ac:dyDescent="0.25">
      <c r="AZ609" s="15"/>
      <c r="BA609" s="15"/>
    </row>
    <row r="610" spans="52:53" ht="13.2" x14ac:dyDescent="0.25">
      <c r="AZ610" s="15"/>
      <c r="BA610" s="15"/>
    </row>
    <row r="611" spans="52:53" ht="13.2" x14ac:dyDescent="0.25">
      <c r="AZ611" s="15"/>
      <c r="BA611" s="15"/>
    </row>
    <row r="612" spans="52:53" ht="13.2" x14ac:dyDescent="0.25">
      <c r="AZ612" s="15"/>
      <c r="BA612" s="15"/>
    </row>
    <row r="613" spans="52:53" ht="13.2" x14ac:dyDescent="0.25">
      <c r="AZ613" s="15"/>
      <c r="BA613" s="15"/>
    </row>
    <row r="614" spans="52:53" ht="13.2" x14ac:dyDescent="0.25">
      <c r="AZ614" s="15"/>
      <c r="BA614" s="15"/>
    </row>
    <row r="615" spans="52:53" ht="13.2" x14ac:dyDescent="0.25">
      <c r="AZ615" s="15"/>
      <c r="BA615" s="15"/>
    </row>
    <row r="616" spans="52:53" ht="13.2" x14ac:dyDescent="0.25">
      <c r="AZ616" s="15"/>
      <c r="BA616" s="15"/>
    </row>
    <row r="617" spans="52:53" ht="13.2" x14ac:dyDescent="0.25">
      <c r="AZ617" s="15"/>
      <c r="BA617" s="15"/>
    </row>
    <row r="618" spans="52:53" ht="13.2" x14ac:dyDescent="0.25">
      <c r="AZ618" s="15"/>
      <c r="BA618" s="15"/>
    </row>
    <row r="619" spans="52:53" ht="13.2" x14ac:dyDescent="0.25">
      <c r="AZ619" s="15"/>
      <c r="BA619" s="15"/>
    </row>
    <row r="620" spans="52:53" ht="13.2" x14ac:dyDescent="0.25">
      <c r="AZ620" s="15"/>
      <c r="BA620" s="15"/>
    </row>
    <row r="621" spans="52:53" ht="13.2" x14ac:dyDescent="0.25">
      <c r="AZ621" s="15"/>
      <c r="BA621" s="15"/>
    </row>
    <row r="622" spans="52:53" ht="13.2" x14ac:dyDescent="0.25">
      <c r="AZ622" s="15"/>
      <c r="BA622" s="15"/>
    </row>
    <row r="623" spans="52:53" ht="13.2" x14ac:dyDescent="0.25">
      <c r="AZ623" s="15"/>
      <c r="BA623" s="15"/>
    </row>
    <row r="624" spans="52:53" ht="13.2" x14ac:dyDescent="0.25">
      <c r="AZ624" s="15"/>
      <c r="BA624" s="15"/>
    </row>
    <row r="625" spans="52:53" ht="13.2" x14ac:dyDescent="0.25">
      <c r="AZ625" s="15"/>
      <c r="BA625" s="15"/>
    </row>
    <row r="626" spans="52:53" ht="13.2" x14ac:dyDescent="0.25">
      <c r="AZ626" s="15"/>
      <c r="BA626" s="15"/>
    </row>
    <row r="627" spans="52:53" ht="13.2" x14ac:dyDescent="0.25">
      <c r="AZ627" s="15"/>
      <c r="BA627" s="15"/>
    </row>
    <row r="628" spans="52:53" ht="13.2" x14ac:dyDescent="0.25">
      <c r="AZ628" s="15"/>
      <c r="BA628" s="15"/>
    </row>
    <row r="629" spans="52:53" ht="13.2" x14ac:dyDescent="0.25">
      <c r="AZ629" s="15"/>
      <c r="BA629" s="15"/>
    </row>
    <row r="630" spans="52:53" ht="13.2" x14ac:dyDescent="0.25">
      <c r="AZ630" s="15"/>
      <c r="BA630" s="15"/>
    </row>
    <row r="631" spans="52:53" ht="13.2" x14ac:dyDescent="0.25">
      <c r="AZ631" s="15"/>
      <c r="BA631" s="15"/>
    </row>
    <row r="632" spans="52:53" ht="13.2" x14ac:dyDescent="0.25">
      <c r="AZ632" s="15"/>
      <c r="BA632" s="15"/>
    </row>
    <row r="633" spans="52:53" ht="13.2" x14ac:dyDescent="0.25">
      <c r="AZ633" s="15"/>
      <c r="BA633" s="15"/>
    </row>
    <row r="634" spans="52:53" ht="13.2" x14ac:dyDescent="0.25">
      <c r="AZ634" s="15"/>
      <c r="BA634" s="15"/>
    </row>
    <row r="635" spans="52:53" ht="13.2" x14ac:dyDescent="0.25">
      <c r="AZ635" s="15"/>
      <c r="BA635" s="15"/>
    </row>
    <row r="636" spans="52:53" ht="13.2" x14ac:dyDescent="0.25">
      <c r="AZ636" s="15"/>
      <c r="BA636" s="15"/>
    </row>
    <row r="637" spans="52:53" ht="13.2" x14ac:dyDescent="0.25">
      <c r="AZ637" s="15"/>
      <c r="BA637" s="15"/>
    </row>
    <row r="638" spans="52:53" ht="13.2" x14ac:dyDescent="0.25">
      <c r="AZ638" s="15"/>
      <c r="BA638" s="15"/>
    </row>
    <row r="639" spans="52:53" ht="13.2" x14ac:dyDescent="0.25">
      <c r="AZ639" s="15"/>
      <c r="BA639" s="15"/>
    </row>
    <row r="640" spans="52:53" ht="13.2" x14ac:dyDescent="0.25">
      <c r="AZ640" s="15"/>
      <c r="BA640" s="15"/>
    </row>
    <row r="641" spans="52:53" ht="13.2" x14ac:dyDescent="0.25">
      <c r="AZ641" s="15"/>
      <c r="BA641" s="15"/>
    </row>
    <row r="642" spans="52:53" ht="13.2" x14ac:dyDescent="0.25">
      <c r="AZ642" s="15"/>
      <c r="BA642" s="15"/>
    </row>
    <row r="643" spans="52:53" ht="13.2" x14ac:dyDescent="0.25">
      <c r="AZ643" s="15"/>
      <c r="BA643" s="15"/>
    </row>
    <row r="644" spans="52:53" ht="13.2" x14ac:dyDescent="0.25">
      <c r="AZ644" s="15"/>
      <c r="BA644" s="15"/>
    </row>
    <row r="645" spans="52:53" ht="13.2" x14ac:dyDescent="0.25">
      <c r="AZ645" s="15"/>
      <c r="BA645" s="15"/>
    </row>
    <row r="646" spans="52:53" ht="13.2" x14ac:dyDescent="0.25">
      <c r="AZ646" s="15"/>
      <c r="BA646" s="15"/>
    </row>
    <row r="647" spans="52:53" ht="13.2" x14ac:dyDescent="0.25">
      <c r="AZ647" s="15"/>
      <c r="BA647" s="15"/>
    </row>
    <row r="648" spans="52:53" ht="13.2" x14ac:dyDescent="0.25">
      <c r="AZ648" s="15"/>
      <c r="BA648" s="15"/>
    </row>
    <row r="649" spans="52:53" ht="13.2" x14ac:dyDescent="0.25">
      <c r="AZ649" s="15"/>
      <c r="BA649" s="15"/>
    </row>
    <row r="650" spans="52:53" ht="13.2" x14ac:dyDescent="0.25">
      <c r="AZ650" s="15"/>
      <c r="BA650" s="15"/>
    </row>
    <row r="651" spans="52:53" ht="13.2" x14ac:dyDescent="0.25">
      <c r="AZ651" s="15"/>
      <c r="BA651" s="15"/>
    </row>
    <row r="652" spans="52:53" ht="13.2" x14ac:dyDescent="0.25">
      <c r="AZ652" s="15"/>
      <c r="BA652" s="15"/>
    </row>
    <row r="653" spans="52:53" ht="13.2" x14ac:dyDescent="0.25">
      <c r="AZ653" s="15"/>
      <c r="BA653" s="15"/>
    </row>
    <row r="654" spans="52:53" ht="13.2" x14ac:dyDescent="0.25">
      <c r="AZ654" s="15"/>
      <c r="BA654" s="15"/>
    </row>
    <row r="655" spans="52:53" ht="13.2" x14ac:dyDescent="0.25">
      <c r="AZ655" s="15"/>
      <c r="BA655" s="15"/>
    </row>
    <row r="656" spans="52:53" ht="13.2" x14ac:dyDescent="0.25">
      <c r="AZ656" s="15"/>
      <c r="BA656" s="15"/>
    </row>
    <row r="657" spans="52:53" ht="13.2" x14ac:dyDescent="0.25">
      <c r="AZ657" s="15"/>
      <c r="BA657" s="15"/>
    </row>
    <row r="658" spans="52:53" ht="13.2" x14ac:dyDescent="0.25">
      <c r="AZ658" s="15"/>
      <c r="BA658" s="15"/>
    </row>
    <row r="659" spans="52:53" ht="13.2" x14ac:dyDescent="0.25">
      <c r="AZ659" s="15"/>
      <c r="BA659" s="15"/>
    </row>
    <row r="660" spans="52:53" ht="13.2" x14ac:dyDescent="0.25">
      <c r="AZ660" s="15"/>
      <c r="BA660" s="15"/>
    </row>
    <row r="661" spans="52:53" ht="13.2" x14ac:dyDescent="0.25">
      <c r="AZ661" s="15"/>
      <c r="BA661" s="15"/>
    </row>
    <row r="662" spans="52:53" ht="13.2" x14ac:dyDescent="0.25">
      <c r="AZ662" s="15"/>
      <c r="BA662" s="15"/>
    </row>
    <row r="663" spans="52:53" ht="13.2" x14ac:dyDescent="0.25">
      <c r="AZ663" s="15"/>
      <c r="BA663" s="15"/>
    </row>
    <row r="664" spans="52:53" ht="13.2" x14ac:dyDescent="0.25">
      <c r="AZ664" s="15"/>
      <c r="BA664" s="15"/>
    </row>
    <row r="665" spans="52:53" ht="13.2" x14ac:dyDescent="0.25">
      <c r="AZ665" s="15"/>
      <c r="BA665" s="15"/>
    </row>
    <row r="666" spans="52:53" ht="13.2" x14ac:dyDescent="0.25">
      <c r="AZ666" s="15"/>
      <c r="BA666" s="15"/>
    </row>
    <row r="667" spans="52:53" ht="13.2" x14ac:dyDescent="0.25">
      <c r="AZ667" s="15"/>
      <c r="BA667" s="15"/>
    </row>
    <row r="668" spans="52:53" ht="13.2" x14ac:dyDescent="0.25">
      <c r="AZ668" s="15"/>
      <c r="BA668" s="15"/>
    </row>
    <row r="669" spans="52:53" ht="13.2" x14ac:dyDescent="0.25">
      <c r="AZ669" s="15"/>
      <c r="BA669" s="15"/>
    </row>
    <row r="670" spans="52:53" ht="13.2" x14ac:dyDescent="0.25">
      <c r="AZ670" s="15"/>
      <c r="BA670" s="15"/>
    </row>
    <row r="671" spans="52:53" ht="13.2" x14ac:dyDescent="0.25">
      <c r="AZ671" s="15"/>
      <c r="BA671" s="15"/>
    </row>
    <row r="672" spans="52:53" ht="13.2" x14ac:dyDescent="0.25">
      <c r="AZ672" s="15"/>
      <c r="BA672" s="15"/>
    </row>
    <row r="673" spans="52:53" ht="13.2" x14ac:dyDescent="0.25">
      <c r="AZ673" s="15"/>
      <c r="BA673" s="15"/>
    </row>
    <row r="674" spans="52:53" ht="13.2" x14ac:dyDescent="0.25">
      <c r="AZ674" s="15"/>
      <c r="BA674" s="15"/>
    </row>
    <row r="675" spans="52:53" ht="13.2" x14ac:dyDescent="0.25">
      <c r="AZ675" s="15"/>
      <c r="BA675" s="15"/>
    </row>
    <row r="676" spans="52:53" ht="13.2" x14ac:dyDescent="0.25">
      <c r="AZ676" s="15"/>
      <c r="BA676" s="15"/>
    </row>
    <row r="677" spans="52:53" ht="13.2" x14ac:dyDescent="0.25">
      <c r="AZ677" s="15"/>
      <c r="BA677" s="15"/>
    </row>
    <row r="678" spans="52:53" ht="13.2" x14ac:dyDescent="0.25">
      <c r="AZ678" s="15"/>
      <c r="BA678" s="15"/>
    </row>
    <row r="679" spans="52:53" ht="13.2" x14ac:dyDescent="0.25">
      <c r="AZ679" s="15"/>
      <c r="BA679" s="15"/>
    </row>
    <row r="680" spans="52:53" ht="13.2" x14ac:dyDescent="0.25">
      <c r="AZ680" s="15"/>
      <c r="BA680" s="15"/>
    </row>
    <row r="681" spans="52:53" ht="13.2" x14ac:dyDescent="0.25">
      <c r="AZ681" s="15"/>
      <c r="BA681" s="15"/>
    </row>
    <row r="682" spans="52:53" ht="13.2" x14ac:dyDescent="0.25">
      <c r="AZ682" s="15"/>
      <c r="BA682" s="15"/>
    </row>
    <row r="683" spans="52:53" ht="13.2" x14ac:dyDescent="0.25">
      <c r="AZ683" s="15"/>
      <c r="BA683" s="15"/>
    </row>
    <row r="684" spans="52:53" ht="13.2" x14ac:dyDescent="0.25">
      <c r="AZ684" s="15"/>
      <c r="BA684" s="15"/>
    </row>
    <row r="685" spans="52:53" ht="13.2" x14ac:dyDescent="0.25">
      <c r="AZ685" s="15"/>
      <c r="BA685" s="15"/>
    </row>
    <row r="686" spans="52:53" ht="13.2" x14ac:dyDescent="0.25">
      <c r="AZ686" s="15"/>
      <c r="BA686" s="15"/>
    </row>
    <row r="687" spans="52:53" ht="13.2" x14ac:dyDescent="0.25">
      <c r="AZ687" s="15"/>
      <c r="BA687" s="15"/>
    </row>
    <row r="688" spans="52:53" ht="13.2" x14ac:dyDescent="0.25">
      <c r="AZ688" s="15"/>
      <c r="BA688" s="15"/>
    </row>
    <row r="689" spans="52:53" ht="13.2" x14ac:dyDescent="0.25">
      <c r="AZ689" s="15"/>
      <c r="BA689" s="15"/>
    </row>
    <row r="690" spans="52:53" ht="13.2" x14ac:dyDescent="0.25">
      <c r="AZ690" s="15"/>
      <c r="BA690" s="15"/>
    </row>
    <row r="691" spans="52:53" ht="13.2" x14ac:dyDescent="0.25">
      <c r="AZ691" s="15"/>
      <c r="BA691" s="15"/>
    </row>
    <row r="692" spans="52:53" ht="13.2" x14ac:dyDescent="0.25">
      <c r="AZ692" s="15"/>
      <c r="BA692" s="15"/>
    </row>
    <row r="693" spans="52:53" ht="13.2" x14ac:dyDescent="0.25">
      <c r="AZ693" s="15"/>
      <c r="BA693" s="15"/>
    </row>
    <row r="694" spans="52:53" ht="13.2" x14ac:dyDescent="0.25">
      <c r="AZ694" s="15"/>
      <c r="BA694" s="15"/>
    </row>
    <row r="695" spans="52:53" ht="13.2" x14ac:dyDescent="0.25">
      <c r="AZ695" s="15"/>
      <c r="BA695" s="15"/>
    </row>
    <row r="696" spans="52:53" ht="13.2" x14ac:dyDescent="0.25">
      <c r="AZ696" s="15"/>
      <c r="BA696" s="15"/>
    </row>
    <row r="697" spans="52:53" ht="13.2" x14ac:dyDescent="0.25">
      <c r="AZ697" s="15"/>
      <c r="BA697" s="15"/>
    </row>
    <row r="698" spans="52:53" ht="13.2" x14ac:dyDescent="0.25">
      <c r="AZ698" s="15"/>
      <c r="BA698" s="15"/>
    </row>
    <row r="699" spans="52:53" ht="13.2" x14ac:dyDescent="0.25">
      <c r="AZ699" s="15"/>
      <c r="BA699" s="15"/>
    </row>
    <row r="700" spans="52:53" ht="13.2" x14ac:dyDescent="0.25">
      <c r="AZ700" s="15"/>
      <c r="BA700" s="15"/>
    </row>
    <row r="701" spans="52:53" ht="13.2" x14ac:dyDescent="0.25">
      <c r="AZ701" s="15"/>
      <c r="BA701" s="15"/>
    </row>
    <row r="702" spans="52:53" ht="13.2" x14ac:dyDescent="0.25">
      <c r="AZ702" s="15"/>
      <c r="BA702" s="15"/>
    </row>
    <row r="703" spans="52:53" ht="13.2" x14ac:dyDescent="0.25">
      <c r="AZ703" s="15"/>
      <c r="BA703" s="15"/>
    </row>
    <row r="704" spans="52:53" ht="13.2" x14ac:dyDescent="0.25">
      <c r="AZ704" s="15"/>
      <c r="BA704" s="15"/>
    </row>
    <row r="705" spans="52:53" ht="13.2" x14ac:dyDescent="0.25">
      <c r="AZ705" s="15"/>
      <c r="BA705" s="15"/>
    </row>
    <row r="706" spans="52:53" ht="13.2" x14ac:dyDescent="0.25">
      <c r="AZ706" s="15"/>
      <c r="BA706" s="15"/>
    </row>
    <row r="707" spans="52:53" ht="13.2" x14ac:dyDescent="0.25">
      <c r="AZ707" s="15"/>
      <c r="BA707" s="15"/>
    </row>
    <row r="708" spans="52:53" ht="13.2" x14ac:dyDescent="0.25">
      <c r="AZ708" s="15"/>
      <c r="BA708" s="15"/>
    </row>
    <row r="709" spans="52:53" ht="13.2" x14ac:dyDescent="0.25">
      <c r="AZ709" s="15"/>
      <c r="BA709" s="15"/>
    </row>
    <row r="710" spans="52:53" ht="13.2" x14ac:dyDescent="0.25">
      <c r="AZ710" s="15"/>
      <c r="BA710" s="15"/>
    </row>
    <row r="711" spans="52:53" ht="13.2" x14ac:dyDescent="0.25">
      <c r="AZ711" s="15"/>
      <c r="BA711" s="15"/>
    </row>
    <row r="712" spans="52:53" ht="13.2" x14ac:dyDescent="0.25">
      <c r="AZ712" s="15"/>
      <c r="BA712" s="15"/>
    </row>
    <row r="713" spans="52:53" ht="13.2" x14ac:dyDescent="0.25">
      <c r="AZ713" s="15"/>
      <c r="BA713" s="15"/>
    </row>
    <row r="714" spans="52:53" ht="13.2" x14ac:dyDescent="0.25">
      <c r="AZ714" s="15"/>
      <c r="BA714" s="15"/>
    </row>
    <row r="715" spans="52:53" ht="13.2" x14ac:dyDescent="0.25">
      <c r="AZ715" s="15"/>
      <c r="BA715" s="15"/>
    </row>
    <row r="716" spans="52:53" ht="13.2" x14ac:dyDescent="0.25">
      <c r="AZ716" s="15"/>
      <c r="BA716" s="15"/>
    </row>
    <row r="717" spans="52:53" ht="13.2" x14ac:dyDescent="0.25">
      <c r="AZ717" s="15"/>
      <c r="BA717" s="15"/>
    </row>
    <row r="718" spans="52:53" ht="13.2" x14ac:dyDescent="0.25">
      <c r="AZ718" s="15"/>
      <c r="BA718" s="15"/>
    </row>
    <row r="719" spans="52:53" ht="13.2" x14ac:dyDescent="0.25">
      <c r="AZ719" s="15"/>
      <c r="BA719" s="15"/>
    </row>
    <row r="720" spans="52:53" ht="13.2" x14ac:dyDescent="0.25">
      <c r="AZ720" s="15"/>
      <c r="BA720" s="15"/>
    </row>
    <row r="721" spans="52:53" ht="13.2" x14ac:dyDescent="0.25">
      <c r="AZ721" s="15"/>
      <c r="BA721" s="15"/>
    </row>
    <row r="722" spans="52:53" ht="13.2" x14ac:dyDescent="0.25">
      <c r="AZ722" s="15"/>
      <c r="BA722" s="15"/>
    </row>
    <row r="723" spans="52:53" ht="13.2" x14ac:dyDescent="0.25">
      <c r="AZ723" s="15"/>
      <c r="BA723" s="15"/>
    </row>
    <row r="724" spans="52:53" ht="13.2" x14ac:dyDescent="0.25">
      <c r="AZ724" s="15"/>
      <c r="BA724" s="15"/>
    </row>
    <row r="725" spans="52:53" ht="13.2" x14ac:dyDescent="0.25">
      <c r="AZ725" s="15"/>
      <c r="BA725" s="15"/>
    </row>
    <row r="726" spans="52:53" ht="13.2" x14ac:dyDescent="0.25">
      <c r="AZ726" s="15"/>
      <c r="BA726" s="15"/>
    </row>
    <row r="727" spans="52:53" ht="13.2" x14ac:dyDescent="0.25">
      <c r="AZ727" s="15"/>
      <c r="BA727" s="15"/>
    </row>
    <row r="728" spans="52:53" ht="13.2" x14ac:dyDescent="0.25">
      <c r="AZ728" s="15"/>
      <c r="BA728" s="15"/>
    </row>
    <row r="729" spans="52:53" ht="13.2" x14ac:dyDescent="0.25">
      <c r="AZ729" s="15"/>
      <c r="BA729" s="15"/>
    </row>
    <row r="730" spans="52:53" ht="13.2" x14ac:dyDescent="0.25">
      <c r="AZ730" s="15"/>
      <c r="BA730" s="15"/>
    </row>
    <row r="731" spans="52:53" ht="13.2" x14ac:dyDescent="0.25">
      <c r="AZ731" s="15"/>
      <c r="BA731" s="15"/>
    </row>
    <row r="732" spans="52:53" ht="13.2" x14ac:dyDescent="0.25">
      <c r="AZ732" s="15"/>
      <c r="BA732" s="15"/>
    </row>
    <row r="733" spans="52:53" ht="13.2" x14ac:dyDescent="0.25">
      <c r="AZ733" s="15"/>
      <c r="BA733" s="15"/>
    </row>
    <row r="734" spans="52:53" ht="13.2" x14ac:dyDescent="0.25">
      <c r="AZ734" s="15"/>
      <c r="BA734" s="15"/>
    </row>
    <row r="735" spans="52:53" ht="13.2" x14ac:dyDescent="0.25">
      <c r="AZ735" s="15"/>
      <c r="BA735" s="15"/>
    </row>
    <row r="736" spans="52:53" ht="13.2" x14ac:dyDescent="0.25">
      <c r="AZ736" s="15"/>
      <c r="BA736" s="15"/>
    </row>
    <row r="737" spans="52:53" ht="13.2" x14ac:dyDescent="0.25">
      <c r="AZ737" s="15"/>
      <c r="BA737" s="15"/>
    </row>
    <row r="738" spans="52:53" ht="13.2" x14ac:dyDescent="0.25">
      <c r="AZ738" s="15"/>
      <c r="BA738" s="15"/>
    </row>
    <row r="739" spans="52:53" ht="13.2" x14ac:dyDescent="0.25">
      <c r="AZ739" s="15"/>
      <c r="BA739" s="15"/>
    </row>
    <row r="740" spans="52:53" ht="13.2" x14ac:dyDescent="0.25">
      <c r="AZ740" s="15"/>
      <c r="BA740" s="15"/>
    </row>
    <row r="741" spans="52:53" ht="13.2" x14ac:dyDescent="0.25">
      <c r="AZ741" s="15"/>
      <c r="BA741" s="15"/>
    </row>
    <row r="742" spans="52:53" ht="13.2" x14ac:dyDescent="0.25">
      <c r="AZ742" s="15"/>
      <c r="BA742" s="15"/>
    </row>
    <row r="743" spans="52:53" ht="13.2" x14ac:dyDescent="0.25">
      <c r="AZ743" s="15"/>
      <c r="BA743" s="15"/>
    </row>
    <row r="744" spans="52:53" ht="13.2" x14ac:dyDescent="0.25">
      <c r="AZ744" s="15"/>
      <c r="BA744" s="15"/>
    </row>
    <row r="745" spans="52:53" ht="13.2" x14ac:dyDescent="0.25">
      <c r="AZ745" s="15"/>
      <c r="BA745" s="15"/>
    </row>
    <row r="746" spans="52:53" ht="13.2" x14ac:dyDescent="0.25">
      <c r="AZ746" s="15"/>
      <c r="BA746" s="15"/>
    </row>
    <row r="747" spans="52:53" ht="13.2" x14ac:dyDescent="0.25">
      <c r="AZ747" s="15"/>
      <c r="BA747" s="15"/>
    </row>
    <row r="748" spans="52:53" ht="13.2" x14ac:dyDescent="0.25">
      <c r="AZ748" s="15"/>
      <c r="BA748" s="15"/>
    </row>
    <row r="749" spans="52:53" ht="13.2" x14ac:dyDescent="0.25">
      <c r="AZ749" s="15"/>
      <c r="BA749" s="15"/>
    </row>
    <row r="750" spans="52:53" ht="13.2" x14ac:dyDescent="0.25">
      <c r="AZ750" s="15"/>
      <c r="BA750" s="15"/>
    </row>
    <row r="751" spans="52:53" ht="13.2" x14ac:dyDescent="0.25">
      <c r="AZ751" s="15"/>
      <c r="BA751" s="15"/>
    </row>
    <row r="752" spans="52:53" ht="13.2" x14ac:dyDescent="0.25">
      <c r="AZ752" s="15"/>
      <c r="BA752" s="15"/>
    </row>
    <row r="753" spans="52:53" ht="13.2" x14ac:dyDescent="0.25">
      <c r="AZ753" s="15"/>
      <c r="BA753" s="15"/>
    </row>
    <row r="754" spans="52:53" ht="13.2" x14ac:dyDescent="0.25">
      <c r="AZ754" s="15"/>
      <c r="BA754" s="15"/>
    </row>
    <row r="755" spans="52:53" ht="13.2" x14ac:dyDescent="0.25">
      <c r="AZ755" s="15"/>
      <c r="BA755" s="15"/>
    </row>
    <row r="756" spans="52:53" ht="13.2" x14ac:dyDescent="0.25">
      <c r="AZ756" s="15"/>
      <c r="BA756" s="15"/>
    </row>
    <row r="757" spans="52:53" ht="13.2" x14ac:dyDescent="0.25">
      <c r="AZ757" s="15"/>
      <c r="BA757" s="15"/>
    </row>
    <row r="758" spans="52:53" ht="13.2" x14ac:dyDescent="0.25">
      <c r="AZ758" s="15"/>
      <c r="BA758" s="15"/>
    </row>
    <row r="759" spans="52:53" ht="13.2" x14ac:dyDescent="0.25">
      <c r="AZ759" s="15"/>
      <c r="BA759" s="15"/>
    </row>
    <row r="760" spans="52:53" ht="13.2" x14ac:dyDescent="0.25">
      <c r="AZ760" s="15"/>
      <c r="BA760" s="15"/>
    </row>
    <row r="761" spans="52:53" ht="13.2" x14ac:dyDescent="0.25">
      <c r="AZ761" s="15"/>
      <c r="BA761" s="15"/>
    </row>
    <row r="762" spans="52:53" ht="13.2" x14ac:dyDescent="0.25">
      <c r="AZ762" s="15"/>
      <c r="BA762" s="15"/>
    </row>
    <row r="763" spans="52:53" ht="13.2" x14ac:dyDescent="0.25">
      <c r="AZ763" s="15"/>
      <c r="BA763" s="15"/>
    </row>
    <row r="764" spans="52:53" ht="13.2" x14ac:dyDescent="0.25">
      <c r="AZ764" s="15"/>
      <c r="BA764" s="15"/>
    </row>
    <row r="765" spans="52:53" ht="13.2" x14ac:dyDescent="0.25">
      <c r="AZ765" s="15"/>
      <c r="BA765" s="15"/>
    </row>
    <row r="766" spans="52:53" ht="13.2" x14ac:dyDescent="0.25">
      <c r="AZ766" s="15"/>
      <c r="BA766" s="15"/>
    </row>
    <row r="767" spans="52:53" ht="13.2" x14ac:dyDescent="0.25">
      <c r="AZ767" s="15"/>
      <c r="BA767" s="15"/>
    </row>
    <row r="768" spans="52:53" ht="13.2" x14ac:dyDescent="0.25">
      <c r="AZ768" s="15"/>
      <c r="BA768" s="15"/>
    </row>
    <row r="769" spans="52:53" ht="13.2" x14ac:dyDescent="0.25">
      <c r="AZ769" s="15"/>
      <c r="BA769" s="15"/>
    </row>
    <row r="770" spans="52:53" ht="13.2" x14ac:dyDescent="0.25">
      <c r="AZ770" s="15"/>
      <c r="BA770" s="15"/>
    </row>
    <row r="771" spans="52:53" ht="13.2" x14ac:dyDescent="0.25">
      <c r="AZ771" s="15"/>
      <c r="BA771" s="15"/>
    </row>
    <row r="772" spans="52:53" ht="13.2" x14ac:dyDescent="0.25">
      <c r="AZ772" s="15"/>
      <c r="BA772" s="15"/>
    </row>
    <row r="773" spans="52:53" ht="13.2" x14ac:dyDescent="0.25">
      <c r="AZ773" s="15"/>
      <c r="BA773" s="15"/>
    </row>
    <row r="774" spans="52:53" ht="13.2" x14ac:dyDescent="0.25">
      <c r="AZ774" s="15"/>
      <c r="BA774" s="15"/>
    </row>
    <row r="775" spans="52:53" ht="13.2" x14ac:dyDescent="0.25">
      <c r="AZ775" s="15"/>
      <c r="BA775" s="15"/>
    </row>
    <row r="776" spans="52:53" ht="13.2" x14ac:dyDescent="0.25">
      <c r="AZ776" s="15"/>
      <c r="BA776" s="15"/>
    </row>
    <row r="777" spans="52:53" ht="13.2" x14ac:dyDescent="0.25">
      <c r="AZ777" s="15"/>
      <c r="BA777" s="15"/>
    </row>
    <row r="778" spans="52:53" ht="13.2" x14ac:dyDescent="0.25">
      <c r="AZ778" s="15"/>
      <c r="BA778" s="15"/>
    </row>
    <row r="779" spans="52:53" ht="13.2" x14ac:dyDescent="0.25">
      <c r="AZ779" s="15"/>
      <c r="BA779" s="15"/>
    </row>
    <row r="780" spans="52:53" ht="13.2" x14ac:dyDescent="0.25">
      <c r="AZ780" s="15"/>
      <c r="BA780" s="15"/>
    </row>
    <row r="781" spans="52:53" ht="13.2" x14ac:dyDescent="0.25">
      <c r="AZ781" s="15"/>
      <c r="BA781" s="15"/>
    </row>
    <row r="782" spans="52:53" ht="13.2" x14ac:dyDescent="0.25">
      <c r="AZ782" s="15"/>
      <c r="BA782" s="15"/>
    </row>
    <row r="783" spans="52:53" ht="13.2" x14ac:dyDescent="0.25">
      <c r="AZ783" s="15"/>
      <c r="BA783" s="15"/>
    </row>
    <row r="784" spans="52:53" ht="13.2" x14ac:dyDescent="0.25">
      <c r="AZ784" s="15"/>
      <c r="BA784" s="15"/>
    </row>
    <row r="785" spans="52:53" ht="13.2" x14ac:dyDescent="0.25">
      <c r="AZ785" s="15"/>
      <c r="BA785" s="15"/>
    </row>
    <row r="786" spans="52:53" ht="13.2" x14ac:dyDescent="0.25">
      <c r="AZ786" s="15"/>
      <c r="BA786" s="15"/>
    </row>
    <row r="787" spans="52:53" ht="13.2" x14ac:dyDescent="0.25">
      <c r="AZ787" s="15"/>
      <c r="BA787" s="15"/>
    </row>
    <row r="788" spans="52:53" ht="13.2" x14ac:dyDescent="0.25">
      <c r="AZ788" s="15"/>
      <c r="BA788" s="15"/>
    </row>
    <row r="789" spans="52:53" ht="13.2" x14ac:dyDescent="0.25">
      <c r="AZ789" s="15"/>
      <c r="BA789" s="15"/>
    </row>
    <row r="790" spans="52:53" ht="13.2" x14ac:dyDescent="0.25">
      <c r="AZ790" s="15"/>
      <c r="BA790" s="15"/>
    </row>
    <row r="791" spans="52:53" ht="13.2" x14ac:dyDescent="0.25">
      <c r="AZ791" s="15"/>
      <c r="BA791" s="15"/>
    </row>
    <row r="792" spans="52:53" ht="13.2" x14ac:dyDescent="0.25">
      <c r="AZ792" s="15"/>
      <c r="BA792" s="15"/>
    </row>
    <row r="793" spans="52:53" ht="13.2" x14ac:dyDescent="0.25">
      <c r="AZ793" s="15"/>
      <c r="BA793" s="15"/>
    </row>
    <row r="794" spans="52:53" ht="13.2" x14ac:dyDescent="0.25">
      <c r="AZ794" s="15"/>
      <c r="BA794" s="15"/>
    </row>
    <row r="795" spans="52:53" ht="13.2" x14ac:dyDescent="0.25">
      <c r="AZ795" s="15"/>
      <c r="BA795" s="15"/>
    </row>
    <row r="796" spans="52:53" ht="13.2" x14ac:dyDescent="0.25">
      <c r="AZ796" s="15"/>
      <c r="BA796" s="15"/>
    </row>
    <row r="797" spans="52:53" ht="13.2" x14ac:dyDescent="0.25">
      <c r="AZ797" s="15"/>
      <c r="BA797" s="15"/>
    </row>
    <row r="798" spans="52:53" ht="13.2" x14ac:dyDescent="0.25">
      <c r="AZ798" s="15"/>
      <c r="BA798" s="15"/>
    </row>
    <row r="799" spans="52:53" ht="13.2" x14ac:dyDescent="0.25">
      <c r="AZ799" s="15"/>
      <c r="BA799" s="15"/>
    </row>
    <row r="800" spans="52:53" ht="13.2" x14ac:dyDescent="0.25">
      <c r="AZ800" s="15"/>
      <c r="BA800" s="15"/>
    </row>
    <row r="801" spans="52:53" ht="13.2" x14ac:dyDescent="0.25">
      <c r="AZ801" s="15"/>
      <c r="BA801" s="15"/>
    </row>
    <row r="802" spans="52:53" ht="13.2" x14ac:dyDescent="0.25">
      <c r="AZ802" s="15"/>
      <c r="BA802" s="15"/>
    </row>
    <row r="803" spans="52:53" ht="13.2" x14ac:dyDescent="0.25">
      <c r="AZ803" s="15"/>
      <c r="BA803" s="15"/>
    </row>
    <row r="804" spans="52:53" ht="13.2" x14ac:dyDescent="0.25">
      <c r="AZ804" s="15"/>
      <c r="BA804" s="15"/>
    </row>
    <row r="805" spans="52:53" ht="13.2" x14ac:dyDescent="0.25">
      <c r="AZ805" s="15"/>
      <c r="BA805" s="15"/>
    </row>
    <row r="806" spans="52:53" ht="13.2" x14ac:dyDescent="0.25">
      <c r="AZ806" s="15"/>
      <c r="BA806" s="15"/>
    </row>
    <row r="807" spans="52:53" ht="13.2" x14ac:dyDescent="0.25">
      <c r="AZ807" s="15"/>
      <c r="BA807" s="15"/>
    </row>
    <row r="808" spans="52:53" ht="13.2" x14ac:dyDescent="0.25">
      <c r="AZ808" s="15"/>
      <c r="BA808" s="15"/>
    </row>
    <row r="809" spans="52:53" ht="13.2" x14ac:dyDescent="0.25">
      <c r="AZ809" s="15"/>
      <c r="BA809" s="15"/>
    </row>
    <row r="810" spans="52:53" ht="13.2" x14ac:dyDescent="0.25">
      <c r="AZ810" s="15"/>
      <c r="BA810" s="15"/>
    </row>
    <row r="811" spans="52:53" ht="13.2" x14ac:dyDescent="0.25">
      <c r="AZ811" s="15"/>
      <c r="BA811" s="15"/>
    </row>
    <row r="812" spans="52:53" ht="13.2" x14ac:dyDescent="0.25">
      <c r="AZ812" s="15"/>
      <c r="BA812" s="15"/>
    </row>
    <row r="813" spans="52:53" ht="13.2" x14ac:dyDescent="0.25">
      <c r="AZ813" s="15"/>
      <c r="BA813" s="15"/>
    </row>
    <row r="814" spans="52:53" ht="13.2" x14ac:dyDescent="0.25">
      <c r="AZ814" s="15"/>
      <c r="BA814" s="15"/>
    </row>
    <row r="815" spans="52:53" ht="13.2" x14ac:dyDescent="0.25">
      <c r="AZ815" s="15"/>
      <c r="BA815" s="15"/>
    </row>
    <row r="816" spans="52:53" ht="13.2" x14ac:dyDescent="0.25">
      <c r="AZ816" s="15"/>
      <c r="BA816" s="15"/>
    </row>
    <row r="817" spans="52:53" ht="13.2" x14ac:dyDescent="0.25">
      <c r="AZ817" s="15"/>
      <c r="BA817" s="15"/>
    </row>
    <row r="818" spans="52:53" ht="13.2" x14ac:dyDescent="0.25">
      <c r="AZ818" s="15"/>
      <c r="BA818" s="15"/>
    </row>
    <row r="819" spans="52:53" ht="13.2" x14ac:dyDescent="0.25">
      <c r="AZ819" s="15"/>
      <c r="BA819" s="15"/>
    </row>
    <row r="820" spans="52:53" ht="13.2" x14ac:dyDescent="0.25">
      <c r="AZ820" s="15"/>
      <c r="BA820" s="15"/>
    </row>
    <row r="821" spans="52:53" ht="13.2" x14ac:dyDescent="0.25">
      <c r="AZ821" s="15"/>
      <c r="BA821" s="15"/>
    </row>
    <row r="822" spans="52:53" ht="13.2" x14ac:dyDescent="0.25">
      <c r="AZ822" s="15"/>
      <c r="BA822" s="15"/>
    </row>
    <row r="823" spans="52:53" ht="13.2" x14ac:dyDescent="0.25">
      <c r="AZ823" s="15"/>
      <c r="BA823" s="15"/>
    </row>
    <row r="824" spans="52:53" ht="13.2" x14ac:dyDescent="0.25">
      <c r="AZ824" s="15"/>
      <c r="BA824" s="15"/>
    </row>
    <row r="825" spans="52:53" ht="13.2" x14ac:dyDescent="0.25">
      <c r="AZ825" s="15"/>
      <c r="BA825" s="15"/>
    </row>
    <row r="826" spans="52:53" ht="13.2" x14ac:dyDescent="0.25">
      <c r="AZ826" s="15"/>
      <c r="BA826" s="15"/>
    </row>
    <row r="827" spans="52:53" ht="13.2" x14ac:dyDescent="0.25">
      <c r="AZ827" s="15"/>
      <c r="BA827" s="15"/>
    </row>
    <row r="828" spans="52:53" ht="13.2" x14ac:dyDescent="0.25">
      <c r="AZ828" s="15"/>
      <c r="BA828" s="15"/>
    </row>
    <row r="829" spans="52:53" ht="13.2" x14ac:dyDescent="0.25">
      <c r="AZ829" s="15"/>
      <c r="BA829" s="15"/>
    </row>
    <row r="830" spans="52:53" ht="13.2" x14ac:dyDescent="0.25">
      <c r="AZ830" s="15"/>
      <c r="BA830" s="15"/>
    </row>
    <row r="831" spans="52:53" ht="13.2" x14ac:dyDescent="0.25">
      <c r="AZ831" s="15"/>
      <c r="BA831" s="15"/>
    </row>
    <row r="832" spans="52:53" ht="13.2" x14ac:dyDescent="0.25">
      <c r="AZ832" s="15"/>
      <c r="BA832" s="15"/>
    </row>
    <row r="833" spans="52:53" ht="13.2" x14ac:dyDescent="0.25">
      <c r="AZ833" s="15"/>
      <c r="BA833" s="15"/>
    </row>
    <row r="834" spans="52:53" ht="13.2" x14ac:dyDescent="0.25">
      <c r="AZ834" s="15"/>
      <c r="BA834" s="15"/>
    </row>
    <row r="835" spans="52:53" ht="13.2" x14ac:dyDescent="0.25">
      <c r="AZ835" s="15"/>
      <c r="BA835" s="15"/>
    </row>
    <row r="836" spans="52:53" ht="13.2" x14ac:dyDescent="0.25">
      <c r="AZ836" s="15"/>
      <c r="BA836" s="15"/>
    </row>
    <row r="837" spans="52:53" ht="13.2" x14ac:dyDescent="0.25">
      <c r="AZ837" s="15"/>
      <c r="BA837" s="15"/>
    </row>
    <row r="838" spans="52:53" ht="13.2" x14ac:dyDescent="0.25">
      <c r="AZ838" s="15"/>
      <c r="BA838" s="15"/>
    </row>
    <row r="839" spans="52:53" ht="13.2" x14ac:dyDescent="0.25">
      <c r="AZ839" s="15"/>
      <c r="BA839" s="15"/>
    </row>
    <row r="840" spans="52:53" ht="13.2" x14ac:dyDescent="0.25">
      <c r="AZ840" s="15"/>
      <c r="BA840" s="15"/>
    </row>
    <row r="841" spans="52:53" ht="13.2" x14ac:dyDescent="0.25">
      <c r="AZ841" s="15"/>
      <c r="BA841" s="15"/>
    </row>
    <row r="842" spans="52:53" ht="13.2" x14ac:dyDescent="0.25">
      <c r="AZ842" s="15"/>
      <c r="BA842" s="15"/>
    </row>
    <row r="843" spans="52:53" ht="13.2" x14ac:dyDescent="0.25">
      <c r="AZ843" s="15"/>
      <c r="BA843" s="15"/>
    </row>
    <row r="844" spans="52:53" ht="13.2" x14ac:dyDescent="0.25">
      <c r="AZ844" s="15"/>
      <c r="BA844" s="15"/>
    </row>
    <row r="845" spans="52:53" ht="13.2" x14ac:dyDescent="0.25">
      <c r="AZ845" s="15"/>
      <c r="BA845" s="15"/>
    </row>
    <row r="846" spans="52:53" ht="13.2" x14ac:dyDescent="0.25">
      <c r="AZ846" s="15"/>
      <c r="BA846" s="15"/>
    </row>
    <row r="847" spans="52:53" ht="13.2" x14ac:dyDescent="0.25">
      <c r="AZ847" s="15"/>
      <c r="BA847" s="15"/>
    </row>
    <row r="848" spans="52:53" ht="13.2" x14ac:dyDescent="0.25">
      <c r="AZ848" s="15"/>
      <c r="BA848" s="15"/>
    </row>
    <row r="849" spans="52:53" ht="13.2" x14ac:dyDescent="0.25">
      <c r="AZ849" s="15"/>
      <c r="BA849" s="15"/>
    </row>
    <row r="850" spans="52:53" ht="13.2" x14ac:dyDescent="0.25">
      <c r="AZ850" s="15"/>
      <c r="BA850" s="15"/>
    </row>
    <row r="851" spans="52:53" ht="13.2" x14ac:dyDescent="0.25">
      <c r="AZ851" s="15"/>
      <c r="BA851" s="15"/>
    </row>
    <row r="852" spans="52:53" ht="13.2" x14ac:dyDescent="0.25">
      <c r="AZ852" s="15"/>
      <c r="BA852" s="15"/>
    </row>
    <row r="853" spans="52:53" ht="13.2" x14ac:dyDescent="0.25">
      <c r="AZ853" s="15"/>
      <c r="BA853" s="15"/>
    </row>
    <row r="854" spans="52:53" ht="13.2" x14ac:dyDescent="0.25">
      <c r="AZ854" s="15"/>
      <c r="BA854" s="15"/>
    </row>
    <row r="855" spans="52:53" ht="13.2" x14ac:dyDescent="0.25">
      <c r="AZ855" s="15"/>
      <c r="BA855" s="15"/>
    </row>
    <row r="856" spans="52:53" ht="13.2" x14ac:dyDescent="0.25">
      <c r="AZ856" s="15"/>
      <c r="BA856" s="15"/>
    </row>
    <row r="857" spans="52:53" ht="13.2" x14ac:dyDescent="0.25">
      <c r="AZ857" s="15"/>
      <c r="BA857" s="15"/>
    </row>
    <row r="858" spans="52:53" ht="13.2" x14ac:dyDescent="0.25">
      <c r="AZ858" s="15"/>
      <c r="BA858" s="15"/>
    </row>
    <row r="859" spans="52:53" ht="13.2" x14ac:dyDescent="0.25">
      <c r="AZ859" s="15"/>
      <c r="BA859" s="15"/>
    </row>
    <row r="860" spans="52:53" ht="13.2" x14ac:dyDescent="0.25">
      <c r="AZ860" s="15"/>
      <c r="BA860" s="15"/>
    </row>
    <row r="861" spans="52:53" ht="13.2" x14ac:dyDescent="0.25">
      <c r="AZ861" s="15"/>
      <c r="BA861" s="15"/>
    </row>
    <row r="862" spans="52:53" ht="13.2" x14ac:dyDescent="0.25">
      <c r="AZ862" s="15"/>
      <c r="BA862" s="15"/>
    </row>
    <row r="863" spans="52:53" ht="13.2" x14ac:dyDescent="0.25">
      <c r="AZ863" s="15"/>
      <c r="BA863" s="15"/>
    </row>
    <row r="864" spans="52:53" ht="13.2" x14ac:dyDescent="0.25">
      <c r="AZ864" s="15"/>
      <c r="BA864" s="15"/>
    </row>
    <row r="865" spans="52:53" ht="13.2" x14ac:dyDescent="0.25">
      <c r="AZ865" s="15"/>
      <c r="BA865" s="15"/>
    </row>
    <row r="866" spans="52:53" ht="13.2" x14ac:dyDescent="0.25">
      <c r="AZ866" s="15"/>
      <c r="BA866" s="15"/>
    </row>
    <row r="867" spans="52:53" ht="13.2" x14ac:dyDescent="0.25">
      <c r="AZ867" s="15"/>
      <c r="BA867" s="15"/>
    </row>
    <row r="868" spans="52:53" ht="13.2" x14ac:dyDescent="0.25">
      <c r="AZ868" s="15"/>
      <c r="BA868" s="15"/>
    </row>
    <row r="869" spans="52:53" ht="13.2" x14ac:dyDescent="0.25">
      <c r="AZ869" s="15"/>
      <c r="BA869" s="15"/>
    </row>
    <row r="870" spans="52:53" ht="13.2" x14ac:dyDescent="0.25">
      <c r="AZ870" s="15"/>
      <c r="BA870" s="15"/>
    </row>
    <row r="871" spans="52:53" ht="13.2" x14ac:dyDescent="0.25">
      <c r="AZ871" s="15"/>
      <c r="BA871" s="15"/>
    </row>
    <row r="872" spans="52:53" ht="13.2" x14ac:dyDescent="0.25">
      <c r="AZ872" s="15"/>
      <c r="BA872" s="15"/>
    </row>
    <row r="873" spans="52:53" ht="13.2" x14ac:dyDescent="0.25">
      <c r="AZ873" s="15"/>
      <c r="BA873" s="15"/>
    </row>
    <row r="874" spans="52:53" ht="13.2" x14ac:dyDescent="0.25">
      <c r="AZ874" s="15"/>
      <c r="BA874" s="15"/>
    </row>
    <row r="875" spans="52:53" ht="13.2" x14ac:dyDescent="0.25">
      <c r="AZ875" s="15"/>
      <c r="BA875" s="15"/>
    </row>
    <row r="876" spans="52:53" ht="13.2" x14ac:dyDescent="0.25">
      <c r="AZ876" s="15"/>
      <c r="BA876" s="15"/>
    </row>
    <row r="877" spans="52:53" ht="13.2" x14ac:dyDescent="0.25">
      <c r="AZ877" s="15"/>
      <c r="BA877" s="15"/>
    </row>
    <row r="878" spans="52:53" ht="13.2" x14ac:dyDescent="0.25">
      <c r="AZ878" s="15"/>
      <c r="BA878" s="15"/>
    </row>
    <row r="879" spans="52:53" ht="13.2" x14ac:dyDescent="0.25">
      <c r="AZ879" s="15"/>
      <c r="BA879" s="15"/>
    </row>
    <row r="880" spans="52:53" ht="13.2" x14ac:dyDescent="0.25">
      <c r="AZ880" s="15"/>
      <c r="BA880" s="15"/>
    </row>
    <row r="881" spans="52:53" ht="13.2" x14ac:dyDescent="0.25">
      <c r="AZ881" s="15"/>
      <c r="BA881" s="15"/>
    </row>
    <row r="882" spans="52:53" ht="13.2" x14ac:dyDescent="0.25">
      <c r="AZ882" s="15"/>
      <c r="BA882" s="15"/>
    </row>
    <row r="883" spans="52:53" ht="13.2" x14ac:dyDescent="0.25">
      <c r="AZ883" s="15"/>
      <c r="BA883" s="15"/>
    </row>
    <row r="884" spans="52:53" ht="13.2" x14ac:dyDescent="0.25">
      <c r="AZ884" s="15"/>
      <c r="BA884" s="15"/>
    </row>
    <row r="885" spans="52:53" ht="13.2" x14ac:dyDescent="0.25">
      <c r="AZ885" s="15"/>
      <c r="BA885" s="15"/>
    </row>
    <row r="886" spans="52:53" ht="13.2" x14ac:dyDescent="0.25">
      <c r="AZ886" s="15"/>
      <c r="BA886" s="15"/>
    </row>
    <row r="887" spans="52:53" ht="13.2" x14ac:dyDescent="0.25">
      <c r="AZ887" s="15"/>
      <c r="BA887" s="15"/>
    </row>
    <row r="888" spans="52:53" ht="13.2" x14ac:dyDescent="0.25">
      <c r="AZ888" s="15"/>
      <c r="BA888" s="15"/>
    </row>
    <row r="889" spans="52:53" ht="13.2" x14ac:dyDescent="0.25">
      <c r="AZ889" s="15"/>
      <c r="BA889" s="15"/>
    </row>
    <row r="890" spans="52:53" ht="13.2" x14ac:dyDescent="0.25">
      <c r="AZ890" s="15"/>
      <c r="BA890" s="15"/>
    </row>
    <row r="891" spans="52:53" ht="13.2" x14ac:dyDescent="0.25">
      <c r="AZ891" s="15"/>
      <c r="BA891" s="15"/>
    </row>
    <row r="892" spans="52:53" ht="13.2" x14ac:dyDescent="0.25">
      <c r="AZ892" s="15"/>
      <c r="BA892" s="15"/>
    </row>
    <row r="893" spans="52:53" ht="13.2" x14ac:dyDescent="0.25">
      <c r="AZ893" s="15"/>
      <c r="BA893" s="15"/>
    </row>
    <row r="894" spans="52:53" ht="13.2" x14ac:dyDescent="0.25">
      <c r="AZ894" s="15"/>
      <c r="BA894" s="15"/>
    </row>
    <row r="895" spans="52:53" ht="13.2" x14ac:dyDescent="0.25">
      <c r="AZ895" s="15"/>
      <c r="BA895" s="15"/>
    </row>
    <row r="896" spans="52:53" ht="13.2" x14ac:dyDescent="0.25">
      <c r="AZ896" s="15"/>
      <c r="BA896" s="15"/>
    </row>
    <row r="897" spans="52:53" ht="13.2" x14ac:dyDescent="0.25">
      <c r="AZ897" s="15"/>
      <c r="BA897" s="15"/>
    </row>
    <row r="898" spans="52:53" ht="13.2" x14ac:dyDescent="0.25">
      <c r="AZ898" s="15"/>
      <c r="BA898" s="15"/>
    </row>
    <row r="899" spans="52:53" ht="13.2" x14ac:dyDescent="0.25">
      <c r="AZ899" s="15"/>
      <c r="BA899" s="15"/>
    </row>
    <row r="900" spans="52:53" ht="13.2" x14ac:dyDescent="0.25">
      <c r="AZ900" s="15"/>
      <c r="BA900" s="15"/>
    </row>
    <row r="901" spans="52:53" ht="13.2" x14ac:dyDescent="0.25">
      <c r="AZ901" s="15"/>
      <c r="BA901" s="15"/>
    </row>
    <row r="902" spans="52:53" ht="13.2" x14ac:dyDescent="0.25">
      <c r="AZ902" s="15"/>
      <c r="BA902" s="15"/>
    </row>
    <row r="903" spans="52:53" ht="13.2" x14ac:dyDescent="0.25">
      <c r="AZ903" s="15"/>
      <c r="BA903" s="15"/>
    </row>
    <row r="904" spans="52:53" ht="13.2" x14ac:dyDescent="0.25">
      <c r="AZ904" s="15"/>
      <c r="BA904" s="15"/>
    </row>
    <row r="905" spans="52:53" ht="13.2" x14ac:dyDescent="0.25">
      <c r="AZ905" s="15"/>
      <c r="BA905" s="15"/>
    </row>
    <row r="906" spans="52:53" ht="13.2" x14ac:dyDescent="0.25">
      <c r="AZ906" s="15"/>
      <c r="BA906" s="15"/>
    </row>
    <row r="907" spans="52:53" ht="13.2" x14ac:dyDescent="0.25">
      <c r="AZ907" s="15"/>
      <c r="BA907" s="15"/>
    </row>
    <row r="908" spans="52:53" ht="13.2" x14ac:dyDescent="0.25">
      <c r="AZ908" s="15"/>
      <c r="BA908" s="15"/>
    </row>
    <row r="909" spans="52:53" ht="13.2" x14ac:dyDescent="0.25">
      <c r="AZ909" s="15"/>
      <c r="BA909" s="15"/>
    </row>
    <row r="910" spans="52:53" ht="13.2" x14ac:dyDescent="0.25">
      <c r="AZ910" s="15"/>
      <c r="BA910" s="15"/>
    </row>
    <row r="911" spans="52:53" ht="13.2" x14ac:dyDescent="0.25">
      <c r="AZ911" s="15"/>
      <c r="BA911" s="15"/>
    </row>
    <row r="912" spans="52:53" ht="13.2" x14ac:dyDescent="0.25">
      <c r="AZ912" s="15"/>
      <c r="BA912" s="15"/>
    </row>
    <row r="913" spans="52:53" ht="13.2" x14ac:dyDescent="0.25">
      <c r="AZ913" s="15"/>
      <c r="BA913" s="15"/>
    </row>
    <row r="914" spans="52:53" ht="13.2" x14ac:dyDescent="0.25">
      <c r="AZ914" s="15"/>
      <c r="BA914" s="15"/>
    </row>
    <row r="915" spans="52:53" ht="13.2" x14ac:dyDescent="0.25">
      <c r="AZ915" s="15"/>
      <c r="BA915" s="15"/>
    </row>
    <row r="916" spans="52:53" ht="13.2" x14ac:dyDescent="0.25">
      <c r="AZ916" s="15"/>
      <c r="BA916" s="15"/>
    </row>
    <row r="917" spans="52:53" ht="13.2" x14ac:dyDescent="0.25">
      <c r="AZ917" s="15"/>
      <c r="BA917" s="15"/>
    </row>
    <row r="918" spans="52:53" ht="13.2" x14ac:dyDescent="0.25">
      <c r="AZ918" s="15"/>
      <c r="BA918" s="15"/>
    </row>
    <row r="919" spans="52:53" ht="13.2" x14ac:dyDescent="0.25">
      <c r="AZ919" s="15"/>
      <c r="BA919" s="15"/>
    </row>
    <row r="920" spans="52:53" ht="13.2" x14ac:dyDescent="0.25">
      <c r="AZ920" s="15"/>
      <c r="BA920" s="15"/>
    </row>
    <row r="921" spans="52:53" ht="13.2" x14ac:dyDescent="0.25">
      <c r="AZ921" s="15"/>
      <c r="BA921" s="15"/>
    </row>
    <row r="922" spans="52:53" ht="13.2" x14ac:dyDescent="0.25">
      <c r="AZ922" s="15"/>
      <c r="BA922" s="15"/>
    </row>
    <row r="923" spans="52:53" ht="13.2" x14ac:dyDescent="0.25">
      <c r="AZ923" s="15"/>
      <c r="BA923" s="15"/>
    </row>
    <row r="924" spans="52:53" ht="13.2" x14ac:dyDescent="0.25">
      <c r="AZ924" s="15"/>
      <c r="BA924" s="15"/>
    </row>
    <row r="925" spans="52:53" ht="13.2" x14ac:dyDescent="0.25">
      <c r="AZ925" s="15"/>
      <c r="BA925" s="15"/>
    </row>
    <row r="926" spans="52:53" ht="13.2" x14ac:dyDescent="0.25">
      <c r="AZ926" s="15"/>
      <c r="BA926" s="15"/>
    </row>
    <row r="927" spans="52:53" ht="13.2" x14ac:dyDescent="0.25">
      <c r="AZ927" s="15"/>
      <c r="BA927" s="15"/>
    </row>
    <row r="928" spans="52:53" ht="13.2" x14ac:dyDescent="0.25">
      <c r="AZ928" s="15"/>
      <c r="BA928" s="15"/>
    </row>
    <row r="929" spans="52:53" ht="13.2" x14ac:dyDescent="0.25">
      <c r="AZ929" s="15"/>
      <c r="BA929" s="15"/>
    </row>
    <row r="930" spans="52:53" ht="13.2" x14ac:dyDescent="0.25">
      <c r="AZ930" s="15"/>
      <c r="BA930" s="15"/>
    </row>
    <row r="931" spans="52:53" ht="13.2" x14ac:dyDescent="0.25">
      <c r="AZ931" s="15"/>
      <c r="BA931" s="15"/>
    </row>
    <row r="932" spans="52:53" ht="13.2" x14ac:dyDescent="0.25">
      <c r="AZ932" s="15"/>
      <c r="BA932" s="15"/>
    </row>
    <row r="933" spans="52:53" ht="13.2" x14ac:dyDescent="0.25">
      <c r="AZ933" s="15"/>
      <c r="BA933" s="15"/>
    </row>
    <row r="934" spans="52:53" ht="13.2" x14ac:dyDescent="0.25">
      <c r="AZ934" s="15"/>
      <c r="BA934" s="15"/>
    </row>
    <row r="935" spans="52:53" ht="13.2" x14ac:dyDescent="0.25">
      <c r="AZ935" s="15"/>
      <c r="BA935" s="15"/>
    </row>
    <row r="936" spans="52:53" ht="13.2" x14ac:dyDescent="0.25">
      <c r="AZ936" s="15"/>
      <c r="BA936" s="15"/>
    </row>
    <row r="937" spans="52:53" ht="13.2" x14ac:dyDescent="0.25">
      <c r="AZ937" s="15"/>
      <c r="BA937" s="15"/>
    </row>
    <row r="938" spans="52:53" ht="13.2" x14ac:dyDescent="0.25">
      <c r="AZ938" s="15"/>
      <c r="BA938" s="15"/>
    </row>
    <row r="939" spans="52:53" ht="13.2" x14ac:dyDescent="0.25">
      <c r="AZ939" s="15"/>
      <c r="BA939" s="15"/>
    </row>
    <row r="940" spans="52:53" ht="13.2" x14ac:dyDescent="0.25">
      <c r="AZ940" s="15"/>
      <c r="BA940" s="15"/>
    </row>
    <row r="941" spans="52:53" ht="13.2" x14ac:dyDescent="0.25">
      <c r="AZ941" s="15"/>
      <c r="BA941" s="15"/>
    </row>
    <row r="942" spans="52:53" ht="13.2" x14ac:dyDescent="0.25">
      <c r="AZ942" s="15"/>
      <c r="BA942" s="15"/>
    </row>
    <row r="943" spans="52:53" ht="13.2" x14ac:dyDescent="0.25">
      <c r="AZ943" s="15"/>
      <c r="BA943" s="15"/>
    </row>
    <row r="944" spans="52:53" ht="13.2" x14ac:dyDescent="0.25">
      <c r="AZ944" s="15"/>
      <c r="BA944" s="15"/>
    </row>
    <row r="945" spans="52:53" ht="13.2" x14ac:dyDescent="0.25">
      <c r="AZ945" s="15"/>
      <c r="BA945" s="15"/>
    </row>
    <row r="946" spans="52:53" ht="13.2" x14ac:dyDescent="0.25">
      <c r="AZ946" s="15"/>
      <c r="BA946" s="15"/>
    </row>
    <row r="947" spans="52:53" ht="13.2" x14ac:dyDescent="0.25">
      <c r="AZ947" s="15"/>
      <c r="BA947" s="15"/>
    </row>
    <row r="948" spans="52:53" ht="13.2" x14ac:dyDescent="0.25">
      <c r="AZ948" s="15"/>
      <c r="BA948" s="15"/>
    </row>
    <row r="949" spans="52:53" ht="13.2" x14ac:dyDescent="0.25">
      <c r="AZ949" s="15"/>
      <c r="BA949" s="15"/>
    </row>
    <row r="950" spans="52:53" ht="13.2" x14ac:dyDescent="0.25">
      <c r="AZ950" s="15"/>
      <c r="BA950" s="15"/>
    </row>
    <row r="951" spans="52:53" ht="13.2" x14ac:dyDescent="0.25">
      <c r="AZ951" s="15"/>
      <c r="BA951" s="15"/>
    </row>
    <row r="952" spans="52:53" ht="13.2" x14ac:dyDescent="0.25">
      <c r="AZ952" s="15"/>
      <c r="BA952" s="15"/>
    </row>
    <row r="953" spans="52:53" ht="13.2" x14ac:dyDescent="0.25">
      <c r="AZ953" s="15"/>
      <c r="BA953" s="15"/>
    </row>
    <row r="954" spans="52:53" ht="13.2" x14ac:dyDescent="0.25">
      <c r="AZ954" s="15"/>
      <c r="BA954" s="15"/>
    </row>
    <row r="955" spans="52:53" ht="13.2" x14ac:dyDescent="0.25">
      <c r="AZ955" s="15"/>
      <c r="BA955" s="15"/>
    </row>
    <row r="956" spans="52:53" ht="13.2" x14ac:dyDescent="0.25">
      <c r="AZ956" s="15"/>
      <c r="BA956" s="15"/>
    </row>
    <row r="957" spans="52:53" ht="13.2" x14ac:dyDescent="0.25">
      <c r="AZ957" s="15"/>
      <c r="BA957" s="15"/>
    </row>
    <row r="958" spans="52:53" ht="13.2" x14ac:dyDescent="0.25">
      <c r="AZ958" s="15"/>
      <c r="BA958" s="15"/>
    </row>
    <row r="959" spans="52:53" ht="13.2" x14ac:dyDescent="0.25">
      <c r="AZ959" s="15"/>
      <c r="BA959" s="15"/>
    </row>
    <row r="960" spans="52:53" ht="13.2" x14ac:dyDescent="0.25">
      <c r="AZ960" s="15"/>
      <c r="BA960" s="15"/>
    </row>
    <row r="961" spans="52:53" ht="13.2" x14ac:dyDescent="0.25">
      <c r="AZ961" s="15"/>
      <c r="BA961" s="15"/>
    </row>
    <row r="962" spans="52:53" ht="13.2" x14ac:dyDescent="0.25">
      <c r="AZ962" s="15"/>
      <c r="BA962" s="15"/>
    </row>
    <row r="963" spans="52:53" ht="13.2" x14ac:dyDescent="0.25">
      <c r="AZ963" s="15"/>
      <c r="BA963" s="15"/>
    </row>
    <row r="964" spans="52:53" ht="13.2" x14ac:dyDescent="0.25">
      <c r="AZ964" s="15"/>
      <c r="BA964" s="15"/>
    </row>
    <row r="965" spans="52:53" ht="13.2" x14ac:dyDescent="0.25">
      <c r="AZ965" s="15"/>
      <c r="BA965" s="15"/>
    </row>
    <row r="966" spans="52:53" ht="13.2" x14ac:dyDescent="0.25">
      <c r="AZ966" s="15"/>
      <c r="BA966" s="15"/>
    </row>
    <row r="967" spans="52:53" ht="13.2" x14ac:dyDescent="0.25">
      <c r="AZ967" s="15"/>
      <c r="BA967" s="15"/>
    </row>
    <row r="968" spans="52:53" ht="13.2" x14ac:dyDescent="0.25">
      <c r="AZ968" s="15"/>
      <c r="BA968" s="15"/>
    </row>
    <row r="969" spans="52:53" ht="13.2" x14ac:dyDescent="0.25">
      <c r="AZ969" s="15"/>
      <c r="BA969" s="15"/>
    </row>
    <row r="970" spans="52:53" ht="13.2" x14ac:dyDescent="0.25">
      <c r="AZ970" s="15"/>
      <c r="BA970" s="15"/>
    </row>
    <row r="971" spans="52:53" ht="13.2" x14ac:dyDescent="0.25">
      <c r="AZ971" s="15"/>
      <c r="BA971" s="15"/>
    </row>
    <row r="972" spans="52:53" ht="13.2" x14ac:dyDescent="0.25">
      <c r="AZ972" s="15"/>
      <c r="BA972" s="15"/>
    </row>
    <row r="973" spans="52:53" ht="13.2" x14ac:dyDescent="0.25">
      <c r="AZ973" s="15"/>
      <c r="BA973" s="15"/>
    </row>
    <row r="974" spans="52:53" ht="13.2" x14ac:dyDescent="0.25">
      <c r="AZ974" s="15"/>
      <c r="BA974" s="15"/>
    </row>
    <row r="975" spans="52:53" ht="13.2" x14ac:dyDescent="0.25">
      <c r="AZ975" s="15"/>
      <c r="BA975" s="15"/>
    </row>
    <row r="976" spans="52:53" ht="13.2" x14ac:dyDescent="0.25">
      <c r="AZ976" s="15"/>
      <c r="BA976" s="15"/>
    </row>
    <row r="977" spans="52:53" ht="13.2" x14ac:dyDescent="0.25">
      <c r="AZ977" s="15"/>
      <c r="BA977" s="15"/>
    </row>
    <row r="978" spans="52:53" ht="13.2" x14ac:dyDescent="0.25">
      <c r="AZ978" s="15"/>
      <c r="BA978" s="15"/>
    </row>
    <row r="979" spans="52:53" ht="13.2" x14ac:dyDescent="0.25">
      <c r="AZ979" s="15"/>
      <c r="BA979" s="15"/>
    </row>
    <row r="980" spans="52:53" ht="13.2" x14ac:dyDescent="0.25">
      <c r="AZ980" s="15"/>
      <c r="BA980" s="15"/>
    </row>
    <row r="981" spans="52:53" ht="13.2" x14ac:dyDescent="0.25">
      <c r="AZ981" s="15"/>
      <c r="BA981" s="15"/>
    </row>
    <row r="982" spans="52:53" ht="13.2" x14ac:dyDescent="0.25">
      <c r="AZ982" s="15"/>
      <c r="BA982" s="15"/>
    </row>
    <row r="983" spans="52:53" ht="13.2" x14ac:dyDescent="0.25">
      <c r="AZ983" s="15"/>
      <c r="BA983" s="15"/>
    </row>
    <row r="984" spans="52:53" ht="13.2" x14ac:dyDescent="0.25">
      <c r="AZ984" s="15"/>
      <c r="BA984" s="15"/>
    </row>
    <row r="985" spans="52:53" ht="13.2" x14ac:dyDescent="0.25">
      <c r="AZ985" s="15"/>
      <c r="BA985" s="15"/>
    </row>
    <row r="986" spans="52:53" ht="13.2" x14ac:dyDescent="0.25">
      <c r="AZ986" s="15"/>
      <c r="BA986" s="15"/>
    </row>
    <row r="987" spans="52:53" ht="13.2" x14ac:dyDescent="0.25">
      <c r="AZ987" s="15"/>
      <c r="BA987" s="15"/>
    </row>
    <row r="988" spans="52:53" ht="13.2" x14ac:dyDescent="0.25">
      <c r="AZ988" s="15"/>
      <c r="BA988" s="15"/>
    </row>
    <row r="989" spans="52:53" ht="13.2" x14ac:dyDescent="0.25">
      <c r="AZ989" s="15"/>
      <c r="BA989" s="15"/>
    </row>
    <row r="990" spans="52:53" ht="13.2" x14ac:dyDescent="0.25">
      <c r="AZ990" s="15"/>
      <c r="BA990" s="15"/>
    </row>
    <row r="991" spans="52:53" ht="13.2" x14ac:dyDescent="0.25">
      <c r="AZ991" s="15"/>
      <c r="BA991" s="15"/>
    </row>
    <row r="992" spans="52:53" ht="13.2" x14ac:dyDescent="0.25">
      <c r="AZ992" s="15"/>
      <c r="BA992" s="15"/>
    </row>
    <row r="993" spans="52:53" ht="13.2" x14ac:dyDescent="0.25">
      <c r="AZ993" s="15"/>
      <c r="BA993" s="15"/>
    </row>
    <row r="994" spans="52:53" ht="13.2" x14ac:dyDescent="0.25">
      <c r="AZ994" s="15"/>
      <c r="BA994" s="15"/>
    </row>
    <row r="995" spans="52:53" ht="13.2" x14ac:dyDescent="0.25">
      <c r="AZ995" s="15"/>
      <c r="BA995" s="15"/>
    </row>
    <row r="996" spans="52:53" ht="13.2" x14ac:dyDescent="0.25">
      <c r="AZ996" s="15"/>
      <c r="BA996" s="15"/>
    </row>
    <row r="997" spans="52:53" ht="13.2" x14ac:dyDescent="0.25">
      <c r="AZ997" s="15"/>
      <c r="BA997" s="15"/>
    </row>
    <row r="998" spans="52:53" ht="13.2" x14ac:dyDescent="0.25">
      <c r="AZ998" s="15"/>
      <c r="BA998" s="15"/>
    </row>
    <row r="999" spans="52:53" ht="13.2" x14ac:dyDescent="0.25">
      <c r="AZ999" s="15"/>
      <c r="BA999" s="15"/>
    </row>
    <row r="1000" spans="52:53" ht="13.2" x14ac:dyDescent="0.25">
      <c r="AZ1000" s="15"/>
      <c r="BA1000" s="15"/>
    </row>
  </sheetData>
  <mergeCells count="56">
    <mergeCell ref="A15:B15"/>
    <mergeCell ref="G15:H15"/>
    <mergeCell ref="J15:K15"/>
    <mergeCell ref="M15:N15"/>
    <mergeCell ref="V15:W15"/>
    <mergeCell ref="AK1:AL1"/>
    <mergeCell ref="AN1:AO1"/>
    <mergeCell ref="A1:B1"/>
    <mergeCell ref="D1:E1"/>
    <mergeCell ref="G1:H1"/>
    <mergeCell ref="J1:K1"/>
    <mergeCell ref="M1:N1"/>
    <mergeCell ref="P1:Q1"/>
    <mergeCell ref="S1:T1"/>
    <mergeCell ref="V1:W1"/>
    <mergeCell ref="Y1:Z1"/>
    <mergeCell ref="AB1:AC1"/>
    <mergeCell ref="AE1:AF1"/>
    <mergeCell ref="AH1:AI1"/>
    <mergeCell ref="AP2:AP15"/>
    <mergeCell ref="AQ1:AR1"/>
    <mergeCell ref="AT1:AU1"/>
    <mergeCell ref="AW1:AX1"/>
    <mergeCell ref="AZ1:BA1"/>
    <mergeCell ref="AS2:AS15"/>
    <mergeCell ref="AV2:AV15"/>
    <mergeCell ref="AY2:AY15"/>
    <mergeCell ref="AT15:AU15"/>
    <mergeCell ref="AW15:AX15"/>
    <mergeCell ref="AQ15:AR15"/>
    <mergeCell ref="AY16:AY29"/>
    <mergeCell ref="AY30:AY43"/>
    <mergeCell ref="AY44:AY57"/>
    <mergeCell ref="AY58:AY71"/>
    <mergeCell ref="AY72:AY85"/>
    <mergeCell ref="U2:U15"/>
    <mergeCell ref="AE15:AF15"/>
    <mergeCell ref="AH15:AI15"/>
    <mergeCell ref="AK15:AL15"/>
    <mergeCell ref="AN15:AO15"/>
    <mergeCell ref="X2:X15"/>
    <mergeCell ref="AA2:AA15"/>
    <mergeCell ref="AD2:AD15"/>
    <mergeCell ref="AG2:AG15"/>
    <mergeCell ref="AJ2:AJ15"/>
    <mergeCell ref="AM2:AM15"/>
    <mergeCell ref="Y15:Z15"/>
    <mergeCell ref="AB15:AC15"/>
    <mergeCell ref="P15:Q15"/>
    <mergeCell ref="S15:T15"/>
    <mergeCell ref="C2:C15"/>
    <mergeCell ref="F2:F15"/>
    <mergeCell ref="I2:I15"/>
    <mergeCell ref="L2:L15"/>
    <mergeCell ref="O2:O15"/>
    <mergeCell ref="R2:R1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178"/>
  <sheetViews>
    <sheetView workbookViewId="0"/>
  </sheetViews>
  <sheetFormatPr baseColWidth="10" defaultColWidth="14.44140625" defaultRowHeight="15" customHeight="1" x14ac:dyDescent="0.25"/>
  <cols>
    <col min="1" max="1" width="14.6640625" customWidth="1"/>
    <col min="2" max="2" width="22.109375" customWidth="1"/>
    <col min="3" max="3" width="10.33203125" customWidth="1"/>
    <col min="4" max="4" width="22.33203125" customWidth="1"/>
    <col min="5" max="5" width="14" customWidth="1"/>
    <col min="6" max="6" width="10.33203125" customWidth="1"/>
    <col min="7" max="7" width="11.33203125" customWidth="1"/>
    <col min="8" max="10" width="16.44140625" customWidth="1"/>
    <col min="11" max="11" width="21.44140625" customWidth="1"/>
    <col min="12" max="12" width="25.109375" customWidth="1"/>
    <col min="13" max="26" width="8.6640625" customWidth="1"/>
  </cols>
  <sheetData>
    <row r="1" spans="1:26" ht="12.75" customHeight="1" x14ac:dyDescent="0.25">
      <c r="A1" s="2">
        <v>8</v>
      </c>
      <c r="B1" s="2">
        <v>586</v>
      </c>
      <c r="C1" s="2">
        <v>8</v>
      </c>
      <c r="D1" s="2">
        <v>189</v>
      </c>
      <c r="E1" s="2">
        <v>93</v>
      </c>
      <c r="F1" s="2">
        <v>1176</v>
      </c>
      <c r="G1" s="2">
        <v>306</v>
      </c>
      <c r="H1" s="2">
        <v>22</v>
      </c>
      <c r="I1" s="2">
        <v>2</v>
      </c>
      <c r="J1" s="2">
        <v>21</v>
      </c>
      <c r="K1" s="2">
        <v>18</v>
      </c>
      <c r="L1" s="2"/>
      <c r="M1" s="2"/>
      <c r="N1" s="2"/>
      <c r="O1" s="2"/>
      <c r="P1" s="2"/>
      <c r="Q1" s="2"/>
      <c r="R1" s="2"/>
      <c r="S1" s="2"/>
      <c r="T1" s="2"/>
      <c r="U1" s="2"/>
      <c r="V1" s="2"/>
      <c r="W1" s="2"/>
      <c r="X1" s="2"/>
      <c r="Y1" s="2"/>
      <c r="Z1" s="2"/>
    </row>
    <row r="2" spans="1:26" ht="12.75" customHeight="1" x14ac:dyDescent="0.25">
      <c r="A2" s="2"/>
      <c r="B2" s="2"/>
      <c r="C2" s="2"/>
      <c r="D2" s="2"/>
      <c r="E2" s="2"/>
      <c r="F2" s="2" t="s">
        <v>9</v>
      </c>
      <c r="G2" s="2" t="s">
        <v>10</v>
      </c>
      <c r="H2" s="2" t="s">
        <v>11</v>
      </c>
      <c r="I2" s="2"/>
      <c r="J2" s="2" t="s">
        <v>12</v>
      </c>
      <c r="K2" s="2" t="s">
        <v>13</v>
      </c>
      <c r="L2" s="2"/>
      <c r="M2" s="2"/>
      <c r="N2" s="2"/>
      <c r="O2" s="2"/>
      <c r="P2" s="2"/>
      <c r="Q2" s="2"/>
      <c r="R2" s="2"/>
      <c r="S2" s="2"/>
      <c r="T2" s="2"/>
      <c r="U2" s="2"/>
      <c r="V2" s="2"/>
      <c r="W2" s="2"/>
      <c r="X2" s="2"/>
      <c r="Y2" s="2"/>
      <c r="Z2" s="2"/>
    </row>
    <row r="3" spans="1:26" ht="12.75" customHeight="1" x14ac:dyDescent="0.25">
      <c r="A3" s="6" t="s">
        <v>14</v>
      </c>
      <c r="B3" s="6" t="s">
        <v>26</v>
      </c>
      <c r="C3" s="6" t="s">
        <v>27</v>
      </c>
      <c r="D3" s="6" t="s">
        <v>28</v>
      </c>
      <c r="E3" s="6" t="s">
        <v>29</v>
      </c>
      <c r="F3" s="6" t="s">
        <v>30</v>
      </c>
      <c r="G3" s="6" t="s">
        <v>31</v>
      </c>
      <c r="H3" t="s">
        <v>32</v>
      </c>
      <c r="I3" s="6" t="s">
        <v>33</v>
      </c>
      <c r="J3" s="6" t="s">
        <v>34</v>
      </c>
      <c r="K3" s="6" t="s">
        <v>35</v>
      </c>
    </row>
    <row r="4" spans="1:26" ht="12.75" customHeight="1" x14ac:dyDescent="0.25">
      <c r="A4" s="6" t="s">
        <v>14</v>
      </c>
      <c r="B4" s="6" t="s">
        <v>26</v>
      </c>
      <c r="C4" s="6" t="s">
        <v>27</v>
      </c>
      <c r="D4" s="6" t="s">
        <v>28</v>
      </c>
      <c r="E4" s="6" t="s">
        <v>29</v>
      </c>
      <c r="F4" s="6" t="s">
        <v>30</v>
      </c>
      <c r="G4" s="6" t="s">
        <v>31</v>
      </c>
      <c r="H4" t="s">
        <v>32</v>
      </c>
      <c r="I4" s="6" t="s">
        <v>33</v>
      </c>
      <c r="J4" t="s">
        <v>34</v>
      </c>
      <c r="K4" s="6" t="s">
        <v>36</v>
      </c>
    </row>
    <row r="5" spans="1:26" ht="12.75" customHeight="1" x14ac:dyDescent="0.25">
      <c r="A5" s="6" t="s">
        <v>14</v>
      </c>
      <c r="B5" s="6" t="s">
        <v>26</v>
      </c>
      <c r="C5" s="6" t="s">
        <v>27</v>
      </c>
      <c r="D5" s="6" t="s">
        <v>28</v>
      </c>
      <c r="E5" s="6" t="s">
        <v>29</v>
      </c>
      <c r="F5" s="6" t="s">
        <v>30</v>
      </c>
      <c r="G5" s="6" t="s">
        <v>31</v>
      </c>
      <c r="H5" s="6" t="s">
        <v>37</v>
      </c>
      <c r="J5" s="6" t="s">
        <v>34</v>
      </c>
      <c r="K5" s="6" t="s">
        <v>38</v>
      </c>
    </row>
    <row r="6" spans="1:26" ht="12.75" customHeight="1" x14ac:dyDescent="0.25">
      <c r="A6" s="6" t="s">
        <v>14</v>
      </c>
      <c r="B6" s="6" t="s">
        <v>26</v>
      </c>
      <c r="C6" s="6" t="s">
        <v>27</v>
      </c>
      <c r="D6" s="6" t="s">
        <v>28</v>
      </c>
      <c r="E6" s="6" t="s">
        <v>29</v>
      </c>
      <c r="F6" s="6" t="s">
        <v>30</v>
      </c>
      <c r="G6" s="6" t="s">
        <v>31</v>
      </c>
      <c r="H6" s="6" t="s">
        <v>37</v>
      </c>
      <c r="J6" s="6" t="s">
        <v>34</v>
      </c>
      <c r="K6" s="6" t="s">
        <v>38</v>
      </c>
    </row>
    <row r="7" spans="1:26" ht="12.75" customHeight="1" x14ac:dyDescent="0.25">
      <c r="A7" s="6" t="s">
        <v>14</v>
      </c>
      <c r="B7" s="6" t="s">
        <v>26</v>
      </c>
      <c r="C7" s="6" t="s">
        <v>27</v>
      </c>
      <c r="D7" s="6" t="s">
        <v>28</v>
      </c>
      <c r="E7" s="6" t="s">
        <v>29</v>
      </c>
      <c r="F7" s="6" t="s">
        <v>30</v>
      </c>
      <c r="G7" s="6" t="s">
        <v>31</v>
      </c>
      <c r="H7" s="6" t="s">
        <v>37</v>
      </c>
      <c r="J7" s="6" t="s">
        <v>34</v>
      </c>
      <c r="K7" s="6" t="s">
        <v>38</v>
      </c>
    </row>
    <row r="8" spans="1:26" ht="12.75" customHeight="1" x14ac:dyDescent="0.25">
      <c r="A8" s="6" t="s">
        <v>14</v>
      </c>
      <c r="B8" s="6" t="s">
        <v>26</v>
      </c>
      <c r="C8" s="6" t="s">
        <v>27</v>
      </c>
      <c r="D8" s="6" t="s">
        <v>28</v>
      </c>
      <c r="E8" s="6" t="s">
        <v>29</v>
      </c>
      <c r="F8" s="6" t="s">
        <v>30</v>
      </c>
      <c r="G8" s="6" t="s">
        <v>31</v>
      </c>
      <c r="H8" s="6" t="s">
        <v>39</v>
      </c>
      <c r="J8" s="6" t="s">
        <v>34</v>
      </c>
      <c r="K8" s="6" t="s">
        <v>38</v>
      </c>
    </row>
    <row r="9" spans="1:26" ht="12.75" customHeight="1" x14ac:dyDescent="0.25">
      <c r="A9" s="6" t="s">
        <v>14</v>
      </c>
      <c r="B9" s="6" t="s">
        <v>26</v>
      </c>
      <c r="C9" s="6" t="s">
        <v>27</v>
      </c>
      <c r="D9" s="6" t="s">
        <v>28</v>
      </c>
      <c r="E9" s="6" t="s">
        <v>29</v>
      </c>
      <c r="F9" s="6" t="s">
        <v>30</v>
      </c>
      <c r="G9" s="6" t="s">
        <v>31</v>
      </c>
      <c r="H9" s="6" t="s">
        <v>39</v>
      </c>
      <c r="J9" s="6" t="s">
        <v>34</v>
      </c>
      <c r="K9" s="6" t="s">
        <v>38</v>
      </c>
    </row>
    <row r="10" spans="1:26" ht="12.75" customHeight="1" x14ac:dyDescent="0.25">
      <c r="A10" s="6" t="s">
        <v>14</v>
      </c>
      <c r="B10" s="6" t="s">
        <v>26</v>
      </c>
      <c r="C10" s="6" t="s">
        <v>27</v>
      </c>
      <c r="D10" s="6" t="s">
        <v>28</v>
      </c>
      <c r="E10" s="6" t="s">
        <v>29</v>
      </c>
      <c r="F10" s="6" t="s">
        <v>30</v>
      </c>
      <c r="G10" s="6" t="s">
        <v>31</v>
      </c>
      <c r="H10" s="6" t="s">
        <v>39</v>
      </c>
      <c r="J10" s="6" t="s">
        <v>34</v>
      </c>
      <c r="K10" s="6" t="s">
        <v>40</v>
      </c>
    </row>
    <row r="11" spans="1:26" ht="12.75" customHeight="1" x14ac:dyDescent="0.25">
      <c r="B11" s="6" t="s">
        <v>26</v>
      </c>
      <c r="D11" s="6" t="s">
        <v>28</v>
      </c>
      <c r="E11" s="6" t="s">
        <v>29</v>
      </c>
      <c r="F11" s="6" t="s">
        <v>30</v>
      </c>
      <c r="G11" s="6" t="s">
        <v>31</v>
      </c>
      <c r="H11" s="6" t="s">
        <v>39</v>
      </c>
      <c r="J11" s="6" t="s">
        <v>34</v>
      </c>
      <c r="K11" s="6" t="s">
        <v>41</v>
      </c>
    </row>
    <row r="12" spans="1:26" ht="12.75" customHeight="1" x14ac:dyDescent="0.25">
      <c r="B12" s="6" t="s">
        <v>26</v>
      </c>
      <c r="D12" s="6" t="s">
        <v>28</v>
      </c>
      <c r="E12" s="6" t="s">
        <v>29</v>
      </c>
      <c r="F12" s="6" t="s">
        <v>30</v>
      </c>
      <c r="G12" s="6" t="s">
        <v>31</v>
      </c>
      <c r="H12" s="6" t="s">
        <v>39</v>
      </c>
      <c r="J12" s="6" t="s">
        <v>34</v>
      </c>
      <c r="K12" s="6" t="s">
        <v>41</v>
      </c>
    </row>
    <row r="13" spans="1:26" ht="12.75" customHeight="1" x14ac:dyDescent="0.25">
      <c r="B13" s="6" t="s">
        <v>26</v>
      </c>
      <c r="D13" s="6" t="s">
        <v>28</v>
      </c>
      <c r="E13" s="6" t="s">
        <v>29</v>
      </c>
      <c r="F13" s="6" t="s">
        <v>30</v>
      </c>
      <c r="G13" s="6" t="s">
        <v>31</v>
      </c>
      <c r="H13" s="6" t="s">
        <v>39</v>
      </c>
      <c r="J13" s="6" t="s">
        <v>34</v>
      </c>
      <c r="K13" s="6" t="s">
        <v>41</v>
      </c>
    </row>
    <row r="14" spans="1:26" ht="12.75" customHeight="1" x14ac:dyDescent="0.25">
      <c r="B14" s="6" t="s">
        <v>26</v>
      </c>
      <c r="D14" s="6" t="s">
        <v>28</v>
      </c>
      <c r="E14" s="6" t="s">
        <v>29</v>
      </c>
      <c r="F14" s="6" t="s">
        <v>30</v>
      </c>
      <c r="G14" s="6" t="s">
        <v>31</v>
      </c>
      <c r="H14" s="6" t="s">
        <v>39</v>
      </c>
      <c r="J14" s="6" t="s">
        <v>34</v>
      </c>
      <c r="K14" s="6" t="s">
        <v>41</v>
      </c>
    </row>
    <row r="15" spans="1:26" ht="12.75" customHeight="1" x14ac:dyDescent="0.25">
      <c r="B15" s="6" t="s">
        <v>26</v>
      </c>
      <c r="D15" s="6" t="s">
        <v>28</v>
      </c>
      <c r="E15" s="6" t="s">
        <v>29</v>
      </c>
      <c r="F15" s="6" t="s">
        <v>30</v>
      </c>
      <c r="G15" s="6" t="s">
        <v>31</v>
      </c>
      <c r="H15" s="6" t="s">
        <v>39</v>
      </c>
      <c r="J15" s="6" t="s">
        <v>12</v>
      </c>
      <c r="K15" s="6" t="s">
        <v>41</v>
      </c>
    </row>
    <row r="16" spans="1:26" ht="12.75" customHeight="1" x14ac:dyDescent="0.25">
      <c r="B16" s="6" t="s">
        <v>26</v>
      </c>
      <c r="D16" s="6" t="s">
        <v>28</v>
      </c>
      <c r="E16" s="6" t="s">
        <v>29</v>
      </c>
      <c r="F16" s="6" t="s">
        <v>30</v>
      </c>
      <c r="G16" s="6" t="s">
        <v>31</v>
      </c>
      <c r="H16" s="6" t="s">
        <v>39</v>
      </c>
      <c r="J16" s="6" t="s">
        <v>12</v>
      </c>
      <c r="K16" s="6" t="s">
        <v>41</v>
      </c>
    </row>
    <row r="17" spans="1:13" ht="12.75" customHeight="1" x14ac:dyDescent="0.25">
      <c r="B17" s="6" t="s">
        <v>26</v>
      </c>
      <c r="D17" s="6" t="s">
        <v>28</v>
      </c>
      <c r="E17" s="6" t="s">
        <v>29</v>
      </c>
      <c r="F17" s="6" t="s">
        <v>30</v>
      </c>
      <c r="G17" s="6" t="s">
        <v>31</v>
      </c>
      <c r="H17" s="6" t="s">
        <v>39</v>
      </c>
      <c r="J17" s="6" t="s">
        <v>12</v>
      </c>
      <c r="K17" s="6" t="s">
        <v>42</v>
      </c>
    </row>
    <row r="18" spans="1:13" ht="12.75" customHeight="1" x14ac:dyDescent="0.25">
      <c r="B18" s="6" t="s">
        <v>26</v>
      </c>
      <c r="D18" s="6" t="s">
        <v>28</v>
      </c>
      <c r="E18" s="6" t="s">
        <v>29</v>
      </c>
      <c r="F18" s="6" t="s">
        <v>30</v>
      </c>
      <c r="G18" s="6" t="s">
        <v>31</v>
      </c>
      <c r="H18" s="6" t="s">
        <v>39</v>
      </c>
      <c r="J18" s="6" t="s">
        <v>12</v>
      </c>
      <c r="K18" s="6" t="s">
        <v>42</v>
      </c>
    </row>
    <row r="19" spans="1:13" ht="12.75" customHeight="1" x14ac:dyDescent="0.25">
      <c r="B19" s="6" t="s">
        <v>26</v>
      </c>
      <c r="D19" s="6" t="s">
        <v>28</v>
      </c>
      <c r="E19" s="6" t="s">
        <v>29</v>
      </c>
      <c r="F19" s="6" t="s">
        <v>30</v>
      </c>
      <c r="G19" s="6" t="s">
        <v>31</v>
      </c>
      <c r="H19" s="6" t="s">
        <v>39</v>
      </c>
      <c r="J19" s="6" t="s">
        <v>12</v>
      </c>
      <c r="K19" s="6" t="s">
        <v>43</v>
      </c>
    </row>
    <row r="20" spans="1:13" ht="12.75" customHeight="1" x14ac:dyDescent="0.25">
      <c r="B20" s="6" t="s">
        <v>26</v>
      </c>
      <c r="D20" s="6" t="s">
        <v>28</v>
      </c>
      <c r="E20" s="6" t="s">
        <v>29</v>
      </c>
      <c r="F20" s="6" t="s">
        <v>30</v>
      </c>
      <c r="G20" s="6" t="s">
        <v>31</v>
      </c>
      <c r="H20" s="6" t="s">
        <v>39</v>
      </c>
      <c r="J20" s="6" t="s">
        <v>12</v>
      </c>
      <c r="K20" s="6" t="s">
        <v>43</v>
      </c>
    </row>
    <row r="21" spans="1:13" ht="12.75" customHeight="1" x14ac:dyDescent="0.25">
      <c r="B21" s="6" t="s">
        <v>26</v>
      </c>
      <c r="D21" s="6" t="s">
        <v>28</v>
      </c>
      <c r="E21" s="6" t="s">
        <v>29</v>
      </c>
      <c r="F21" s="6" t="s">
        <v>30</v>
      </c>
      <c r="G21" s="6" t="s">
        <v>31</v>
      </c>
      <c r="H21" s="6" t="s">
        <v>39</v>
      </c>
      <c r="J21" s="6" t="s">
        <v>12</v>
      </c>
    </row>
    <row r="22" spans="1:13" ht="12.75" customHeight="1" x14ac:dyDescent="0.25">
      <c r="B22" s="6" t="s">
        <v>26</v>
      </c>
      <c r="D22" s="6" t="s">
        <v>28</v>
      </c>
      <c r="E22" s="6" t="s">
        <v>29</v>
      </c>
      <c r="F22" s="6" t="s">
        <v>30</v>
      </c>
      <c r="G22" s="6" t="s">
        <v>31</v>
      </c>
      <c r="H22" s="6" t="s">
        <v>39</v>
      </c>
      <c r="J22" s="6" t="s">
        <v>12</v>
      </c>
    </row>
    <row r="23" spans="1:13" ht="12.75" customHeight="1" x14ac:dyDescent="0.25">
      <c r="A23" s="8"/>
      <c r="B23" s="6" t="s">
        <v>26</v>
      </c>
      <c r="D23" s="6" t="s">
        <v>28</v>
      </c>
      <c r="E23" s="6" t="s">
        <v>29</v>
      </c>
      <c r="F23" s="6" t="s">
        <v>30</v>
      </c>
      <c r="G23" s="6" t="s">
        <v>31</v>
      </c>
      <c r="H23" s="6" t="s">
        <v>39</v>
      </c>
      <c r="J23" s="6" t="s">
        <v>12</v>
      </c>
    </row>
    <row r="24" spans="1:13" ht="12.75" customHeight="1" x14ac:dyDescent="0.25">
      <c r="A24" s="8"/>
      <c r="B24" s="6" t="s">
        <v>26</v>
      </c>
      <c r="D24" s="6" t="s">
        <v>28</v>
      </c>
      <c r="E24" s="6" t="s">
        <v>29</v>
      </c>
      <c r="F24" s="6" t="s">
        <v>30</v>
      </c>
      <c r="G24" s="6" t="s">
        <v>31</v>
      </c>
      <c r="H24" s="6" t="s">
        <v>39</v>
      </c>
      <c r="J24" s="8"/>
    </row>
    <row r="25" spans="1:13" ht="12.75" customHeight="1" x14ac:dyDescent="0.25">
      <c r="A25" s="8"/>
      <c r="B25" s="6" t="s">
        <v>26</v>
      </c>
      <c r="C25" s="8"/>
      <c r="D25" s="6" t="s">
        <v>28</v>
      </c>
      <c r="E25" s="6" t="s">
        <v>29</v>
      </c>
      <c r="F25" s="6" t="s">
        <v>30</v>
      </c>
      <c r="G25" s="6" t="s">
        <v>31</v>
      </c>
      <c r="H25" s="8"/>
      <c r="I25" s="8"/>
    </row>
    <row r="26" spans="1:13" ht="12.75" customHeight="1" x14ac:dyDescent="0.25">
      <c r="A26" s="8"/>
      <c r="B26" s="6" t="s">
        <v>26</v>
      </c>
      <c r="C26" s="8"/>
      <c r="D26" s="6" t="s">
        <v>28</v>
      </c>
      <c r="E26" s="6" t="s">
        <v>29</v>
      </c>
      <c r="F26" s="6" t="s">
        <v>30</v>
      </c>
      <c r="G26" s="6" t="s">
        <v>31</v>
      </c>
      <c r="H26" s="8"/>
      <c r="I26" s="8"/>
      <c r="J26" s="8"/>
    </row>
    <row r="27" spans="1:13" ht="12.75" customHeight="1" x14ac:dyDescent="0.25">
      <c r="A27" s="8"/>
      <c r="B27" s="6" t="s">
        <v>26</v>
      </c>
      <c r="C27" s="8"/>
      <c r="D27" s="6" t="s">
        <v>28</v>
      </c>
      <c r="E27" s="6" t="s">
        <v>29</v>
      </c>
      <c r="F27" s="6" t="s">
        <v>30</v>
      </c>
      <c r="G27" s="6" t="s">
        <v>31</v>
      </c>
      <c r="H27" s="8"/>
      <c r="J27" s="8"/>
    </row>
    <row r="28" spans="1:13" ht="12.75" customHeight="1" x14ac:dyDescent="0.25">
      <c r="A28" s="8"/>
      <c r="B28" s="6" t="s">
        <v>26</v>
      </c>
      <c r="C28" s="8"/>
      <c r="D28" s="6" t="s">
        <v>28</v>
      </c>
      <c r="E28" s="6" t="s">
        <v>29</v>
      </c>
      <c r="F28" s="6" t="s">
        <v>30</v>
      </c>
      <c r="G28" s="6" t="s">
        <v>31</v>
      </c>
      <c r="H28" s="8"/>
      <c r="I28" s="6"/>
      <c r="J28" s="8"/>
      <c r="L28" s="8"/>
      <c r="M28" s="6"/>
    </row>
    <row r="29" spans="1:13" ht="12.75" customHeight="1" x14ac:dyDescent="0.25">
      <c r="A29" s="8"/>
      <c r="B29" s="6" t="s">
        <v>26</v>
      </c>
      <c r="C29" s="8"/>
      <c r="D29" s="6" t="s">
        <v>28</v>
      </c>
      <c r="E29" s="6" t="s">
        <v>29</v>
      </c>
      <c r="F29" s="6" t="s">
        <v>30</v>
      </c>
      <c r="G29" s="6" t="s">
        <v>31</v>
      </c>
      <c r="H29" s="8"/>
      <c r="I29" s="6"/>
      <c r="J29" s="8"/>
      <c r="L29" s="8"/>
      <c r="M29" s="6"/>
    </row>
    <row r="30" spans="1:13" ht="12.75" customHeight="1" x14ac:dyDescent="0.25">
      <c r="A30" s="8"/>
      <c r="B30" s="6" t="s">
        <v>26</v>
      </c>
      <c r="C30" s="8"/>
      <c r="D30" s="6" t="s">
        <v>28</v>
      </c>
      <c r="E30" s="6" t="s">
        <v>29</v>
      </c>
      <c r="F30" s="6" t="s">
        <v>30</v>
      </c>
      <c r="G30" s="6" t="s">
        <v>31</v>
      </c>
      <c r="H30" s="8"/>
      <c r="I30" s="6"/>
      <c r="J30" s="8"/>
      <c r="L30" s="8"/>
      <c r="M30" s="6"/>
    </row>
    <row r="31" spans="1:13" ht="12.75" customHeight="1" x14ac:dyDescent="0.25">
      <c r="B31" s="6" t="s">
        <v>26</v>
      </c>
      <c r="C31" s="8"/>
      <c r="D31" s="6" t="s">
        <v>28</v>
      </c>
      <c r="E31" s="6" t="s">
        <v>29</v>
      </c>
      <c r="F31" s="6" t="s">
        <v>30</v>
      </c>
      <c r="G31" s="6" t="s">
        <v>31</v>
      </c>
      <c r="H31" s="8"/>
      <c r="I31" s="6"/>
      <c r="J31" s="8"/>
      <c r="L31" s="8"/>
      <c r="M31" s="6"/>
    </row>
    <row r="32" spans="1:13" ht="12.75" customHeight="1" x14ac:dyDescent="0.25">
      <c r="B32" s="6" t="s">
        <v>26</v>
      </c>
      <c r="C32" s="8"/>
      <c r="D32" s="6" t="s">
        <v>28</v>
      </c>
      <c r="E32" s="6" t="s">
        <v>29</v>
      </c>
      <c r="F32" s="6" t="s">
        <v>30</v>
      </c>
      <c r="G32" s="6" t="s">
        <v>31</v>
      </c>
      <c r="H32" s="8"/>
      <c r="I32" s="6"/>
      <c r="J32" s="8"/>
      <c r="L32" s="8"/>
      <c r="M32" s="6"/>
    </row>
    <row r="33" spans="2:13" ht="12.75" customHeight="1" x14ac:dyDescent="0.25">
      <c r="B33" s="6" t="s">
        <v>26</v>
      </c>
      <c r="D33" s="6" t="s">
        <v>28</v>
      </c>
      <c r="E33" s="6" t="s">
        <v>29</v>
      </c>
      <c r="F33" s="6" t="s">
        <v>30</v>
      </c>
      <c r="G33" s="6" t="s">
        <v>31</v>
      </c>
      <c r="H33" s="8"/>
      <c r="I33" s="6"/>
      <c r="J33" s="8"/>
      <c r="L33" s="8"/>
      <c r="M33" s="6"/>
    </row>
    <row r="34" spans="2:13" ht="12.75" customHeight="1" x14ac:dyDescent="0.25">
      <c r="B34" s="6" t="s">
        <v>26</v>
      </c>
      <c r="D34" s="6" t="s">
        <v>28</v>
      </c>
      <c r="E34" s="6" t="s">
        <v>29</v>
      </c>
      <c r="F34" s="6" t="s">
        <v>30</v>
      </c>
      <c r="G34" s="6" t="s">
        <v>31</v>
      </c>
      <c r="H34" s="8"/>
      <c r="I34" s="6"/>
      <c r="J34" s="8"/>
      <c r="L34" s="8"/>
      <c r="M34" s="6"/>
    </row>
    <row r="35" spans="2:13" ht="12.75" customHeight="1" x14ac:dyDescent="0.25">
      <c r="B35" s="6" t="s">
        <v>26</v>
      </c>
      <c r="D35" s="6" t="s">
        <v>28</v>
      </c>
      <c r="E35" s="6" t="s">
        <v>29</v>
      </c>
      <c r="F35" s="6" t="s">
        <v>30</v>
      </c>
      <c r="G35" s="6" t="s">
        <v>31</v>
      </c>
      <c r="H35" s="8"/>
      <c r="J35" s="8"/>
      <c r="L35" s="8"/>
      <c r="M35" s="6"/>
    </row>
    <row r="36" spans="2:13" ht="12.75" customHeight="1" x14ac:dyDescent="0.25">
      <c r="B36" s="6" t="s">
        <v>26</v>
      </c>
      <c r="D36" s="6" t="s">
        <v>28</v>
      </c>
      <c r="E36" s="6" t="s">
        <v>29</v>
      </c>
      <c r="F36" s="6" t="s">
        <v>30</v>
      </c>
      <c r="G36" s="6" t="s">
        <v>31</v>
      </c>
      <c r="H36" s="8"/>
      <c r="J36" s="8"/>
      <c r="L36" s="8"/>
      <c r="M36" s="6"/>
    </row>
    <row r="37" spans="2:13" ht="12.75" customHeight="1" x14ac:dyDescent="0.25">
      <c r="B37" s="6" t="s">
        <v>26</v>
      </c>
      <c r="D37" s="6" t="s">
        <v>28</v>
      </c>
      <c r="E37" s="6" t="s">
        <v>29</v>
      </c>
      <c r="F37" s="6" t="s">
        <v>30</v>
      </c>
      <c r="G37" s="6" t="s">
        <v>31</v>
      </c>
      <c r="H37" s="8"/>
      <c r="J37" s="8"/>
      <c r="L37" s="8"/>
      <c r="M37" s="6"/>
    </row>
    <row r="38" spans="2:13" ht="12.75" customHeight="1" x14ac:dyDescent="0.25">
      <c r="B38" s="6" t="s">
        <v>26</v>
      </c>
      <c r="D38" s="6" t="s">
        <v>28</v>
      </c>
      <c r="E38" s="6" t="s">
        <v>29</v>
      </c>
      <c r="F38" s="6" t="s">
        <v>30</v>
      </c>
      <c r="G38" s="6" t="s">
        <v>31</v>
      </c>
      <c r="H38" s="8"/>
      <c r="J38" s="8"/>
      <c r="L38" s="8"/>
      <c r="M38" s="6"/>
    </row>
    <row r="39" spans="2:13" ht="12.75" customHeight="1" x14ac:dyDescent="0.25">
      <c r="B39" s="6" t="s">
        <v>26</v>
      </c>
      <c r="D39" s="6" t="s">
        <v>28</v>
      </c>
      <c r="E39" s="6" t="s">
        <v>29</v>
      </c>
      <c r="F39" s="6" t="s">
        <v>30</v>
      </c>
      <c r="G39" s="6" t="s">
        <v>31</v>
      </c>
      <c r="H39" s="8"/>
      <c r="J39" s="8"/>
      <c r="L39" s="8"/>
      <c r="M39" s="6"/>
    </row>
    <row r="40" spans="2:13" ht="12.75" customHeight="1" x14ac:dyDescent="0.25">
      <c r="B40" s="6" t="s">
        <v>26</v>
      </c>
      <c r="D40" s="6" t="s">
        <v>28</v>
      </c>
      <c r="E40" s="6" t="s">
        <v>29</v>
      </c>
      <c r="F40" s="6" t="s">
        <v>30</v>
      </c>
      <c r="G40" s="6" t="s">
        <v>31</v>
      </c>
      <c r="H40" s="8"/>
      <c r="J40" s="8"/>
      <c r="L40" s="8"/>
      <c r="M40" s="6"/>
    </row>
    <row r="41" spans="2:13" ht="12.75" customHeight="1" x14ac:dyDescent="0.25">
      <c r="B41" s="6" t="s">
        <v>26</v>
      </c>
      <c r="D41" s="6" t="s">
        <v>28</v>
      </c>
      <c r="E41" s="6" t="s">
        <v>29</v>
      </c>
      <c r="F41" s="6" t="s">
        <v>30</v>
      </c>
      <c r="G41" s="6" t="s">
        <v>31</v>
      </c>
      <c r="H41" s="8"/>
      <c r="J41" s="8"/>
      <c r="L41" s="8"/>
      <c r="M41" s="6"/>
    </row>
    <row r="42" spans="2:13" ht="12.75" customHeight="1" x14ac:dyDescent="0.25">
      <c r="B42" s="6" t="s">
        <v>26</v>
      </c>
      <c r="D42" s="6" t="s">
        <v>28</v>
      </c>
      <c r="E42" s="6" t="s">
        <v>29</v>
      </c>
      <c r="F42" s="6" t="s">
        <v>30</v>
      </c>
      <c r="G42" s="6" t="s">
        <v>31</v>
      </c>
      <c r="J42" s="8"/>
      <c r="L42" s="8"/>
      <c r="M42" s="6"/>
    </row>
    <row r="43" spans="2:13" ht="12.75" customHeight="1" x14ac:dyDescent="0.25">
      <c r="B43" s="6" t="s">
        <v>26</v>
      </c>
      <c r="D43" s="6" t="s">
        <v>28</v>
      </c>
      <c r="E43" s="6" t="s">
        <v>29</v>
      </c>
      <c r="F43" s="6" t="s">
        <v>30</v>
      </c>
      <c r="G43" s="6" t="s">
        <v>31</v>
      </c>
      <c r="H43" s="8"/>
      <c r="J43" s="8"/>
      <c r="L43" s="8"/>
      <c r="M43" s="6"/>
    </row>
    <row r="44" spans="2:13" ht="12.75" customHeight="1" x14ac:dyDescent="0.25">
      <c r="B44" s="6" t="s">
        <v>26</v>
      </c>
      <c r="D44" s="6" t="s">
        <v>28</v>
      </c>
      <c r="E44" s="6" t="s">
        <v>29</v>
      </c>
      <c r="F44" s="6" t="s">
        <v>30</v>
      </c>
      <c r="G44" s="6" t="s">
        <v>31</v>
      </c>
      <c r="H44" s="8"/>
      <c r="L44" s="8"/>
      <c r="M44" s="6"/>
    </row>
    <row r="45" spans="2:13" ht="12.75" customHeight="1" x14ac:dyDescent="0.25">
      <c r="B45" s="6" t="s">
        <v>26</v>
      </c>
      <c r="D45" s="6" t="s">
        <v>28</v>
      </c>
      <c r="E45" s="6" t="s">
        <v>29</v>
      </c>
      <c r="F45" s="6" t="s">
        <v>30</v>
      </c>
      <c r="G45" s="6" t="s">
        <v>31</v>
      </c>
      <c r="H45" s="8"/>
      <c r="L45" s="8"/>
    </row>
    <row r="46" spans="2:13" ht="12.75" customHeight="1" x14ac:dyDescent="0.25">
      <c r="B46" s="6" t="s">
        <v>26</v>
      </c>
      <c r="D46" s="6" t="s">
        <v>28</v>
      </c>
      <c r="E46" s="6" t="s">
        <v>29</v>
      </c>
      <c r="F46" s="6" t="s">
        <v>30</v>
      </c>
      <c r="G46" s="6" t="s">
        <v>31</v>
      </c>
      <c r="L46" s="6"/>
    </row>
    <row r="47" spans="2:13" ht="12.75" customHeight="1" x14ac:dyDescent="0.25">
      <c r="B47" s="6" t="s">
        <v>26</v>
      </c>
      <c r="D47" s="6" t="s">
        <v>28</v>
      </c>
      <c r="E47" s="6" t="s">
        <v>29</v>
      </c>
      <c r="F47" s="6" t="s">
        <v>30</v>
      </c>
      <c r="G47" s="6" t="s">
        <v>31</v>
      </c>
      <c r="L47" s="6"/>
    </row>
    <row r="48" spans="2:13" ht="12.75" customHeight="1" x14ac:dyDescent="0.25">
      <c r="B48" s="6" t="s">
        <v>26</v>
      </c>
      <c r="D48" s="6" t="s">
        <v>28</v>
      </c>
      <c r="E48" s="6" t="s">
        <v>29</v>
      </c>
      <c r="F48" s="6" t="s">
        <v>30</v>
      </c>
      <c r="G48" s="6" t="s">
        <v>31</v>
      </c>
      <c r="L48" s="6"/>
    </row>
    <row r="49" spans="2:12" ht="12.75" customHeight="1" x14ac:dyDescent="0.25">
      <c r="B49" s="6" t="s">
        <v>26</v>
      </c>
      <c r="D49" s="6" t="s">
        <v>28</v>
      </c>
      <c r="E49" s="6" t="s">
        <v>29</v>
      </c>
      <c r="F49" s="6" t="s">
        <v>30</v>
      </c>
      <c r="G49" s="6" t="s">
        <v>31</v>
      </c>
    </row>
    <row r="50" spans="2:12" ht="12.75" customHeight="1" x14ac:dyDescent="0.25">
      <c r="B50" s="6" t="s">
        <v>26</v>
      </c>
      <c r="D50" s="6" t="s">
        <v>28</v>
      </c>
      <c r="E50" s="6" t="s">
        <v>29</v>
      </c>
      <c r="F50" s="6" t="s">
        <v>30</v>
      </c>
      <c r="G50" s="6" t="s">
        <v>31</v>
      </c>
      <c r="L50" s="6"/>
    </row>
    <row r="51" spans="2:12" ht="12.75" customHeight="1" x14ac:dyDescent="0.25">
      <c r="B51" s="6" t="s">
        <v>26</v>
      </c>
      <c r="D51" s="6" t="s">
        <v>28</v>
      </c>
      <c r="E51" s="6" t="s">
        <v>29</v>
      </c>
      <c r="F51" s="6" t="s">
        <v>30</v>
      </c>
      <c r="G51" s="6" t="s">
        <v>31</v>
      </c>
      <c r="L51" s="6"/>
    </row>
    <row r="52" spans="2:12" ht="12.75" customHeight="1" x14ac:dyDescent="0.25">
      <c r="B52" s="6" t="s">
        <v>26</v>
      </c>
      <c r="D52" s="6" t="s">
        <v>28</v>
      </c>
      <c r="E52" s="6" t="s">
        <v>29</v>
      </c>
      <c r="F52" s="6" t="s">
        <v>30</v>
      </c>
      <c r="G52" s="6" t="s">
        <v>31</v>
      </c>
      <c r="L52" s="6"/>
    </row>
    <row r="53" spans="2:12" ht="12.75" customHeight="1" x14ac:dyDescent="0.25">
      <c r="B53" s="6" t="s">
        <v>26</v>
      </c>
      <c r="D53" s="6" t="s">
        <v>28</v>
      </c>
      <c r="E53" s="6" t="s">
        <v>29</v>
      </c>
      <c r="F53" s="6" t="s">
        <v>30</v>
      </c>
      <c r="G53" s="6" t="s">
        <v>31</v>
      </c>
      <c r="L53" s="6"/>
    </row>
    <row r="54" spans="2:12" ht="12.75" customHeight="1" x14ac:dyDescent="0.25">
      <c r="B54" s="6" t="s">
        <v>26</v>
      </c>
      <c r="D54" s="6" t="s">
        <v>28</v>
      </c>
      <c r="E54" s="6" t="s">
        <v>29</v>
      </c>
      <c r="F54" s="6" t="s">
        <v>30</v>
      </c>
      <c r="G54" s="6" t="s">
        <v>31</v>
      </c>
    </row>
    <row r="55" spans="2:12" ht="12.75" customHeight="1" x14ac:dyDescent="0.25">
      <c r="B55" s="6" t="s">
        <v>26</v>
      </c>
      <c r="D55" s="6" t="s">
        <v>28</v>
      </c>
      <c r="E55" s="6" t="s">
        <v>29</v>
      </c>
      <c r="F55" s="6" t="s">
        <v>30</v>
      </c>
      <c r="G55" s="6" t="s">
        <v>31</v>
      </c>
      <c r="L55" s="6"/>
    </row>
    <row r="56" spans="2:12" ht="12.75" customHeight="1" x14ac:dyDescent="0.25">
      <c r="B56" s="6" t="s">
        <v>26</v>
      </c>
      <c r="D56" s="6" t="s">
        <v>28</v>
      </c>
      <c r="E56" s="6" t="s">
        <v>29</v>
      </c>
      <c r="F56" s="6" t="s">
        <v>30</v>
      </c>
      <c r="G56" s="6" t="s">
        <v>31</v>
      </c>
      <c r="L56" s="6"/>
    </row>
    <row r="57" spans="2:12" ht="12.75" customHeight="1" x14ac:dyDescent="0.25">
      <c r="B57" s="6" t="s">
        <v>26</v>
      </c>
      <c r="D57" s="6" t="s">
        <v>28</v>
      </c>
      <c r="E57" s="6" t="s">
        <v>29</v>
      </c>
      <c r="F57" s="6" t="s">
        <v>30</v>
      </c>
      <c r="G57" s="6" t="s">
        <v>31</v>
      </c>
      <c r="L57" s="6"/>
    </row>
    <row r="58" spans="2:12" ht="12.75" customHeight="1" x14ac:dyDescent="0.25">
      <c r="B58" s="6" t="s">
        <v>26</v>
      </c>
      <c r="D58" s="6" t="s">
        <v>28</v>
      </c>
      <c r="E58" s="6" t="s">
        <v>29</v>
      </c>
      <c r="F58" s="6" t="s">
        <v>30</v>
      </c>
      <c r="G58" s="6" t="s">
        <v>31</v>
      </c>
      <c r="L58" s="6"/>
    </row>
    <row r="59" spans="2:12" ht="12.75" customHeight="1" x14ac:dyDescent="0.25">
      <c r="B59" s="6" t="s">
        <v>26</v>
      </c>
      <c r="D59" s="6" t="s">
        <v>28</v>
      </c>
      <c r="E59" s="6" t="s">
        <v>29</v>
      </c>
      <c r="F59" s="6" t="s">
        <v>30</v>
      </c>
      <c r="G59" s="6" t="s">
        <v>31</v>
      </c>
    </row>
    <row r="60" spans="2:12" ht="12.75" customHeight="1" x14ac:dyDescent="0.25">
      <c r="B60" s="6" t="s">
        <v>26</v>
      </c>
      <c r="D60" s="6" t="s">
        <v>28</v>
      </c>
      <c r="E60" s="6" t="s">
        <v>29</v>
      </c>
      <c r="F60" s="6" t="s">
        <v>30</v>
      </c>
      <c r="G60" s="6" t="s">
        <v>31</v>
      </c>
    </row>
    <row r="61" spans="2:12" ht="12.75" customHeight="1" x14ac:dyDescent="0.25">
      <c r="B61" s="6" t="s">
        <v>26</v>
      </c>
      <c r="D61" s="6" t="s">
        <v>28</v>
      </c>
      <c r="E61" s="6" t="s">
        <v>29</v>
      </c>
      <c r="F61" s="6" t="s">
        <v>30</v>
      </c>
      <c r="G61" s="6" t="s">
        <v>31</v>
      </c>
      <c r="L61" s="6"/>
    </row>
    <row r="62" spans="2:12" ht="12.75" customHeight="1" x14ac:dyDescent="0.25">
      <c r="B62" s="6" t="s">
        <v>26</v>
      </c>
      <c r="D62" s="6" t="s">
        <v>28</v>
      </c>
      <c r="E62" s="6" t="s">
        <v>29</v>
      </c>
      <c r="F62" s="6" t="s">
        <v>30</v>
      </c>
      <c r="G62" s="6" t="s">
        <v>31</v>
      </c>
      <c r="L62" s="6"/>
    </row>
    <row r="63" spans="2:12" ht="12.75" customHeight="1" x14ac:dyDescent="0.25">
      <c r="B63" s="6" t="s">
        <v>26</v>
      </c>
      <c r="D63" s="6" t="s">
        <v>28</v>
      </c>
      <c r="E63" s="6" t="s">
        <v>29</v>
      </c>
      <c r="F63" s="6" t="s">
        <v>30</v>
      </c>
      <c r="G63" s="6" t="s">
        <v>31</v>
      </c>
      <c r="L63" s="6"/>
    </row>
    <row r="64" spans="2:12" ht="12.75" customHeight="1" x14ac:dyDescent="0.25">
      <c r="B64" s="6" t="s">
        <v>26</v>
      </c>
      <c r="D64" s="6" t="s">
        <v>28</v>
      </c>
      <c r="E64" s="6" t="s">
        <v>29</v>
      </c>
      <c r="F64" s="6" t="s">
        <v>30</v>
      </c>
      <c r="G64" s="6" t="s">
        <v>31</v>
      </c>
      <c r="L64" s="6"/>
    </row>
    <row r="65" spans="2:12" ht="12.75" customHeight="1" x14ac:dyDescent="0.25">
      <c r="B65" s="6" t="s">
        <v>26</v>
      </c>
      <c r="D65" s="6" t="s">
        <v>28</v>
      </c>
      <c r="E65" s="6" t="s">
        <v>29</v>
      </c>
      <c r="F65" s="6" t="s">
        <v>30</v>
      </c>
      <c r="G65" s="6" t="s">
        <v>31</v>
      </c>
      <c r="L65" s="6"/>
    </row>
    <row r="66" spans="2:12" ht="12.75" customHeight="1" x14ac:dyDescent="0.25">
      <c r="B66" s="6" t="s">
        <v>26</v>
      </c>
      <c r="D66" s="6" t="s">
        <v>28</v>
      </c>
      <c r="E66" s="6" t="s">
        <v>29</v>
      </c>
      <c r="F66" s="6" t="s">
        <v>30</v>
      </c>
      <c r="G66" s="6" t="s">
        <v>31</v>
      </c>
      <c r="L66" s="6"/>
    </row>
    <row r="67" spans="2:12" ht="12.75" customHeight="1" x14ac:dyDescent="0.25">
      <c r="B67" s="6" t="s">
        <v>26</v>
      </c>
      <c r="D67" s="6" t="s">
        <v>28</v>
      </c>
      <c r="E67" s="6" t="s">
        <v>29</v>
      </c>
      <c r="F67" s="6" t="s">
        <v>30</v>
      </c>
      <c r="G67" s="6" t="s">
        <v>31</v>
      </c>
      <c r="L67" s="6"/>
    </row>
    <row r="68" spans="2:12" ht="12.75" customHeight="1" x14ac:dyDescent="0.25">
      <c r="B68" s="6" t="s">
        <v>26</v>
      </c>
      <c r="D68" s="6" t="s">
        <v>28</v>
      </c>
      <c r="E68" s="6" t="s">
        <v>29</v>
      </c>
      <c r="F68" s="6" t="s">
        <v>30</v>
      </c>
      <c r="G68" s="6" t="s">
        <v>31</v>
      </c>
      <c r="L68" s="6"/>
    </row>
    <row r="69" spans="2:12" ht="12.75" customHeight="1" x14ac:dyDescent="0.25">
      <c r="B69" s="6" t="s">
        <v>26</v>
      </c>
      <c r="D69" s="6" t="s">
        <v>28</v>
      </c>
      <c r="E69" s="6" t="s">
        <v>29</v>
      </c>
      <c r="F69" s="6" t="s">
        <v>30</v>
      </c>
      <c r="G69" s="6" t="s">
        <v>31</v>
      </c>
    </row>
    <row r="70" spans="2:12" ht="12.75" customHeight="1" x14ac:dyDescent="0.25">
      <c r="B70" s="6" t="s">
        <v>26</v>
      </c>
      <c r="D70" s="6" t="s">
        <v>28</v>
      </c>
      <c r="E70" s="6" t="s">
        <v>29</v>
      </c>
      <c r="F70" s="6" t="s">
        <v>30</v>
      </c>
      <c r="G70" s="6" t="s">
        <v>31</v>
      </c>
      <c r="L70" s="6"/>
    </row>
    <row r="71" spans="2:12" ht="12.75" customHeight="1" x14ac:dyDescent="0.25">
      <c r="B71" s="6" t="s">
        <v>26</v>
      </c>
      <c r="D71" s="6" t="s">
        <v>28</v>
      </c>
      <c r="E71" s="6" t="s">
        <v>29</v>
      </c>
      <c r="F71" s="6" t="s">
        <v>30</v>
      </c>
      <c r="G71" s="6" t="s">
        <v>31</v>
      </c>
      <c r="L71" s="6"/>
    </row>
    <row r="72" spans="2:12" ht="12.75" customHeight="1" x14ac:dyDescent="0.25">
      <c r="B72" s="6" t="s">
        <v>26</v>
      </c>
      <c r="D72" s="6" t="s">
        <v>28</v>
      </c>
      <c r="E72" s="6" t="s">
        <v>29</v>
      </c>
      <c r="F72" s="6" t="s">
        <v>30</v>
      </c>
      <c r="G72" s="6" t="s">
        <v>31</v>
      </c>
    </row>
    <row r="73" spans="2:12" ht="12.75" customHeight="1" x14ac:dyDescent="0.25">
      <c r="B73" s="6" t="s">
        <v>26</v>
      </c>
      <c r="D73" s="6" t="s">
        <v>28</v>
      </c>
      <c r="E73" s="6" t="s">
        <v>29</v>
      </c>
      <c r="F73" s="6" t="s">
        <v>30</v>
      </c>
      <c r="G73" s="6" t="s">
        <v>31</v>
      </c>
    </row>
    <row r="74" spans="2:12" ht="12.75" customHeight="1" x14ac:dyDescent="0.25">
      <c r="B74" s="6" t="s">
        <v>26</v>
      </c>
      <c r="D74" s="6" t="s">
        <v>28</v>
      </c>
      <c r="E74" s="6" t="s">
        <v>29</v>
      </c>
      <c r="F74" s="6" t="s">
        <v>30</v>
      </c>
      <c r="G74" s="6" t="s">
        <v>31</v>
      </c>
    </row>
    <row r="75" spans="2:12" ht="12.75" customHeight="1" x14ac:dyDescent="0.25">
      <c r="B75" s="6" t="s">
        <v>26</v>
      </c>
      <c r="D75" s="6" t="s">
        <v>28</v>
      </c>
      <c r="E75" s="6" t="s">
        <v>29</v>
      </c>
      <c r="F75" s="6" t="s">
        <v>30</v>
      </c>
      <c r="G75" s="6" t="s">
        <v>31</v>
      </c>
    </row>
    <row r="76" spans="2:12" ht="12.75" customHeight="1" x14ac:dyDescent="0.25">
      <c r="B76" s="6" t="s">
        <v>26</v>
      </c>
      <c r="D76" s="6" t="s">
        <v>28</v>
      </c>
      <c r="E76" s="6" t="s">
        <v>29</v>
      </c>
      <c r="F76" s="6" t="s">
        <v>30</v>
      </c>
      <c r="G76" s="6" t="s">
        <v>31</v>
      </c>
    </row>
    <row r="77" spans="2:12" ht="12.75" customHeight="1" x14ac:dyDescent="0.25">
      <c r="B77" s="6" t="s">
        <v>26</v>
      </c>
      <c r="D77" s="6" t="s">
        <v>28</v>
      </c>
      <c r="E77" s="6" t="s">
        <v>29</v>
      </c>
      <c r="F77" s="6" t="s">
        <v>30</v>
      </c>
      <c r="G77" s="6" t="s">
        <v>31</v>
      </c>
    </row>
    <row r="78" spans="2:12" ht="12.75" customHeight="1" x14ac:dyDescent="0.25">
      <c r="B78" s="6" t="s">
        <v>26</v>
      </c>
      <c r="D78" s="6" t="s">
        <v>28</v>
      </c>
      <c r="E78" s="6" t="s">
        <v>29</v>
      </c>
      <c r="F78" s="6" t="s">
        <v>30</v>
      </c>
      <c r="G78" s="6" t="s">
        <v>31</v>
      </c>
    </row>
    <row r="79" spans="2:12" ht="12.75" customHeight="1" x14ac:dyDescent="0.25">
      <c r="B79" s="6" t="s">
        <v>26</v>
      </c>
      <c r="D79" s="6" t="s">
        <v>28</v>
      </c>
      <c r="E79" s="6" t="s">
        <v>29</v>
      </c>
      <c r="F79" s="6" t="s">
        <v>30</v>
      </c>
      <c r="G79" s="6" t="s">
        <v>31</v>
      </c>
    </row>
    <row r="80" spans="2:12" ht="12.75" customHeight="1" x14ac:dyDescent="0.25">
      <c r="B80" s="6" t="s">
        <v>26</v>
      </c>
      <c r="D80" s="6" t="s">
        <v>28</v>
      </c>
      <c r="E80" s="6" t="s">
        <v>29</v>
      </c>
      <c r="F80" s="6" t="s">
        <v>30</v>
      </c>
      <c r="G80" s="6" t="s">
        <v>31</v>
      </c>
    </row>
    <row r="81" spans="2:7" ht="12.75" customHeight="1" x14ac:dyDescent="0.25">
      <c r="B81" s="6" t="s">
        <v>26</v>
      </c>
      <c r="D81" s="6" t="s">
        <v>28</v>
      </c>
      <c r="E81" s="6" t="s">
        <v>29</v>
      </c>
      <c r="F81" s="6" t="s">
        <v>30</v>
      </c>
      <c r="G81" s="6" t="s">
        <v>31</v>
      </c>
    </row>
    <row r="82" spans="2:7" ht="12.75" customHeight="1" x14ac:dyDescent="0.25">
      <c r="B82" s="6" t="s">
        <v>26</v>
      </c>
      <c r="D82" s="6" t="s">
        <v>28</v>
      </c>
      <c r="E82" s="6" t="s">
        <v>29</v>
      </c>
      <c r="F82" s="6" t="s">
        <v>30</v>
      </c>
      <c r="G82" s="6" t="s">
        <v>31</v>
      </c>
    </row>
    <row r="83" spans="2:7" ht="12.75" customHeight="1" x14ac:dyDescent="0.25">
      <c r="B83" s="6" t="s">
        <v>26</v>
      </c>
      <c r="D83" s="6" t="s">
        <v>28</v>
      </c>
      <c r="E83" s="6" t="s">
        <v>29</v>
      </c>
      <c r="F83" s="6" t="s">
        <v>30</v>
      </c>
      <c r="G83" s="6" t="s">
        <v>31</v>
      </c>
    </row>
    <row r="84" spans="2:7" ht="12.75" customHeight="1" x14ac:dyDescent="0.25">
      <c r="B84" s="6" t="s">
        <v>26</v>
      </c>
      <c r="D84" s="6" t="s">
        <v>28</v>
      </c>
      <c r="E84" s="6" t="s">
        <v>29</v>
      </c>
      <c r="F84" s="6" t="s">
        <v>30</v>
      </c>
      <c r="G84" s="6" t="s">
        <v>31</v>
      </c>
    </row>
    <row r="85" spans="2:7" ht="12.75" customHeight="1" x14ac:dyDescent="0.25">
      <c r="B85" s="6" t="s">
        <v>26</v>
      </c>
      <c r="D85" s="6" t="s">
        <v>28</v>
      </c>
      <c r="E85" s="6" t="s">
        <v>29</v>
      </c>
      <c r="F85" s="6" t="s">
        <v>30</v>
      </c>
      <c r="G85" s="6" t="s">
        <v>31</v>
      </c>
    </row>
    <row r="86" spans="2:7" ht="12.75" customHeight="1" x14ac:dyDescent="0.25">
      <c r="B86" s="6" t="s">
        <v>26</v>
      </c>
      <c r="D86" s="6" t="s">
        <v>28</v>
      </c>
      <c r="E86" s="6" t="s">
        <v>29</v>
      </c>
      <c r="F86" s="6" t="s">
        <v>30</v>
      </c>
      <c r="G86" s="6" t="s">
        <v>31</v>
      </c>
    </row>
    <row r="87" spans="2:7" ht="12.75" customHeight="1" x14ac:dyDescent="0.25">
      <c r="B87" s="6" t="s">
        <v>26</v>
      </c>
      <c r="D87" s="6" t="s">
        <v>28</v>
      </c>
      <c r="E87" s="6" t="s">
        <v>29</v>
      </c>
      <c r="F87" s="6" t="s">
        <v>30</v>
      </c>
      <c r="G87" s="6" t="s">
        <v>31</v>
      </c>
    </row>
    <row r="88" spans="2:7" ht="12.75" customHeight="1" x14ac:dyDescent="0.25">
      <c r="B88" s="6" t="s">
        <v>26</v>
      </c>
      <c r="D88" s="6" t="s">
        <v>28</v>
      </c>
      <c r="E88" s="6" t="s">
        <v>29</v>
      </c>
      <c r="F88" s="6" t="s">
        <v>30</v>
      </c>
      <c r="G88" s="6" t="s">
        <v>31</v>
      </c>
    </row>
    <row r="89" spans="2:7" ht="12.75" customHeight="1" x14ac:dyDescent="0.25">
      <c r="B89" s="6" t="s">
        <v>26</v>
      </c>
      <c r="D89" s="6" t="s">
        <v>28</v>
      </c>
      <c r="E89" s="6" t="s">
        <v>29</v>
      </c>
      <c r="F89" s="6" t="s">
        <v>30</v>
      </c>
      <c r="G89" s="6" t="s">
        <v>31</v>
      </c>
    </row>
    <row r="90" spans="2:7" ht="12.75" customHeight="1" x14ac:dyDescent="0.25">
      <c r="B90" s="6" t="s">
        <v>26</v>
      </c>
      <c r="D90" s="6" t="s">
        <v>28</v>
      </c>
      <c r="E90" s="6" t="s">
        <v>29</v>
      </c>
      <c r="F90" s="6" t="s">
        <v>30</v>
      </c>
      <c r="G90" s="6" t="s">
        <v>31</v>
      </c>
    </row>
    <row r="91" spans="2:7" ht="12.75" customHeight="1" x14ac:dyDescent="0.25">
      <c r="B91" s="6" t="s">
        <v>26</v>
      </c>
      <c r="D91" s="6" t="s">
        <v>28</v>
      </c>
      <c r="E91" s="6" t="s">
        <v>29</v>
      </c>
      <c r="F91" s="6" t="s">
        <v>30</v>
      </c>
      <c r="G91" s="6" t="s">
        <v>31</v>
      </c>
    </row>
    <row r="92" spans="2:7" ht="12.75" customHeight="1" x14ac:dyDescent="0.25">
      <c r="B92" s="6" t="s">
        <v>26</v>
      </c>
      <c r="D92" s="6" t="s">
        <v>28</v>
      </c>
      <c r="E92" s="6" t="s">
        <v>29</v>
      </c>
      <c r="F92" s="6" t="s">
        <v>30</v>
      </c>
      <c r="G92" s="6" t="s">
        <v>31</v>
      </c>
    </row>
    <row r="93" spans="2:7" ht="12.75" customHeight="1" x14ac:dyDescent="0.25">
      <c r="B93" s="6" t="s">
        <v>26</v>
      </c>
      <c r="D93" s="6" t="s">
        <v>28</v>
      </c>
      <c r="E93" s="6" t="s">
        <v>29</v>
      </c>
      <c r="F93" s="6" t="s">
        <v>30</v>
      </c>
      <c r="G93" s="6" t="s">
        <v>31</v>
      </c>
    </row>
    <row r="94" spans="2:7" ht="12.75" customHeight="1" x14ac:dyDescent="0.25">
      <c r="B94" s="6" t="s">
        <v>26</v>
      </c>
      <c r="D94" s="6" t="s">
        <v>28</v>
      </c>
      <c r="E94" s="6" t="s">
        <v>29</v>
      </c>
      <c r="F94" s="6" t="s">
        <v>30</v>
      </c>
      <c r="G94" s="6" t="s">
        <v>31</v>
      </c>
    </row>
    <row r="95" spans="2:7" ht="12.75" customHeight="1" x14ac:dyDescent="0.25">
      <c r="B95" s="6" t="s">
        <v>26</v>
      </c>
      <c r="D95" s="6" t="s">
        <v>28</v>
      </c>
      <c r="E95" s="6" t="s">
        <v>29</v>
      </c>
      <c r="F95" s="6" t="s">
        <v>30</v>
      </c>
      <c r="G95" s="6" t="s">
        <v>31</v>
      </c>
    </row>
    <row r="96" spans="2:7" ht="12.75" customHeight="1" x14ac:dyDescent="0.25">
      <c r="B96" s="6" t="s">
        <v>26</v>
      </c>
      <c r="D96" s="6" t="s">
        <v>28</v>
      </c>
      <c r="E96" s="8"/>
      <c r="F96" s="6" t="s">
        <v>30</v>
      </c>
      <c r="G96" s="6" t="s">
        <v>31</v>
      </c>
    </row>
    <row r="97" spans="2:7" ht="12.75" customHeight="1" x14ac:dyDescent="0.25">
      <c r="B97" s="6" t="s">
        <v>26</v>
      </c>
      <c r="D97" s="6" t="s">
        <v>28</v>
      </c>
      <c r="E97" s="8"/>
      <c r="F97" s="6" t="s">
        <v>30</v>
      </c>
      <c r="G97" s="6" t="s">
        <v>31</v>
      </c>
    </row>
    <row r="98" spans="2:7" ht="12.75" customHeight="1" x14ac:dyDescent="0.25">
      <c r="B98" s="6" t="s">
        <v>26</v>
      </c>
      <c r="D98" s="6" t="s">
        <v>28</v>
      </c>
      <c r="E98" s="8"/>
      <c r="F98" s="6" t="s">
        <v>30</v>
      </c>
      <c r="G98" s="6" t="s">
        <v>31</v>
      </c>
    </row>
    <row r="99" spans="2:7" ht="12.75" customHeight="1" x14ac:dyDescent="0.25">
      <c r="B99" s="6" t="s">
        <v>26</v>
      </c>
      <c r="D99" s="6" t="s">
        <v>28</v>
      </c>
      <c r="E99" s="8"/>
      <c r="F99" s="6" t="s">
        <v>30</v>
      </c>
      <c r="G99" s="6" t="s">
        <v>31</v>
      </c>
    </row>
    <row r="100" spans="2:7" ht="12.75" customHeight="1" x14ac:dyDescent="0.25">
      <c r="B100" s="6" t="s">
        <v>26</v>
      </c>
      <c r="D100" s="6" t="s">
        <v>28</v>
      </c>
      <c r="E100" s="8"/>
      <c r="F100" s="6" t="s">
        <v>30</v>
      </c>
      <c r="G100" s="6" t="s">
        <v>31</v>
      </c>
    </row>
    <row r="101" spans="2:7" ht="12.75" customHeight="1" x14ac:dyDescent="0.25">
      <c r="B101" s="6" t="s">
        <v>26</v>
      </c>
      <c r="D101" s="6" t="s">
        <v>28</v>
      </c>
      <c r="E101" s="8"/>
      <c r="F101" s="6" t="s">
        <v>30</v>
      </c>
      <c r="G101" s="6" t="s">
        <v>31</v>
      </c>
    </row>
    <row r="102" spans="2:7" ht="12.75" customHeight="1" x14ac:dyDescent="0.25">
      <c r="B102" s="6" t="s">
        <v>26</v>
      </c>
      <c r="D102" s="6" t="s">
        <v>28</v>
      </c>
      <c r="E102" s="8"/>
      <c r="F102" s="6" t="s">
        <v>30</v>
      </c>
      <c r="G102" s="6" t="s">
        <v>31</v>
      </c>
    </row>
    <row r="103" spans="2:7" ht="12.75" customHeight="1" x14ac:dyDescent="0.25">
      <c r="B103" s="6" t="s">
        <v>26</v>
      </c>
      <c r="D103" s="6" t="s">
        <v>28</v>
      </c>
      <c r="E103" s="8"/>
      <c r="F103" s="6" t="s">
        <v>30</v>
      </c>
      <c r="G103" s="6" t="s">
        <v>31</v>
      </c>
    </row>
    <row r="104" spans="2:7" ht="12.75" customHeight="1" x14ac:dyDescent="0.25">
      <c r="B104" s="6" t="s">
        <v>26</v>
      </c>
      <c r="D104" s="6" t="s">
        <v>28</v>
      </c>
      <c r="E104" s="8"/>
      <c r="F104" s="6" t="s">
        <v>30</v>
      </c>
      <c r="G104" s="6" t="s">
        <v>31</v>
      </c>
    </row>
    <row r="105" spans="2:7" ht="12.75" customHeight="1" x14ac:dyDescent="0.25">
      <c r="B105" s="6" t="s">
        <v>26</v>
      </c>
      <c r="D105" s="6" t="s">
        <v>28</v>
      </c>
      <c r="E105" s="8"/>
      <c r="F105" s="6" t="s">
        <v>30</v>
      </c>
      <c r="G105" s="6" t="s">
        <v>31</v>
      </c>
    </row>
    <row r="106" spans="2:7" ht="12.75" customHeight="1" x14ac:dyDescent="0.25">
      <c r="B106" s="6" t="s">
        <v>26</v>
      </c>
      <c r="D106" s="6" t="s">
        <v>28</v>
      </c>
      <c r="E106" s="8"/>
      <c r="F106" s="6" t="s">
        <v>30</v>
      </c>
      <c r="G106" s="6" t="s">
        <v>31</v>
      </c>
    </row>
    <row r="107" spans="2:7" ht="12.75" customHeight="1" x14ac:dyDescent="0.25">
      <c r="B107" s="6" t="s">
        <v>26</v>
      </c>
      <c r="D107" s="6" t="s">
        <v>28</v>
      </c>
      <c r="E107" s="8"/>
      <c r="F107" s="6" t="s">
        <v>30</v>
      </c>
      <c r="G107" s="6" t="s">
        <v>31</v>
      </c>
    </row>
    <row r="108" spans="2:7" ht="12.75" customHeight="1" x14ac:dyDescent="0.25">
      <c r="B108" s="6" t="s">
        <v>26</v>
      </c>
      <c r="D108" s="6" t="s">
        <v>28</v>
      </c>
      <c r="E108" s="8"/>
      <c r="F108" s="6" t="s">
        <v>30</v>
      </c>
      <c r="G108" s="6" t="s">
        <v>31</v>
      </c>
    </row>
    <row r="109" spans="2:7" ht="12.75" customHeight="1" x14ac:dyDescent="0.25">
      <c r="B109" s="6" t="s">
        <v>26</v>
      </c>
      <c r="D109" s="6" t="s">
        <v>28</v>
      </c>
      <c r="E109" s="8"/>
      <c r="F109" s="6" t="s">
        <v>30</v>
      </c>
      <c r="G109" s="6" t="s">
        <v>31</v>
      </c>
    </row>
    <row r="110" spans="2:7" ht="12.75" customHeight="1" x14ac:dyDescent="0.25">
      <c r="B110" s="6" t="s">
        <v>26</v>
      </c>
      <c r="D110" s="6" t="s">
        <v>28</v>
      </c>
      <c r="E110" s="8"/>
      <c r="F110" s="6" t="s">
        <v>30</v>
      </c>
      <c r="G110" s="6" t="s">
        <v>31</v>
      </c>
    </row>
    <row r="111" spans="2:7" ht="12.75" customHeight="1" x14ac:dyDescent="0.25">
      <c r="B111" s="6" t="s">
        <v>26</v>
      </c>
      <c r="D111" s="6" t="s">
        <v>28</v>
      </c>
      <c r="E111" s="8"/>
      <c r="F111" s="6" t="s">
        <v>30</v>
      </c>
      <c r="G111" s="6" t="s">
        <v>31</v>
      </c>
    </row>
    <row r="112" spans="2:7" ht="12.75" customHeight="1" x14ac:dyDescent="0.25">
      <c r="B112" s="6" t="s">
        <v>26</v>
      </c>
      <c r="D112" s="6" t="s">
        <v>28</v>
      </c>
      <c r="E112" s="8"/>
      <c r="F112" s="6" t="s">
        <v>30</v>
      </c>
      <c r="G112" s="6" t="s">
        <v>31</v>
      </c>
    </row>
    <row r="113" spans="2:7" ht="12.75" customHeight="1" x14ac:dyDescent="0.25">
      <c r="B113" s="6" t="s">
        <v>26</v>
      </c>
      <c r="D113" s="6" t="s">
        <v>28</v>
      </c>
      <c r="E113" s="8"/>
      <c r="F113" s="6" t="s">
        <v>30</v>
      </c>
      <c r="G113" s="6" t="s">
        <v>31</v>
      </c>
    </row>
    <row r="114" spans="2:7" ht="12.75" customHeight="1" x14ac:dyDescent="0.25">
      <c r="B114" s="6" t="s">
        <v>26</v>
      </c>
      <c r="D114" s="6" t="s">
        <v>28</v>
      </c>
      <c r="E114" s="8"/>
      <c r="F114" s="6" t="s">
        <v>30</v>
      </c>
      <c r="G114" s="6" t="s">
        <v>31</v>
      </c>
    </row>
    <row r="115" spans="2:7" ht="12.75" customHeight="1" x14ac:dyDescent="0.25">
      <c r="B115" s="6" t="s">
        <v>26</v>
      </c>
      <c r="D115" s="6" t="s">
        <v>28</v>
      </c>
      <c r="E115" s="8"/>
      <c r="F115" s="6" t="s">
        <v>30</v>
      </c>
      <c r="G115" s="6" t="s">
        <v>31</v>
      </c>
    </row>
    <row r="116" spans="2:7" ht="12.75" customHeight="1" x14ac:dyDescent="0.25">
      <c r="B116" s="6" t="s">
        <v>26</v>
      </c>
      <c r="D116" s="6" t="s">
        <v>28</v>
      </c>
      <c r="E116" s="8"/>
      <c r="F116" s="6" t="s">
        <v>30</v>
      </c>
      <c r="G116" s="6" t="s">
        <v>31</v>
      </c>
    </row>
    <row r="117" spans="2:7" ht="12.75" customHeight="1" x14ac:dyDescent="0.25">
      <c r="B117" s="6" t="s">
        <v>26</v>
      </c>
      <c r="D117" s="6" t="s">
        <v>28</v>
      </c>
      <c r="E117" s="8"/>
      <c r="F117" s="6" t="s">
        <v>30</v>
      </c>
      <c r="G117" s="6" t="s">
        <v>31</v>
      </c>
    </row>
    <row r="118" spans="2:7" ht="12.75" customHeight="1" x14ac:dyDescent="0.25">
      <c r="B118" s="6" t="s">
        <v>26</v>
      </c>
      <c r="D118" s="6" t="s">
        <v>28</v>
      </c>
      <c r="E118" s="8"/>
      <c r="F118" s="6" t="s">
        <v>30</v>
      </c>
      <c r="G118" s="6" t="s">
        <v>31</v>
      </c>
    </row>
    <row r="119" spans="2:7" ht="12.75" customHeight="1" x14ac:dyDescent="0.25">
      <c r="B119" s="6" t="s">
        <v>26</v>
      </c>
      <c r="D119" s="6" t="s">
        <v>28</v>
      </c>
      <c r="E119" s="8"/>
      <c r="F119" s="6" t="s">
        <v>30</v>
      </c>
      <c r="G119" s="6" t="s">
        <v>31</v>
      </c>
    </row>
    <row r="120" spans="2:7" ht="12.75" customHeight="1" x14ac:dyDescent="0.25">
      <c r="B120" s="6" t="s">
        <v>26</v>
      </c>
      <c r="D120" s="6" t="s">
        <v>28</v>
      </c>
      <c r="F120" s="6" t="s">
        <v>30</v>
      </c>
      <c r="G120" s="6" t="s">
        <v>31</v>
      </c>
    </row>
    <row r="121" spans="2:7" ht="12.75" customHeight="1" x14ac:dyDescent="0.25">
      <c r="B121" s="6" t="s">
        <v>26</v>
      </c>
      <c r="D121" s="6" t="s">
        <v>28</v>
      </c>
      <c r="F121" s="6" t="s">
        <v>30</v>
      </c>
      <c r="G121" s="6" t="s">
        <v>31</v>
      </c>
    </row>
    <row r="122" spans="2:7" ht="12.75" customHeight="1" x14ac:dyDescent="0.25">
      <c r="B122" s="6" t="s">
        <v>26</v>
      </c>
      <c r="D122" s="6" t="s">
        <v>28</v>
      </c>
      <c r="F122" s="6" t="s">
        <v>30</v>
      </c>
      <c r="G122" s="6" t="s">
        <v>31</v>
      </c>
    </row>
    <row r="123" spans="2:7" ht="12.75" customHeight="1" x14ac:dyDescent="0.25">
      <c r="B123" s="6" t="s">
        <v>26</v>
      </c>
      <c r="D123" s="6" t="s">
        <v>28</v>
      </c>
      <c r="F123" s="6" t="s">
        <v>30</v>
      </c>
      <c r="G123" s="6" t="s">
        <v>31</v>
      </c>
    </row>
    <row r="124" spans="2:7" ht="12.75" customHeight="1" x14ac:dyDescent="0.25">
      <c r="B124" s="6" t="s">
        <v>26</v>
      </c>
      <c r="D124" s="6" t="s">
        <v>28</v>
      </c>
      <c r="F124" s="6" t="s">
        <v>30</v>
      </c>
      <c r="G124" s="6" t="s">
        <v>31</v>
      </c>
    </row>
    <row r="125" spans="2:7" ht="12.75" customHeight="1" x14ac:dyDescent="0.25">
      <c r="B125" s="6" t="s">
        <v>26</v>
      </c>
      <c r="D125" s="6" t="s">
        <v>28</v>
      </c>
      <c r="F125" s="6" t="s">
        <v>30</v>
      </c>
      <c r="G125" s="6" t="s">
        <v>31</v>
      </c>
    </row>
    <row r="126" spans="2:7" ht="12.75" customHeight="1" x14ac:dyDescent="0.25">
      <c r="B126" s="6" t="s">
        <v>26</v>
      </c>
      <c r="D126" s="6" t="s">
        <v>28</v>
      </c>
      <c r="F126" s="6" t="s">
        <v>30</v>
      </c>
      <c r="G126" s="6" t="s">
        <v>31</v>
      </c>
    </row>
    <row r="127" spans="2:7" ht="12.75" customHeight="1" x14ac:dyDescent="0.25">
      <c r="B127" s="6" t="s">
        <v>26</v>
      </c>
      <c r="D127" s="6" t="s">
        <v>28</v>
      </c>
      <c r="F127" s="6" t="s">
        <v>30</v>
      </c>
      <c r="G127" s="6" t="s">
        <v>31</v>
      </c>
    </row>
    <row r="128" spans="2:7" ht="12.75" customHeight="1" x14ac:dyDescent="0.25">
      <c r="B128" s="6" t="s">
        <v>26</v>
      </c>
      <c r="D128" s="6" t="s">
        <v>28</v>
      </c>
      <c r="F128" s="6" t="s">
        <v>30</v>
      </c>
      <c r="G128" s="6" t="s">
        <v>31</v>
      </c>
    </row>
    <row r="129" spans="2:7" ht="12.75" customHeight="1" x14ac:dyDescent="0.25">
      <c r="B129" s="6" t="s">
        <v>26</v>
      </c>
      <c r="D129" s="6" t="s">
        <v>28</v>
      </c>
      <c r="F129" s="6" t="s">
        <v>30</v>
      </c>
      <c r="G129" s="6" t="s">
        <v>31</v>
      </c>
    </row>
    <row r="130" spans="2:7" ht="12.75" customHeight="1" x14ac:dyDescent="0.25">
      <c r="B130" s="6" t="s">
        <v>26</v>
      </c>
      <c r="D130" s="6" t="s">
        <v>28</v>
      </c>
      <c r="F130" s="6" t="s">
        <v>30</v>
      </c>
      <c r="G130" s="6" t="s">
        <v>31</v>
      </c>
    </row>
    <row r="131" spans="2:7" ht="12.75" customHeight="1" x14ac:dyDescent="0.25">
      <c r="B131" s="6" t="s">
        <v>26</v>
      </c>
      <c r="D131" s="6" t="s">
        <v>28</v>
      </c>
      <c r="F131" s="6" t="s">
        <v>30</v>
      </c>
      <c r="G131" s="6" t="s">
        <v>31</v>
      </c>
    </row>
    <row r="132" spans="2:7" ht="12.75" customHeight="1" x14ac:dyDescent="0.25">
      <c r="B132" s="6" t="s">
        <v>26</v>
      </c>
      <c r="D132" s="6" t="s">
        <v>28</v>
      </c>
      <c r="F132" s="6" t="s">
        <v>30</v>
      </c>
      <c r="G132" s="6" t="s">
        <v>31</v>
      </c>
    </row>
    <row r="133" spans="2:7" ht="12.75" customHeight="1" x14ac:dyDescent="0.25">
      <c r="B133" s="6" t="s">
        <v>26</v>
      </c>
      <c r="D133" s="6" t="s">
        <v>28</v>
      </c>
      <c r="F133" s="6" t="s">
        <v>30</v>
      </c>
      <c r="G133" s="6" t="s">
        <v>31</v>
      </c>
    </row>
    <row r="134" spans="2:7" ht="12.75" customHeight="1" x14ac:dyDescent="0.25">
      <c r="B134" s="6" t="s">
        <v>26</v>
      </c>
      <c r="D134" s="6" t="s">
        <v>28</v>
      </c>
      <c r="F134" s="6" t="s">
        <v>30</v>
      </c>
      <c r="G134" s="6" t="s">
        <v>31</v>
      </c>
    </row>
    <row r="135" spans="2:7" ht="12.75" customHeight="1" x14ac:dyDescent="0.25">
      <c r="B135" s="6" t="s">
        <v>26</v>
      </c>
      <c r="D135" s="6" t="s">
        <v>28</v>
      </c>
      <c r="F135" s="6" t="s">
        <v>30</v>
      </c>
      <c r="G135" s="6" t="s">
        <v>31</v>
      </c>
    </row>
    <row r="136" spans="2:7" ht="12.75" customHeight="1" x14ac:dyDescent="0.25">
      <c r="B136" s="6" t="s">
        <v>26</v>
      </c>
      <c r="D136" s="6" t="s">
        <v>28</v>
      </c>
      <c r="F136" s="6" t="s">
        <v>30</v>
      </c>
      <c r="G136" s="6" t="s">
        <v>31</v>
      </c>
    </row>
    <row r="137" spans="2:7" ht="12.75" customHeight="1" x14ac:dyDescent="0.25">
      <c r="B137" s="6" t="s">
        <v>26</v>
      </c>
      <c r="D137" s="6" t="s">
        <v>28</v>
      </c>
      <c r="F137" s="6" t="s">
        <v>30</v>
      </c>
      <c r="G137" s="6" t="s">
        <v>31</v>
      </c>
    </row>
    <row r="138" spans="2:7" ht="12.75" customHeight="1" x14ac:dyDescent="0.25">
      <c r="B138" s="6" t="s">
        <v>26</v>
      </c>
      <c r="D138" s="6" t="s">
        <v>28</v>
      </c>
      <c r="F138" s="6" t="s">
        <v>30</v>
      </c>
      <c r="G138" s="6" t="s">
        <v>31</v>
      </c>
    </row>
    <row r="139" spans="2:7" ht="12.75" customHeight="1" x14ac:dyDescent="0.25">
      <c r="B139" s="6" t="s">
        <v>26</v>
      </c>
      <c r="D139" s="6" t="s">
        <v>28</v>
      </c>
      <c r="F139" s="6" t="s">
        <v>30</v>
      </c>
      <c r="G139" s="6" t="s">
        <v>31</v>
      </c>
    </row>
    <row r="140" spans="2:7" ht="12.75" customHeight="1" x14ac:dyDescent="0.25">
      <c r="B140" s="6" t="s">
        <v>26</v>
      </c>
      <c r="D140" s="6" t="s">
        <v>28</v>
      </c>
      <c r="F140" s="6" t="s">
        <v>30</v>
      </c>
      <c r="G140" s="6" t="s">
        <v>31</v>
      </c>
    </row>
    <row r="141" spans="2:7" ht="12.75" customHeight="1" x14ac:dyDescent="0.25">
      <c r="B141" s="6" t="s">
        <v>26</v>
      </c>
      <c r="D141" s="6" t="s">
        <v>28</v>
      </c>
      <c r="F141" s="6" t="s">
        <v>30</v>
      </c>
      <c r="G141" s="6" t="s">
        <v>31</v>
      </c>
    </row>
    <row r="142" spans="2:7" ht="12.75" customHeight="1" x14ac:dyDescent="0.25">
      <c r="B142" s="6" t="s">
        <v>26</v>
      </c>
      <c r="D142" s="6" t="s">
        <v>28</v>
      </c>
      <c r="F142" s="6" t="s">
        <v>30</v>
      </c>
      <c r="G142" s="6" t="s">
        <v>31</v>
      </c>
    </row>
    <row r="143" spans="2:7" ht="12.75" customHeight="1" x14ac:dyDescent="0.25">
      <c r="B143" s="6" t="s">
        <v>26</v>
      </c>
      <c r="D143" s="6" t="s">
        <v>28</v>
      </c>
      <c r="F143" s="6" t="s">
        <v>30</v>
      </c>
      <c r="G143" s="6" t="s">
        <v>31</v>
      </c>
    </row>
    <row r="144" spans="2:7" ht="12.75" customHeight="1" x14ac:dyDescent="0.25">
      <c r="B144" s="6" t="s">
        <v>26</v>
      </c>
      <c r="D144" s="6" t="s">
        <v>28</v>
      </c>
      <c r="F144" s="6" t="s">
        <v>30</v>
      </c>
      <c r="G144" s="6" t="s">
        <v>31</v>
      </c>
    </row>
    <row r="145" spans="2:7" ht="12.75" customHeight="1" x14ac:dyDescent="0.25">
      <c r="B145" s="6" t="s">
        <v>26</v>
      </c>
      <c r="D145" s="6" t="s">
        <v>28</v>
      </c>
      <c r="F145" s="6" t="s">
        <v>30</v>
      </c>
      <c r="G145" s="6" t="s">
        <v>31</v>
      </c>
    </row>
    <row r="146" spans="2:7" ht="12.75" customHeight="1" x14ac:dyDescent="0.25">
      <c r="B146" s="6" t="s">
        <v>26</v>
      </c>
      <c r="D146" s="6" t="s">
        <v>28</v>
      </c>
      <c r="F146" s="6" t="s">
        <v>30</v>
      </c>
      <c r="G146" s="6" t="s">
        <v>31</v>
      </c>
    </row>
    <row r="147" spans="2:7" ht="12.75" customHeight="1" x14ac:dyDescent="0.25">
      <c r="B147" s="6" t="s">
        <v>26</v>
      </c>
      <c r="D147" s="6" t="s">
        <v>28</v>
      </c>
      <c r="F147" s="6" t="s">
        <v>30</v>
      </c>
      <c r="G147" s="6" t="s">
        <v>31</v>
      </c>
    </row>
    <row r="148" spans="2:7" ht="12.75" customHeight="1" x14ac:dyDescent="0.25">
      <c r="B148" s="6" t="s">
        <v>26</v>
      </c>
      <c r="D148" s="6" t="s">
        <v>28</v>
      </c>
      <c r="F148" s="6" t="s">
        <v>30</v>
      </c>
      <c r="G148" s="6" t="s">
        <v>31</v>
      </c>
    </row>
    <row r="149" spans="2:7" ht="12.75" customHeight="1" x14ac:dyDescent="0.25">
      <c r="B149" s="6" t="s">
        <v>26</v>
      </c>
      <c r="D149" s="6" t="s">
        <v>28</v>
      </c>
      <c r="F149" s="6" t="s">
        <v>30</v>
      </c>
      <c r="G149" s="6" t="s">
        <v>31</v>
      </c>
    </row>
    <row r="150" spans="2:7" ht="12.75" customHeight="1" x14ac:dyDescent="0.25">
      <c r="B150" s="6" t="s">
        <v>26</v>
      </c>
      <c r="D150" s="6" t="s">
        <v>28</v>
      </c>
      <c r="F150" s="6" t="s">
        <v>30</v>
      </c>
      <c r="G150" s="6" t="s">
        <v>31</v>
      </c>
    </row>
    <row r="151" spans="2:7" ht="12.75" customHeight="1" x14ac:dyDescent="0.25">
      <c r="B151" s="6" t="s">
        <v>26</v>
      </c>
      <c r="D151" s="6" t="s">
        <v>28</v>
      </c>
      <c r="F151" s="6" t="s">
        <v>30</v>
      </c>
      <c r="G151" s="6" t="s">
        <v>31</v>
      </c>
    </row>
    <row r="152" spans="2:7" ht="12.75" customHeight="1" x14ac:dyDescent="0.25">
      <c r="B152" s="6" t="s">
        <v>26</v>
      </c>
      <c r="D152" s="6" t="s">
        <v>28</v>
      </c>
      <c r="F152" s="6" t="s">
        <v>30</v>
      </c>
      <c r="G152" s="6" t="s">
        <v>31</v>
      </c>
    </row>
    <row r="153" spans="2:7" ht="12.75" customHeight="1" x14ac:dyDescent="0.25">
      <c r="B153" s="6" t="s">
        <v>26</v>
      </c>
      <c r="D153" s="6" t="s">
        <v>28</v>
      </c>
      <c r="F153" s="6" t="s">
        <v>30</v>
      </c>
      <c r="G153" s="6" t="s">
        <v>31</v>
      </c>
    </row>
    <row r="154" spans="2:7" ht="12.75" customHeight="1" x14ac:dyDescent="0.25">
      <c r="B154" s="6" t="s">
        <v>26</v>
      </c>
      <c r="D154" s="6" t="s">
        <v>28</v>
      </c>
      <c r="F154" s="6" t="s">
        <v>30</v>
      </c>
      <c r="G154" s="6" t="s">
        <v>31</v>
      </c>
    </row>
    <row r="155" spans="2:7" ht="12.75" customHeight="1" x14ac:dyDescent="0.25">
      <c r="B155" s="6" t="s">
        <v>26</v>
      </c>
      <c r="D155" s="6" t="s">
        <v>28</v>
      </c>
      <c r="F155" s="6" t="s">
        <v>30</v>
      </c>
      <c r="G155" s="6" t="s">
        <v>31</v>
      </c>
    </row>
    <row r="156" spans="2:7" ht="12.75" customHeight="1" x14ac:dyDescent="0.25">
      <c r="B156" s="6" t="s">
        <v>26</v>
      </c>
      <c r="D156" s="6" t="s">
        <v>28</v>
      </c>
      <c r="F156" s="6" t="s">
        <v>30</v>
      </c>
      <c r="G156" s="6" t="s">
        <v>31</v>
      </c>
    </row>
    <row r="157" spans="2:7" ht="12.75" customHeight="1" x14ac:dyDescent="0.25">
      <c r="B157" s="6" t="s">
        <v>26</v>
      </c>
      <c r="D157" s="6" t="s">
        <v>28</v>
      </c>
      <c r="F157" s="6" t="s">
        <v>30</v>
      </c>
      <c r="G157" s="6" t="s">
        <v>31</v>
      </c>
    </row>
    <row r="158" spans="2:7" ht="12.75" customHeight="1" x14ac:dyDescent="0.25">
      <c r="B158" s="6" t="s">
        <v>26</v>
      </c>
      <c r="D158" s="6" t="s">
        <v>28</v>
      </c>
      <c r="F158" s="6" t="s">
        <v>30</v>
      </c>
      <c r="G158" s="6" t="s">
        <v>31</v>
      </c>
    </row>
    <row r="159" spans="2:7" ht="12.75" customHeight="1" x14ac:dyDescent="0.25">
      <c r="B159" s="6" t="s">
        <v>26</v>
      </c>
      <c r="D159" s="6" t="s">
        <v>28</v>
      </c>
      <c r="F159" s="6" t="s">
        <v>30</v>
      </c>
      <c r="G159" s="6" t="s">
        <v>31</v>
      </c>
    </row>
    <row r="160" spans="2:7" ht="12.75" customHeight="1" x14ac:dyDescent="0.25">
      <c r="B160" s="6" t="s">
        <v>26</v>
      </c>
      <c r="D160" s="6" t="s">
        <v>28</v>
      </c>
      <c r="F160" s="6" t="s">
        <v>30</v>
      </c>
      <c r="G160" s="6" t="s">
        <v>31</v>
      </c>
    </row>
    <row r="161" spans="2:7" ht="12.75" customHeight="1" x14ac:dyDescent="0.25">
      <c r="B161" s="6" t="s">
        <v>26</v>
      </c>
      <c r="D161" s="6" t="s">
        <v>28</v>
      </c>
      <c r="F161" s="6" t="s">
        <v>30</v>
      </c>
      <c r="G161" s="6" t="s">
        <v>31</v>
      </c>
    </row>
    <row r="162" spans="2:7" ht="12.75" customHeight="1" x14ac:dyDescent="0.25">
      <c r="B162" s="6" t="s">
        <v>26</v>
      </c>
      <c r="D162" s="6" t="s">
        <v>28</v>
      </c>
      <c r="F162" s="6" t="s">
        <v>30</v>
      </c>
      <c r="G162" s="6" t="s">
        <v>31</v>
      </c>
    </row>
    <row r="163" spans="2:7" ht="12.75" customHeight="1" x14ac:dyDescent="0.25">
      <c r="B163" s="6" t="s">
        <v>26</v>
      </c>
      <c r="D163" s="6" t="s">
        <v>28</v>
      </c>
      <c r="F163" s="6" t="s">
        <v>30</v>
      </c>
      <c r="G163" s="6" t="s">
        <v>31</v>
      </c>
    </row>
    <row r="164" spans="2:7" ht="12.75" customHeight="1" x14ac:dyDescent="0.25">
      <c r="B164" s="6" t="s">
        <v>26</v>
      </c>
      <c r="D164" s="6" t="s">
        <v>28</v>
      </c>
      <c r="F164" s="6" t="s">
        <v>30</v>
      </c>
      <c r="G164" s="6" t="s">
        <v>31</v>
      </c>
    </row>
    <row r="165" spans="2:7" ht="12.75" customHeight="1" x14ac:dyDescent="0.25">
      <c r="B165" s="6" t="s">
        <v>26</v>
      </c>
      <c r="D165" s="6" t="s">
        <v>28</v>
      </c>
      <c r="F165" s="6" t="s">
        <v>30</v>
      </c>
      <c r="G165" s="6" t="s">
        <v>31</v>
      </c>
    </row>
    <row r="166" spans="2:7" ht="12.75" customHeight="1" x14ac:dyDescent="0.25">
      <c r="B166" s="6" t="s">
        <v>26</v>
      </c>
      <c r="D166" s="6" t="s">
        <v>28</v>
      </c>
      <c r="F166" s="6" t="s">
        <v>30</v>
      </c>
      <c r="G166" s="6" t="s">
        <v>31</v>
      </c>
    </row>
    <row r="167" spans="2:7" ht="12.75" customHeight="1" x14ac:dyDescent="0.25">
      <c r="B167" s="6" t="s">
        <v>26</v>
      </c>
      <c r="D167" s="6" t="s">
        <v>28</v>
      </c>
      <c r="F167" s="6" t="s">
        <v>30</v>
      </c>
      <c r="G167" s="6" t="s">
        <v>31</v>
      </c>
    </row>
    <row r="168" spans="2:7" ht="12.75" customHeight="1" x14ac:dyDescent="0.25">
      <c r="B168" s="6" t="s">
        <v>26</v>
      </c>
      <c r="D168" s="6" t="s">
        <v>28</v>
      </c>
      <c r="F168" s="6" t="s">
        <v>30</v>
      </c>
      <c r="G168" s="6" t="s">
        <v>31</v>
      </c>
    </row>
    <row r="169" spans="2:7" ht="12.75" customHeight="1" x14ac:dyDescent="0.25">
      <c r="B169" s="6" t="s">
        <v>26</v>
      </c>
      <c r="D169" s="6" t="s">
        <v>28</v>
      </c>
      <c r="F169" s="6" t="s">
        <v>30</v>
      </c>
      <c r="G169" s="6" t="s">
        <v>31</v>
      </c>
    </row>
    <row r="170" spans="2:7" ht="12.75" customHeight="1" x14ac:dyDescent="0.25">
      <c r="B170" s="6" t="s">
        <v>26</v>
      </c>
      <c r="D170" s="6" t="s">
        <v>28</v>
      </c>
      <c r="F170" s="6" t="s">
        <v>30</v>
      </c>
      <c r="G170" s="6" t="s">
        <v>31</v>
      </c>
    </row>
    <row r="171" spans="2:7" ht="12.75" customHeight="1" x14ac:dyDescent="0.25">
      <c r="B171" s="6" t="s">
        <v>26</v>
      </c>
      <c r="D171" s="6" t="s">
        <v>28</v>
      </c>
      <c r="F171" s="6" t="s">
        <v>30</v>
      </c>
      <c r="G171" s="6" t="s">
        <v>31</v>
      </c>
    </row>
    <row r="172" spans="2:7" ht="12.75" customHeight="1" x14ac:dyDescent="0.25">
      <c r="B172" s="6" t="s">
        <v>26</v>
      </c>
      <c r="D172" s="6" t="s">
        <v>28</v>
      </c>
      <c r="F172" s="6" t="s">
        <v>30</v>
      </c>
      <c r="G172" s="6" t="s">
        <v>31</v>
      </c>
    </row>
    <row r="173" spans="2:7" ht="12.75" customHeight="1" x14ac:dyDescent="0.25">
      <c r="B173" s="6" t="s">
        <v>26</v>
      </c>
      <c r="D173" s="6" t="s">
        <v>28</v>
      </c>
      <c r="F173" s="6" t="s">
        <v>30</v>
      </c>
      <c r="G173" s="6" t="s">
        <v>31</v>
      </c>
    </row>
    <row r="174" spans="2:7" ht="12.75" customHeight="1" x14ac:dyDescent="0.25">
      <c r="B174" s="6" t="s">
        <v>26</v>
      </c>
      <c r="D174" s="6" t="s">
        <v>28</v>
      </c>
      <c r="F174" s="6" t="s">
        <v>30</v>
      </c>
      <c r="G174" s="6" t="s">
        <v>31</v>
      </c>
    </row>
    <row r="175" spans="2:7" ht="12.75" customHeight="1" x14ac:dyDescent="0.25">
      <c r="B175" s="6" t="s">
        <v>26</v>
      </c>
      <c r="D175" s="6" t="s">
        <v>28</v>
      </c>
      <c r="F175" s="6" t="s">
        <v>30</v>
      </c>
      <c r="G175" s="6" t="s">
        <v>31</v>
      </c>
    </row>
    <row r="176" spans="2:7" ht="12.75" customHeight="1" x14ac:dyDescent="0.25">
      <c r="B176" s="6" t="s">
        <v>26</v>
      </c>
      <c r="D176" s="6" t="s">
        <v>28</v>
      </c>
      <c r="F176" s="6" t="s">
        <v>30</v>
      </c>
      <c r="G176" s="6" t="s">
        <v>31</v>
      </c>
    </row>
    <row r="177" spans="2:7" ht="12.75" customHeight="1" x14ac:dyDescent="0.25">
      <c r="B177" s="6" t="s">
        <v>26</v>
      </c>
      <c r="D177" s="6" t="s">
        <v>28</v>
      </c>
      <c r="F177" s="6" t="s">
        <v>30</v>
      </c>
      <c r="G177" s="6" t="s">
        <v>31</v>
      </c>
    </row>
    <row r="178" spans="2:7" ht="12.75" customHeight="1" x14ac:dyDescent="0.25">
      <c r="B178" s="6" t="s">
        <v>26</v>
      </c>
      <c r="D178" s="6" t="s">
        <v>28</v>
      </c>
      <c r="F178" s="6" t="s">
        <v>30</v>
      </c>
      <c r="G178" s="6" t="s">
        <v>31</v>
      </c>
    </row>
    <row r="179" spans="2:7" ht="12.75" customHeight="1" x14ac:dyDescent="0.25">
      <c r="B179" s="6" t="s">
        <v>26</v>
      </c>
      <c r="D179" s="6" t="s">
        <v>28</v>
      </c>
      <c r="F179" s="6" t="s">
        <v>30</v>
      </c>
      <c r="G179" s="6" t="s">
        <v>31</v>
      </c>
    </row>
    <row r="180" spans="2:7" ht="12.75" customHeight="1" x14ac:dyDescent="0.25">
      <c r="B180" s="6" t="s">
        <v>26</v>
      </c>
      <c r="D180" s="6" t="s">
        <v>28</v>
      </c>
      <c r="F180" s="6" t="s">
        <v>30</v>
      </c>
      <c r="G180" s="6" t="s">
        <v>31</v>
      </c>
    </row>
    <row r="181" spans="2:7" ht="12.75" customHeight="1" x14ac:dyDescent="0.25">
      <c r="B181" s="6" t="s">
        <v>26</v>
      </c>
      <c r="D181" s="6" t="s">
        <v>28</v>
      </c>
      <c r="F181" s="6" t="s">
        <v>30</v>
      </c>
      <c r="G181" s="6" t="s">
        <v>31</v>
      </c>
    </row>
    <row r="182" spans="2:7" ht="12.75" customHeight="1" x14ac:dyDescent="0.25">
      <c r="B182" s="6" t="s">
        <v>26</v>
      </c>
      <c r="D182" s="6" t="s">
        <v>28</v>
      </c>
      <c r="F182" s="6" t="s">
        <v>30</v>
      </c>
      <c r="G182" s="6" t="s">
        <v>31</v>
      </c>
    </row>
    <row r="183" spans="2:7" ht="12.75" customHeight="1" x14ac:dyDescent="0.25">
      <c r="B183" s="6" t="s">
        <v>26</v>
      </c>
      <c r="D183" s="6" t="s">
        <v>28</v>
      </c>
      <c r="F183" s="6" t="s">
        <v>30</v>
      </c>
      <c r="G183" s="6" t="s">
        <v>31</v>
      </c>
    </row>
    <row r="184" spans="2:7" ht="12.75" customHeight="1" x14ac:dyDescent="0.25">
      <c r="B184" s="6" t="s">
        <v>26</v>
      </c>
      <c r="D184" s="6" t="s">
        <v>28</v>
      </c>
      <c r="F184" s="6" t="s">
        <v>30</v>
      </c>
      <c r="G184" s="6" t="s">
        <v>31</v>
      </c>
    </row>
    <row r="185" spans="2:7" ht="12.75" customHeight="1" x14ac:dyDescent="0.25">
      <c r="B185" s="6" t="s">
        <v>26</v>
      </c>
      <c r="D185" s="6" t="s">
        <v>28</v>
      </c>
      <c r="F185" s="6" t="s">
        <v>30</v>
      </c>
      <c r="G185" s="6" t="s">
        <v>31</v>
      </c>
    </row>
    <row r="186" spans="2:7" ht="12.75" customHeight="1" x14ac:dyDescent="0.25">
      <c r="B186" s="6" t="s">
        <v>26</v>
      </c>
      <c r="D186" s="6" t="s">
        <v>28</v>
      </c>
      <c r="F186" s="6" t="s">
        <v>30</v>
      </c>
      <c r="G186" s="6" t="s">
        <v>31</v>
      </c>
    </row>
    <row r="187" spans="2:7" ht="12.75" customHeight="1" x14ac:dyDescent="0.25">
      <c r="B187" s="6" t="s">
        <v>26</v>
      </c>
      <c r="D187" s="6" t="s">
        <v>28</v>
      </c>
      <c r="F187" s="6" t="s">
        <v>30</v>
      </c>
      <c r="G187" s="6" t="s">
        <v>31</v>
      </c>
    </row>
    <row r="188" spans="2:7" ht="12.75" customHeight="1" x14ac:dyDescent="0.25">
      <c r="B188" s="6" t="s">
        <v>26</v>
      </c>
      <c r="D188" s="6" t="s">
        <v>28</v>
      </c>
      <c r="F188" s="6" t="s">
        <v>30</v>
      </c>
      <c r="G188" s="6" t="s">
        <v>31</v>
      </c>
    </row>
    <row r="189" spans="2:7" ht="12.75" customHeight="1" x14ac:dyDescent="0.25">
      <c r="B189" s="6" t="s">
        <v>26</v>
      </c>
      <c r="D189" s="6" t="s">
        <v>28</v>
      </c>
      <c r="F189" s="6" t="s">
        <v>30</v>
      </c>
      <c r="G189" s="6" t="s">
        <v>31</v>
      </c>
    </row>
    <row r="190" spans="2:7" ht="12.75" customHeight="1" x14ac:dyDescent="0.25">
      <c r="B190" s="6" t="s">
        <v>26</v>
      </c>
      <c r="D190" s="6" t="s">
        <v>28</v>
      </c>
      <c r="F190" s="6" t="s">
        <v>30</v>
      </c>
      <c r="G190" s="6" t="s">
        <v>31</v>
      </c>
    </row>
    <row r="191" spans="2:7" ht="12.75" customHeight="1" x14ac:dyDescent="0.25">
      <c r="B191" s="6" t="s">
        <v>26</v>
      </c>
      <c r="D191" s="6" t="s">
        <v>28</v>
      </c>
      <c r="F191" s="6" t="s">
        <v>30</v>
      </c>
      <c r="G191" s="6" t="s">
        <v>31</v>
      </c>
    </row>
    <row r="192" spans="2:7" ht="12.75" customHeight="1" x14ac:dyDescent="0.25">
      <c r="B192" s="6" t="s">
        <v>26</v>
      </c>
      <c r="D192" s="8"/>
      <c r="F192" s="6" t="s">
        <v>30</v>
      </c>
      <c r="G192" s="6" t="s">
        <v>31</v>
      </c>
    </row>
    <row r="193" spans="2:7" ht="12.75" customHeight="1" x14ac:dyDescent="0.25">
      <c r="B193" s="6" t="s">
        <v>26</v>
      </c>
      <c r="D193" s="8"/>
      <c r="F193" s="6" t="s">
        <v>30</v>
      </c>
      <c r="G193" s="6" t="s">
        <v>31</v>
      </c>
    </row>
    <row r="194" spans="2:7" ht="12.75" customHeight="1" x14ac:dyDescent="0.25">
      <c r="B194" s="6" t="s">
        <v>26</v>
      </c>
      <c r="D194" s="8"/>
      <c r="F194" s="6" t="s">
        <v>30</v>
      </c>
      <c r="G194" s="6" t="s">
        <v>31</v>
      </c>
    </row>
    <row r="195" spans="2:7" ht="12.75" customHeight="1" x14ac:dyDescent="0.25">
      <c r="B195" s="6" t="s">
        <v>26</v>
      </c>
      <c r="D195" s="8"/>
      <c r="F195" s="6" t="s">
        <v>30</v>
      </c>
      <c r="G195" s="6" t="s">
        <v>31</v>
      </c>
    </row>
    <row r="196" spans="2:7" ht="12.75" customHeight="1" x14ac:dyDescent="0.25">
      <c r="B196" s="6" t="s">
        <v>26</v>
      </c>
      <c r="D196" s="8"/>
      <c r="F196" s="6" t="s">
        <v>30</v>
      </c>
      <c r="G196" s="6" t="s">
        <v>31</v>
      </c>
    </row>
    <row r="197" spans="2:7" ht="12.75" customHeight="1" x14ac:dyDescent="0.25">
      <c r="B197" s="6" t="s">
        <v>26</v>
      </c>
      <c r="D197" s="8"/>
      <c r="F197" s="6" t="s">
        <v>30</v>
      </c>
      <c r="G197" s="6" t="s">
        <v>31</v>
      </c>
    </row>
    <row r="198" spans="2:7" ht="12.75" customHeight="1" x14ac:dyDescent="0.25">
      <c r="B198" s="6" t="s">
        <v>26</v>
      </c>
      <c r="D198" s="8"/>
      <c r="F198" s="6" t="s">
        <v>30</v>
      </c>
      <c r="G198" s="6" t="s">
        <v>31</v>
      </c>
    </row>
    <row r="199" spans="2:7" ht="12.75" customHeight="1" x14ac:dyDescent="0.25">
      <c r="B199" s="6" t="s">
        <v>26</v>
      </c>
      <c r="D199" s="8"/>
      <c r="F199" s="6" t="s">
        <v>30</v>
      </c>
      <c r="G199" s="6" t="s">
        <v>31</v>
      </c>
    </row>
    <row r="200" spans="2:7" ht="12.75" customHeight="1" x14ac:dyDescent="0.25">
      <c r="B200" s="6" t="s">
        <v>26</v>
      </c>
      <c r="D200" s="8"/>
      <c r="F200" s="6" t="s">
        <v>30</v>
      </c>
      <c r="G200" s="6" t="s">
        <v>31</v>
      </c>
    </row>
    <row r="201" spans="2:7" ht="12.75" customHeight="1" x14ac:dyDescent="0.25">
      <c r="B201" s="6" t="s">
        <v>26</v>
      </c>
      <c r="D201" s="8"/>
      <c r="F201" s="6" t="s">
        <v>30</v>
      </c>
      <c r="G201" s="6" t="s">
        <v>31</v>
      </c>
    </row>
    <row r="202" spans="2:7" ht="12.75" customHeight="1" x14ac:dyDescent="0.25">
      <c r="B202" s="6" t="s">
        <v>26</v>
      </c>
      <c r="D202" s="8"/>
      <c r="F202" s="6" t="s">
        <v>30</v>
      </c>
      <c r="G202" s="6" t="s">
        <v>31</v>
      </c>
    </row>
    <row r="203" spans="2:7" ht="12.75" customHeight="1" x14ac:dyDescent="0.25">
      <c r="B203" s="6" t="s">
        <v>26</v>
      </c>
      <c r="D203" s="8"/>
      <c r="F203" s="6" t="s">
        <v>30</v>
      </c>
      <c r="G203" s="6" t="s">
        <v>31</v>
      </c>
    </row>
    <row r="204" spans="2:7" ht="12.75" customHeight="1" x14ac:dyDescent="0.25">
      <c r="B204" s="6" t="s">
        <v>26</v>
      </c>
      <c r="D204" s="8"/>
      <c r="F204" s="6" t="s">
        <v>30</v>
      </c>
      <c r="G204" s="6" t="s">
        <v>31</v>
      </c>
    </row>
    <row r="205" spans="2:7" ht="12.75" customHeight="1" x14ac:dyDescent="0.25">
      <c r="B205" s="6" t="s">
        <v>26</v>
      </c>
      <c r="D205" s="8"/>
      <c r="F205" s="6" t="s">
        <v>30</v>
      </c>
      <c r="G205" s="6" t="s">
        <v>31</v>
      </c>
    </row>
    <row r="206" spans="2:7" ht="12.75" customHeight="1" x14ac:dyDescent="0.25">
      <c r="B206" s="6" t="s">
        <v>26</v>
      </c>
      <c r="D206" s="8"/>
      <c r="F206" s="6" t="s">
        <v>30</v>
      </c>
      <c r="G206" s="6" t="s">
        <v>31</v>
      </c>
    </row>
    <row r="207" spans="2:7" ht="12.75" customHeight="1" x14ac:dyDescent="0.25">
      <c r="B207" s="6" t="s">
        <v>26</v>
      </c>
      <c r="D207" s="8"/>
      <c r="F207" s="6" t="s">
        <v>30</v>
      </c>
      <c r="G207" s="6" t="s">
        <v>31</v>
      </c>
    </row>
    <row r="208" spans="2:7" ht="12.75" customHeight="1" x14ac:dyDescent="0.25">
      <c r="B208" s="6" t="s">
        <v>26</v>
      </c>
      <c r="D208" s="8"/>
      <c r="F208" s="6" t="s">
        <v>30</v>
      </c>
      <c r="G208" s="6" t="s">
        <v>31</v>
      </c>
    </row>
    <row r="209" spans="2:7" ht="12.75" customHeight="1" x14ac:dyDescent="0.25">
      <c r="B209" s="6" t="s">
        <v>26</v>
      </c>
      <c r="D209" s="8"/>
      <c r="F209" s="6" t="s">
        <v>30</v>
      </c>
      <c r="G209" s="6" t="s">
        <v>31</v>
      </c>
    </row>
    <row r="210" spans="2:7" ht="12.75" customHeight="1" x14ac:dyDescent="0.25">
      <c r="B210" s="6" t="s">
        <v>26</v>
      </c>
      <c r="D210" s="8"/>
      <c r="F210" s="6" t="s">
        <v>30</v>
      </c>
      <c r="G210" s="6" t="s">
        <v>31</v>
      </c>
    </row>
    <row r="211" spans="2:7" ht="12.75" customHeight="1" x14ac:dyDescent="0.25">
      <c r="B211" s="6" t="s">
        <v>26</v>
      </c>
      <c r="D211" s="8"/>
      <c r="F211" s="6" t="s">
        <v>30</v>
      </c>
      <c r="G211" s="6" t="s">
        <v>31</v>
      </c>
    </row>
    <row r="212" spans="2:7" ht="12.75" customHeight="1" x14ac:dyDescent="0.25">
      <c r="B212" s="6" t="s">
        <v>26</v>
      </c>
      <c r="D212" s="8"/>
      <c r="F212" s="6" t="s">
        <v>30</v>
      </c>
      <c r="G212" s="6" t="s">
        <v>31</v>
      </c>
    </row>
    <row r="213" spans="2:7" ht="12.75" customHeight="1" x14ac:dyDescent="0.25">
      <c r="B213" s="6" t="s">
        <v>26</v>
      </c>
      <c r="D213" s="8"/>
      <c r="F213" s="6" t="s">
        <v>30</v>
      </c>
      <c r="G213" s="6" t="s">
        <v>31</v>
      </c>
    </row>
    <row r="214" spans="2:7" ht="12.75" customHeight="1" x14ac:dyDescent="0.25">
      <c r="B214" s="6" t="s">
        <v>26</v>
      </c>
      <c r="D214" s="8"/>
      <c r="F214" s="6" t="s">
        <v>30</v>
      </c>
      <c r="G214" s="6" t="s">
        <v>31</v>
      </c>
    </row>
    <row r="215" spans="2:7" ht="12.75" customHeight="1" x14ac:dyDescent="0.25">
      <c r="B215" s="6" t="s">
        <v>26</v>
      </c>
      <c r="D215" s="8"/>
      <c r="F215" s="6" t="s">
        <v>30</v>
      </c>
      <c r="G215" s="6" t="s">
        <v>31</v>
      </c>
    </row>
    <row r="216" spans="2:7" ht="12.75" customHeight="1" x14ac:dyDescent="0.25">
      <c r="B216" s="6" t="s">
        <v>26</v>
      </c>
      <c r="D216" s="8"/>
      <c r="F216" s="6" t="s">
        <v>30</v>
      </c>
      <c r="G216" s="6" t="s">
        <v>31</v>
      </c>
    </row>
    <row r="217" spans="2:7" ht="12.75" customHeight="1" x14ac:dyDescent="0.25">
      <c r="B217" s="6" t="s">
        <v>26</v>
      </c>
      <c r="F217" s="6" t="s">
        <v>30</v>
      </c>
      <c r="G217" s="6" t="s">
        <v>31</v>
      </c>
    </row>
    <row r="218" spans="2:7" ht="12.75" customHeight="1" x14ac:dyDescent="0.25">
      <c r="B218" s="6" t="s">
        <v>26</v>
      </c>
      <c r="F218" s="6" t="s">
        <v>30</v>
      </c>
      <c r="G218" s="6" t="s">
        <v>31</v>
      </c>
    </row>
    <row r="219" spans="2:7" ht="12.75" customHeight="1" x14ac:dyDescent="0.25">
      <c r="B219" s="6" t="s">
        <v>26</v>
      </c>
      <c r="F219" s="6" t="s">
        <v>30</v>
      </c>
      <c r="G219" s="6" t="s">
        <v>31</v>
      </c>
    </row>
    <row r="220" spans="2:7" ht="12.75" customHeight="1" x14ac:dyDescent="0.25">
      <c r="B220" s="6" t="s">
        <v>26</v>
      </c>
      <c r="F220" s="6" t="s">
        <v>30</v>
      </c>
      <c r="G220" s="6" t="s">
        <v>31</v>
      </c>
    </row>
    <row r="221" spans="2:7" ht="12.75" customHeight="1" x14ac:dyDescent="0.25">
      <c r="B221" s="6" t="s">
        <v>26</v>
      </c>
      <c r="F221" s="6" t="s">
        <v>30</v>
      </c>
      <c r="G221" s="6" t="s">
        <v>31</v>
      </c>
    </row>
    <row r="222" spans="2:7" ht="12.75" customHeight="1" x14ac:dyDescent="0.25">
      <c r="B222" s="6" t="s">
        <v>26</v>
      </c>
      <c r="F222" s="6" t="s">
        <v>30</v>
      </c>
      <c r="G222" s="6" t="s">
        <v>31</v>
      </c>
    </row>
    <row r="223" spans="2:7" ht="12.75" customHeight="1" x14ac:dyDescent="0.25">
      <c r="B223" s="6" t="s">
        <v>26</v>
      </c>
      <c r="F223" s="6" t="s">
        <v>30</v>
      </c>
      <c r="G223" s="6" t="s">
        <v>31</v>
      </c>
    </row>
    <row r="224" spans="2:7" ht="12.75" customHeight="1" x14ac:dyDescent="0.25">
      <c r="B224" s="6" t="s">
        <v>26</v>
      </c>
      <c r="F224" s="6" t="s">
        <v>30</v>
      </c>
      <c r="G224" s="6" t="s">
        <v>31</v>
      </c>
    </row>
    <row r="225" spans="2:7" ht="12.75" customHeight="1" x14ac:dyDescent="0.25">
      <c r="B225" s="6" t="s">
        <v>26</v>
      </c>
      <c r="F225" s="6" t="s">
        <v>30</v>
      </c>
      <c r="G225" s="6" t="s">
        <v>31</v>
      </c>
    </row>
    <row r="226" spans="2:7" ht="12.75" customHeight="1" x14ac:dyDescent="0.25">
      <c r="B226" s="6" t="s">
        <v>26</v>
      </c>
      <c r="F226" s="6" t="s">
        <v>30</v>
      </c>
      <c r="G226" s="6" t="s">
        <v>31</v>
      </c>
    </row>
    <row r="227" spans="2:7" ht="12.75" customHeight="1" x14ac:dyDescent="0.25">
      <c r="B227" s="6" t="s">
        <v>26</v>
      </c>
      <c r="F227" s="6" t="s">
        <v>30</v>
      </c>
      <c r="G227" s="6" t="s">
        <v>31</v>
      </c>
    </row>
    <row r="228" spans="2:7" ht="12.75" customHeight="1" x14ac:dyDescent="0.25">
      <c r="B228" s="6" t="s">
        <v>26</v>
      </c>
      <c r="F228" s="6" t="s">
        <v>30</v>
      </c>
      <c r="G228" s="6" t="s">
        <v>31</v>
      </c>
    </row>
    <row r="229" spans="2:7" ht="12.75" customHeight="1" x14ac:dyDescent="0.25">
      <c r="B229" s="6" t="s">
        <v>26</v>
      </c>
      <c r="F229" s="6" t="s">
        <v>30</v>
      </c>
      <c r="G229" s="6" t="s">
        <v>31</v>
      </c>
    </row>
    <row r="230" spans="2:7" ht="12.75" customHeight="1" x14ac:dyDescent="0.25">
      <c r="B230" s="6" t="s">
        <v>26</v>
      </c>
      <c r="F230" s="6" t="s">
        <v>30</v>
      </c>
      <c r="G230" s="6" t="s">
        <v>31</v>
      </c>
    </row>
    <row r="231" spans="2:7" ht="12.75" customHeight="1" x14ac:dyDescent="0.25">
      <c r="B231" s="6" t="s">
        <v>26</v>
      </c>
      <c r="F231" s="6" t="s">
        <v>30</v>
      </c>
      <c r="G231" s="6" t="s">
        <v>31</v>
      </c>
    </row>
    <row r="232" spans="2:7" ht="12.75" customHeight="1" x14ac:dyDescent="0.25">
      <c r="B232" s="6" t="s">
        <v>26</v>
      </c>
      <c r="F232" s="6" t="s">
        <v>30</v>
      </c>
      <c r="G232" s="6" t="s">
        <v>31</v>
      </c>
    </row>
    <row r="233" spans="2:7" ht="12.75" customHeight="1" x14ac:dyDescent="0.25">
      <c r="B233" s="6" t="s">
        <v>26</v>
      </c>
      <c r="F233" s="6" t="s">
        <v>30</v>
      </c>
      <c r="G233" s="6" t="s">
        <v>31</v>
      </c>
    </row>
    <row r="234" spans="2:7" ht="12.75" customHeight="1" x14ac:dyDescent="0.25">
      <c r="B234" s="6" t="s">
        <v>26</v>
      </c>
      <c r="F234" s="6" t="s">
        <v>30</v>
      </c>
      <c r="G234" s="6" t="s">
        <v>31</v>
      </c>
    </row>
    <row r="235" spans="2:7" ht="12.75" customHeight="1" x14ac:dyDescent="0.25">
      <c r="B235" s="6" t="s">
        <v>26</v>
      </c>
      <c r="F235" s="6" t="s">
        <v>30</v>
      </c>
      <c r="G235" s="6" t="s">
        <v>31</v>
      </c>
    </row>
    <row r="236" spans="2:7" ht="12.75" customHeight="1" x14ac:dyDescent="0.25">
      <c r="B236" s="6" t="s">
        <v>26</v>
      </c>
      <c r="F236" s="6" t="s">
        <v>30</v>
      </c>
      <c r="G236" s="6" t="s">
        <v>31</v>
      </c>
    </row>
    <row r="237" spans="2:7" ht="12.75" customHeight="1" x14ac:dyDescent="0.25">
      <c r="B237" s="6" t="s">
        <v>26</v>
      </c>
      <c r="F237" s="6" t="s">
        <v>30</v>
      </c>
      <c r="G237" s="6" t="s">
        <v>31</v>
      </c>
    </row>
    <row r="238" spans="2:7" ht="12.75" customHeight="1" x14ac:dyDescent="0.25">
      <c r="B238" s="6" t="s">
        <v>26</v>
      </c>
      <c r="F238" s="6" t="s">
        <v>30</v>
      </c>
      <c r="G238" s="6" t="s">
        <v>31</v>
      </c>
    </row>
    <row r="239" spans="2:7" ht="12.75" customHeight="1" x14ac:dyDescent="0.25">
      <c r="B239" s="6" t="s">
        <v>26</v>
      </c>
      <c r="F239" s="6" t="s">
        <v>30</v>
      </c>
      <c r="G239" s="6" t="s">
        <v>31</v>
      </c>
    </row>
    <row r="240" spans="2:7" ht="12.75" customHeight="1" x14ac:dyDescent="0.25">
      <c r="B240" s="6" t="s">
        <v>26</v>
      </c>
      <c r="F240" s="6" t="s">
        <v>30</v>
      </c>
      <c r="G240" s="6" t="s">
        <v>31</v>
      </c>
    </row>
    <row r="241" spans="2:7" ht="12.75" customHeight="1" x14ac:dyDescent="0.25">
      <c r="B241" s="6" t="s">
        <v>26</v>
      </c>
      <c r="F241" s="6" t="s">
        <v>30</v>
      </c>
      <c r="G241" s="6" t="s">
        <v>31</v>
      </c>
    </row>
    <row r="242" spans="2:7" ht="12.75" customHeight="1" x14ac:dyDescent="0.25">
      <c r="B242" s="6" t="s">
        <v>26</v>
      </c>
      <c r="F242" s="6" t="s">
        <v>30</v>
      </c>
      <c r="G242" s="6" t="s">
        <v>31</v>
      </c>
    </row>
    <row r="243" spans="2:7" ht="12.75" customHeight="1" x14ac:dyDescent="0.25">
      <c r="B243" s="6" t="s">
        <v>26</v>
      </c>
      <c r="F243" s="6" t="s">
        <v>30</v>
      </c>
      <c r="G243" s="6" t="s">
        <v>31</v>
      </c>
    </row>
    <row r="244" spans="2:7" ht="12.75" customHeight="1" x14ac:dyDescent="0.25">
      <c r="B244" s="6" t="s">
        <v>26</v>
      </c>
      <c r="F244" s="6" t="s">
        <v>30</v>
      </c>
      <c r="G244" s="6" t="s">
        <v>31</v>
      </c>
    </row>
    <row r="245" spans="2:7" ht="12.75" customHeight="1" x14ac:dyDescent="0.25">
      <c r="B245" s="6" t="s">
        <v>26</v>
      </c>
      <c r="F245" s="6" t="s">
        <v>30</v>
      </c>
      <c r="G245" s="6" t="s">
        <v>31</v>
      </c>
    </row>
    <row r="246" spans="2:7" ht="12.75" customHeight="1" x14ac:dyDescent="0.25">
      <c r="B246" s="6" t="s">
        <v>26</v>
      </c>
      <c r="F246" s="6" t="s">
        <v>30</v>
      </c>
      <c r="G246" s="6" t="s">
        <v>31</v>
      </c>
    </row>
    <row r="247" spans="2:7" ht="12.75" customHeight="1" x14ac:dyDescent="0.25">
      <c r="B247" s="6" t="s">
        <v>26</v>
      </c>
      <c r="F247" s="6" t="s">
        <v>30</v>
      </c>
      <c r="G247" s="6" t="s">
        <v>31</v>
      </c>
    </row>
    <row r="248" spans="2:7" ht="12.75" customHeight="1" x14ac:dyDescent="0.25">
      <c r="B248" s="6" t="s">
        <v>26</v>
      </c>
      <c r="F248" s="6" t="s">
        <v>30</v>
      </c>
      <c r="G248" s="6" t="s">
        <v>31</v>
      </c>
    </row>
    <row r="249" spans="2:7" ht="12.75" customHeight="1" x14ac:dyDescent="0.25">
      <c r="B249" s="6" t="s">
        <v>26</v>
      </c>
      <c r="F249" s="6" t="s">
        <v>30</v>
      </c>
      <c r="G249" s="6" t="s">
        <v>31</v>
      </c>
    </row>
    <row r="250" spans="2:7" ht="12.75" customHeight="1" x14ac:dyDescent="0.25">
      <c r="B250" s="6" t="s">
        <v>26</v>
      </c>
      <c r="F250" s="6" t="s">
        <v>30</v>
      </c>
      <c r="G250" s="6" t="s">
        <v>31</v>
      </c>
    </row>
    <row r="251" spans="2:7" ht="12.75" customHeight="1" x14ac:dyDescent="0.25">
      <c r="B251" s="6" t="s">
        <v>26</v>
      </c>
      <c r="F251" s="6" t="s">
        <v>30</v>
      </c>
      <c r="G251" s="6" t="s">
        <v>31</v>
      </c>
    </row>
    <row r="252" spans="2:7" ht="12.75" customHeight="1" x14ac:dyDescent="0.25">
      <c r="B252" s="6" t="s">
        <v>26</v>
      </c>
      <c r="F252" s="6" t="s">
        <v>30</v>
      </c>
      <c r="G252" s="6" t="s">
        <v>31</v>
      </c>
    </row>
    <row r="253" spans="2:7" ht="12.75" customHeight="1" x14ac:dyDescent="0.25">
      <c r="B253" s="6" t="s">
        <v>26</v>
      </c>
      <c r="F253" s="6" t="s">
        <v>30</v>
      </c>
      <c r="G253" s="6" t="s">
        <v>31</v>
      </c>
    </row>
    <row r="254" spans="2:7" ht="12.75" customHeight="1" x14ac:dyDescent="0.25">
      <c r="B254" s="6" t="s">
        <v>26</v>
      </c>
      <c r="F254" s="6" t="s">
        <v>30</v>
      </c>
      <c r="G254" s="6" t="s">
        <v>31</v>
      </c>
    </row>
    <row r="255" spans="2:7" ht="12.75" customHeight="1" x14ac:dyDescent="0.25">
      <c r="B255" s="6" t="s">
        <v>26</v>
      </c>
      <c r="F255" s="6" t="s">
        <v>30</v>
      </c>
      <c r="G255" s="6" t="s">
        <v>31</v>
      </c>
    </row>
    <row r="256" spans="2:7" ht="12.75" customHeight="1" x14ac:dyDescent="0.25">
      <c r="B256" s="6" t="s">
        <v>26</v>
      </c>
      <c r="F256" s="6" t="s">
        <v>30</v>
      </c>
      <c r="G256" s="6" t="s">
        <v>31</v>
      </c>
    </row>
    <row r="257" spans="2:7" ht="12.75" customHeight="1" x14ac:dyDescent="0.25">
      <c r="B257" s="6" t="s">
        <v>26</v>
      </c>
      <c r="F257" s="6" t="s">
        <v>30</v>
      </c>
      <c r="G257" s="6" t="s">
        <v>31</v>
      </c>
    </row>
    <row r="258" spans="2:7" ht="12.75" customHeight="1" x14ac:dyDescent="0.25">
      <c r="B258" s="6" t="s">
        <v>26</v>
      </c>
      <c r="F258" s="6" t="s">
        <v>30</v>
      </c>
      <c r="G258" s="6" t="s">
        <v>31</v>
      </c>
    </row>
    <row r="259" spans="2:7" ht="12.75" customHeight="1" x14ac:dyDescent="0.25">
      <c r="B259" s="6" t="s">
        <v>26</v>
      </c>
      <c r="F259" s="6" t="s">
        <v>30</v>
      </c>
      <c r="G259" s="6" t="s">
        <v>31</v>
      </c>
    </row>
    <row r="260" spans="2:7" ht="12.75" customHeight="1" x14ac:dyDescent="0.25">
      <c r="B260" s="6" t="s">
        <v>26</v>
      </c>
      <c r="F260" s="6" t="s">
        <v>30</v>
      </c>
      <c r="G260" s="6" t="s">
        <v>31</v>
      </c>
    </row>
    <row r="261" spans="2:7" ht="12.75" customHeight="1" x14ac:dyDescent="0.25">
      <c r="B261" s="6" t="s">
        <v>26</v>
      </c>
      <c r="F261" s="6" t="s">
        <v>30</v>
      </c>
      <c r="G261" s="6" t="s">
        <v>31</v>
      </c>
    </row>
    <row r="262" spans="2:7" ht="12.75" customHeight="1" x14ac:dyDescent="0.25">
      <c r="B262" s="6" t="s">
        <v>26</v>
      </c>
      <c r="F262" s="6" t="s">
        <v>30</v>
      </c>
      <c r="G262" s="6" t="s">
        <v>31</v>
      </c>
    </row>
    <row r="263" spans="2:7" ht="12.75" customHeight="1" x14ac:dyDescent="0.25">
      <c r="B263" s="6" t="s">
        <v>26</v>
      </c>
      <c r="F263" s="6" t="s">
        <v>30</v>
      </c>
      <c r="G263" s="6" t="s">
        <v>31</v>
      </c>
    </row>
    <row r="264" spans="2:7" ht="12.75" customHeight="1" x14ac:dyDescent="0.25">
      <c r="B264" s="6" t="s">
        <v>26</v>
      </c>
      <c r="F264" s="6" t="s">
        <v>30</v>
      </c>
      <c r="G264" s="6" t="s">
        <v>31</v>
      </c>
    </row>
    <row r="265" spans="2:7" ht="12.75" customHeight="1" x14ac:dyDescent="0.25">
      <c r="B265" s="6" t="s">
        <v>26</v>
      </c>
      <c r="F265" s="6" t="s">
        <v>30</v>
      </c>
      <c r="G265" s="6" t="s">
        <v>31</v>
      </c>
    </row>
    <row r="266" spans="2:7" ht="12.75" customHeight="1" x14ac:dyDescent="0.25">
      <c r="B266" s="6" t="s">
        <v>26</v>
      </c>
      <c r="F266" s="6" t="s">
        <v>30</v>
      </c>
      <c r="G266" s="6" t="s">
        <v>31</v>
      </c>
    </row>
    <row r="267" spans="2:7" ht="12.75" customHeight="1" x14ac:dyDescent="0.25">
      <c r="B267" s="6" t="s">
        <v>26</v>
      </c>
      <c r="F267" s="6" t="s">
        <v>30</v>
      </c>
      <c r="G267" s="6" t="s">
        <v>31</v>
      </c>
    </row>
    <row r="268" spans="2:7" ht="12.75" customHeight="1" x14ac:dyDescent="0.25">
      <c r="B268" s="6" t="s">
        <v>26</v>
      </c>
      <c r="F268" s="6" t="s">
        <v>30</v>
      </c>
      <c r="G268" s="6" t="s">
        <v>31</v>
      </c>
    </row>
    <row r="269" spans="2:7" ht="12.75" customHeight="1" x14ac:dyDescent="0.25">
      <c r="B269" s="6" t="s">
        <v>26</v>
      </c>
      <c r="F269" s="6" t="s">
        <v>30</v>
      </c>
      <c r="G269" s="6" t="s">
        <v>31</v>
      </c>
    </row>
    <row r="270" spans="2:7" ht="12.75" customHeight="1" x14ac:dyDescent="0.25">
      <c r="B270" s="6" t="s">
        <v>26</v>
      </c>
      <c r="F270" s="6" t="s">
        <v>30</v>
      </c>
      <c r="G270" s="6" t="s">
        <v>31</v>
      </c>
    </row>
    <row r="271" spans="2:7" ht="12.75" customHeight="1" x14ac:dyDescent="0.25">
      <c r="B271" s="6" t="s">
        <v>26</v>
      </c>
      <c r="F271" s="6" t="s">
        <v>30</v>
      </c>
      <c r="G271" s="6" t="s">
        <v>31</v>
      </c>
    </row>
    <row r="272" spans="2:7" ht="12.75" customHeight="1" x14ac:dyDescent="0.25">
      <c r="B272" s="6" t="s">
        <v>26</v>
      </c>
      <c r="F272" s="6" t="s">
        <v>30</v>
      </c>
      <c r="G272" s="6" t="s">
        <v>31</v>
      </c>
    </row>
    <row r="273" spans="2:7" ht="12.75" customHeight="1" x14ac:dyDescent="0.25">
      <c r="B273" s="6" t="s">
        <v>26</v>
      </c>
      <c r="F273" s="6" t="s">
        <v>30</v>
      </c>
      <c r="G273" s="6" t="s">
        <v>31</v>
      </c>
    </row>
    <row r="274" spans="2:7" ht="12.75" customHeight="1" x14ac:dyDescent="0.25">
      <c r="B274" s="6" t="s">
        <v>26</v>
      </c>
      <c r="F274" s="6" t="s">
        <v>30</v>
      </c>
      <c r="G274" s="6" t="s">
        <v>31</v>
      </c>
    </row>
    <row r="275" spans="2:7" ht="12.75" customHeight="1" x14ac:dyDescent="0.25">
      <c r="B275" s="6" t="s">
        <v>26</v>
      </c>
      <c r="F275" s="6" t="s">
        <v>30</v>
      </c>
      <c r="G275" s="6" t="s">
        <v>31</v>
      </c>
    </row>
    <row r="276" spans="2:7" ht="12.75" customHeight="1" x14ac:dyDescent="0.25">
      <c r="B276" s="6" t="s">
        <v>26</v>
      </c>
      <c r="F276" s="6" t="s">
        <v>30</v>
      </c>
      <c r="G276" s="6" t="s">
        <v>31</v>
      </c>
    </row>
    <row r="277" spans="2:7" ht="12.75" customHeight="1" x14ac:dyDescent="0.25">
      <c r="B277" s="6" t="s">
        <v>26</v>
      </c>
      <c r="F277" s="6" t="s">
        <v>30</v>
      </c>
      <c r="G277" s="6" t="s">
        <v>31</v>
      </c>
    </row>
    <row r="278" spans="2:7" ht="12.75" customHeight="1" x14ac:dyDescent="0.25">
      <c r="B278" s="6" t="s">
        <v>26</v>
      </c>
      <c r="F278" s="6" t="s">
        <v>30</v>
      </c>
      <c r="G278" s="6" t="s">
        <v>31</v>
      </c>
    </row>
    <row r="279" spans="2:7" ht="12.75" customHeight="1" x14ac:dyDescent="0.25">
      <c r="B279" s="6" t="s">
        <v>26</v>
      </c>
      <c r="F279" s="6" t="s">
        <v>30</v>
      </c>
      <c r="G279" s="6" t="s">
        <v>31</v>
      </c>
    </row>
    <row r="280" spans="2:7" ht="12.75" customHeight="1" x14ac:dyDescent="0.25">
      <c r="B280" s="6" t="s">
        <v>26</v>
      </c>
      <c r="F280" s="6" t="s">
        <v>30</v>
      </c>
      <c r="G280" s="6" t="s">
        <v>31</v>
      </c>
    </row>
    <row r="281" spans="2:7" ht="12.75" customHeight="1" x14ac:dyDescent="0.25">
      <c r="B281" s="6" t="s">
        <v>26</v>
      </c>
      <c r="F281" s="6" t="s">
        <v>30</v>
      </c>
      <c r="G281" s="6" t="s">
        <v>31</v>
      </c>
    </row>
    <row r="282" spans="2:7" ht="12.75" customHeight="1" x14ac:dyDescent="0.25">
      <c r="B282" s="6" t="s">
        <v>26</v>
      </c>
      <c r="F282" s="6" t="s">
        <v>30</v>
      </c>
      <c r="G282" s="6" t="s">
        <v>31</v>
      </c>
    </row>
    <row r="283" spans="2:7" ht="12.75" customHeight="1" x14ac:dyDescent="0.25">
      <c r="B283" s="6" t="s">
        <v>26</v>
      </c>
      <c r="F283" s="6" t="s">
        <v>30</v>
      </c>
      <c r="G283" s="6" t="s">
        <v>31</v>
      </c>
    </row>
    <row r="284" spans="2:7" ht="12.75" customHeight="1" x14ac:dyDescent="0.25">
      <c r="B284" s="6" t="s">
        <v>26</v>
      </c>
      <c r="F284" s="6" t="s">
        <v>30</v>
      </c>
      <c r="G284" s="6" t="s">
        <v>31</v>
      </c>
    </row>
    <row r="285" spans="2:7" ht="12.75" customHeight="1" x14ac:dyDescent="0.25">
      <c r="B285" s="6" t="s">
        <v>26</v>
      </c>
      <c r="F285" s="6" t="s">
        <v>30</v>
      </c>
      <c r="G285" s="6" t="s">
        <v>31</v>
      </c>
    </row>
    <row r="286" spans="2:7" ht="12.75" customHeight="1" x14ac:dyDescent="0.25">
      <c r="B286" s="6" t="s">
        <v>26</v>
      </c>
      <c r="F286" s="6" t="s">
        <v>30</v>
      </c>
      <c r="G286" s="6" t="s">
        <v>31</v>
      </c>
    </row>
    <row r="287" spans="2:7" ht="12.75" customHeight="1" x14ac:dyDescent="0.25">
      <c r="B287" s="6" t="s">
        <v>26</v>
      </c>
      <c r="F287" s="6" t="s">
        <v>30</v>
      </c>
      <c r="G287" s="6" t="s">
        <v>31</v>
      </c>
    </row>
    <row r="288" spans="2:7" ht="12.75" customHeight="1" x14ac:dyDescent="0.25">
      <c r="B288" s="6" t="s">
        <v>26</v>
      </c>
      <c r="F288" s="6" t="s">
        <v>30</v>
      </c>
      <c r="G288" s="6" t="s">
        <v>31</v>
      </c>
    </row>
    <row r="289" spans="2:7" ht="12.75" customHeight="1" x14ac:dyDescent="0.25">
      <c r="B289" s="6" t="s">
        <v>26</v>
      </c>
      <c r="F289" s="6" t="s">
        <v>30</v>
      </c>
      <c r="G289" s="6" t="s">
        <v>31</v>
      </c>
    </row>
    <row r="290" spans="2:7" ht="12.75" customHeight="1" x14ac:dyDescent="0.25">
      <c r="B290" s="6" t="s">
        <v>26</v>
      </c>
      <c r="F290" s="6" t="s">
        <v>30</v>
      </c>
      <c r="G290" s="6" t="s">
        <v>31</v>
      </c>
    </row>
    <row r="291" spans="2:7" ht="12.75" customHeight="1" x14ac:dyDescent="0.25">
      <c r="B291" s="6" t="s">
        <v>26</v>
      </c>
      <c r="F291" s="6" t="s">
        <v>30</v>
      </c>
      <c r="G291" s="6" t="s">
        <v>31</v>
      </c>
    </row>
    <row r="292" spans="2:7" ht="12.75" customHeight="1" x14ac:dyDescent="0.25">
      <c r="B292" s="6" t="s">
        <v>26</v>
      </c>
      <c r="F292" s="6" t="s">
        <v>30</v>
      </c>
      <c r="G292" s="6" t="s">
        <v>31</v>
      </c>
    </row>
    <row r="293" spans="2:7" ht="12.75" customHeight="1" x14ac:dyDescent="0.25">
      <c r="B293" s="6" t="s">
        <v>26</v>
      </c>
      <c r="F293" s="6" t="s">
        <v>30</v>
      </c>
      <c r="G293" s="6" t="s">
        <v>31</v>
      </c>
    </row>
    <row r="294" spans="2:7" ht="12.75" customHeight="1" x14ac:dyDescent="0.25">
      <c r="B294" s="6" t="s">
        <v>26</v>
      </c>
      <c r="F294" s="6" t="s">
        <v>30</v>
      </c>
      <c r="G294" s="6" t="s">
        <v>31</v>
      </c>
    </row>
    <row r="295" spans="2:7" ht="12.75" customHeight="1" x14ac:dyDescent="0.25">
      <c r="B295" s="6" t="s">
        <v>26</v>
      </c>
      <c r="F295" s="6" t="s">
        <v>30</v>
      </c>
      <c r="G295" s="6" t="s">
        <v>31</v>
      </c>
    </row>
    <row r="296" spans="2:7" ht="12.75" customHeight="1" x14ac:dyDescent="0.25">
      <c r="B296" s="6" t="s">
        <v>26</v>
      </c>
      <c r="F296" s="6" t="s">
        <v>30</v>
      </c>
      <c r="G296" s="6" t="s">
        <v>31</v>
      </c>
    </row>
    <row r="297" spans="2:7" ht="12.75" customHeight="1" x14ac:dyDescent="0.25">
      <c r="B297" s="6" t="s">
        <v>26</v>
      </c>
      <c r="F297" s="6" t="s">
        <v>30</v>
      </c>
      <c r="G297" s="6" t="s">
        <v>31</v>
      </c>
    </row>
    <row r="298" spans="2:7" ht="12.75" customHeight="1" x14ac:dyDescent="0.25">
      <c r="B298" s="6" t="s">
        <v>26</v>
      </c>
      <c r="F298" s="6" t="s">
        <v>30</v>
      </c>
      <c r="G298" s="6" t="s">
        <v>31</v>
      </c>
    </row>
    <row r="299" spans="2:7" ht="12.75" customHeight="1" x14ac:dyDescent="0.25">
      <c r="B299" s="6" t="s">
        <v>26</v>
      </c>
      <c r="F299" s="6" t="s">
        <v>30</v>
      </c>
      <c r="G299" s="6" t="s">
        <v>31</v>
      </c>
    </row>
    <row r="300" spans="2:7" ht="12.75" customHeight="1" x14ac:dyDescent="0.25">
      <c r="B300" s="6" t="s">
        <v>26</v>
      </c>
      <c r="F300" s="6" t="s">
        <v>30</v>
      </c>
      <c r="G300" s="6" t="s">
        <v>31</v>
      </c>
    </row>
    <row r="301" spans="2:7" ht="12.75" customHeight="1" x14ac:dyDescent="0.25">
      <c r="B301" s="6" t="s">
        <v>26</v>
      </c>
      <c r="F301" s="6" t="s">
        <v>30</v>
      </c>
      <c r="G301" s="6" t="s">
        <v>31</v>
      </c>
    </row>
    <row r="302" spans="2:7" ht="12.75" customHeight="1" x14ac:dyDescent="0.25">
      <c r="B302" s="6" t="s">
        <v>26</v>
      </c>
      <c r="F302" s="6" t="s">
        <v>30</v>
      </c>
      <c r="G302" s="6" t="s">
        <v>31</v>
      </c>
    </row>
    <row r="303" spans="2:7" ht="12.75" customHeight="1" x14ac:dyDescent="0.25">
      <c r="B303" s="6" t="s">
        <v>26</v>
      </c>
      <c r="F303" s="6" t="s">
        <v>30</v>
      </c>
      <c r="G303" s="6" t="s">
        <v>31</v>
      </c>
    </row>
    <row r="304" spans="2:7" ht="12.75" customHeight="1" x14ac:dyDescent="0.25">
      <c r="B304" s="6" t="s">
        <v>26</v>
      </c>
      <c r="F304" s="6" t="s">
        <v>30</v>
      </c>
      <c r="G304" s="6" t="s">
        <v>31</v>
      </c>
    </row>
    <row r="305" spans="2:7" ht="12.75" customHeight="1" x14ac:dyDescent="0.25">
      <c r="B305" s="6" t="s">
        <v>26</v>
      </c>
      <c r="F305" s="6" t="s">
        <v>30</v>
      </c>
      <c r="G305" s="6" t="s">
        <v>31</v>
      </c>
    </row>
    <row r="306" spans="2:7" ht="12.75" customHeight="1" x14ac:dyDescent="0.25">
      <c r="B306" s="6" t="s">
        <v>26</v>
      </c>
      <c r="F306" s="6" t="s">
        <v>30</v>
      </c>
      <c r="G306" s="6" t="s">
        <v>31</v>
      </c>
    </row>
    <row r="307" spans="2:7" ht="12.75" customHeight="1" x14ac:dyDescent="0.25">
      <c r="B307" s="6" t="s">
        <v>26</v>
      </c>
      <c r="F307" s="6" t="s">
        <v>30</v>
      </c>
      <c r="G307" s="6" t="s">
        <v>31</v>
      </c>
    </row>
    <row r="308" spans="2:7" ht="12.75" customHeight="1" x14ac:dyDescent="0.25">
      <c r="B308" s="6" t="s">
        <v>26</v>
      </c>
      <c r="F308" s="6" t="s">
        <v>30</v>
      </c>
      <c r="G308" s="6" t="s">
        <v>31</v>
      </c>
    </row>
    <row r="309" spans="2:7" ht="12.75" customHeight="1" x14ac:dyDescent="0.25">
      <c r="B309" s="6" t="s">
        <v>26</v>
      </c>
      <c r="F309" s="6" t="s">
        <v>30</v>
      </c>
      <c r="G309" s="8"/>
    </row>
    <row r="310" spans="2:7" ht="12.75" customHeight="1" x14ac:dyDescent="0.25">
      <c r="B310" s="6" t="s">
        <v>26</v>
      </c>
      <c r="F310" s="6" t="s">
        <v>30</v>
      </c>
      <c r="G310" s="8"/>
    </row>
    <row r="311" spans="2:7" ht="12.75" customHeight="1" x14ac:dyDescent="0.25">
      <c r="B311" s="6" t="s">
        <v>26</v>
      </c>
      <c r="F311" s="6" t="s">
        <v>30</v>
      </c>
      <c r="G311" s="8"/>
    </row>
    <row r="312" spans="2:7" ht="12.75" customHeight="1" x14ac:dyDescent="0.25">
      <c r="B312" s="6" t="s">
        <v>26</v>
      </c>
      <c r="F312" s="6" t="s">
        <v>30</v>
      </c>
      <c r="G312" s="8"/>
    </row>
    <row r="313" spans="2:7" ht="12.75" customHeight="1" x14ac:dyDescent="0.25">
      <c r="B313" s="6" t="s">
        <v>26</v>
      </c>
      <c r="F313" s="6" t="s">
        <v>30</v>
      </c>
      <c r="G313" s="8"/>
    </row>
    <row r="314" spans="2:7" ht="12.75" customHeight="1" x14ac:dyDescent="0.25">
      <c r="B314" s="6" t="s">
        <v>26</v>
      </c>
      <c r="F314" s="6" t="s">
        <v>30</v>
      </c>
      <c r="G314" s="8"/>
    </row>
    <row r="315" spans="2:7" ht="12.75" customHeight="1" x14ac:dyDescent="0.25">
      <c r="B315" s="6" t="s">
        <v>26</v>
      </c>
      <c r="F315" s="6" t="s">
        <v>30</v>
      </c>
      <c r="G315" s="8"/>
    </row>
    <row r="316" spans="2:7" ht="12.75" customHeight="1" x14ac:dyDescent="0.25">
      <c r="B316" s="6" t="s">
        <v>26</v>
      </c>
      <c r="F316" s="6" t="s">
        <v>30</v>
      </c>
      <c r="G316" s="8"/>
    </row>
    <row r="317" spans="2:7" ht="12.75" customHeight="1" x14ac:dyDescent="0.25">
      <c r="B317" s="6" t="s">
        <v>26</v>
      </c>
      <c r="F317" s="6" t="s">
        <v>30</v>
      </c>
      <c r="G317" s="8"/>
    </row>
    <row r="318" spans="2:7" ht="12.75" customHeight="1" x14ac:dyDescent="0.25">
      <c r="B318" s="6" t="s">
        <v>26</v>
      </c>
      <c r="F318" s="6" t="s">
        <v>30</v>
      </c>
      <c r="G318" s="8"/>
    </row>
    <row r="319" spans="2:7" ht="12.75" customHeight="1" x14ac:dyDescent="0.25">
      <c r="B319" s="6" t="s">
        <v>26</v>
      </c>
      <c r="F319" s="6" t="s">
        <v>30</v>
      </c>
      <c r="G319" s="8"/>
    </row>
    <row r="320" spans="2:7" ht="12.75" customHeight="1" x14ac:dyDescent="0.25">
      <c r="B320" s="6" t="s">
        <v>26</v>
      </c>
      <c r="F320" s="6" t="s">
        <v>30</v>
      </c>
      <c r="G320" s="8"/>
    </row>
    <row r="321" spans="2:7" ht="12.75" customHeight="1" x14ac:dyDescent="0.25">
      <c r="B321" s="6" t="s">
        <v>26</v>
      </c>
      <c r="F321" s="6" t="s">
        <v>30</v>
      </c>
      <c r="G321" s="8"/>
    </row>
    <row r="322" spans="2:7" ht="12.75" customHeight="1" x14ac:dyDescent="0.25">
      <c r="B322" s="6" t="s">
        <v>26</v>
      </c>
      <c r="F322" s="6" t="s">
        <v>30</v>
      </c>
    </row>
    <row r="323" spans="2:7" ht="12.75" customHeight="1" x14ac:dyDescent="0.25">
      <c r="B323" s="6" t="s">
        <v>26</v>
      </c>
      <c r="F323" s="6" t="s">
        <v>30</v>
      </c>
    </row>
    <row r="324" spans="2:7" ht="12.75" customHeight="1" x14ac:dyDescent="0.25">
      <c r="B324" s="6" t="s">
        <v>26</v>
      </c>
      <c r="F324" s="6" t="s">
        <v>30</v>
      </c>
    </row>
    <row r="325" spans="2:7" ht="12.75" customHeight="1" x14ac:dyDescent="0.25">
      <c r="B325" s="6" t="s">
        <v>26</v>
      </c>
      <c r="F325" s="6" t="s">
        <v>30</v>
      </c>
    </row>
    <row r="326" spans="2:7" ht="12.75" customHeight="1" x14ac:dyDescent="0.25">
      <c r="B326" s="6" t="s">
        <v>26</v>
      </c>
      <c r="F326" s="6" t="s">
        <v>30</v>
      </c>
    </row>
    <row r="327" spans="2:7" ht="12.75" customHeight="1" x14ac:dyDescent="0.25">
      <c r="B327" s="6" t="s">
        <v>26</v>
      </c>
      <c r="F327" s="6" t="s">
        <v>30</v>
      </c>
    </row>
    <row r="328" spans="2:7" ht="12.75" customHeight="1" x14ac:dyDescent="0.25">
      <c r="B328" s="6" t="s">
        <v>26</v>
      </c>
      <c r="F328" s="6" t="s">
        <v>30</v>
      </c>
    </row>
    <row r="329" spans="2:7" ht="12.75" customHeight="1" x14ac:dyDescent="0.25">
      <c r="B329" s="6" t="s">
        <v>26</v>
      </c>
      <c r="F329" s="6" t="s">
        <v>30</v>
      </c>
    </row>
    <row r="330" spans="2:7" ht="12.75" customHeight="1" x14ac:dyDescent="0.25">
      <c r="B330" s="6" t="s">
        <v>26</v>
      </c>
      <c r="F330" s="6" t="s">
        <v>30</v>
      </c>
    </row>
    <row r="331" spans="2:7" ht="12.75" customHeight="1" x14ac:dyDescent="0.25">
      <c r="B331" s="6" t="s">
        <v>26</v>
      </c>
      <c r="F331" s="6" t="s">
        <v>30</v>
      </c>
    </row>
    <row r="332" spans="2:7" ht="12.75" customHeight="1" x14ac:dyDescent="0.25">
      <c r="B332" s="6" t="s">
        <v>26</v>
      </c>
      <c r="F332" s="6" t="s">
        <v>30</v>
      </c>
    </row>
    <row r="333" spans="2:7" ht="12.75" customHeight="1" x14ac:dyDescent="0.25">
      <c r="B333" s="6" t="s">
        <v>26</v>
      </c>
      <c r="F333" s="6" t="s">
        <v>30</v>
      </c>
    </row>
    <row r="334" spans="2:7" ht="12.75" customHeight="1" x14ac:dyDescent="0.25">
      <c r="B334" s="6" t="s">
        <v>26</v>
      </c>
      <c r="F334" s="6" t="s">
        <v>30</v>
      </c>
    </row>
    <row r="335" spans="2:7" ht="12.75" customHeight="1" x14ac:dyDescent="0.25">
      <c r="B335" s="6" t="s">
        <v>26</v>
      </c>
      <c r="F335" s="6" t="s">
        <v>30</v>
      </c>
    </row>
    <row r="336" spans="2:7" ht="12.75" customHeight="1" x14ac:dyDescent="0.25">
      <c r="B336" s="6" t="s">
        <v>26</v>
      </c>
      <c r="F336" s="6" t="s">
        <v>30</v>
      </c>
    </row>
    <row r="337" spans="2:6" ht="12.75" customHeight="1" x14ac:dyDescent="0.25">
      <c r="B337" s="6" t="s">
        <v>26</v>
      </c>
      <c r="F337" s="6" t="s">
        <v>30</v>
      </c>
    </row>
    <row r="338" spans="2:6" ht="12.75" customHeight="1" x14ac:dyDescent="0.25">
      <c r="B338" s="6" t="s">
        <v>26</v>
      </c>
      <c r="F338" s="6" t="s">
        <v>30</v>
      </c>
    </row>
    <row r="339" spans="2:6" ht="12.75" customHeight="1" x14ac:dyDescent="0.25">
      <c r="B339" s="6" t="s">
        <v>26</v>
      </c>
      <c r="F339" s="6" t="s">
        <v>30</v>
      </c>
    </row>
    <row r="340" spans="2:6" ht="12.75" customHeight="1" x14ac:dyDescent="0.25">
      <c r="B340" s="6" t="s">
        <v>26</v>
      </c>
      <c r="F340" s="6" t="s">
        <v>30</v>
      </c>
    </row>
    <row r="341" spans="2:6" ht="12.75" customHeight="1" x14ac:dyDescent="0.25">
      <c r="B341" s="6" t="s">
        <v>26</v>
      </c>
      <c r="F341" s="6" t="s">
        <v>30</v>
      </c>
    </row>
    <row r="342" spans="2:6" ht="12.75" customHeight="1" x14ac:dyDescent="0.25">
      <c r="B342" s="6" t="s">
        <v>26</v>
      </c>
      <c r="F342" s="6" t="s">
        <v>30</v>
      </c>
    </row>
    <row r="343" spans="2:6" ht="12.75" customHeight="1" x14ac:dyDescent="0.25">
      <c r="B343" s="6" t="s">
        <v>26</v>
      </c>
      <c r="F343" s="6" t="s">
        <v>30</v>
      </c>
    </row>
    <row r="344" spans="2:6" ht="12.75" customHeight="1" x14ac:dyDescent="0.25">
      <c r="B344" s="6" t="s">
        <v>26</v>
      </c>
      <c r="F344" s="6" t="s">
        <v>30</v>
      </c>
    </row>
    <row r="345" spans="2:6" ht="12.75" customHeight="1" x14ac:dyDescent="0.25">
      <c r="B345" s="6" t="s">
        <v>26</v>
      </c>
      <c r="F345" s="6" t="s">
        <v>30</v>
      </c>
    </row>
    <row r="346" spans="2:6" ht="12.75" customHeight="1" x14ac:dyDescent="0.25">
      <c r="B346" s="6" t="s">
        <v>26</v>
      </c>
      <c r="F346" s="6" t="s">
        <v>30</v>
      </c>
    </row>
    <row r="347" spans="2:6" ht="12.75" customHeight="1" x14ac:dyDescent="0.25">
      <c r="B347" s="6" t="s">
        <v>26</v>
      </c>
      <c r="F347" s="6" t="s">
        <v>30</v>
      </c>
    </row>
    <row r="348" spans="2:6" ht="12.75" customHeight="1" x14ac:dyDescent="0.25">
      <c r="B348" s="6" t="s">
        <v>26</v>
      </c>
      <c r="F348" s="6" t="s">
        <v>30</v>
      </c>
    </row>
    <row r="349" spans="2:6" ht="12.75" customHeight="1" x14ac:dyDescent="0.25">
      <c r="B349" s="6" t="s">
        <v>26</v>
      </c>
      <c r="F349" s="6" t="s">
        <v>30</v>
      </c>
    </row>
    <row r="350" spans="2:6" ht="12.75" customHeight="1" x14ac:dyDescent="0.25">
      <c r="B350" s="6" t="s">
        <v>26</v>
      </c>
      <c r="F350" s="6" t="s">
        <v>30</v>
      </c>
    </row>
    <row r="351" spans="2:6" ht="12.75" customHeight="1" x14ac:dyDescent="0.25">
      <c r="B351" s="6" t="s">
        <v>26</v>
      </c>
      <c r="F351" s="6" t="s">
        <v>30</v>
      </c>
    </row>
    <row r="352" spans="2:6" ht="12.75" customHeight="1" x14ac:dyDescent="0.25">
      <c r="B352" s="6" t="s">
        <v>26</v>
      </c>
      <c r="F352" s="6" t="s">
        <v>30</v>
      </c>
    </row>
    <row r="353" spans="2:6" ht="12.75" customHeight="1" x14ac:dyDescent="0.25">
      <c r="B353" s="6" t="s">
        <v>26</v>
      </c>
      <c r="F353" s="6" t="s">
        <v>30</v>
      </c>
    </row>
    <row r="354" spans="2:6" ht="12.75" customHeight="1" x14ac:dyDescent="0.25">
      <c r="B354" s="6" t="s">
        <v>26</v>
      </c>
      <c r="F354" s="6" t="s">
        <v>30</v>
      </c>
    </row>
    <row r="355" spans="2:6" ht="12.75" customHeight="1" x14ac:dyDescent="0.25">
      <c r="B355" s="6" t="s">
        <v>26</v>
      </c>
      <c r="F355" s="6" t="s">
        <v>30</v>
      </c>
    </row>
    <row r="356" spans="2:6" ht="12.75" customHeight="1" x14ac:dyDescent="0.25">
      <c r="B356" s="6" t="s">
        <v>26</v>
      </c>
      <c r="F356" s="6" t="s">
        <v>30</v>
      </c>
    </row>
    <row r="357" spans="2:6" ht="12.75" customHeight="1" x14ac:dyDescent="0.25">
      <c r="B357" s="6" t="s">
        <v>26</v>
      </c>
      <c r="F357" s="6" t="s">
        <v>30</v>
      </c>
    </row>
    <row r="358" spans="2:6" ht="12.75" customHeight="1" x14ac:dyDescent="0.25">
      <c r="B358" s="6" t="s">
        <v>26</v>
      </c>
      <c r="F358" s="6" t="s">
        <v>30</v>
      </c>
    </row>
    <row r="359" spans="2:6" ht="12.75" customHeight="1" x14ac:dyDescent="0.25">
      <c r="B359" s="6" t="s">
        <v>26</v>
      </c>
      <c r="F359" s="6" t="s">
        <v>30</v>
      </c>
    </row>
    <row r="360" spans="2:6" ht="12.75" customHeight="1" x14ac:dyDescent="0.25">
      <c r="B360" s="6" t="s">
        <v>26</v>
      </c>
      <c r="F360" s="6" t="s">
        <v>30</v>
      </c>
    </row>
    <row r="361" spans="2:6" ht="12.75" customHeight="1" x14ac:dyDescent="0.25">
      <c r="B361" s="6" t="s">
        <v>26</v>
      </c>
      <c r="F361" s="6" t="s">
        <v>30</v>
      </c>
    </row>
    <row r="362" spans="2:6" ht="12.75" customHeight="1" x14ac:dyDescent="0.25">
      <c r="B362" s="6" t="s">
        <v>26</v>
      </c>
      <c r="F362" s="6" t="s">
        <v>30</v>
      </c>
    </row>
    <row r="363" spans="2:6" ht="12.75" customHeight="1" x14ac:dyDescent="0.25">
      <c r="B363" s="6" t="s">
        <v>26</v>
      </c>
      <c r="F363" s="6" t="s">
        <v>30</v>
      </c>
    </row>
    <row r="364" spans="2:6" ht="12.75" customHeight="1" x14ac:dyDescent="0.25">
      <c r="B364" s="6" t="s">
        <v>26</v>
      </c>
      <c r="F364" s="6" t="s">
        <v>30</v>
      </c>
    </row>
    <row r="365" spans="2:6" ht="12.75" customHeight="1" x14ac:dyDescent="0.25">
      <c r="B365" s="6" t="s">
        <v>26</v>
      </c>
      <c r="F365" s="6" t="s">
        <v>30</v>
      </c>
    </row>
    <row r="366" spans="2:6" ht="12.75" customHeight="1" x14ac:dyDescent="0.25">
      <c r="B366" s="6" t="s">
        <v>26</v>
      </c>
      <c r="F366" s="6" t="s">
        <v>30</v>
      </c>
    </row>
    <row r="367" spans="2:6" ht="12.75" customHeight="1" x14ac:dyDescent="0.25">
      <c r="B367" s="6" t="s">
        <v>26</v>
      </c>
      <c r="F367" s="6" t="s">
        <v>30</v>
      </c>
    </row>
    <row r="368" spans="2:6" ht="12.75" customHeight="1" x14ac:dyDescent="0.25">
      <c r="B368" s="6" t="s">
        <v>26</v>
      </c>
      <c r="F368" s="6" t="s">
        <v>30</v>
      </c>
    </row>
    <row r="369" spans="2:6" ht="12.75" customHeight="1" x14ac:dyDescent="0.25">
      <c r="B369" s="6" t="s">
        <v>26</v>
      </c>
      <c r="F369" s="6" t="s">
        <v>30</v>
      </c>
    </row>
    <row r="370" spans="2:6" ht="12.75" customHeight="1" x14ac:dyDescent="0.25">
      <c r="B370" s="6" t="s">
        <v>26</v>
      </c>
      <c r="F370" s="6" t="s">
        <v>30</v>
      </c>
    </row>
    <row r="371" spans="2:6" ht="12.75" customHeight="1" x14ac:dyDescent="0.25">
      <c r="B371" s="6" t="s">
        <v>26</v>
      </c>
      <c r="F371" s="6" t="s">
        <v>30</v>
      </c>
    </row>
    <row r="372" spans="2:6" ht="12.75" customHeight="1" x14ac:dyDescent="0.25">
      <c r="B372" s="6" t="s">
        <v>26</v>
      </c>
      <c r="F372" s="6" t="s">
        <v>30</v>
      </c>
    </row>
    <row r="373" spans="2:6" ht="12.75" customHeight="1" x14ac:dyDescent="0.25">
      <c r="B373" s="6" t="s">
        <v>26</v>
      </c>
      <c r="F373" s="6" t="s">
        <v>30</v>
      </c>
    </row>
    <row r="374" spans="2:6" ht="12.75" customHeight="1" x14ac:dyDescent="0.25">
      <c r="B374" s="6" t="s">
        <v>26</v>
      </c>
      <c r="F374" s="6" t="s">
        <v>30</v>
      </c>
    </row>
    <row r="375" spans="2:6" ht="12.75" customHeight="1" x14ac:dyDescent="0.25">
      <c r="B375" s="6" t="s">
        <v>26</v>
      </c>
      <c r="F375" s="6" t="s">
        <v>30</v>
      </c>
    </row>
    <row r="376" spans="2:6" ht="12.75" customHeight="1" x14ac:dyDescent="0.25">
      <c r="B376" s="6" t="s">
        <v>26</v>
      </c>
      <c r="F376" s="6" t="s">
        <v>30</v>
      </c>
    </row>
    <row r="377" spans="2:6" ht="12.75" customHeight="1" x14ac:dyDescent="0.25">
      <c r="B377" s="6" t="s">
        <v>26</v>
      </c>
      <c r="F377" s="6" t="s">
        <v>30</v>
      </c>
    </row>
    <row r="378" spans="2:6" ht="12.75" customHeight="1" x14ac:dyDescent="0.25">
      <c r="B378" s="6" t="s">
        <v>26</v>
      </c>
      <c r="F378" s="6" t="s">
        <v>30</v>
      </c>
    </row>
    <row r="379" spans="2:6" ht="12.75" customHeight="1" x14ac:dyDescent="0.25">
      <c r="B379" s="6" t="s">
        <v>26</v>
      </c>
      <c r="F379" s="6" t="s">
        <v>30</v>
      </c>
    </row>
    <row r="380" spans="2:6" ht="12.75" customHeight="1" x14ac:dyDescent="0.25">
      <c r="B380" s="6" t="s">
        <v>26</v>
      </c>
      <c r="F380" s="6" t="s">
        <v>30</v>
      </c>
    </row>
    <row r="381" spans="2:6" ht="12.75" customHeight="1" x14ac:dyDescent="0.25">
      <c r="B381" s="6" t="s">
        <v>26</v>
      </c>
      <c r="F381" s="6" t="s">
        <v>30</v>
      </c>
    </row>
    <row r="382" spans="2:6" ht="12.75" customHeight="1" x14ac:dyDescent="0.25">
      <c r="B382" s="6" t="s">
        <v>26</v>
      </c>
      <c r="F382" s="6" t="s">
        <v>30</v>
      </c>
    </row>
    <row r="383" spans="2:6" ht="12.75" customHeight="1" x14ac:dyDescent="0.25">
      <c r="B383" s="6" t="s">
        <v>26</v>
      </c>
      <c r="F383" s="6" t="s">
        <v>30</v>
      </c>
    </row>
    <row r="384" spans="2:6" ht="12.75" customHeight="1" x14ac:dyDescent="0.25">
      <c r="B384" s="6" t="s">
        <v>26</v>
      </c>
      <c r="F384" s="6" t="s">
        <v>30</v>
      </c>
    </row>
    <row r="385" spans="2:6" ht="12.75" customHeight="1" x14ac:dyDescent="0.25">
      <c r="B385" s="6" t="s">
        <v>26</v>
      </c>
      <c r="F385" s="6" t="s">
        <v>30</v>
      </c>
    </row>
    <row r="386" spans="2:6" ht="12.75" customHeight="1" x14ac:dyDescent="0.25">
      <c r="B386" s="6" t="s">
        <v>26</v>
      </c>
      <c r="F386" s="6" t="s">
        <v>30</v>
      </c>
    </row>
    <row r="387" spans="2:6" ht="12.75" customHeight="1" x14ac:dyDescent="0.25">
      <c r="B387" s="6" t="s">
        <v>26</v>
      </c>
      <c r="F387" s="6" t="s">
        <v>30</v>
      </c>
    </row>
    <row r="388" spans="2:6" ht="12.75" customHeight="1" x14ac:dyDescent="0.25">
      <c r="B388" s="6" t="s">
        <v>26</v>
      </c>
      <c r="F388" s="6" t="s">
        <v>30</v>
      </c>
    </row>
    <row r="389" spans="2:6" ht="12.75" customHeight="1" x14ac:dyDescent="0.25">
      <c r="B389" s="6" t="s">
        <v>26</v>
      </c>
      <c r="F389" s="6" t="s">
        <v>30</v>
      </c>
    </row>
    <row r="390" spans="2:6" ht="12.75" customHeight="1" x14ac:dyDescent="0.25">
      <c r="B390" s="6" t="s">
        <v>26</v>
      </c>
      <c r="F390" s="6" t="s">
        <v>30</v>
      </c>
    </row>
    <row r="391" spans="2:6" ht="12.75" customHeight="1" x14ac:dyDescent="0.25">
      <c r="B391" s="6" t="s">
        <v>26</v>
      </c>
      <c r="F391" s="6" t="s">
        <v>30</v>
      </c>
    </row>
    <row r="392" spans="2:6" ht="12.75" customHeight="1" x14ac:dyDescent="0.25">
      <c r="B392" s="6" t="s">
        <v>26</v>
      </c>
      <c r="F392" s="6" t="s">
        <v>30</v>
      </c>
    </row>
    <row r="393" spans="2:6" ht="12.75" customHeight="1" x14ac:dyDescent="0.25">
      <c r="B393" s="6" t="s">
        <v>26</v>
      </c>
      <c r="F393" s="6" t="s">
        <v>30</v>
      </c>
    </row>
    <row r="394" spans="2:6" ht="12.75" customHeight="1" x14ac:dyDescent="0.25">
      <c r="B394" s="6" t="s">
        <v>26</v>
      </c>
      <c r="F394" s="6" t="s">
        <v>30</v>
      </c>
    </row>
    <row r="395" spans="2:6" ht="12.75" customHeight="1" x14ac:dyDescent="0.25">
      <c r="B395" s="6" t="s">
        <v>26</v>
      </c>
      <c r="F395" s="6" t="s">
        <v>30</v>
      </c>
    </row>
    <row r="396" spans="2:6" ht="12.75" customHeight="1" x14ac:dyDescent="0.25">
      <c r="B396" s="6" t="s">
        <v>26</v>
      </c>
      <c r="F396" s="6" t="s">
        <v>30</v>
      </c>
    </row>
    <row r="397" spans="2:6" ht="12.75" customHeight="1" x14ac:dyDescent="0.25">
      <c r="B397" s="6" t="s">
        <v>26</v>
      </c>
      <c r="F397" s="6" t="s">
        <v>30</v>
      </c>
    </row>
    <row r="398" spans="2:6" ht="12.75" customHeight="1" x14ac:dyDescent="0.25">
      <c r="B398" s="6" t="s">
        <v>26</v>
      </c>
      <c r="F398" s="6" t="s">
        <v>30</v>
      </c>
    </row>
    <row r="399" spans="2:6" ht="12.75" customHeight="1" x14ac:dyDescent="0.25">
      <c r="B399" s="6" t="s">
        <v>26</v>
      </c>
      <c r="F399" s="6" t="s">
        <v>30</v>
      </c>
    </row>
    <row r="400" spans="2:6" ht="12.75" customHeight="1" x14ac:dyDescent="0.25">
      <c r="B400" s="6" t="s">
        <v>26</v>
      </c>
      <c r="F400" s="6" t="s">
        <v>30</v>
      </c>
    </row>
    <row r="401" spans="2:6" ht="12.75" customHeight="1" x14ac:dyDescent="0.25">
      <c r="B401" s="6" t="s">
        <v>26</v>
      </c>
      <c r="F401" s="6" t="s">
        <v>30</v>
      </c>
    </row>
    <row r="402" spans="2:6" ht="12.75" customHeight="1" x14ac:dyDescent="0.25">
      <c r="B402" s="6" t="s">
        <v>26</v>
      </c>
      <c r="F402" s="6" t="s">
        <v>30</v>
      </c>
    </row>
    <row r="403" spans="2:6" ht="12.75" customHeight="1" x14ac:dyDescent="0.25">
      <c r="B403" s="6" t="s">
        <v>26</v>
      </c>
      <c r="F403" s="6" t="s">
        <v>30</v>
      </c>
    </row>
    <row r="404" spans="2:6" ht="12.75" customHeight="1" x14ac:dyDescent="0.25">
      <c r="B404" s="6" t="s">
        <v>26</v>
      </c>
      <c r="F404" s="6" t="s">
        <v>30</v>
      </c>
    </row>
    <row r="405" spans="2:6" ht="12.75" customHeight="1" x14ac:dyDescent="0.25">
      <c r="B405" s="6" t="s">
        <v>26</v>
      </c>
      <c r="F405" s="6" t="s">
        <v>30</v>
      </c>
    </row>
    <row r="406" spans="2:6" ht="12.75" customHeight="1" x14ac:dyDescent="0.25">
      <c r="B406" s="6" t="s">
        <v>26</v>
      </c>
      <c r="F406" s="6" t="s">
        <v>30</v>
      </c>
    </row>
    <row r="407" spans="2:6" ht="12.75" customHeight="1" x14ac:dyDescent="0.25">
      <c r="B407" s="6" t="s">
        <v>26</v>
      </c>
      <c r="F407" s="6" t="s">
        <v>30</v>
      </c>
    </row>
    <row r="408" spans="2:6" ht="12.75" customHeight="1" x14ac:dyDescent="0.25">
      <c r="B408" s="6" t="s">
        <v>26</v>
      </c>
      <c r="F408" s="6" t="s">
        <v>30</v>
      </c>
    </row>
    <row r="409" spans="2:6" ht="12.75" customHeight="1" x14ac:dyDescent="0.25">
      <c r="B409" s="6" t="s">
        <v>26</v>
      </c>
      <c r="F409" s="6" t="s">
        <v>30</v>
      </c>
    </row>
    <row r="410" spans="2:6" ht="12.75" customHeight="1" x14ac:dyDescent="0.25">
      <c r="B410" s="6" t="s">
        <v>26</v>
      </c>
      <c r="F410" s="6" t="s">
        <v>30</v>
      </c>
    </row>
    <row r="411" spans="2:6" ht="12.75" customHeight="1" x14ac:dyDescent="0.25">
      <c r="B411" s="6" t="s">
        <v>26</v>
      </c>
      <c r="F411" s="6" t="s">
        <v>30</v>
      </c>
    </row>
    <row r="412" spans="2:6" ht="12.75" customHeight="1" x14ac:dyDescent="0.25">
      <c r="B412" s="6" t="s">
        <v>26</v>
      </c>
      <c r="F412" s="6" t="s">
        <v>30</v>
      </c>
    </row>
    <row r="413" spans="2:6" ht="12.75" customHeight="1" x14ac:dyDescent="0.25">
      <c r="B413" s="6" t="s">
        <v>26</v>
      </c>
      <c r="F413" s="6" t="s">
        <v>30</v>
      </c>
    </row>
    <row r="414" spans="2:6" ht="12.75" customHeight="1" x14ac:dyDescent="0.25">
      <c r="B414" s="6" t="s">
        <v>26</v>
      </c>
      <c r="F414" s="6" t="s">
        <v>30</v>
      </c>
    </row>
    <row r="415" spans="2:6" ht="12.75" customHeight="1" x14ac:dyDescent="0.25">
      <c r="B415" s="6" t="s">
        <v>26</v>
      </c>
      <c r="F415" s="6" t="s">
        <v>30</v>
      </c>
    </row>
    <row r="416" spans="2:6" ht="12.75" customHeight="1" x14ac:dyDescent="0.25">
      <c r="B416" s="6" t="s">
        <v>26</v>
      </c>
      <c r="F416" s="6" t="s">
        <v>30</v>
      </c>
    </row>
    <row r="417" spans="2:6" ht="12.75" customHeight="1" x14ac:dyDescent="0.25">
      <c r="B417" s="6" t="s">
        <v>26</v>
      </c>
      <c r="F417" s="6" t="s">
        <v>30</v>
      </c>
    </row>
    <row r="418" spans="2:6" ht="12.75" customHeight="1" x14ac:dyDescent="0.25">
      <c r="B418" s="6" t="s">
        <v>26</v>
      </c>
      <c r="F418" s="6" t="s">
        <v>30</v>
      </c>
    </row>
    <row r="419" spans="2:6" ht="12.75" customHeight="1" x14ac:dyDescent="0.25">
      <c r="B419" s="6" t="s">
        <v>26</v>
      </c>
      <c r="F419" s="6" t="s">
        <v>30</v>
      </c>
    </row>
    <row r="420" spans="2:6" ht="12.75" customHeight="1" x14ac:dyDescent="0.25">
      <c r="B420" s="6" t="s">
        <v>26</v>
      </c>
      <c r="F420" s="6" t="s">
        <v>30</v>
      </c>
    </row>
    <row r="421" spans="2:6" ht="12.75" customHeight="1" x14ac:dyDescent="0.25">
      <c r="B421" s="6" t="s">
        <v>26</v>
      </c>
      <c r="F421" s="6" t="s">
        <v>30</v>
      </c>
    </row>
    <row r="422" spans="2:6" ht="12.75" customHeight="1" x14ac:dyDescent="0.25">
      <c r="B422" s="6" t="s">
        <v>26</v>
      </c>
      <c r="F422" s="6" t="s">
        <v>30</v>
      </c>
    </row>
    <row r="423" spans="2:6" ht="12.75" customHeight="1" x14ac:dyDescent="0.25">
      <c r="B423" s="6" t="s">
        <v>26</v>
      </c>
      <c r="F423" s="6" t="s">
        <v>30</v>
      </c>
    </row>
    <row r="424" spans="2:6" ht="12.75" customHeight="1" x14ac:dyDescent="0.25">
      <c r="B424" s="6" t="s">
        <v>26</v>
      </c>
      <c r="F424" s="6" t="s">
        <v>30</v>
      </c>
    </row>
    <row r="425" spans="2:6" ht="12.75" customHeight="1" x14ac:dyDescent="0.25">
      <c r="B425" s="6" t="s">
        <v>26</v>
      </c>
      <c r="F425" s="6" t="s">
        <v>30</v>
      </c>
    </row>
    <row r="426" spans="2:6" ht="12.75" customHeight="1" x14ac:dyDescent="0.25">
      <c r="B426" s="6" t="s">
        <v>26</v>
      </c>
      <c r="F426" s="6" t="s">
        <v>30</v>
      </c>
    </row>
    <row r="427" spans="2:6" ht="12.75" customHeight="1" x14ac:dyDescent="0.25">
      <c r="B427" s="6" t="s">
        <v>26</v>
      </c>
      <c r="F427" s="6" t="s">
        <v>30</v>
      </c>
    </row>
    <row r="428" spans="2:6" ht="12.75" customHeight="1" x14ac:dyDescent="0.25">
      <c r="B428" s="6" t="s">
        <v>26</v>
      </c>
      <c r="F428" s="6" t="s">
        <v>30</v>
      </c>
    </row>
    <row r="429" spans="2:6" ht="12.75" customHeight="1" x14ac:dyDescent="0.25">
      <c r="B429" s="6" t="s">
        <v>26</v>
      </c>
      <c r="F429" s="6" t="s">
        <v>30</v>
      </c>
    </row>
    <row r="430" spans="2:6" ht="12.75" customHeight="1" x14ac:dyDescent="0.25">
      <c r="B430" s="6" t="s">
        <v>26</v>
      </c>
      <c r="F430" s="6" t="s">
        <v>30</v>
      </c>
    </row>
    <row r="431" spans="2:6" ht="12.75" customHeight="1" x14ac:dyDescent="0.25">
      <c r="B431" s="6" t="s">
        <v>26</v>
      </c>
      <c r="F431" s="6" t="s">
        <v>30</v>
      </c>
    </row>
    <row r="432" spans="2:6" ht="12.75" customHeight="1" x14ac:dyDescent="0.25">
      <c r="B432" s="6" t="s">
        <v>26</v>
      </c>
      <c r="F432" s="6" t="s">
        <v>30</v>
      </c>
    </row>
    <row r="433" spans="2:6" ht="12.75" customHeight="1" x14ac:dyDescent="0.25">
      <c r="B433" s="6" t="s">
        <v>26</v>
      </c>
      <c r="F433" s="6" t="s">
        <v>30</v>
      </c>
    </row>
    <row r="434" spans="2:6" ht="12.75" customHeight="1" x14ac:dyDescent="0.25">
      <c r="B434" s="6" t="s">
        <v>26</v>
      </c>
      <c r="F434" s="6" t="s">
        <v>30</v>
      </c>
    </row>
    <row r="435" spans="2:6" ht="12.75" customHeight="1" x14ac:dyDescent="0.25">
      <c r="B435" s="6" t="s">
        <v>26</v>
      </c>
      <c r="F435" s="6" t="s">
        <v>30</v>
      </c>
    </row>
    <row r="436" spans="2:6" ht="12.75" customHeight="1" x14ac:dyDescent="0.25">
      <c r="B436" s="6" t="s">
        <v>26</v>
      </c>
      <c r="F436" s="6" t="s">
        <v>30</v>
      </c>
    </row>
    <row r="437" spans="2:6" ht="12.75" customHeight="1" x14ac:dyDescent="0.25">
      <c r="B437" s="6" t="s">
        <v>26</v>
      </c>
      <c r="F437" s="6" t="s">
        <v>30</v>
      </c>
    </row>
    <row r="438" spans="2:6" ht="12.75" customHeight="1" x14ac:dyDescent="0.25">
      <c r="B438" s="6" t="s">
        <v>26</v>
      </c>
      <c r="F438" s="6" t="s">
        <v>30</v>
      </c>
    </row>
    <row r="439" spans="2:6" ht="12.75" customHeight="1" x14ac:dyDescent="0.25">
      <c r="B439" s="6" t="s">
        <v>26</v>
      </c>
      <c r="F439" s="6" t="s">
        <v>30</v>
      </c>
    </row>
    <row r="440" spans="2:6" ht="12.75" customHeight="1" x14ac:dyDescent="0.25">
      <c r="B440" s="6" t="s">
        <v>26</v>
      </c>
      <c r="F440" s="6" t="s">
        <v>30</v>
      </c>
    </row>
    <row r="441" spans="2:6" ht="12.75" customHeight="1" x14ac:dyDescent="0.25">
      <c r="B441" s="6" t="s">
        <v>26</v>
      </c>
      <c r="F441" s="6" t="s">
        <v>30</v>
      </c>
    </row>
    <row r="442" spans="2:6" ht="12.75" customHeight="1" x14ac:dyDescent="0.25">
      <c r="B442" s="6" t="s">
        <v>26</v>
      </c>
      <c r="F442" s="6" t="s">
        <v>30</v>
      </c>
    </row>
    <row r="443" spans="2:6" ht="12.75" customHeight="1" x14ac:dyDescent="0.25">
      <c r="B443" s="6" t="s">
        <v>26</v>
      </c>
      <c r="F443" s="6" t="s">
        <v>30</v>
      </c>
    </row>
    <row r="444" spans="2:6" ht="12.75" customHeight="1" x14ac:dyDescent="0.25">
      <c r="B444" s="6" t="s">
        <v>26</v>
      </c>
      <c r="F444" s="6" t="s">
        <v>30</v>
      </c>
    </row>
    <row r="445" spans="2:6" ht="12.75" customHeight="1" x14ac:dyDescent="0.25">
      <c r="B445" s="6" t="s">
        <v>26</v>
      </c>
      <c r="F445" s="6" t="s">
        <v>30</v>
      </c>
    </row>
    <row r="446" spans="2:6" ht="12.75" customHeight="1" x14ac:dyDescent="0.25">
      <c r="B446" s="6" t="s">
        <v>26</v>
      </c>
      <c r="F446" s="6" t="s">
        <v>30</v>
      </c>
    </row>
    <row r="447" spans="2:6" ht="12.75" customHeight="1" x14ac:dyDescent="0.25">
      <c r="B447" s="6" t="s">
        <v>26</v>
      </c>
      <c r="F447" s="6" t="s">
        <v>30</v>
      </c>
    </row>
    <row r="448" spans="2:6" ht="12.75" customHeight="1" x14ac:dyDescent="0.25">
      <c r="B448" s="6" t="s">
        <v>26</v>
      </c>
      <c r="F448" s="6" t="s">
        <v>30</v>
      </c>
    </row>
    <row r="449" spans="2:6" ht="12.75" customHeight="1" x14ac:dyDescent="0.25">
      <c r="B449" s="6" t="s">
        <v>26</v>
      </c>
      <c r="F449" s="6" t="s">
        <v>30</v>
      </c>
    </row>
    <row r="450" spans="2:6" ht="12.75" customHeight="1" x14ac:dyDescent="0.25">
      <c r="B450" s="6" t="s">
        <v>26</v>
      </c>
      <c r="F450" s="6" t="s">
        <v>30</v>
      </c>
    </row>
    <row r="451" spans="2:6" ht="12.75" customHeight="1" x14ac:dyDescent="0.25">
      <c r="B451" s="6" t="s">
        <v>26</v>
      </c>
      <c r="F451" s="6" t="s">
        <v>30</v>
      </c>
    </row>
    <row r="452" spans="2:6" ht="12.75" customHeight="1" x14ac:dyDescent="0.25">
      <c r="B452" s="6" t="s">
        <v>26</v>
      </c>
      <c r="F452" s="6" t="s">
        <v>30</v>
      </c>
    </row>
    <row r="453" spans="2:6" ht="12.75" customHeight="1" x14ac:dyDescent="0.25">
      <c r="B453" s="6" t="s">
        <v>26</v>
      </c>
      <c r="F453" s="6" t="s">
        <v>30</v>
      </c>
    </row>
    <row r="454" spans="2:6" ht="12.75" customHeight="1" x14ac:dyDescent="0.25">
      <c r="B454" s="6" t="s">
        <v>26</v>
      </c>
      <c r="F454" s="6" t="s">
        <v>30</v>
      </c>
    </row>
    <row r="455" spans="2:6" ht="12.75" customHeight="1" x14ac:dyDescent="0.25">
      <c r="B455" s="6" t="s">
        <v>26</v>
      </c>
      <c r="F455" s="6" t="s">
        <v>30</v>
      </c>
    </row>
    <row r="456" spans="2:6" ht="12.75" customHeight="1" x14ac:dyDescent="0.25">
      <c r="B456" s="6" t="s">
        <v>26</v>
      </c>
      <c r="F456" s="6" t="s">
        <v>30</v>
      </c>
    </row>
    <row r="457" spans="2:6" ht="12.75" customHeight="1" x14ac:dyDescent="0.25">
      <c r="B457" s="6" t="s">
        <v>26</v>
      </c>
      <c r="F457" s="6" t="s">
        <v>30</v>
      </c>
    </row>
    <row r="458" spans="2:6" ht="12.75" customHeight="1" x14ac:dyDescent="0.25">
      <c r="B458" s="6" t="s">
        <v>26</v>
      </c>
      <c r="F458" s="6" t="s">
        <v>30</v>
      </c>
    </row>
    <row r="459" spans="2:6" ht="12.75" customHeight="1" x14ac:dyDescent="0.25">
      <c r="B459" s="6" t="s">
        <v>26</v>
      </c>
      <c r="F459" s="6" t="s">
        <v>30</v>
      </c>
    </row>
    <row r="460" spans="2:6" ht="12.75" customHeight="1" x14ac:dyDescent="0.25">
      <c r="B460" s="6" t="s">
        <v>26</v>
      </c>
      <c r="F460" s="6" t="s">
        <v>30</v>
      </c>
    </row>
    <row r="461" spans="2:6" ht="12.75" customHeight="1" x14ac:dyDescent="0.25">
      <c r="B461" s="6" t="s">
        <v>26</v>
      </c>
      <c r="F461" s="6" t="s">
        <v>30</v>
      </c>
    </row>
    <row r="462" spans="2:6" ht="12.75" customHeight="1" x14ac:dyDescent="0.25">
      <c r="B462" s="6" t="s">
        <v>26</v>
      </c>
      <c r="F462" s="6" t="s">
        <v>30</v>
      </c>
    </row>
    <row r="463" spans="2:6" ht="12.75" customHeight="1" x14ac:dyDescent="0.25">
      <c r="B463" s="6" t="s">
        <v>26</v>
      </c>
      <c r="F463" s="6" t="s">
        <v>30</v>
      </c>
    </row>
    <row r="464" spans="2:6" ht="12.75" customHeight="1" x14ac:dyDescent="0.25">
      <c r="B464" s="6" t="s">
        <v>26</v>
      </c>
      <c r="F464" s="6" t="s">
        <v>30</v>
      </c>
    </row>
    <row r="465" spans="2:6" ht="12.75" customHeight="1" x14ac:dyDescent="0.25">
      <c r="B465" s="6" t="s">
        <v>26</v>
      </c>
      <c r="F465" s="6" t="s">
        <v>30</v>
      </c>
    </row>
    <row r="466" spans="2:6" ht="12.75" customHeight="1" x14ac:dyDescent="0.25">
      <c r="B466" s="6" t="s">
        <v>26</v>
      </c>
      <c r="F466" s="6" t="s">
        <v>30</v>
      </c>
    </row>
    <row r="467" spans="2:6" ht="12.75" customHeight="1" x14ac:dyDescent="0.25">
      <c r="B467" s="6" t="s">
        <v>26</v>
      </c>
      <c r="F467" s="6" t="s">
        <v>30</v>
      </c>
    </row>
    <row r="468" spans="2:6" ht="12.75" customHeight="1" x14ac:dyDescent="0.25">
      <c r="B468" s="6" t="s">
        <v>26</v>
      </c>
      <c r="F468" s="6" t="s">
        <v>30</v>
      </c>
    </row>
    <row r="469" spans="2:6" ht="12.75" customHeight="1" x14ac:dyDescent="0.25">
      <c r="B469" s="6" t="s">
        <v>26</v>
      </c>
      <c r="F469" s="6" t="s">
        <v>30</v>
      </c>
    </row>
    <row r="470" spans="2:6" ht="12.75" customHeight="1" x14ac:dyDescent="0.25">
      <c r="B470" s="6" t="s">
        <v>26</v>
      </c>
      <c r="F470" s="6" t="s">
        <v>30</v>
      </c>
    </row>
    <row r="471" spans="2:6" ht="12.75" customHeight="1" x14ac:dyDescent="0.25">
      <c r="B471" s="6" t="s">
        <v>26</v>
      </c>
      <c r="F471" s="6" t="s">
        <v>30</v>
      </c>
    </row>
    <row r="472" spans="2:6" ht="12.75" customHeight="1" x14ac:dyDescent="0.25">
      <c r="B472" s="6" t="s">
        <v>26</v>
      </c>
      <c r="F472" s="6" t="s">
        <v>30</v>
      </c>
    </row>
    <row r="473" spans="2:6" ht="12.75" customHeight="1" x14ac:dyDescent="0.25">
      <c r="B473" s="6" t="s">
        <v>26</v>
      </c>
      <c r="F473" s="6" t="s">
        <v>30</v>
      </c>
    </row>
    <row r="474" spans="2:6" ht="12.75" customHeight="1" x14ac:dyDescent="0.25">
      <c r="B474" s="6" t="s">
        <v>26</v>
      </c>
      <c r="F474" s="6" t="s">
        <v>30</v>
      </c>
    </row>
    <row r="475" spans="2:6" ht="12.75" customHeight="1" x14ac:dyDescent="0.25">
      <c r="B475" s="6" t="s">
        <v>26</v>
      </c>
      <c r="F475" s="6" t="s">
        <v>30</v>
      </c>
    </row>
    <row r="476" spans="2:6" ht="12.75" customHeight="1" x14ac:dyDescent="0.25">
      <c r="B476" s="6" t="s">
        <v>26</v>
      </c>
      <c r="F476" s="6" t="s">
        <v>30</v>
      </c>
    </row>
    <row r="477" spans="2:6" ht="12.75" customHeight="1" x14ac:dyDescent="0.25">
      <c r="B477" s="6" t="s">
        <v>26</v>
      </c>
      <c r="F477" s="6" t="s">
        <v>30</v>
      </c>
    </row>
    <row r="478" spans="2:6" ht="12.75" customHeight="1" x14ac:dyDescent="0.25">
      <c r="B478" s="6" t="s">
        <v>26</v>
      </c>
      <c r="F478" s="6" t="s">
        <v>30</v>
      </c>
    </row>
    <row r="479" spans="2:6" ht="12.75" customHeight="1" x14ac:dyDescent="0.25">
      <c r="B479" s="6" t="s">
        <v>26</v>
      </c>
      <c r="F479" s="6" t="s">
        <v>30</v>
      </c>
    </row>
    <row r="480" spans="2:6" ht="12.75" customHeight="1" x14ac:dyDescent="0.25">
      <c r="B480" s="6" t="s">
        <v>26</v>
      </c>
      <c r="F480" s="6" t="s">
        <v>30</v>
      </c>
    </row>
    <row r="481" spans="2:6" ht="12.75" customHeight="1" x14ac:dyDescent="0.25">
      <c r="B481" s="6" t="s">
        <v>26</v>
      </c>
      <c r="F481" s="6" t="s">
        <v>30</v>
      </c>
    </row>
    <row r="482" spans="2:6" ht="12.75" customHeight="1" x14ac:dyDescent="0.25">
      <c r="B482" s="6" t="s">
        <v>26</v>
      </c>
      <c r="F482" s="6" t="s">
        <v>30</v>
      </c>
    </row>
    <row r="483" spans="2:6" ht="12.75" customHeight="1" x14ac:dyDescent="0.25">
      <c r="B483" s="6" t="s">
        <v>26</v>
      </c>
      <c r="F483" s="6" t="s">
        <v>30</v>
      </c>
    </row>
    <row r="484" spans="2:6" ht="12.75" customHeight="1" x14ac:dyDescent="0.25">
      <c r="B484" s="6" t="s">
        <v>26</v>
      </c>
      <c r="F484" s="6" t="s">
        <v>30</v>
      </c>
    </row>
    <row r="485" spans="2:6" ht="12.75" customHeight="1" x14ac:dyDescent="0.25">
      <c r="B485" s="6" t="s">
        <v>26</v>
      </c>
      <c r="F485" s="6" t="s">
        <v>30</v>
      </c>
    </row>
    <row r="486" spans="2:6" ht="12.75" customHeight="1" x14ac:dyDescent="0.25">
      <c r="B486" s="6" t="s">
        <v>26</v>
      </c>
      <c r="F486" s="6" t="s">
        <v>30</v>
      </c>
    </row>
    <row r="487" spans="2:6" ht="12.75" customHeight="1" x14ac:dyDescent="0.25">
      <c r="B487" s="6" t="s">
        <v>26</v>
      </c>
      <c r="F487" s="6" t="s">
        <v>30</v>
      </c>
    </row>
    <row r="488" spans="2:6" ht="12.75" customHeight="1" x14ac:dyDescent="0.25">
      <c r="B488" s="6" t="s">
        <v>26</v>
      </c>
      <c r="F488" s="6" t="s">
        <v>30</v>
      </c>
    </row>
    <row r="489" spans="2:6" ht="12.75" customHeight="1" x14ac:dyDescent="0.25">
      <c r="B489" s="6" t="s">
        <v>26</v>
      </c>
      <c r="F489" s="6" t="s">
        <v>30</v>
      </c>
    </row>
    <row r="490" spans="2:6" ht="12.75" customHeight="1" x14ac:dyDescent="0.25">
      <c r="B490" s="6" t="s">
        <v>26</v>
      </c>
      <c r="F490" s="6" t="s">
        <v>30</v>
      </c>
    </row>
    <row r="491" spans="2:6" ht="12.75" customHeight="1" x14ac:dyDescent="0.25">
      <c r="B491" s="6" t="s">
        <v>26</v>
      </c>
      <c r="F491" s="6" t="s">
        <v>30</v>
      </c>
    </row>
    <row r="492" spans="2:6" ht="12.75" customHeight="1" x14ac:dyDescent="0.25">
      <c r="B492" s="6" t="s">
        <v>26</v>
      </c>
      <c r="F492" s="6" t="s">
        <v>30</v>
      </c>
    </row>
    <row r="493" spans="2:6" ht="12.75" customHeight="1" x14ac:dyDescent="0.25">
      <c r="B493" s="6" t="s">
        <v>26</v>
      </c>
      <c r="F493" s="6" t="s">
        <v>30</v>
      </c>
    </row>
    <row r="494" spans="2:6" ht="12.75" customHeight="1" x14ac:dyDescent="0.25">
      <c r="B494" s="6" t="s">
        <v>26</v>
      </c>
      <c r="F494" s="6" t="s">
        <v>30</v>
      </c>
    </row>
    <row r="495" spans="2:6" ht="12.75" customHeight="1" x14ac:dyDescent="0.25">
      <c r="B495" s="6" t="s">
        <v>26</v>
      </c>
      <c r="F495" s="6" t="s">
        <v>30</v>
      </c>
    </row>
    <row r="496" spans="2:6" ht="12.75" customHeight="1" x14ac:dyDescent="0.25">
      <c r="B496" s="6" t="s">
        <v>26</v>
      </c>
      <c r="F496" s="6" t="s">
        <v>30</v>
      </c>
    </row>
    <row r="497" spans="2:6" ht="12.75" customHeight="1" x14ac:dyDescent="0.25">
      <c r="B497" s="6" t="s">
        <v>26</v>
      </c>
      <c r="F497" s="6" t="s">
        <v>30</v>
      </c>
    </row>
    <row r="498" spans="2:6" ht="12.75" customHeight="1" x14ac:dyDescent="0.25">
      <c r="B498" s="6" t="s">
        <v>26</v>
      </c>
      <c r="F498" s="6" t="s">
        <v>30</v>
      </c>
    </row>
    <row r="499" spans="2:6" ht="12.75" customHeight="1" x14ac:dyDescent="0.25">
      <c r="B499" s="6" t="s">
        <v>26</v>
      </c>
      <c r="F499" s="6" t="s">
        <v>30</v>
      </c>
    </row>
    <row r="500" spans="2:6" ht="12.75" customHeight="1" x14ac:dyDescent="0.25">
      <c r="B500" s="6" t="s">
        <v>26</v>
      </c>
      <c r="F500" s="6" t="s">
        <v>30</v>
      </c>
    </row>
    <row r="501" spans="2:6" ht="12.75" customHeight="1" x14ac:dyDescent="0.25">
      <c r="B501" s="6" t="s">
        <v>26</v>
      </c>
      <c r="F501" s="6" t="s">
        <v>30</v>
      </c>
    </row>
    <row r="502" spans="2:6" ht="12.75" customHeight="1" x14ac:dyDescent="0.25">
      <c r="B502" s="6" t="s">
        <v>26</v>
      </c>
      <c r="F502" s="6" t="s">
        <v>30</v>
      </c>
    </row>
    <row r="503" spans="2:6" ht="12.75" customHeight="1" x14ac:dyDescent="0.25">
      <c r="B503" s="6" t="s">
        <v>26</v>
      </c>
      <c r="F503" s="6" t="s">
        <v>30</v>
      </c>
    </row>
    <row r="504" spans="2:6" ht="12.75" customHeight="1" x14ac:dyDescent="0.25">
      <c r="B504" s="6" t="s">
        <v>26</v>
      </c>
      <c r="F504" s="6" t="s">
        <v>30</v>
      </c>
    </row>
    <row r="505" spans="2:6" ht="12.75" customHeight="1" x14ac:dyDescent="0.25">
      <c r="B505" s="6" t="s">
        <v>26</v>
      </c>
      <c r="F505" s="6" t="s">
        <v>30</v>
      </c>
    </row>
    <row r="506" spans="2:6" ht="12.75" customHeight="1" x14ac:dyDescent="0.25">
      <c r="B506" s="6" t="s">
        <v>26</v>
      </c>
      <c r="F506" s="6" t="s">
        <v>30</v>
      </c>
    </row>
    <row r="507" spans="2:6" ht="12.75" customHeight="1" x14ac:dyDescent="0.25">
      <c r="B507" s="6" t="s">
        <v>26</v>
      </c>
      <c r="F507" s="6" t="s">
        <v>30</v>
      </c>
    </row>
    <row r="508" spans="2:6" ht="12.75" customHeight="1" x14ac:dyDescent="0.25">
      <c r="B508" s="6" t="s">
        <v>26</v>
      </c>
      <c r="F508" s="6" t="s">
        <v>30</v>
      </c>
    </row>
    <row r="509" spans="2:6" ht="12.75" customHeight="1" x14ac:dyDescent="0.25">
      <c r="B509" s="6" t="s">
        <v>26</v>
      </c>
      <c r="F509" s="6" t="s">
        <v>30</v>
      </c>
    </row>
    <row r="510" spans="2:6" ht="12.75" customHeight="1" x14ac:dyDescent="0.25">
      <c r="B510" s="6" t="s">
        <v>26</v>
      </c>
      <c r="F510" s="6" t="s">
        <v>30</v>
      </c>
    </row>
    <row r="511" spans="2:6" ht="12.75" customHeight="1" x14ac:dyDescent="0.25">
      <c r="B511" s="6" t="s">
        <v>26</v>
      </c>
      <c r="F511" s="6" t="s">
        <v>30</v>
      </c>
    </row>
    <row r="512" spans="2:6" ht="12.75" customHeight="1" x14ac:dyDescent="0.25">
      <c r="B512" s="6" t="s">
        <v>26</v>
      </c>
      <c r="F512" s="6" t="s">
        <v>30</v>
      </c>
    </row>
    <row r="513" spans="2:6" ht="12.75" customHeight="1" x14ac:dyDescent="0.25">
      <c r="B513" s="6" t="s">
        <v>26</v>
      </c>
      <c r="F513" s="6" t="s">
        <v>30</v>
      </c>
    </row>
    <row r="514" spans="2:6" ht="12.75" customHeight="1" x14ac:dyDescent="0.25">
      <c r="B514" s="6" t="s">
        <v>26</v>
      </c>
      <c r="F514" s="6" t="s">
        <v>30</v>
      </c>
    </row>
    <row r="515" spans="2:6" ht="12.75" customHeight="1" x14ac:dyDescent="0.25">
      <c r="B515" s="6" t="s">
        <v>26</v>
      </c>
      <c r="F515" s="6" t="s">
        <v>30</v>
      </c>
    </row>
    <row r="516" spans="2:6" ht="12.75" customHeight="1" x14ac:dyDescent="0.25">
      <c r="B516" s="6" t="s">
        <v>26</v>
      </c>
      <c r="F516" s="6" t="s">
        <v>30</v>
      </c>
    </row>
    <row r="517" spans="2:6" ht="12.75" customHeight="1" x14ac:dyDescent="0.25">
      <c r="B517" s="6" t="s">
        <v>26</v>
      </c>
      <c r="F517" s="6" t="s">
        <v>30</v>
      </c>
    </row>
    <row r="518" spans="2:6" ht="12.75" customHeight="1" x14ac:dyDescent="0.25">
      <c r="B518" s="6" t="s">
        <v>26</v>
      </c>
      <c r="F518" s="6" t="s">
        <v>30</v>
      </c>
    </row>
    <row r="519" spans="2:6" ht="12.75" customHeight="1" x14ac:dyDescent="0.25">
      <c r="B519" s="6" t="s">
        <v>26</v>
      </c>
      <c r="F519" s="6" t="s">
        <v>30</v>
      </c>
    </row>
    <row r="520" spans="2:6" ht="12.75" customHeight="1" x14ac:dyDescent="0.25">
      <c r="B520" s="6" t="s">
        <v>26</v>
      </c>
      <c r="F520" s="6" t="s">
        <v>30</v>
      </c>
    </row>
    <row r="521" spans="2:6" ht="12.75" customHeight="1" x14ac:dyDescent="0.25">
      <c r="B521" s="6" t="s">
        <v>26</v>
      </c>
      <c r="F521" s="6" t="s">
        <v>30</v>
      </c>
    </row>
    <row r="522" spans="2:6" ht="12.75" customHeight="1" x14ac:dyDescent="0.25">
      <c r="B522" s="6" t="s">
        <v>26</v>
      </c>
      <c r="F522" s="6" t="s">
        <v>30</v>
      </c>
    </row>
    <row r="523" spans="2:6" ht="12.75" customHeight="1" x14ac:dyDescent="0.25">
      <c r="B523" s="6" t="s">
        <v>26</v>
      </c>
      <c r="F523" s="6" t="s">
        <v>30</v>
      </c>
    </row>
    <row r="524" spans="2:6" ht="12.75" customHeight="1" x14ac:dyDescent="0.25">
      <c r="B524" s="6" t="s">
        <v>26</v>
      </c>
      <c r="F524" s="6" t="s">
        <v>30</v>
      </c>
    </row>
    <row r="525" spans="2:6" ht="12.75" customHeight="1" x14ac:dyDescent="0.25">
      <c r="B525" s="6" t="s">
        <v>26</v>
      </c>
      <c r="F525" s="6" t="s">
        <v>30</v>
      </c>
    </row>
    <row r="526" spans="2:6" ht="12.75" customHeight="1" x14ac:dyDescent="0.25">
      <c r="B526" s="6" t="s">
        <v>26</v>
      </c>
      <c r="F526" s="6" t="s">
        <v>30</v>
      </c>
    </row>
    <row r="527" spans="2:6" ht="12.75" customHeight="1" x14ac:dyDescent="0.25">
      <c r="B527" s="6" t="s">
        <v>26</v>
      </c>
      <c r="F527" s="6" t="s">
        <v>30</v>
      </c>
    </row>
    <row r="528" spans="2:6" ht="12.75" customHeight="1" x14ac:dyDescent="0.25">
      <c r="B528" s="6" t="s">
        <v>26</v>
      </c>
      <c r="F528" s="6" t="s">
        <v>30</v>
      </c>
    </row>
    <row r="529" spans="2:6" ht="12.75" customHeight="1" x14ac:dyDescent="0.25">
      <c r="B529" s="6" t="s">
        <v>26</v>
      </c>
      <c r="F529" s="6" t="s">
        <v>30</v>
      </c>
    </row>
    <row r="530" spans="2:6" ht="12.75" customHeight="1" x14ac:dyDescent="0.25">
      <c r="B530" s="6" t="s">
        <v>26</v>
      </c>
      <c r="F530" s="6" t="s">
        <v>30</v>
      </c>
    </row>
    <row r="531" spans="2:6" ht="12.75" customHeight="1" x14ac:dyDescent="0.25">
      <c r="B531" s="6" t="s">
        <v>26</v>
      </c>
      <c r="F531" s="6" t="s">
        <v>30</v>
      </c>
    </row>
    <row r="532" spans="2:6" ht="12.75" customHeight="1" x14ac:dyDescent="0.25">
      <c r="B532" s="6" t="s">
        <v>26</v>
      </c>
      <c r="F532" s="6" t="s">
        <v>30</v>
      </c>
    </row>
    <row r="533" spans="2:6" ht="12.75" customHeight="1" x14ac:dyDescent="0.25">
      <c r="B533" s="6" t="s">
        <v>26</v>
      </c>
      <c r="F533" s="6" t="s">
        <v>30</v>
      </c>
    </row>
    <row r="534" spans="2:6" ht="12.75" customHeight="1" x14ac:dyDescent="0.25">
      <c r="B534" s="6" t="s">
        <v>26</v>
      </c>
      <c r="F534" s="6" t="s">
        <v>30</v>
      </c>
    </row>
    <row r="535" spans="2:6" ht="12.75" customHeight="1" x14ac:dyDescent="0.25">
      <c r="B535" s="6" t="s">
        <v>26</v>
      </c>
      <c r="F535" s="6" t="s">
        <v>30</v>
      </c>
    </row>
    <row r="536" spans="2:6" ht="12.75" customHeight="1" x14ac:dyDescent="0.25">
      <c r="B536" s="6" t="s">
        <v>26</v>
      </c>
      <c r="F536" s="6" t="s">
        <v>30</v>
      </c>
    </row>
    <row r="537" spans="2:6" ht="12.75" customHeight="1" x14ac:dyDescent="0.25">
      <c r="B537" s="6" t="s">
        <v>26</v>
      </c>
      <c r="F537" s="6" t="s">
        <v>30</v>
      </c>
    </row>
    <row r="538" spans="2:6" ht="12.75" customHeight="1" x14ac:dyDescent="0.25">
      <c r="B538" s="6" t="s">
        <v>26</v>
      </c>
      <c r="F538" s="6" t="s">
        <v>30</v>
      </c>
    </row>
    <row r="539" spans="2:6" ht="12.75" customHeight="1" x14ac:dyDescent="0.25">
      <c r="B539" s="6" t="s">
        <v>26</v>
      </c>
      <c r="F539" s="6" t="s">
        <v>30</v>
      </c>
    </row>
    <row r="540" spans="2:6" ht="12.75" customHeight="1" x14ac:dyDescent="0.25">
      <c r="B540" s="6" t="s">
        <v>26</v>
      </c>
      <c r="F540" s="6" t="s">
        <v>30</v>
      </c>
    </row>
    <row r="541" spans="2:6" ht="12.75" customHeight="1" x14ac:dyDescent="0.25">
      <c r="B541" s="6" t="s">
        <v>26</v>
      </c>
      <c r="F541" s="6" t="s">
        <v>30</v>
      </c>
    </row>
    <row r="542" spans="2:6" ht="12.75" customHeight="1" x14ac:dyDescent="0.25">
      <c r="B542" s="6" t="s">
        <v>26</v>
      </c>
      <c r="F542" s="6" t="s">
        <v>30</v>
      </c>
    </row>
    <row r="543" spans="2:6" ht="12.75" customHeight="1" x14ac:dyDescent="0.25">
      <c r="B543" s="6" t="s">
        <v>26</v>
      </c>
      <c r="F543" s="6" t="s">
        <v>30</v>
      </c>
    </row>
    <row r="544" spans="2:6" ht="12.75" customHeight="1" x14ac:dyDescent="0.25">
      <c r="B544" s="6" t="s">
        <v>26</v>
      </c>
      <c r="F544" s="6" t="s">
        <v>30</v>
      </c>
    </row>
    <row r="545" spans="2:6" ht="12.75" customHeight="1" x14ac:dyDescent="0.25">
      <c r="B545" s="6" t="s">
        <v>26</v>
      </c>
      <c r="F545" s="6" t="s">
        <v>30</v>
      </c>
    </row>
    <row r="546" spans="2:6" ht="12.75" customHeight="1" x14ac:dyDescent="0.25">
      <c r="B546" s="6" t="s">
        <v>26</v>
      </c>
      <c r="F546" s="6" t="s">
        <v>30</v>
      </c>
    </row>
    <row r="547" spans="2:6" ht="12.75" customHeight="1" x14ac:dyDescent="0.25">
      <c r="B547" s="6" t="s">
        <v>26</v>
      </c>
      <c r="F547" s="6" t="s">
        <v>30</v>
      </c>
    </row>
    <row r="548" spans="2:6" ht="12.75" customHeight="1" x14ac:dyDescent="0.25">
      <c r="B548" s="6" t="s">
        <v>26</v>
      </c>
      <c r="F548" s="6" t="s">
        <v>30</v>
      </c>
    </row>
    <row r="549" spans="2:6" ht="12.75" customHeight="1" x14ac:dyDescent="0.25">
      <c r="B549" s="6" t="s">
        <v>26</v>
      </c>
      <c r="F549" s="6" t="s">
        <v>30</v>
      </c>
    </row>
    <row r="550" spans="2:6" ht="12.75" customHeight="1" x14ac:dyDescent="0.25">
      <c r="B550" s="6" t="s">
        <v>26</v>
      </c>
      <c r="F550" s="6" t="s">
        <v>30</v>
      </c>
    </row>
    <row r="551" spans="2:6" ht="12.75" customHeight="1" x14ac:dyDescent="0.25">
      <c r="B551" s="6" t="s">
        <v>26</v>
      </c>
      <c r="F551" s="6" t="s">
        <v>30</v>
      </c>
    </row>
    <row r="552" spans="2:6" ht="12.75" customHeight="1" x14ac:dyDescent="0.25">
      <c r="B552" s="6" t="s">
        <v>26</v>
      </c>
      <c r="F552" s="6" t="s">
        <v>30</v>
      </c>
    </row>
    <row r="553" spans="2:6" ht="12.75" customHeight="1" x14ac:dyDescent="0.25">
      <c r="B553" s="6" t="s">
        <v>26</v>
      </c>
      <c r="F553" s="6" t="s">
        <v>30</v>
      </c>
    </row>
    <row r="554" spans="2:6" ht="12.75" customHeight="1" x14ac:dyDescent="0.25">
      <c r="B554" s="6" t="s">
        <v>26</v>
      </c>
      <c r="F554" s="6" t="s">
        <v>30</v>
      </c>
    </row>
    <row r="555" spans="2:6" ht="12.75" customHeight="1" x14ac:dyDescent="0.25">
      <c r="B555" s="6" t="s">
        <v>26</v>
      </c>
      <c r="F555" s="6" t="s">
        <v>30</v>
      </c>
    </row>
    <row r="556" spans="2:6" ht="12.75" customHeight="1" x14ac:dyDescent="0.25">
      <c r="B556" s="6" t="s">
        <v>26</v>
      </c>
      <c r="F556" s="6" t="s">
        <v>30</v>
      </c>
    </row>
    <row r="557" spans="2:6" ht="12.75" customHeight="1" x14ac:dyDescent="0.25">
      <c r="B557" s="6" t="s">
        <v>26</v>
      </c>
      <c r="F557" s="6" t="s">
        <v>30</v>
      </c>
    </row>
    <row r="558" spans="2:6" ht="12.75" customHeight="1" x14ac:dyDescent="0.25">
      <c r="B558" s="6" t="s">
        <v>26</v>
      </c>
      <c r="F558" s="6" t="s">
        <v>30</v>
      </c>
    </row>
    <row r="559" spans="2:6" ht="12.75" customHeight="1" x14ac:dyDescent="0.25">
      <c r="B559" s="6" t="s">
        <v>26</v>
      </c>
      <c r="F559" s="6" t="s">
        <v>30</v>
      </c>
    </row>
    <row r="560" spans="2:6" ht="12.75" customHeight="1" x14ac:dyDescent="0.25">
      <c r="B560" s="6" t="s">
        <v>26</v>
      </c>
      <c r="F560" s="6" t="s">
        <v>30</v>
      </c>
    </row>
    <row r="561" spans="2:6" ht="12.75" customHeight="1" x14ac:dyDescent="0.25">
      <c r="B561" s="6" t="s">
        <v>26</v>
      </c>
      <c r="F561" s="6" t="s">
        <v>30</v>
      </c>
    </row>
    <row r="562" spans="2:6" ht="12.75" customHeight="1" x14ac:dyDescent="0.25">
      <c r="B562" s="6" t="s">
        <v>26</v>
      </c>
      <c r="F562" s="6" t="s">
        <v>30</v>
      </c>
    </row>
    <row r="563" spans="2:6" ht="12.75" customHeight="1" x14ac:dyDescent="0.25">
      <c r="B563" s="6" t="s">
        <v>26</v>
      </c>
      <c r="F563" s="6" t="s">
        <v>30</v>
      </c>
    </row>
    <row r="564" spans="2:6" ht="12.75" customHeight="1" x14ac:dyDescent="0.25">
      <c r="B564" s="6" t="s">
        <v>26</v>
      </c>
      <c r="F564" s="6" t="s">
        <v>30</v>
      </c>
    </row>
    <row r="565" spans="2:6" ht="12.75" customHeight="1" x14ac:dyDescent="0.25">
      <c r="B565" s="6" t="s">
        <v>26</v>
      </c>
      <c r="F565" s="6" t="s">
        <v>30</v>
      </c>
    </row>
    <row r="566" spans="2:6" ht="12.75" customHeight="1" x14ac:dyDescent="0.25">
      <c r="B566" s="6" t="s">
        <v>26</v>
      </c>
      <c r="F566" s="6" t="s">
        <v>30</v>
      </c>
    </row>
    <row r="567" spans="2:6" ht="12.75" customHeight="1" x14ac:dyDescent="0.25">
      <c r="B567" s="6" t="s">
        <v>26</v>
      </c>
      <c r="F567" s="6" t="s">
        <v>30</v>
      </c>
    </row>
    <row r="568" spans="2:6" ht="12.75" customHeight="1" x14ac:dyDescent="0.25">
      <c r="B568" s="6" t="s">
        <v>26</v>
      </c>
      <c r="F568" s="6" t="s">
        <v>30</v>
      </c>
    </row>
    <row r="569" spans="2:6" ht="12.75" customHeight="1" x14ac:dyDescent="0.25">
      <c r="B569" s="6" t="s">
        <v>26</v>
      </c>
      <c r="F569" s="6" t="s">
        <v>30</v>
      </c>
    </row>
    <row r="570" spans="2:6" ht="12.75" customHeight="1" x14ac:dyDescent="0.25">
      <c r="B570" s="6" t="s">
        <v>26</v>
      </c>
      <c r="F570" s="6" t="s">
        <v>30</v>
      </c>
    </row>
    <row r="571" spans="2:6" ht="12.75" customHeight="1" x14ac:dyDescent="0.25">
      <c r="B571" s="6" t="s">
        <v>26</v>
      </c>
      <c r="F571" s="6" t="s">
        <v>30</v>
      </c>
    </row>
    <row r="572" spans="2:6" ht="12.75" customHeight="1" x14ac:dyDescent="0.25">
      <c r="B572" s="6" t="s">
        <v>26</v>
      </c>
      <c r="F572" s="6" t="s">
        <v>30</v>
      </c>
    </row>
    <row r="573" spans="2:6" ht="12.75" customHeight="1" x14ac:dyDescent="0.25">
      <c r="B573" s="6" t="s">
        <v>26</v>
      </c>
      <c r="F573" s="6" t="s">
        <v>30</v>
      </c>
    </row>
    <row r="574" spans="2:6" ht="12.75" customHeight="1" x14ac:dyDescent="0.25">
      <c r="B574" s="6" t="s">
        <v>26</v>
      </c>
      <c r="F574" s="6" t="s">
        <v>30</v>
      </c>
    </row>
    <row r="575" spans="2:6" ht="12.75" customHeight="1" x14ac:dyDescent="0.25">
      <c r="B575" s="6" t="s">
        <v>26</v>
      </c>
      <c r="F575" s="6" t="s">
        <v>30</v>
      </c>
    </row>
    <row r="576" spans="2:6" ht="12.75" customHeight="1" x14ac:dyDescent="0.25">
      <c r="B576" s="6" t="s">
        <v>26</v>
      </c>
      <c r="F576" s="6" t="s">
        <v>30</v>
      </c>
    </row>
    <row r="577" spans="2:6" ht="12.75" customHeight="1" x14ac:dyDescent="0.25">
      <c r="B577" s="6" t="s">
        <v>26</v>
      </c>
      <c r="F577" s="6" t="s">
        <v>30</v>
      </c>
    </row>
    <row r="578" spans="2:6" ht="12.75" customHeight="1" x14ac:dyDescent="0.25">
      <c r="B578" s="6" t="s">
        <v>26</v>
      </c>
      <c r="F578" s="6" t="s">
        <v>30</v>
      </c>
    </row>
    <row r="579" spans="2:6" ht="12.75" customHeight="1" x14ac:dyDescent="0.25">
      <c r="B579" s="6" t="s">
        <v>26</v>
      </c>
      <c r="F579" s="6" t="s">
        <v>30</v>
      </c>
    </row>
    <row r="580" spans="2:6" ht="12.75" customHeight="1" x14ac:dyDescent="0.25">
      <c r="B580" s="6" t="s">
        <v>26</v>
      </c>
      <c r="F580" s="6" t="s">
        <v>30</v>
      </c>
    </row>
    <row r="581" spans="2:6" ht="12.75" customHeight="1" x14ac:dyDescent="0.25">
      <c r="B581" s="6" t="s">
        <v>26</v>
      </c>
      <c r="F581" s="6" t="s">
        <v>30</v>
      </c>
    </row>
    <row r="582" spans="2:6" ht="12.75" customHeight="1" x14ac:dyDescent="0.25">
      <c r="B582" s="6" t="s">
        <v>26</v>
      </c>
      <c r="F582" s="6" t="s">
        <v>30</v>
      </c>
    </row>
    <row r="583" spans="2:6" ht="12.75" customHeight="1" x14ac:dyDescent="0.25">
      <c r="B583" s="6" t="s">
        <v>26</v>
      </c>
      <c r="F583" s="6" t="s">
        <v>30</v>
      </c>
    </row>
    <row r="584" spans="2:6" ht="12.75" customHeight="1" x14ac:dyDescent="0.25">
      <c r="B584" s="6" t="s">
        <v>26</v>
      </c>
      <c r="F584" s="6" t="s">
        <v>30</v>
      </c>
    </row>
    <row r="585" spans="2:6" ht="12.75" customHeight="1" x14ac:dyDescent="0.25">
      <c r="B585" s="6" t="s">
        <v>26</v>
      </c>
      <c r="F585" s="6" t="s">
        <v>30</v>
      </c>
    </row>
    <row r="586" spans="2:6" ht="12.75" customHeight="1" x14ac:dyDescent="0.25">
      <c r="B586" s="6" t="s">
        <v>26</v>
      </c>
      <c r="F586" s="6" t="s">
        <v>30</v>
      </c>
    </row>
    <row r="587" spans="2:6" ht="12.75" customHeight="1" x14ac:dyDescent="0.25">
      <c r="B587" s="6" t="s">
        <v>26</v>
      </c>
      <c r="F587" s="6" t="s">
        <v>30</v>
      </c>
    </row>
    <row r="588" spans="2:6" ht="12.75" customHeight="1" x14ac:dyDescent="0.25">
      <c r="B588" s="6" t="s">
        <v>26</v>
      </c>
      <c r="F588" s="6" t="s">
        <v>30</v>
      </c>
    </row>
    <row r="589" spans="2:6" ht="12.75" customHeight="1" x14ac:dyDescent="0.25">
      <c r="B589" s="8"/>
      <c r="F589" s="6" t="s">
        <v>30</v>
      </c>
    </row>
    <row r="590" spans="2:6" ht="12.75" customHeight="1" x14ac:dyDescent="0.25">
      <c r="B590" s="8"/>
      <c r="F590" s="6" t="s">
        <v>30</v>
      </c>
    </row>
    <row r="591" spans="2:6" ht="12.75" customHeight="1" x14ac:dyDescent="0.25">
      <c r="B591" s="8"/>
      <c r="F591" s="6" t="s">
        <v>30</v>
      </c>
    </row>
    <row r="592" spans="2:6" ht="12.75" customHeight="1" x14ac:dyDescent="0.25">
      <c r="B592" s="8"/>
      <c r="F592" s="6" t="s">
        <v>30</v>
      </c>
    </row>
    <row r="593" spans="2:6" ht="12.75" customHeight="1" x14ac:dyDescent="0.25">
      <c r="B593" s="8"/>
      <c r="F593" s="6" t="s">
        <v>30</v>
      </c>
    </row>
    <row r="594" spans="2:6" ht="12.75" customHeight="1" x14ac:dyDescent="0.25">
      <c r="B594" s="8"/>
      <c r="F594" s="6" t="s">
        <v>30</v>
      </c>
    </row>
    <row r="595" spans="2:6" ht="12.75" customHeight="1" x14ac:dyDescent="0.25">
      <c r="B595" s="8"/>
      <c r="F595" s="6" t="s">
        <v>30</v>
      </c>
    </row>
    <row r="596" spans="2:6" ht="12.75" customHeight="1" x14ac:dyDescent="0.25">
      <c r="B596" s="8"/>
      <c r="F596" s="6" t="s">
        <v>30</v>
      </c>
    </row>
    <row r="597" spans="2:6" ht="12.75" customHeight="1" x14ac:dyDescent="0.25">
      <c r="B597" s="8"/>
      <c r="F597" s="6" t="s">
        <v>30</v>
      </c>
    </row>
    <row r="598" spans="2:6" ht="12.75" customHeight="1" x14ac:dyDescent="0.25">
      <c r="B598" s="8"/>
      <c r="F598" s="6" t="s">
        <v>30</v>
      </c>
    </row>
    <row r="599" spans="2:6" ht="12.75" customHeight="1" x14ac:dyDescent="0.25">
      <c r="B599" s="8"/>
      <c r="F599" s="6" t="s">
        <v>30</v>
      </c>
    </row>
    <row r="600" spans="2:6" ht="12.75" customHeight="1" x14ac:dyDescent="0.25">
      <c r="B600" s="8"/>
      <c r="F600" s="6" t="s">
        <v>30</v>
      </c>
    </row>
    <row r="601" spans="2:6" ht="12.75" customHeight="1" x14ac:dyDescent="0.25">
      <c r="B601" s="8"/>
      <c r="F601" s="6" t="s">
        <v>30</v>
      </c>
    </row>
    <row r="602" spans="2:6" ht="12.75" customHeight="1" x14ac:dyDescent="0.25">
      <c r="B602" s="8"/>
      <c r="F602" s="6" t="s">
        <v>30</v>
      </c>
    </row>
    <row r="603" spans="2:6" ht="12.75" customHeight="1" x14ac:dyDescent="0.25">
      <c r="B603" s="8"/>
      <c r="F603" s="6" t="s">
        <v>30</v>
      </c>
    </row>
    <row r="604" spans="2:6" ht="12.75" customHeight="1" x14ac:dyDescent="0.25">
      <c r="B604" s="8"/>
      <c r="F604" s="6" t="s">
        <v>30</v>
      </c>
    </row>
    <row r="605" spans="2:6" ht="12.75" customHeight="1" x14ac:dyDescent="0.25">
      <c r="B605" s="8"/>
      <c r="F605" s="6" t="s">
        <v>30</v>
      </c>
    </row>
    <row r="606" spans="2:6" ht="12.75" customHeight="1" x14ac:dyDescent="0.25">
      <c r="B606" s="8"/>
      <c r="F606" s="6" t="s">
        <v>30</v>
      </c>
    </row>
    <row r="607" spans="2:6" ht="12.75" customHeight="1" x14ac:dyDescent="0.25">
      <c r="F607" s="6" t="s">
        <v>30</v>
      </c>
    </row>
    <row r="608" spans="2:6" ht="12.75" customHeight="1" x14ac:dyDescent="0.25">
      <c r="F608" s="6" t="s">
        <v>30</v>
      </c>
    </row>
    <row r="609" spans="6:6" ht="12.75" customHeight="1" x14ac:dyDescent="0.25">
      <c r="F609" s="6" t="s">
        <v>30</v>
      </c>
    </row>
    <row r="610" spans="6:6" ht="12.75" customHeight="1" x14ac:dyDescent="0.25">
      <c r="F610" s="6" t="s">
        <v>30</v>
      </c>
    </row>
    <row r="611" spans="6:6" ht="12.75" customHeight="1" x14ac:dyDescent="0.25">
      <c r="F611" s="6" t="s">
        <v>30</v>
      </c>
    </row>
    <row r="612" spans="6:6" ht="12.75" customHeight="1" x14ac:dyDescent="0.25">
      <c r="F612" s="6" t="s">
        <v>30</v>
      </c>
    </row>
    <row r="613" spans="6:6" ht="12.75" customHeight="1" x14ac:dyDescent="0.25">
      <c r="F613" s="6" t="s">
        <v>30</v>
      </c>
    </row>
    <row r="614" spans="6:6" ht="12.75" customHeight="1" x14ac:dyDescent="0.25">
      <c r="F614" s="6" t="s">
        <v>30</v>
      </c>
    </row>
    <row r="615" spans="6:6" ht="12.75" customHeight="1" x14ac:dyDescent="0.25">
      <c r="F615" s="6" t="s">
        <v>30</v>
      </c>
    </row>
    <row r="616" spans="6:6" ht="12.75" customHeight="1" x14ac:dyDescent="0.25">
      <c r="F616" s="6" t="s">
        <v>30</v>
      </c>
    </row>
    <row r="617" spans="6:6" ht="12.75" customHeight="1" x14ac:dyDescent="0.25">
      <c r="F617" s="6" t="s">
        <v>30</v>
      </c>
    </row>
    <row r="618" spans="6:6" ht="12.75" customHeight="1" x14ac:dyDescent="0.25">
      <c r="F618" s="6" t="s">
        <v>30</v>
      </c>
    </row>
    <row r="619" spans="6:6" ht="12.75" customHeight="1" x14ac:dyDescent="0.25">
      <c r="F619" s="6" t="s">
        <v>30</v>
      </c>
    </row>
    <row r="620" spans="6:6" ht="12.75" customHeight="1" x14ac:dyDescent="0.25">
      <c r="F620" s="6" t="s">
        <v>30</v>
      </c>
    </row>
    <row r="621" spans="6:6" ht="12.75" customHeight="1" x14ac:dyDescent="0.25">
      <c r="F621" s="6" t="s">
        <v>30</v>
      </c>
    </row>
    <row r="622" spans="6:6" ht="12.75" customHeight="1" x14ac:dyDescent="0.25">
      <c r="F622" s="6" t="s">
        <v>30</v>
      </c>
    </row>
    <row r="623" spans="6:6" ht="12.75" customHeight="1" x14ac:dyDescent="0.25">
      <c r="F623" s="6" t="s">
        <v>30</v>
      </c>
    </row>
    <row r="624" spans="6:6" ht="12.75" customHeight="1" x14ac:dyDescent="0.25">
      <c r="F624" s="6" t="s">
        <v>30</v>
      </c>
    </row>
    <row r="625" spans="6:6" ht="12.75" customHeight="1" x14ac:dyDescent="0.25">
      <c r="F625" s="6" t="s">
        <v>30</v>
      </c>
    </row>
    <row r="626" spans="6:6" ht="12.75" customHeight="1" x14ac:dyDescent="0.25">
      <c r="F626" s="6" t="s">
        <v>30</v>
      </c>
    </row>
    <row r="627" spans="6:6" ht="12.75" customHeight="1" x14ac:dyDescent="0.25">
      <c r="F627" s="6" t="s">
        <v>30</v>
      </c>
    </row>
    <row r="628" spans="6:6" ht="12.75" customHeight="1" x14ac:dyDescent="0.25">
      <c r="F628" s="6" t="s">
        <v>30</v>
      </c>
    </row>
    <row r="629" spans="6:6" ht="12.75" customHeight="1" x14ac:dyDescent="0.25">
      <c r="F629" s="6" t="s">
        <v>30</v>
      </c>
    </row>
    <row r="630" spans="6:6" ht="12.75" customHeight="1" x14ac:dyDescent="0.25">
      <c r="F630" s="6" t="s">
        <v>30</v>
      </c>
    </row>
    <row r="631" spans="6:6" ht="12.75" customHeight="1" x14ac:dyDescent="0.25">
      <c r="F631" s="6" t="s">
        <v>30</v>
      </c>
    </row>
    <row r="632" spans="6:6" ht="12.75" customHeight="1" x14ac:dyDescent="0.25">
      <c r="F632" s="6" t="s">
        <v>30</v>
      </c>
    </row>
    <row r="633" spans="6:6" ht="12.75" customHeight="1" x14ac:dyDescent="0.25">
      <c r="F633" s="6" t="s">
        <v>30</v>
      </c>
    </row>
    <row r="634" spans="6:6" ht="12.75" customHeight="1" x14ac:dyDescent="0.25">
      <c r="F634" s="6" t="s">
        <v>30</v>
      </c>
    </row>
    <row r="635" spans="6:6" ht="12.75" customHeight="1" x14ac:dyDescent="0.25">
      <c r="F635" s="6" t="s">
        <v>30</v>
      </c>
    </row>
    <row r="636" spans="6:6" ht="12.75" customHeight="1" x14ac:dyDescent="0.25">
      <c r="F636" s="6" t="s">
        <v>30</v>
      </c>
    </row>
    <row r="637" spans="6:6" ht="12.75" customHeight="1" x14ac:dyDescent="0.25">
      <c r="F637" s="6" t="s">
        <v>30</v>
      </c>
    </row>
    <row r="638" spans="6:6" ht="12.75" customHeight="1" x14ac:dyDescent="0.25">
      <c r="F638" s="6" t="s">
        <v>30</v>
      </c>
    </row>
    <row r="639" spans="6:6" ht="12.75" customHeight="1" x14ac:dyDescent="0.25">
      <c r="F639" s="6" t="s">
        <v>30</v>
      </c>
    </row>
    <row r="640" spans="6:6" ht="12.75" customHeight="1" x14ac:dyDescent="0.25">
      <c r="F640" s="6" t="s">
        <v>30</v>
      </c>
    </row>
    <row r="641" spans="6:6" ht="12.75" customHeight="1" x14ac:dyDescent="0.25">
      <c r="F641" s="6" t="s">
        <v>30</v>
      </c>
    </row>
    <row r="642" spans="6:6" ht="12.75" customHeight="1" x14ac:dyDescent="0.25">
      <c r="F642" s="6" t="s">
        <v>30</v>
      </c>
    </row>
    <row r="643" spans="6:6" ht="12.75" customHeight="1" x14ac:dyDescent="0.25">
      <c r="F643" s="6" t="s">
        <v>30</v>
      </c>
    </row>
    <row r="644" spans="6:6" ht="12.75" customHeight="1" x14ac:dyDescent="0.25">
      <c r="F644" s="6" t="s">
        <v>30</v>
      </c>
    </row>
    <row r="645" spans="6:6" ht="12.75" customHeight="1" x14ac:dyDescent="0.25">
      <c r="F645" s="6" t="s">
        <v>30</v>
      </c>
    </row>
    <row r="646" spans="6:6" ht="12.75" customHeight="1" x14ac:dyDescent="0.25">
      <c r="F646" s="6" t="s">
        <v>30</v>
      </c>
    </row>
    <row r="647" spans="6:6" ht="12.75" customHeight="1" x14ac:dyDescent="0.25">
      <c r="F647" s="6" t="s">
        <v>30</v>
      </c>
    </row>
    <row r="648" spans="6:6" ht="12.75" customHeight="1" x14ac:dyDescent="0.25">
      <c r="F648" s="6" t="s">
        <v>30</v>
      </c>
    </row>
    <row r="649" spans="6:6" ht="12.75" customHeight="1" x14ac:dyDescent="0.25">
      <c r="F649" s="6" t="s">
        <v>30</v>
      </c>
    </row>
    <row r="650" spans="6:6" ht="12.75" customHeight="1" x14ac:dyDescent="0.25">
      <c r="F650" s="6" t="s">
        <v>30</v>
      </c>
    </row>
    <row r="651" spans="6:6" ht="12.75" customHeight="1" x14ac:dyDescent="0.25">
      <c r="F651" s="6" t="s">
        <v>30</v>
      </c>
    </row>
    <row r="652" spans="6:6" ht="12.75" customHeight="1" x14ac:dyDescent="0.25">
      <c r="F652" s="6" t="s">
        <v>30</v>
      </c>
    </row>
    <row r="653" spans="6:6" ht="12.75" customHeight="1" x14ac:dyDescent="0.25">
      <c r="F653" s="6" t="s">
        <v>30</v>
      </c>
    </row>
    <row r="654" spans="6:6" ht="12.75" customHeight="1" x14ac:dyDescent="0.25">
      <c r="F654" s="6" t="s">
        <v>30</v>
      </c>
    </row>
    <row r="655" spans="6:6" ht="12.75" customHeight="1" x14ac:dyDescent="0.25">
      <c r="F655" s="6" t="s">
        <v>30</v>
      </c>
    </row>
    <row r="656" spans="6:6" ht="12.75" customHeight="1" x14ac:dyDescent="0.25">
      <c r="F656" s="6" t="s">
        <v>30</v>
      </c>
    </row>
    <row r="657" spans="6:6" ht="12.75" customHeight="1" x14ac:dyDescent="0.25">
      <c r="F657" s="6" t="s">
        <v>30</v>
      </c>
    </row>
    <row r="658" spans="6:6" ht="12.75" customHeight="1" x14ac:dyDescent="0.25">
      <c r="F658" s="6" t="s">
        <v>30</v>
      </c>
    </row>
    <row r="659" spans="6:6" ht="12.75" customHeight="1" x14ac:dyDescent="0.25">
      <c r="F659" s="6" t="s">
        <v>30</v>
      </c>
    </row>
    <row r="660" spans="6:6" ht="12.75" customHeight="1" x14ac:dyDescent="0.25">
      <c r="F660" s="6" t="s">
        <v>30</v>
      </c>
    </row>
    <row r="661" spans="6:6" ht="12.75" customHeight="1" x14ac:dyDescent="0.25">
      <c r="F661" s="6" t="s">
        <v>30</v>
      </c>
    </row>
    <row r="662" spans="6:6" ht="12.75" customHeight="1" x14ac:dyDescent="0.25">
      <c r="F662" s="6" t="s">
        <v>30</v>
      </c>
    </row>
    <row r="663" spans="6:6" ht="12.75" customHeight="1" x14ac:dyDescent="0.25">
      <c r="F663" s="6" t="s">
        <v>30</v>
      </c>
    </row>
    <row r="664" spans="6:6" ht="12.75" customHeight="1" x14ac:dyDescent="0.25">
      <c r="F664" s="6" t="s">
        <v>30</v>
      </c>
    </row>
    <row r="665" spans="6:6" ht="12.75" customHeight="1" x14ac:dyDescent="0.25">
      <c r="F665" s="6" t="s">
        <v>30</v>
      </c>
    </row>
    <row r="666" spans="6:6" ht="12.75" customHeight="1" x14ac:dyDescent="0.25">
      <c r="F666" s="6" t="s">
        <v>30</v>
      </c>
    </row>
    <row r="667" spans="6:6" ht="12.75" customHeight="1" x14ac:dyDescent="0.25">
      <c r="F667" s="6" t="s">
        <v>30</v>
      </c>
    </row>
    <row r="668" spans="6:6" ht="12.75" customHeight="1" x14ac:dyDescent="0.25">
      <c r="F668" s="6" t="s">
        <v>30</v>
      </c>
    </row>
    <row r="669" spans="6:6" ht="12.75" customHeight="1" x14ac:dyDescent="0.25">
      <c r="F669" s="6" t="s">
        <v>30</v>
      </c>
    </row>
    <row r="670" spans="6:6" ht="12.75" customHeight="1" x14ac:dyDescent="0.25">
      <c r="F670" s="6" t="s">
        <v>30</v>
      </c>
    </row>
    <row r="671" spans="6:6" ht="12.75" customHeight="1" x14ac:dyDescent="0.25">
      <c r="F671" s="6" t="s">
        <v>30</v>
      </c>
    </row>
    <row r="672" spans="6:6" ht="12.75" customHeight="1" x14ac:dyDescent="0.25">
      <c r="F672" s="6" t="s">
        <v>30</v>
      </c>
    </row>
    <row r="673" spans="6:6" ht="12.75" customHeight="1" x14ac:dyDescent="0.25">
      <c r="F673" s="6" t="s">
        <v>30</v>
      </c>
    </row>
    <row r="674" spans="6:6" ht="12.75" customHeight="1" x14ac:dyDescent="0.25">
      <c r="F674" s="6" t="s">
        <v>30</v>
      </c>
    </row>
    <row r="675" spans="6:6" ht="12.75" customHeight="1" x14ac:dyDescent="0.25">
      <c r="F675" s="6" t="s">
        <v>30</v>
      </c>
    </row>
    <row r="676" spans="6:6" ht="12.75" customHeight="1" x14ac:dyDescent="0.25">
      <c r="F676" s="6" t="s">
        <v>30</v>
      </c>
    </row>
    <row r="677" spans="6:6" ht="12.75" customHeight="1" x14ac:dyDescent="0.25">
      <c r="F677" s="6" t="s">
        <v>30</v>
      </c>
    </row>
    <row r="678" spans="6:6" ht="12.75" customHeight="1" x14ac:dyDescent="0.25">
      <c r="F678" s="6" t="s">
        <v>30</v>
      </c>
    </row>
    <row r="679" spans="6:6" ht="12.75" customHeight="1" x14ac:dyDescent="0.25">
      <c r="F679" s="6" t="s">
        <v>30</v>
      </c>
    </row>
    <row r="680" spans="6:6" ht="12.75" customHeight="1" x14ac:dyDescent="0.25">
      <c r="F680" s="6" t="s">
        <v>30</v>
      </c>
    </row>
    <row r="681" spans="6:6" ht="12.75" customHeight="1" x14ac:dyDescent="0.25">
      <c r="F681" s="6" t="s">
        <v>30</v>
      </c>
    </row>
    <row r="682" spans="6:6" ht="12.75" customHeight="1" x14ac:dyDescent="0.25">
      <c r="F682" s="6" t="s">
        <v>30</v>
      </c>
    </row>
    <row r="683" spans="6:6" ht="12.75" customHeight="1" x14ac:dyDescent="0.25">
      <c r="F683" s="6" t="s">
        <v>30</v>
      </c>
    </row>
    <row r="684" spans="6:6" ht="12.75" customHeight="1" x14ac:dyDescent="0.25">
      <c r="F684" s="6" t="s">
        <v>30</v>
      </c>
    </row>
    <row r="685" spans="6:6" ht="12.75" customHeight="1" x14ac:dyDescent="0.25">
      <c r="F685" s="6" t="s">
        <v>30</v>
      </c>
    </row>
    <row r="686" spans="6:6" ht="12.75" customHeight="1" x14ac:dyDescent="0.25">
      <c r="F686" s="6" t="s">
        <v>30</v>
      </c>
    </row>
    <row r="687" spans="6:6" ht="12.75" customHeight="1" x14ac:dyDescent="0.25">
      <c r="F687" s="6" t="s">
        <v>30</v>
      </c>
    </row>
    <row r="688" spans="6:6" ht="12.75" customHeight="1" x14ac:dyDescent="0.25">
      <c r="F688" s="6" t="s">
        <v>30</v>
      </c>
    </row>
    <row r="689" spans="6:6" ht="12.75" customHeight="1" x14ac:dyDescent="0.25">
      <c r="F689" s="6" t="s">
        <v>30</v>
      </c>
    </row>
    <row r="690" spans="6:6" ht="12.75" customHeight="1" x14ac:dyDescent="0.25">
      <c r="F690" s="6" t="s">
        <v>30</v>
      </c>
    </row>
    <row r="691" spans="6:6" ht="12.75" customHeight="1" x14ac:dyDescent="0.25">
      <c r="F691" s="6" t="s">
        <v>30</v>
      </c>
    </row>
    <row r="692" spans="6:6" ht="12.75" customHeight="1" x14ac:dyDescent="0.25">
      <c r="F692" s="6" t="s">
        <v>30</v>
      </c>
    </row>
    <row r="693" spans="6:6" ht="12.75" customHeight="1" x14ac:dyDescent="0.25">
      <c r="F693" s="6" t="s">
        <v>30</v>
      </c>
    </row>
    <row r="694" spans="6:6" ht="12.75" customHeight="1" x14ac:dyDescent="0.25">
      <c r="F694" s="6" t="s">
        <v>30</v>
      </c>
    </row>
    <row r="695" spans="6:6" ht="12.75" customHeight="1" x14ac:dyDescent="0.25">
      <c r="F695" s="6" t="s">
        <v>30</v>
      </c>
    </row>
    <row r="696" spans="6:6" ht="12.75" customHeight="1" x14ac:dyDescent="0.25">
      <c r="F696" s="6" t="s">
        <v>30</v>
      </c>
    </row>
    <row r="697" spans="6:6" ht="12.75" customHeight="1" x14ac:dyDescent="0.25">
      <c r="F697" s="6" t="s">
        <v>30</v>
      </c>
    </row>
    <row r="698" spans="6:6" ht="12.75" customHeight="1" x14ac:dyDescent="0.25">
      <c r="F698" s="6" t="s">
        <v>30</v>
      </c>
    </row>
    <row r="699" spans="6:6" ht="12.75" customHeight="1" x14ac:dyDescent="0.25">
      <c r="F699" s="6" t="s">
        <v>30</v>
      </c>
    </row>
    <row r="700" spans="6:6" ht="12.75" customHeight="1" x14ac:dyDescent="0.25">
      <c r="F700" s="6" t="s">
        <v>30</v>
      </c>
    </row>
    <row r="701" spans="6:6" ht="12.75" customHeight="1" x14ac:dyDescent="0.25">
      <c r="F701" s="6" t="s">
        <v>30</v>
      </c>
    </row>
    <row r="702" spans="6:6" ht="12.75" customHeight="1" x14ac:dyDescent="0.25">
      <c r="F702" s="6" t="s">
        <v>30</v>
      </c>
    </row>
    <row r="703" spans="6:6" ht="12.75" customHeight="1" x14ac:dyDescent="0.25">
      <c r="F703" s="6" t="s">
        <v>30</v>
      </c>
    </row>
    <row r="704" spans="6:6" ht="12.75" customHeight="1" x14ac:dyDescent="0.25">
      <c r="F704" s="6" t="s">
        <v>30</v>
      </c>
    </row>
    <row r="705" spans="6:6" ht="12.75" customHeight="1" x14ac:dyDescent="0.25">
      <c r="F705" s="6" t="s">
        <v>30</v>
      </c>
    </row>
    <row r="706" spans="6:6" ht="12.75" customHeight="1" x14ac:dyDescent="0.25">
      <c r="F706" s="6" t="s">
        <v>30</v>
      </c>
    </row>
    <row r="707" spans="6:6" ht="12.75" customHeight="1" x14ac:dyDescent="0.25">
      <c r="F707" s="6" t="s">
        <v>30</v>
      </c>
    </row>
    <row r="708" spans="6:6" ht="12.75" customHeight="1" x14ac:dyDescent="0.25">
      <c r="F708" s="6" t="s">
        <v>30</v>
      </c>
    </row>
    <row r="709" spans="6:6" ht="12.75" customHeight="1" x14ac:dyDescent="0.25">
      <c r="F709" s="6" t="s">
        <v>30</v>
      </c>
    </row>
    <row r="710" spans="6:6" ht="12.75" customHeight="1" x14ac:dyDescent="0.25">
      <c r="F710" s="6" t="s">
        <v>30</v>
      </c>
    </row>
    <row r="711" spans="6:6" ht="12.75" customHeight="1" x14ac:dyDescent="0.25">
      <c r="F711" s="6" t="s">
        <v>30</v>
      </c>
    </row>
    <row r="712" spans="6:6" ht="12.75" customHeight="1" x14ac:dyDescent="0.25">
      <c r="F712" s="6" t="s">
        <v>30</v>
      </c>
    </row>
    <row r="713" spans="6:6" ht="12.75" customHeight="1" x14ac:dyDescent="0.25">
      <c r="F713" s="6" t="s">
        <v>30</v>
      </c>
    </row>
    <row r="714" spans="6:6" ht="12.75" customHeight="1" x14ac:dyDescent="0.25">
      <c r="F714" s="6" t="s">
        <v>30</v>
      </c>
    </row>
    <row r="715" spans="6:6" ht="12.75" customHeight="1" x14ac:dyDescent="0.25">
      <c r="F715" s="6" t="s">
        <v>30</v>
      </c>
    </row>
    <row r="716" spans="6:6" ht="12.75" customHeight="1" x14ac:dyDescent="0.25">
      <c r="F716" s="6" t="s">
        <v>30</v>
      </c>
    </row>
    <row r="717" spans="6:6" ht="12.75" customHeight="1" x14ac:dyDescent="0.25">
      <c r="F717" s="6" t="s">
        <v>30</v>
      </c>
    </row>
    <row r="718" spans="6:6" ht="12.75" customHeight="1" x14ac:dyDescent="0.25">
      <c r="F718" s="6" t="s">
        <v>30</v>
      </c>
    </row>
    <row r="719" spans="6:6" ht="12.75" customHeight="1" x14ac:dyDescent="0.25">
      <c r="F719" s="6" t="s">
        <v>30</v>
      </c>
    </row>
    <row r="720" spans="6:6" ht="12.75" customHeight="1" x14ac:dyDescent="0.25">
      <c r="F720" s="6" t="s">
        <v>30</v>
      </c>
    </row>
    <row r="721" spans="6:6" ht="12.75" customHeight="1" x14ac:dyDescent="0.25">
      <c r="F721" s="6" t="s">
        <v>30</v>
      </c>
    </row>
    <row r="722" spans="6:6" ht="12.75" customHeight="1" x14ac:dyDescent="0.25">
      <c r="F722" s="6" t="s">
        <v>30</v>
      </c>
    </row>
    <row r="723" spans="6:6" ht="12.75" customHeight="1" x14ac:dyDescent="0.25">
      <c r="F723" s="6" t="s">
        <v>30</v>
      </c>
    </row>
    <row r="724" spans="6:6" ht="12.75" customHeight="1" x14ac:dyDescent="0.25">
      <c r="F724" s="6" t="s">
        <v>30</v>
      </c>
    </row>
    <row r="725" spans="6:6" ht="12.75" customHeight="1" x14ac:dyDescent="0.25">
      <c r="F725" s="6" t="s">
        <v>30</v>
      </c>
    </row>
    <row r="726" spans="6:6" ht="12.75" customHeight="1" x14ac:dyDescent="0.25">
      <c r="F726" s="6" t="s">
        <v>30</v>
      </c>
    </row>
    <row r="727" spans="6:6" ht="12.75" customHeight="1" x14ac:dyDescent="0.25">
      <c r="F727" s="6" t="s">
        <v>30</v>
      </c>
    </row>
    <row r="728" spans="6:6" ht="12.75" customHeight="1" x14ac:dyDescent="0.25">
      <c r="F728" s="6" t="s">
        <v>30</v>
      </c>
    </row>
    <row r="729" spans="6:6" ht="12.75" customHeight="1" x14ac:dyDescent="0.25">
      <c r="F729" s="6" t="s">
        <v>30</v>
      </c>
    </row>
    <row r="730" spans="6:6" ht="12.75" customHeight="1" x14ac:dyDescent="0.25">
      <c r="F730" s="6" t="s">
        <v>30</v>
      </c>
    </row>
    <row r="731" spans="6:6" ht="12.75" customHeight="1" x14ac:dyDescent="0.25">
      <c r="F731" s="6" t="s">
        <v>30</v>
      </c>
    </row>
    <row r="732" spans="6:6" ht="12.75" customHeight="1" x14ac:dyDescent="0.25">
      <c r="F732" s="6" t="s">
        <v>30</v>
      </c>
    </row>
    <row r="733" spans="6:6" ht="12.75" customHeight="1" x14ac:dyDescent="0.25">
      <c r="F733" s="6" t="s">
        <v>30</v>
      </c>
    </row>
    <row r="734" spans="6:6" ht="12.75" customHeight="1" x14ac:dyDescent="0.25">
      <c r="F734" s="6" t="s">
        <v>30</v>
      </c>
    </row>
    <row r="735" spans="6:6" ht="12.75" customHeight="1" x14ac:dyDescent="0.25">
      <c r="F735" s="6" t="s">
        <v>30</v>
      </c>
    </row>
    <row r="736" spans="6:6" ht="12.75" customHeight="1" x14ac:dyDescent="0.25">
      <c r="F736" s="6" t="s">
        <v>30</v>
      </c>
    </row>
    <row r="737" spans="6:6" ht="12.75" customHeight="1" x14ac:dyDescent="0.25">
      <c r="F737" s="6" t="s">
        <v>30</v>
      </c>
    </row>
    <row r="738" spans="6:6" ht="12.75" customHeight="1" x14ac:dyDescent="0.25">
      <c r="F738" s="6" t="s">
        <v>30</v>
      </c>
    </row>
    <row r="739" spans="6:6" ht="12.75" customHeight="1" x14ac:dyDescent="0.25">
      <c r="F739" s="6" t="s">
        <v>30</v>
      </c>
    </row>
    <row r="740" spans="6:6" ht="12.75" customHeight="1" x14ac:dyDescent="0.25">
      <c r="F740" s="6" t="s">
        <v>30</v>
      </c>
    </row>
    <row r="741" spans="6:6" ht="12.75" customHeight="1" x14ac:dyDescent="0.25">
      <c r="F741" s="6" t="s">
        <v>30</v>
      </c>
    </row>
    <row r="742" spans="6:6" ht="12.75" customHeight="1" x14ac:dyDescent="0.25">
      <c r="F742" s="6" t="s">
        <v>30</v>
      </c>
    </row>
    <row r="743" spans="6:6" ht="12.75" customHeight="1" x14ac:dyDescent="0.25">
      <c r="F743" s="6" t="s">
        <v>30</v>
      </c>
    </row>
    <row r="744" spans="6:6" ht="12.75" customHeight="1" x14ac:dyDescent="0.25">
      <c r="F744" s="6" t="s">
        <v>30</v>
      </c>
    </row>
    <row r="745" spans="6:6" ht="12.75" customHeight="1" x14ac:dyDescent="0.25">
      <c r="F745" s="6" t="s">
        <v>30</v>
      </c>
    </row>
    <row r="746" spans="6:6" ht="12.75" customHeight="1" x14ac:dyDescent="0.25">
      <c r="F746" s="6" t="s">
        <v>30</v>
      </c>
    </row>
    <row r="747" spans="6:6" ht="12.75" customHeight="1" x14ac:dyDescent="0.25">
      <c r="F747" s="6" t="s">
        <v>30</v>
      </c>
    </row>
    <row r="748" spans="6:6" ht="12.75" customHeight="1" x14ac:dyDescent="0.25">
      <c r="F748" s="6" t="s">
        <v>30</v>
      </c>
    </row>
    <row r="749" spans="6:6" ht="12.75" customHeight="1" x14ac:dyDescent="0.25">
      <c r="F749" s="6" t="s">
        <v>30</v>
      </c>
    </row>
    <row r="750" spans="6:6" ht="12.75" customHeight="1" x14ac:dyDescent="0.25">
      <c r="F750" s="6" t="s">
        <v>30</v>
      </c>
    </row>
    <row r="751" spans="6:6" ht="12.75" customHeight="1" x14ac:dyDescent="0.25">
      <c r="F751" s="6" t="s">
        <v>30</v>
      </c>
    </row>
    <row r="752" spans="6:6" ht="12.75" customHeight="1" x14ac:dyDescent="0.25">
      <c r="F752" s="6" t="s">
        <v>30</v>
      </c>
    </row>
    <row r="753" spans="6:6" ht="12.75" customHeight="1" x14ac:dyDescent="0.25">
      <c r="F753" s="6" t="s">
        <v>30</v>
      </c>
    </row>
    <row r="754" spans="6:6" ht="12.75" customHeight="1" x14ac:dyDescent="0.25">
      <c r="F754" s="6" t="s">
        <v>30</v>
      </c>
    </row>
    <row r="755" spans="6:6" ht="12.75" customHeight="1" x14ac:dyDescent="0.25">
      <c r="F755" s="6" t="s">
        <v>30</v>
      </c>
    </row>
    <row r="756" spans="6:6" ht="12.75" customHeight="1" x14ac:dyDescent="0.25">
      <c r="F756" s="6" t="s">
        <v>30</v>
      </c>
    </row>
    <row r="757" spans="6:6" ht="12.75" customHeight="1" x14ac:dyDescent="0.25">
      <c r="F757" s="6" t="s">
        <v>30</v>
      </c>
    </row>
    <row r="758" spans="6:6" ht="12.75" customHeight="1" x14ac:dyDescent="0.25">
      <c r="F758" s="6" t="s">
        <v>30</v>
      </c>
    </row>
    <row r="759" spans="6:6" ht="12.75" customHeight="1" x14ac:dyDescent="0.25">
      <c r="F759" s="6" t="s">
        <v>30</v>
      </c>
    </row>
    <row r="760" spans="6:6" ht="12.75" customHeight="1" x14ac:dyDescent="0.25">
      <c r="F760" s="6" t="s">
        <v>30</v>
      </c>
    </row>
    <row r="761" spans="6:6" ht="12.75" customHeight="1" x14ac:dyDescent="0.25">
      <c r="F761" s="6" t="s">
        <v>30</v>
      </c>
    </row>
    <row r="762" spans="6:6" ht="12.75" customHeight="1" x14ac:dyDescent="0.25">
      <c r="F762" s="6" t="s">
        <v>30</v>
      </c>
    </row>
    <row r="763" spans="6:6" ht="12.75" customHeight="1" x14ac:dyDescent="0.25">
      <c r="F763" s="6" t="s">
        <v>30</v>
      </c>
    </row>
    <row r="764" spans="6:6" ht="12.75" customHeight="1" x14ac:dyDescent="0.25">
      <c r="F764" s="6" t="s">
        <v>30</v>
      </c>
    </row>
    <row r="765" spans="6:6" ht="12.75" customHeight="1" x14ac:dyDescent="0.25">
      <c r="F765" s="6" t="s">
        <v>30</v>
      </c>
    </row>
    <row r="766" spans="6:6" ht="12.75" customHeight="1" x14ac:dyDescent="0.25">
      <c r="F766" s="6" t="s">
        <v>30</v>
      </c>
    </row>
    <row r="767" spans="6:6" ht="12.75" customHeight="1" x14ac:dyDescent="0.25">
      <c r="F767" s="6" t="s">
        <v>30</v>
      </c>
    </row>
    <row r="768" spans="6:6" ht="12.75" customHeight="1" x14ac:dyDescent="0.25">
      <c r="F768" s="6" t="s">
        <v>30</v>
      </c>
    </row>
    <row r="769" spans="6:6" ht="12.75" customHeight="1" x14ac:dyDescent="0.25">
      <c r="F769" s="6" t="s">
        <v>30</v>
      </c>
    </row>
    <row r="770" spans="6:6" ht="12.75" customHeight="1" x14ac:dyDescent="0.25">
      <c r="F770" s="6" t="s">
        <v>30</v>
      </c>
    </row>
    <row r="771" spans="6:6" ht="12.75" customHeight="1" x14ac:dyDescent="0.25">
      <c r="F771" s="6" t="s">
        <v>30</v>
      </c>
    </row>
    <row r="772" spans="6:6" ht="12.75" customHeight="1" x14ac:dyDescent="0.25">
      <c r="F772" s="6" t="s">
        <v>30</v>
      </c>
    </row>
    <row r="773" spans="6:6" ht="12.75" customHeight="1" x14ac:dyDescent="0.25">
      <c r="F773" s="6" t="s">
        <v>30</v>
      </c>
    </row>
    <row r="774" spans="6:6" ht="12.75" customHeight="1" x14ac:dyDescent="0.25">
      <c r="F774" s="6" t="s">
        <v>30</v>
      </c>
    </row>
    <row r="775" spans="6:6" ht="12.75" customHeight="1" x14ac:dyDescent="0.25">
      <c r="F775" s="6" t="s">
        <v>30</v>
      </c>
    </row>
    <row r="776" spans="6:6" ht="12.75" customHeight="1" x14ac:dyDescent="0.25">
      <c r="F776" s="6" t="s">
        <v>30</v>
      </c>
    </row>
    <row r="777" spans="6:6" ht="12.75" customHeight="1" x14ac:dyDescent="0.25">
      <c r="F777" s="6" t="s">
        <v>30</v>
      </c>
    </row>
    <row r="778" spans="6:6" ht="12.75" customHeight="1" x14ac:dyDescent="0.25">
      <c r="F778" s="6" t="s">
        <v>30</v>
      </c>
    </row>
    <row r="779" spans="6:6" ht="12.75" customHeight="1" x14ac:dyDescent="0.25">
      <c r="F779" s="6" t="s">
        <v>30</v>
      </c>
    </row>
    <row r="780" spans="6:6" ht="12.75" customHeight="1" x14ac:dyDescent="0.25">
      <c r="F780" s="6" t="s">
        <v>30</v>
      </c>
    </row>
    <row r="781" spans="6:6" ht="12.75" customHeight="1" x14ac:dyDescent="0.25">
      <c r="F781" s="6" t="s">
        <v>30</v>
      </c>
    </row>
    <row r="782" spans="6:6" ht="12.75" customHeight="1" x14ac:dyDescent="0.25">
      <c r="F782" s="6" t="s">
        <v>30</v>
      </c>
    </row>
    <row r="783" spans="6:6" ht="12.75" customHeight="1" x14ac:dyDescent="0.25">
      <c r="F783" s="6" t="s">
        <v>30</v>
      </c>
    </row>
    <row r="784" spans="6:6" ht="12.75" customHeight="1" x14ac:dyDescent="0.25">
      <c r="F784" s="6" t="s">
        <v>30</v>
      </c>
    </row>
    <row r="785" spans="6:6" ht="12.75" customHeight="1" x14ac:dyDescent="0.25">
      <c r="F785" s="6" t="s">
        <v>30</v>
      </c>
    </row>
    <row r="786" spans="6:6" ht="12.75" customHeight="1" x14ac:dyDescent="0.25">
      <c r="F786" s="6" t="s">
        <v>30</v>
      </c>
    </row>
    <row r="787" spans="6:6" ht="12.75" customHeight="1" x14ac:dyDescent="0.25">
      <c r="F787" s="6" t="s">
        <v>30</v>
      </c>
    </row>
    <row r="788" spans="6:6" ht="12.75" customHeight="1" x14ac:dyDescent="0.25">
      <c r="F788" s="6" t="s">
        <v>30</v>
      </c>
    </row>
    <row r="789" spans="6:6" ht="12.75" customHeight="1" x14ac:dyDescent="0.25">
      <c r="F789" s="6" t="s">
        <v>30</v>
      </c>
    </row>
    <row r="790" spans="6:6" ht="12.75" customHeight="1" x14ac:dyDescent="0.25">
      <c r="F790" s="6" t="s">
        <v>30</v>
      </c>
    </row>
    <row r="791" spans="6:6" ht="12.75" customHeight="1" x14ac:dyDescent="0.25">
      <c r="F791" s="6" t="s">
        <v>30</v>
      </c>
    </row>
    <row r="792" spans="6:6" ht="12.75" customHeight="1" x14ac:dyDescent="0.25">
      <c r="F792" s="6" t="s">
        <v>30</v>
      </c>
    </row>
    <row r="793" spans="6:6" ht="12.75" customHeight="1" x14ac:dyDescent="0.25">
      <c r="F793" s="6" t="s">
        <v>30</v>
      </c>
    </row>
    <row r="794" spans="6:6" ht="12.75" customHeight="1" x14ac:dyDescent="0.25">
      <c r="F794" s="6" t="s">
        <v>30</v>
      </c>
    </row>
    <row r="795" spans="6:6" ht="12.75" customHeight="1" x14ac:dyDescent="0.25">
      <c r="F795" s="6" t="s">
        <v>30</v>
      </c>
    </row>
    <row r="796" spans="6:6" ht="12.75" customHeight="1" x14ac:dyDescent="0.25">
      <c r="F796" s="6" t="s">
        <v>30</v>
      </c>
    </row>
    <row r="797" spans="6:6" ht="12.75" customHeight="1" x14ac:dyDescent="0.25">
      <c r="F797" s="6" t="s">
        <v>30</v>
      </c>
    </row>
    <row r="798" spans="6:6" ht="12.75" customHeight="1" x14ac:dyDescent="0.25">
      <c r="F798" s="6" t="s">
        <v>30</v>
      </c>
    </row>
    <row r="799" spans="6:6" ht="12.75" customHeight="1" x14ac:dyDescent="0.25">
      <c r="F799" s="6" t="s">
        <v>30</v>
      </c>
    </row>
    <row r="800" spans="6:6" ht="12.75" customHeight="1" x14ac:dyDescent="0.25">
      <c r="F800" s="6" t="s">
        <v>30</v>
      </c>
    </row>
    <row r="801" spans="6:6" ht="12.75" customHeight="1" x14ac:dyDescent="0.25">
      <c r="F801" s="6" t="s">
        <v>30</v>
      </c>
    </row>
    <row r="802" spans="6:6" ht="12.75" customHeight="1" x14ac:dyDescent="0.25">
      <c r="F802" s="6" t="s">
        <v>30</v>
      </c>
    </row>
    <row r="803" spans="6:6" ht="12.75" customHeight="1" x14ac:dyDescent="0.25">
      <c r="F803" s="6" t="s">
        <v>30</v>
      </c>
    </row>
    <row r="804" spans="6:6" ht="12.75" customHeight="1" x14ac:dyDescent="0.25">
      <c r="F804" s="6" t="s">
        <v>30</v>
      </c>
    </row>
    <row r="805" spans="6:6" ht="12.75" customHeight="1" x14ac:dyDescent="0.25">
      <c r="F805" s="6" t="s">
        <v>30</v>
      </c>
    </row>
    <row r="806" spans="6:6" ht="12.75" customHeight="1" x14ac:dyDescent="0.25">
      <c r="F806" s="6" t="s">
        <v>30</v>
      </c>
    </row>
    <row r="807" spans="6:6" ht="12.75" customHeight="1" x14ac:dyDescent="0.25">
      <c r="F807" s="6" t="s">
        <v>30</v>
      </c>
    </row>
    <row r="808" spans="6:6" ht="12.75" customHeight="1" x14ac:dyDescent="0.25">
      <c r="F808" s="6" t="s">
        <v>30</v>
      </c>
    </row>
    <row r="809" spans="6:6" ht="12.75" customHeight="1" x14ac:dyDescent="0.25">
      <c r="F809" s="6" t="s">
        <v>30</v>
      </c>
    </row>
    <row r="810" spans="6:6" ht="12.75" customHeight="1" x14ac:dyDescent="0.25">
      <c r="F810" s="6" t="s">
        <v>30</v>
      </c>
    </row>
    <row r="811" spans="6:6" ht="12.75" customHeight="1" x14ac:dyDescent="0.25">
      <c r="F811" s="6" t="s">
        <v>30</v>
      </c>
    </row>
    <row r="812" spans="6:6" ht="12.75" customHeight="1" x14ac:dyDescent="0.25">
      <c r="F812" s="6" t="s">
        <v>30</v>
      </c>
    </row>
    <row r="813" spans="6:6" ht="12.75" customHeight="1" x14ac:dyDescent="0.25">
      <c r="F813" s="6" t="s">
        <v>30</v>
      </c>
    </row>
    <row r="814" spans="6:6" ht="12.75" customHeight="1" x14ac:dyDescent="0.25">
      <c r="F814" s="6" t="s">
        <v>30</v>
      </c>
    </row>
    <row r="815" spans="6:6" ht="12.75" customHeight="1" x14ac:dyDescent="0.25">
      <c r="F815" s="6" t="s">
        <v>30</v>
      </c>
    </row>
    <row r="816" spans="6:6" ht="12.75" customHeight="1" x14ac:dyDescent="0.25">
      <c r="F816" s="6" t="s">
        <v>30</v>
      </c>
    </row>
    <row r="817" spans="6:6" ht="12.75" customHeight="1" x14ac:dyDescent="0.25">
      <c r="F817" s="6" t="s">
        <v>30</v>
      </c>
    </row>
    <row r="818" spans="6:6" ht="12.75" customHeight="1" x14ac:dyDescent="0.25">
      <c r="F818" s="6" t="s">
        <v>30</v>
      </c>
    </row>
    <row r="819" spans="6:6" ht="12.75" customHeight="1" x14ac:dyDescent="0.25">
      <c r="F819" s="6" t="s">
        <v>30</v>
      </c>
    </row>
    <row r="820" spans="6:6" ht="12.75" customHeight="1" x14ac:dyDescent="0.25">
      <c r="F820" s="6" t="s">
        <v>30</v>
      </c>
    </row>
    <row r="821" spans="6:6" ht="12.75" customHeight="1" x14ac:dyDescent="0.25">
      <c r="F821" s="6" t="s">
        <v>30</v>
      </c>
    </row>
    <row r="822" spans="6:6" ht="12.75" customHeight="1" x14ac:dyDescent="0.25">
      <c r="F822" s="6" t="s">
        <v>30</v>
      </c>
    </row>
    <row r="823" spans="6:6" ht="12.75" customHeight="1" x14ac:dyDescent="0.25">
      <c r="F823" s="6" t="s">
        <v>30</v>
      </c>
    </row>
    <row r="824" spans="6:6" ht="12.75" customHeight="1" x14ac:dyDescent="0.25">
      <c r="F824" s="6" t="s">
        <v>30</v>
      </c>
    </row>
    <row r="825" spans="6:6" ht="12.75" customHeight="1" x14ac:dyDescent="0.25">
      <c r="F825" s="6" t="s">
        <v>30</v>
      </c>
    </row>
    <row r="826" spans="6:6" ht="12.75" customHeight="1" x14ac:dyDescent="0.25">
      <c r="F826" s="6" t="s">
        <v>30</v>
      </c>
    </row>
    <row r="827" spans="6:6" ht="12.75" customHeight="1" x14ac:dyDescent="0.25">
      <c r="F827" s="6" t="s">
        <v>30</v>
      </c>
    </row>
    <row r="828" spans="6:6" ht="12.75" customHeight="1" x14ac:dyDescent="0.25">
      <c r="F828" s="6" t="s">
        <v>30</v>
      </c>
    </row>
    <row r="829" spans="6:6" ht="12.75" customHeight="1" x14ac:dyDescent="0.25">
      <c r="F829" s="6" t="s">
        <v>30</v>
      </c>
    </row>
    <row r="830" spans="6:6" ht="12.75" customHeight="1" x14ac:dyDescent="0.25">
      <c r="F830" s="6" t="s">
        <v>30</v>
      </c>
    </row>
    <row r="831" spans="6:6" ht="12.75" customHeight="1" x14ac:dyDescent="0.25">
      <c r="F831" s="6" t="s">
        <v>30</v>
      </c>
    </row>
    <row r="832" spans="6:6" ht="12.75" customHeight="1" x14ac:dyDescent="0.25">
      <c r="F832" s="6" t="s">
        <v>30</v>
      </c>
    </row>
    <row r="833" spans="6:6" ht="12.75" customHeight="1" x14ac:dyDescent="0.25">
      <c r="F833" s="6" t="s">
        <v>30</v>
      </c>
    </row>
    <row r="834" spans="6:6" ht="12.75" customHeight="1" x14ac:dyDescent="0.25">
      <c r="F834" s="6" t="s">
        <v>30</v>
      </c>
    </row>
    <row r="835" spans="6:6" ht="12.75" customHeight="1" x14ac:dyDescent="0.25">
      <c r="F835" s="6" t="s">
        <v>30</v>
      </c>
    </row>
    <row r="836" spans="6:6" ht="12.75" customHeight="1" x14ac:dyDescent="0.25">
      <c r="F836" s="6" t="s">
        <v>30</v>
      </c>
    </row>
    <row r="837" spans="6:6" ht="12.75" customHeight="1" x14ac:dyDescent="0.25">
      <c r="F837" s="6" t="s">
        <v>30</v>
      </c>
    </row>
    <row r="838" spans="6:6" ht="12.75" customHeight="1" x14ac:dyDescent="0.25">
      <c r="F838" s="6" t="s">
        <v>30</v>
      </c>
    </row>
    <row r="839" spans="6:6" ht="12.75" customHeight="1" x14ac:dyDescent="0.25">
      <c r="F839" s="6" t="s">
        <v>30</v>
      </c>
    </row>
    <row r="840" spans="6:6" ht="12.75" customHeight="1" x14ac:dyDescent="0.25">
      <c r="F840" s="6" t="s">
        <v>30</v>
      </c>
    </row>
    <row r="841" spans="6:6" ht="12.75" customHeight="1" x14ac:dyDescent="0.25">
      <c r="F841" s="6" t="s">
        <v>30</v>
      </c>
    </row>
    <row r="842" spans="6:6" ht="12.75" customHeight="1" x14ac:dyDescent="0.25">
      <c r="F842" s="6" t="s">
        <v>30</v>
      </c>
    </row>
    <row r="843" spans="6:6" ht="12.75" customHeight="1" x14ac:dyDescent="0.25">
      <c r="F843" s="6" t="s">
        <v>30</v>
      </c>
    </row>
    <row r="844" spans="6:6" ht="12.75" customHeight="1" x14ac:dyDescent="0.25">
      <c r="F844" s="6" t="s">
        <v>30</v>
      </c>
    </row>
    <row r="845" spans="6:6" ht="12.75" customHeight="1" x14ac:dyDescent="0.25">
      <c r="F845" s="6" t="s">
        <v>30</v>
      </c>
    </row>
    <row r="846" spans="6:6" ht="12.75" customHeight="1" x14ac:dyDescent="0.25">
      <c r="F846" s="6" t="s">
        <v>30</v>
      </c>
    </row>
    <row r="847" spans="6:6" ht="12.75" customHeight="1" x14ac:dyDescent="0.25">
      <c r="F847" s="6" t="s">
        <v>30</v>
      </c>
    </row>
    <row r="848" spans="6:6" ht="12.75" customHeight="1" x14ac:dyDescent="0.25">
      <c r="F848" s="6" t="s">
        <v>30</v>
      </c>
    </row>
    <row r="849" spans="6:6" ht="12.75" customHeight="1" x14ac:dyDescent="0.25">
      <c r="F849" s="6" t="s">
        <v>30</v>
      </c>
    </row>
    <row r="850" spans="6:6" ht="12.75" customHeight="1" x14ac:dyDescent="0.25">
      <c r="F850" s="6" t="s">
        <v>30</v>
      </c>
    </row>
    <row r="851" spans="6:6" ht="12.75" customHeight="1" x14ac:dyDescent="0.25">
      <c r="F851" s="6" t="s">
        <v>30</v>
      </c>
    </row>
    <row r="852" spans="6:6" ht="12.75" customHeight="1" x14ac:dyDescent="0.25">
      <c r="F852" s="6" t="s">
        <v>30</v>
      </c>
    </row>
    <row r="853" spans="6:6" ht="12.75" customHeight="1" x14ac:dyDescent="0.25">
      <c r="F853" s="6" t="s">
        <v>30</v>
      </c>
    </row>
    <row r="854" spans="6:6" ht="12.75" customHeight="1" x14ac:dyDescent="0.25">
      <c r="F854" s="6" t="s">
        <v>30</v>
      </c>
    </row>
    <row r="855" spans="6:6" ht="12.75" customHeight="1" x14ac:dyDescent="0.25">
      <c r="F855" s="6" t="s">
        <v>30</v>
      </c>
    </row>
    <row r="856" spans="6:6" ht="12.75" customHeight="1" x14ac:dyDescent="0.25">
      <c r="F856" s="6" t="s">
        <v>30</v>
      </c>
    </row>
    <row r="857" spans="6:6" ht="12.75" customHeight="1" x14ac:dyDescent="0.25">
      <c r="F857" s="6" t="s">
        <v>30</v>
      </c>
    </row>
    <row r="858" spans="6:6" ht="12.75" customHeight="1" x14ac:dyDescent="0.25">
      <c r="F858" s="6" t="s">
        <v>30</v>
      </c>
    </row>
    <row r="859" spans="6:6" ht="12.75" customHeight="1" x14ac:dyDescent="0.25">
      <c r="F859" s="6" t="s">
        <v>30</v>
      </c>
    </row>
    <row r="860" spans="6:6" ht="12.75" customHeight="1" x14ac:dyDescent="0.25">
      <c r="F860" s="6" t="s">
        <v>30</v>
      </c>
    </row>
    <row r="861" spans="6:6" ht="12.75" customHeight="1" x14ac:dyDescent="0.25">
      <c r="F861" s="6" t="s">
        <v>30</v>
      </c>
    </row>
    <row r="862" spans="6:6" ht="12.75" customHeight="1" x14ac:dyDescent="0.25">
      <c r="F862" s="6" t="s">
        <v>30</v>
      </c>
    </row>
    <row r="863" spans="6:6" ht="12.75" customHeight="1" x14ac:dyDescent="0.25">
      <c r="F863" s="6" t="s">
        <v>30</v>
      </c>
    </row>
    <row r="864" spans="6:6" ht="12.75" customHeight="1" x14ac:dyDescent="0.25">
      <c r="F864" s="6" t="s">
        <v>30</v>
      </c>
    </row>
    <row r="865" spans="6:6" ht="12.75" customHeight="1" x14ac:dyDescent="0.25">
      <c r="F865" s="6" t="s">
        <v>30</v>
      </c>
    </row>
    <row r="866" spans="6:6" ht="12.75" customHeight="1" x14ac:dyDescent="0.25">
      <c r="F866" s="6" t="s">
        <v>30</v>
      </c>
    </row>
    <row r="867" spans="6:6" ht="12.75" customHeight="1" x14ac:dyDescent="0.25">
      <c r="F867" s="6" t="s">
        <v>30</v>
      </c>
    </row>
    <row r="868" spans="6:6" ht="12.75" customHeight="1" x14ac:dyDescent="0.25">
      <c r="F868" s="6" t="s">
        <v>30</v>
      </c>
    </row>
    <row r="869" spans="6:6" ht="12.75" customHeight="1" x14ac:dyDescent="0.25">
      <c r="F869" s="6" t="s">
        <v>30</v>
      </c>
    </row>
    <row r="870" spans="6:6" ht="12.75" customHeight="1" x14ac:dyDescent="0.25">
      <c r="F870" s="6" t="s">
        <v>30</v>
      </c>
    </row>
    <row r="871" spans="6:6" ht="12.75" customHeight="1" x14ac:dyDescent="0.25">
      <c r="F871" s="6" t="s">
        <v>30</v>
      </c>
    </row>
    <row r="872" spans="6:6" ht="12.75" customHeight="1" x14ac:dyDescent="0.25">
      <c r="F872" s="6" t="s">
        <v>30</v>
      </c>
    </row>
    <row r="873" spans="6:6" ht="12.75" customHeight="1" x14ac:dyDescent="0.25">
      <c r="F873" s="6" t="s">
        <v>30</v>
      </c>
    </row>
    <row r="874" spans="6:6" ht="12.75" customHeight="1" x14ac:dyDescent="0.25">
      <c r="F874" s="6" t="s">
        <v>30</v>
      </c>
    </row>
    <row r="875" spans="6:6" ht="12.75" customHeight="1" x14ac:dyDescent="0.25">
      <c r="F875" s="6" t="s">
        <v>30</v>
      </c>
    </row>
    <row r="876" spans="6:6" ht="12.75" customHeight="1" x14ac:dyDescent="0.25">
      <c r="F876" s="6" t="s">
        <v>30</v>
      </c>
    </row>
    <row r="877" spans="6:6" ht="12.75" customHeight="1" x14ac:dyDescent="0.25">
      <c r="F877" s="6" t="s">
        <v>30</v>
      </c>
    </row>
    <row r="878" spans="6:6" ht="12.75" customHeight="1" x14ac:dyDescent="0.25">
      <c r="F878" s="6" t="s">
        <v>30</v>
      </c>
    </row>
    <row r="879" spans="6:6" ht="12.75" customHeight="1" x14ac:dyDescent="0.25">
      <c r="F879" s="6" t="s">
        <v>30</v>
      </c>
    </row>
    <row r="880" spans="6:6" ht="12.75" customHeight="1" x14ac:dyDescent="0.25">
      <c r="F880" s="6" t="s">
        <v>30</v>
      </c>
    </row>
    <row r="881" spans="6:6" ht="12.75" customHeight="1" x14ac:dyDescent="0.25">
      <c r="F881" s="6" t="s">
        <v>30</v>
      </c>
    </row>
    <row r="882" spans="6:6" ht="12.75" customHeight="1" x14ac:dyDescent="0.25">
      <c r="F882" s="6" t="s">
        <v>30</v>
      </c>
    </row>
    <row r="883" spans="6:6" ht="12.75" customHeight="1" x14ac:dyDescent="0.25">
      <c r="F883" s="6" t="s">
        <v>30</v>
      </c>
    </row>
    <row r="884" spans="6:6" ht="12.75" customHeight="1" x14ac:dyDescent="0.25">
      <c r="F884" s="6" t="s">
        <v>30</v>
      </c>
    </row>
    <row r="885" spans="6:6" ht="12.75" customHeight="1" x14ac:dyDescent="0.25">
      <c r="F885" s="6" t="s">
        <v>30</v>
      </c>
    </row>
    <row r="886" spans="6:6" ht="12.75" customHeight="1" x14ac:dyDescent="0.25">
      <c r="F886" s="6" t="s">
        <v>30</v>
      </c>
    </row>
    <row r="887" spans="6:6" ht="12.75" customHeight="1" x14ac:dyDescent="0.25">
      <c r="F887" s="6" t="s">
        <v>30</v>
      </c>
    </row>
    <row r="888" spans="6:6" ht="12.75" customHeight="1" x14ac:dyDescent="0.25">
      <c r="F888" s="6" t="s">
        <v>30</v>
      </c>
    </row>
    <row r="889" spans="6:6" ht="12.75" customHeight="1" x14ac:dyDescent="0.25">
      <c r="F889" s="6" t="s">
        <v>30</v>
      </c>
    </row>
    <row r="890" spans="6:6" ht="12.75" customHeight="1" x14ac:dyDescent="0.25">
      <c r="F890" s="6" t="s">
        <v>30</v>
      </c>
    </row>
    <row r="891" spans="6:6" ht="12.75" customHeight="1" x14ac:dyDescent="0.25">
      <c r="F891" s="6" t="s">
        <v>30</v>
      </c>
    </row>
    <row r="892" spans="6:6" ht="12.75" customHeight="1" x14ac:dyDescent="0.25">
      <c r="F892" s="6" t="s">
        <v>30</v>
      </c>
    </row>
    <row r="893" spans="6:6" ht="12.75" customHeight="1" x14ac:dyDescent="0.25">
      <c r="F893" s="6" t="s">
        <v>30</v>
      </c>
    </row>
    <row r="894" spans="6:6" ht="12.75" customHeight="1" x14ac:dyDescent="0.25">
      <c r="F894" s="6" t="s">
        <v>30</v>
      </c>
    </row>
    <row r="895" spans="6:6" ht="12.75" customHeight="1" x14ac:dyDescent="0.25">
      <c r="F895" s="6" t="s">
        <v>30</v>
      </c>
    </row>
    <row r="896" spans="6:6" ht="12.75" customHeight="1" x14ac:dyDescent="0.25">
      <c r="F896" s="6" t="s">
        <v>30</v>
      </c>
    </row>
    <row r="897" spans="6:6" ht="12.75" customHeight="1" x14ac:dyDescent="0.25">
      <c r="F897" s="6" t="s">
        <v>30</v>
      </c>
    </row>
    <row r="898" spans="6:6" ht="12.75" customHeight="1" x14ac:dyDescent="0.25">
      <c r="F898" s="6" t="s">
        <v>30</v>
      </c>
    </row>
    <row r="899" spans="6:6" ht="12.75" customHeight="1" x14ac:dyDescent="0.25">
      <c r="F899" s="6" t="s">
        <v>30</v>
      </c>
    </row>
    <row r="900" spans="6:6" ht="12.75" customHeight="1" x14ac:dyDescent="0.25">
      <c r="F900" s="6" t="s">
        <v>30</v>
      </c>
    </row>
    <row r="901" spans="6:6" ht="12.75" customHeight="1" x14ac:dyDescent="0.25">
      <c r="F901" s="6" t="s">
        <v>30</v>
      </c>
    </row>
    <row r="902" spans="6:6" ht="12.75" customHeight="1" x14ac:dyDescent="0.25">
      <c r="F902" s="6" t="s">
        <v>30</v>
      </c>
    </row>
    <row r="903" spans="6:6" ht="12.75" customHeight="1" x14ac:dyDescent="0.25">
      <c r="F903" s="6" t="s">
        <v>30</v>
      </c>
    </row>
    <row r="904" spans="6:6" ht="12.75" customHeight="1" x14ac:dyDescent="0.25">
      <c r="F904" s="6" t="s">
        <v>30</v>
      </c>
    </row>
    <row r="905" spans="6:6" ht="12.75" customHeight="1" x14ac:dyDescent="0.25">
      <c r="F905" s="6" t="s">
        <v>30</v>
      </c>
    </row>
    <row r="906" spans="6:6" ht="12.75" customHeight="1" x14ac:dyDescent="0.25">
      <c r="F906" s="6" t="s">
        <v>30</v>
      </c>
    </row>
    <row r="907" spans="6:6" ht="12.75" customHeight="1" x14ac:dyDescent="0.25">
      <c r="F907" s="6" t="s">
        <v>30</v>
      </c>
    </row>
    <row r="908" spans="6:6" ht="12.75" customHeight="1" x14ac:dyDescent="0.25">
      <c r="F908" s="6" t="s">
        <v>30</v>
      </c>
    </row>
    <row r="909" spans="6:6" ht="12.75" customHeight="1" x14ac:dyDescent="0.25">
      <c r="F909" s="6" t="s">
        <v>30</v>
      </c>
    </row>
    <row r="910" spans="6:6" ht="12.75" customHeight="1" x14ac:dyDescent="0.25">
      <c r="F910" s="6" t="s">
        <v>30</v>
      </c>
    </row>
    <row r="911" spans="6:6" ht="12.75" customHeight="1" x14ac:dyDescent="0.25">
      <c r="F911" s="6" t="s">
        <v>30</v>
      </c>
    </row>
    <row r="912" spans="6:6" ht="12.75" customHeight="1" x14ac:dyDescent="0.25">
      <c r="F912" s="6" t="s">
        <v>30</v>
      </c>
    </row>
    <row r="913" spans="6:6" ht="12.75" customHeight="1" x14ac:dyDescent="0.25">
      <c r="F913" s="6" t="s">
        <v>30</v>
      </c>
    </row>
    <row r="914" spans="6:6" ht="12.75" customHeight="1" x14ac:dyDescent="0.25">
      <c r="F914" s="6" t="s">
        <v>30</v>
      </c>
    </row>
    <row r="915" spans="6:6" ht="12.75" customHeight="1" x14ac:dyDescent="0.25">
      <c r="F915" s="6" t="s">
        <v>30</v>
      </c>
    </row>
    <row r="916" spans="6:6" ht="12.75" customHeight="1" x14ac:dyDescent="0.25">
      <c r="F916" s="6" t="s">
        <v>30</v>
      </c>
    </row>
    <row r="917" spans="6:6" ht="12.75" customHeight="1" x14ac:dyDescent="0.25">
      <c r="F917" s="6" t="s">
        <v>30</v>
      </c>
    </row>
    <row r="918" spans="6:6" ht="12.75" customHeight="1" x14ac:dyDescent="0.25">
      <c r="F918" s="6" t="s">
        <v>30</v>
      </c>
    </row>
    <row r="919" spans="6:6" ht="12.75" customHeight="1" x14ac:dyDescent="0.25">
      <c r="F919" s="6" t="s">
        <v>30</v>
      </c>
    </row>
    <row r="920" spans="6:6" ht="12.75" customHeight="1" x14ac:dyDescent="0.25">
      <c r="F920" s="6" t="s">
        <v>30</v>
      </c>
    </row>
    <row r="921" spans="6:6" ht="12.75" customHeight="1" x14ac:dyDescent="0.25">
      <c r="F921" s="6" t="s">
        <v>30</v>
      </c>
    </row>
    <row r="922" spans="6:6" ht="12.75" customHeight="1" x14ac:dyDescent="0.25">
      <c r="F922" s="6" t="s">
        <v>30</v>
      </c>
    </row>
    <row r="923" spans="6:6" ht="12.75" customHeight="1" x14ac:dyDescent="0.25">
      <c r="F923" s="6" t="s">
        <v>30</v>
      </c>
    </row>
    <row r="924" spans="6:6" ht="12.75" customHeight="1" x14ac:dyDescent="0.25">
      <c r="F924" s="6" t="s">
        <v>30</v>
      </c>
    </row>
    <row r="925" spans="6:6" ht="12.75" customHeight="1" x14ac:dyDescent="0.25">
      <c r="F925" s="6" t="s">
        <v>30</v>
      </c>
    </row>
    <row r="926" spans="6:6" ht="12.75" customHeight="1" x14ac:dyDescent="0.25">
      <c r="F926" s="6" t="s">
        <v>30</v>
      </c>
    </row>
    <row r="927" spans="6:6" ht="12.75" customHeight="1" x14ac:dyDescent="0.25">
      <c r="F927" s="6" t="s">
        <v>30</v>
      </c>
    </row>
    <row r="928" spans="6:6" ht="12.75" customHeight="1" x14ac:dyDescent="0.25">
      <c r="F928" s="6" t="s">
        <v>30</v>
      </c>
    </row>
    <row r="929" spans="6:6" ht="12.75" customHeight="1" x14ac:dyDescent="0.25">
      <c r="F929" s="6" t="s">
        <v>30</v>
      </c>
    </row>
    <row r="930" spans="6:6" ht="12.75" customHeight="1" x14ac:dyDescent="0.25">
      <c r="F930" s="6" t="s">
        <v>30</v>
      </c>
    </row>
    <row r="931" spans="6:6" ht="12.75" customHeight="1" x14ac:dyDescent="0.25">
      <c r="F931" s="6" t="s">
        <v>30</v>
      </c>
    </row>
    <row r="932" spans="6:6" ht="12.75" customHeight="1" x14ac:dyDescent="0.25">
      <c r="F932" s="6" t="s">
        <v>30</v>
      </c>
    </row>
    <row r="933" spans="6:6" ht="12.75" customHeight="1" x14ac:dyDescent="0.25">
      <c r="F933" s="6" t="s">
        <v>30</v>
      </c>
    </row>
    <row r="934" spans="6:6" ht="12.75" customHeight="1" x14ac:dyDescent="0.25">
      <c r="F934" s="6" t="s">
        <v>30</v>
      </c>
    </row>
    <row r="935" spans="6:6" ht="12.75" customHeight="1" x14ac:dyDescent="0.25">
      <c r="F935" s="6" t="s">
        <v>30</v>
      </c>
    </row>
    <row r="936" spans="6:6" ht="12.75" customHeight="1" x14ac:dyDescent="0.25">
      <c r="F936" s="6" t="s">
        <v>30</v>
      </c>
    </row>
    <row r="937" spans="6:6" ht="12.75" customHeight="1" x14ac:dyDescent="0.25">
      <c r="F937" s="6" t="s">
        <v>30</v>
      </c>
    </row>
    <row r="938" spans="6:6" ht="12.75" customHeight="1" x14ac:dyDescent="0.25">
      <c r="F938" s="6" t="s">
        <v>30</v>
      </c>
    </row>
    <row r="939" spans="6:6" ht="12.75" customHeight="1" x14ac:dyDescent="0.25">
      <c r="F939" s="6" t="s">
        <v>30</v>
      </c>
    </row>
    <row r="940" spans="6:6" ht="12.75" customHeight="1" x14ac:dyDescent="0.25">
      <c r="F940" s="6" t="s">
        <v>30</v>
      </c>
    </row>
    <row r="941" spans="6:6" ht="12.75" customHeight="1" x14ac:dyDescent="0.25">
      <c r="F941" s="6" t="s">
        <v>30</v>
      </c>
    </row>
    <row r="942" spans="6:6" ht="12.75" customHeight="1" x14ac:dyDescent="0.25">
      <c r="F942" s="6" t="s">
        <v>30</v>
      </c>
    </row>
    <row r="943" spans="6:6" ht="12.75" customHeight="1" x14ac:dyDescent="0.25">
      <c r="F943" s="6" t="s">
        <v>30</v>
      </c>
    </row>
    <row r="944" spans="6:6" ht="12.75" customHeight="1" x14ac:dyDescent="0.25">
      <c r="F944" s="6" t="s">
        <v>30</v>
      </c>
    </row>
    <row r="945" spans="6:6" ht="12.75" customHeight="1" x14ac:dyDescent="0.25">
      <c r="F945" s="6" t="s">
        <v>30</v>
      </c>
    </row>
    <row r="946" spans="6:6" ht="12.75" customHeight="1" x14ac:dyDescent="0.25">
      <c r="F946" s="6" t="s">
        <v>30</v>
      </c>
    </row>
    <row r="947" spans="6:6" ht="12.75" customHeight="1" x14ac:dyDescent="0.25">
      <c r="F947" s="6" t="s">
        <v>30</v>
      </c>
    </row>
    <row r="948" spans="6:6" ht="12.75" customHeight="1" x14ac:dyDescent="0.25">
      <c r="F948" s="6" t="s">
        <v>30</v>
      </c>
    </row>
    <row r="949" spans="6:6" ht="12.75" customHeight="1" x14ac:dyDescent="0.25">
      <c r="F949" s="6" t="s">
        <v>30</v>
      </c>
    </row>
    <row r="950" spans="6:6" ht="12.75" customHeight="1" x14ac:dyDescent="0.25">
      <c r="F950" s="6" t="s">
        <v>30</v>
      </c>
    </row>
    <row r="951" spans="6:6" ht="12.75" customHeight="1" x14ac:dyDescent="0.25">
      <c r="F951" s="6" t="s">
        <v>30</v>
      </c>
    </row>
    <row r="952" spans="6:6" ht="12.75" customHeight="1" x14ac:dyDescent="0.25">
      <c r="F952" s="6" t="s">
        <v>30</v>
      </c>
    </row>
    <row r="953" spans="6:6" ht="12.75" customHeight="1" x14ac:dyDescent="0.25">
      <c r="F953" s="6" t="s">
        <v>30</v>
      </c>
    </row>
    <row r="954" spans="6:6" ht="12.75" customHeight="1" x14ac:dyDescent="0.25">
      <c r="F954" s="6" t="s">
        <v>30</v>
      </c>
    </row>
    <row r="955" spans="6:6" ht="12.75" customHeight="1" x14ac:dyDescent="0.25">
      <c r="F955" s="6" t="s">
        <v>30</v>
      </c>
    </row>
    <row r="956" spans="6:6" ht="12.75" customHeight="1" x14ac:dyDescent="0.25">
      <c r="F956" s="6" t="s">
        <v>30</v>
      </c>
    </row>
    <row r="957" spans="6:6" ht="12.75" customHeight="1" x14ac:dyDescent="0.25">
      <c r="F957" s="6" t="s">
        <v>30</v>
      </c>
    </row>
    <row r="958" spans="6:6" ht="12.75" customHeight="1" x14ac:dyDescent="0.25">
      <c r="F958" s="6" t="s">
        <v>30</v>
      </c>
    </row>
    <row r="959" spans="6:6" ht="12.75" customHeight="1" x14ac:dyDescent="0.25">
      <c r="F959" s="6" t="s">
        <v>30</v>
      </c>
    </row>
    <row r="960" spans="6:6" ht="12.75" customHeight="1" x14ac:dyDescent="0.25">
      <c r="F960" s="6" t="s">
        <v>30</v>
      </c>
    </row>
    <row r="961" spans="6:6" ht="12.75" customHeight="1" x14ac:dyDescent="0.25">
      <c r="F961" s="6" t="s">
        <v>30</v>
      </c>
    </row>
    <row r="962" spans="6:6" ht="12.75" customHeight="1" x14ac:dyDescent="0.25">
      <c r="F962" s="6" t="s">
        <v>30</v>
      </c>
    </row>
    <row r="963" spans="6:6" ht="12.75" customHeight="1" x14ac:dyDescent="0.25">
      <c r="F963" s="6" t="s">
        <v>30</v>
      </c>
    </row>
    <row r="964" spans="6:6" ht="12.75" customHeight="1" x14ac:dyDescent="0.25">
      <c r="F964" s="6" t="s">
        <v>30</v>
      </c>
    </row>
    <row r="965" spans="6:6" ht="12.75" customHeight="1" x14ac:dyDescent="0.25">
      <c r="F965" s="6" t="s">
        <v>30</v>
      </c>
    </row>
    <row r="966" spans="6:6" ht="12.75" customHeight="1" x14ac:dyDescent="0.25">
      <c r="F966" s="6" t="s">
        <v>30</v>
      </c>
    </row>
    <row r="967" spans="6:6" ht="12.75" customHeight="1" x14ac:dyDescent="0.25">
      <c r="F967" s="6" t="s">
        <v>30</v>
      </c>
    </row>
    <row r="968" spans="6:6" ht="12.75" customHeight="1" x14ac:dyDescent="0.25">
      <c r="F968" s="6" t="s">
        <v>30</v>
      </c>
    </row>
    <row r="969" spans="6:6" ht="12.75" customHeight="1" x14ac:dyDescent="0.25">
      <c r="F969" s="6" t="s">
        <v>30</v>
      </c>
    </row>
    <row r="970" spans="6:6" ht="12.75" customHeight="1" x14ac:dyDescent="0.25">
      <c r="F970" s="6" t="s">
        <v>30</v>
      </c>
    </row>
    <row r="971" spans="6:6" ht="12.75" customHeight="1" x14ac:dyDescent="0.25">
      <c r="F971" s="6" t="s">
        <v>30</v>
      </c>
    </row>
    <row r="972" spans="6:6" ht="12.75" customHeight="1" x14ac:dyDescent="0.25">
      <c r="F972" s="6" t="s">
        <v>30</v>
      </c>
    </row>
    <row r="973" spans="6:6" ht="12.75" customHeight="1" x14ac:dyDescent="0.25">
      <c r="F973" s="6" t="s">
        <v>30</v>
      </c>
    </row>
    <row r="974" spans="6:6" ht="12.75" customHeight="1" x14ac:dyDescent="0.25">
      <c r="F974" s="6" t="s">
        <v>30</v>
      </c>
    </row>
    <row r="975" spans="6:6" ht="12.75" customHeight="1" x14ac:dyDescent="0.25">
      <c r="F975" s="6" t="s">
        <v>30</v>
      </c>
    </row>
    <row r="976" spans="6:6" ht="12.75" customHeight="1" x14ac:dyDescent="0.25">
      <c r="F976" s="6" t="s">
        <v>30</v>
      </c>
    </row>
    <row r="977" spans="6:6" ht="12.75" customHeight="1" x14ac:dyDescent="0.25">
      <c r="F977" s="6" t="s">
        <v>30</v>
      </c>
    </row>
    <row r="978" spans="6:6" ht="12.75" customHeight="1" x14ac:dyDescent="0.25">
      <c r="F978" s="6" t="s">
        <v>30</v>
      </c>
    </row>
    <row r="979" spans="6:6" ht="12.75" customHeight="1" x14ac:dyDescent="0.25">
      <c r="F979" s="6" t="s">
        <v>30</v>
      </c>
    </row>
    <row r="980" spans="6:6" ht="12.75" customHeight="1" x14ac:dyDescent="0.25">
      <c r="F980" s="6" t="s">
        <v>30</v>
      </c>
    </row>
    <row r="981" spans="6:6" ht="12.75" customHeight="1" x14ac:dyDescent="0.25">
      <c r="F981" s="6" t="s">
        <v>30</v>
      </c>
    </row>
    <row r="982" spans="6:6" ht="12.75" customHeight="1" x14ac:dyDescent="0.25">
      <c r="F982" s="6" t="s">
        <v>30</v>
      </c>
    </row>
    <row r="983" spans="6:6" ht="12.75" customHeight="1" x14ac:dyDescent="0.25">
      <c r="F983" s="6" t="s">
        <v>30</v>
      </c>
    </row>
    <row r="984" spans="6:6" ht="12.75" customHeight="1" x14ac:dyDescent="0.25">
      <c r="F984" s="6" t="s">
        <v>30</v>
      </c>
    </row>
    <row r="985" spans="6:6" ht="12.75" customHeight="1" x14ac:dyDescent="0.25">
      <c r="F985" s="6" t="s">
        <v>30</v>
      </c>
    </row>
    <row r="986" spans="6:6" ht="12.75" customHeight="1" x14ac:dyDescent="0.25">
      <c r="F986" s="6" t="s">
        <v>30</v>
      </c>
    </row>
    <row r="987" spans="6:6" ht="12.75" customHeight="1" x14ac:dyDescent="0.25">
      <c r="F987" s="6" t="s">
        <v>30</v>
      </c>
    </row>
    <row r="988" spans="6:6" ht="12.75" customHeight="1" x14ac:dyDescent="0.25">
      <c r="F988" s="6" t="s">
        <v>30</v>
      </c>
    </row>
    <row r="989" spans="6:6" ht="12.75" customHeight="1" x14ac:dyDescent="0.25">
      <c r="F989" s="6" t="s">
        <v>30</v>
      </c>
    </row>
    <row r="990" spans="6:6" ht="12.75" customHeight="1" x14ac:dyDescent="0.25">
      <c r="F990" s="6" t="s">
        <v>30</v>
      </c>
    </row>
    <row r="991" spans="6:6" ht="12.75" customHeight="1" x14ac:dyDescent="0.25">
      <c r="F991" s="6" t="s">
        <v>30</v>
      </c>
    </row>
    <row r="992" spans="6:6" ht="12.75" customHeight="1" x14ac:dyDescent="0.25">
      <c r="F992" s="6" t="s">
        <v>30</v>
      </c>
    </row>
    <row r="993" spans="6:6" ht="12.75" customHeight="1" x14ac:dyDescent="0.25">
      <c r="F993" s="6" t="s">
        <v>30</v>
      </c>
    </row>
    <row r="994" spans="6:6" ht="12.75" customHeight="1" x14ac:dyDescent="0.25">
      <c r="F994" s="6" t="s">
        <v>30</v>
      </c>
    </row>
    <row r="995" spans="6:6" ht="12.75" customHeight="1" x14ac:dyDescent="0.25">
      <c r="F995" s="6" t="s">
        <v>30</v>
      </c>
    </row>
    <row r="996" spans="6:6" ht="12.75" customHeight="1" x14ac:dyDescent="0.25">
      <c r="F996" s="6" t="s">
        <v>30</v>
      </c>
    </row>
    <row r="997" spans="6:6" ht="12.75" customHeight="1" x14ac:dyDescent="0.25">
      <c r="F997" s="6" t="s">
        <v>30</v>
      </c>
    </row>
    <row r="998" spans="6:6" ht="12.75" customHeight="1" x14ac:dyDescent="0.25">
      <c r="F998" s="6" t="s">
        <v>30</v>
      </c>
    </row>
    <row r="999" spans="6:6" ht="12.75" customHeight="1" x14ac:dyDescent="0.25">
      <c r="F999" s="6" t="s">
        <v>30</v>
      </c>
    </row>
    <row r="1000" spans="6:6" ht="12.75" customHeight="1" x14ac:dyDescent="0.25">
      <c r="F1000" s="6" t="s">
        <v>30</v>
      </c>
    </row>
    <row r="1001" spans="6:6" ht="12.75" customHeight="1" x14ac:dyDescent="0.25">
      <c r="F1001" s="6" t="s">
        <v>30</v>
      </c>
    </row>
    <row r="1002" spans="6:6" ht="12.75" customHeight="1" x14ac:dyDescent="0.25">
      <c r="F1002" s="6" t="s">
        <v>30</v>
      </c>
    </row>
    <row r="1003" spans="6:6" ht="12.75" customHeight="1" x14ac:dyDescent="0.25">
      <c r="F1003" s="6" t="s">
        <v>30</v>
      </c>
    </row>
    <row r="1004" spans="6:6" ht="12.75" customHeight="1" x14ac:dyDescent="0.25">
      <c r="F1004" s="6" t="s">
        <v>30</v>
      </c>
    </row>
    <row r="1005" spans="6:6" ht="12.75" customHeight="1" x14ac:dyDescent="0.25">
      <c r="F1005" s="6" t="s">
        <v>30</v>
      </c>
    </row>
    <row r="1006" spans="6:6" ht="12.75" customHeight="1" x14ac:dyDescent="0.25">
      <c r="F1006" s="6" t="s">
        <v>30</v>
      </c>
    </row>
    <row r="1007" spans="6:6" ht="12.75" customHeight="1" x14ac:dyDescent="0.25">
      <c r="F1007" s="6" t="s">
        <v>30</v>
      </c>
    </row>
    <row r="1008" spans="6:6" ht="12.75" customHeight="1" x14ac:dyDescent="0.25">
      <c r="F1008" s="6" t="s">
        <v>30</v>
      </c>
    </row>
    <row r="1009" spans="6:6" ht="12.75" customHeight="1" x14ac:dyDescent="0.25">
      <c r="F1009" s="6" t="s">
        <v>30</v>
      </c>
    </row>
    <row r="1010" spans="6:6" ht="12.75" customHeight="1" x14ac:dyDescent="0.25">
      <c r="F1010" s="6" t="s">
        <v>30</v>
      </c>
    </row>
    <row r="1011" spans="6:6" ht="12.75" customHeight="1" x14ac:dyDescent="0.25">
      <c r="F1011" s="6" t="s">
        <v>30</v>
      </c>
    </row>
    <row r="1012" spans="6:6" ht="12.75" customHeight="1" x14ac:dyDescent="0.25">
      <c r="F1012" s="6" t="s">
        <v>30</v>
      </c>
    </row>
    <row r="1013" spans="6:6" ht="12.75" customHeight="1" x14ac:dyDescent="0.25">
      <c r="F1013" s="6" t="s">
        <v>30</v>
      </c>
    </row>
    <row r="1014" spans="6:6" ht="12.75" customHeight="1" x14ac:dyDescent="0.25">
      <c r="F1014" s="6" t="s">
        <v>30</v>
      </c>
    </row>
    <row r="1015" spans="6:6" ht="12.75" customHeight="1" x14ac:dyDescent="0.25">
      <c r="F1015" s="6" t="s">
        <v>30</v>
      </c>
    </row>
    <row r="1016" spans="6:6" ht="12.75" customHeight="1" x14ac:dyDescent="0.25">
      <c r="F1016" s="6" t="s">
        <v>30</v>
      </c>
    </row>
    <row r="1017" spans="6:6" ht="12.75" customHeight="1" x14ac:dyDescent="0.25">
      <c r="F1017" s="6" t="s">
        <v>30</v>
      </c>
    </row>
    <row r="1018" spans="6:6" ht="12.75" customHeight="1" x14ac:dyDescent="0.25">
      <c r="F1018" s="6" t="s">
        <v>30</v>
      </c>
    </row>
    <row r="1019" spans="6:6" ht="12.75" customHeight="1" x14ac:dyDescent="0.25">
      <c r="F1019" s="6" t="s">
        <v>30</v>
      </c>
    </row>
    <row r="1020" spans="6:6" ht="12.75" customHeight="1" x14ac:dyDescent="0.25">
      <c r="F1020" s="6" t="s">
        <v>30</v>
      </c>
    </row>
    <row r="1021" spans="6:6" ht="12.75" customHeight="1" x14ac:dyDescent="0.25">
      <c r="F1021" s="6" t="s">
        <v>30</v>
      </c>
    </row>
    <row r="1022" spans="6:6" ht="12.75" customHeight="1" x14ac:dyDescent="0.25">
      <c r="F1022" s="6" t="s">
        <v>30</v>
      </c>
    </row>
    <row r="1023" spans="6:6" ht="12.75" customHeight="1" x14ac:dyDescent="0.25">
      <c r="F1023" s="6" t="s">
        <v>30</v>
      </c>
    </row>
    <row r="1024" spans="6:6" ht="12.75" customHeight="1" x14ac:dyDescent="0.25">
      <c r="F1024" s="6" t="s">
        <v>30</v>
      </c>
    </row>
    <row r="1025" spans="6:6" ht="12.75" customHeight="1" x14ac:dyDescent="0.25">
      <c r="F1025" s="6" t="s">
        <v>30</v>
      </c>
    </row>
    <row r="1026" spans="6:6" ht="12.75" customHeight="1" x14ac:dyDescent="0.25">
      <c r="F1026" s="6" t="s">
        <v>30</v>
      </c>
    </row>
    <row r="1027" spans="6:6" ht="12.75" customHeight="1" x14ac:dyDescent="0.25">
      <c r="F1027" s="6" t="s">
        <v>30</v>
      </c>
    </row>
    <row r="1028" spans="6:6" ht="12.75" customHeight="1" x14ac:dyDescent="0.25">
      <c r="F1028" s="6" t="s">
        <v>30</v>
      </c>
    </row>
    <row r="1029" spans="6:6" ht="12.75" customHeight="1" x14ac:dyDescent="0.25">
      <c r="F1029" s="6" t="s">
        <v>30</v>
      </c>
    </row>
    <row r="1030" spans="6:6" ht="12.75" customHeight="1" x14ac:dyDescent="0.25">
      <c r="F1030" s="6" t="s">
        <v>30</v>
      </c>
    </row>
    <row r="1031" spans="6:6" ht="12.75" customHeight="1" x14ac:dyDescent="0.25">
      <c r="F1031" s="6" t="s">
        <v>30</v>
      </c>
    </row>
    <row r="1032" spans="6:6" ht="12.75" customHeight="1" x14ac:dyDescent="0.25">
      <c r="F1032" s="6" t="s">
        <v>30</v>
      </c>
    </row>
    <row r="1033" spans="6:6" ht="12.75" customHeight="1" x14ac:dyDescent="0.25">
      <c r="F1033" s="6" t="s">
        <v>30</v>
      </c>
    </row>
    <row r="1034" spans="6:6" ht="12.75" customHeight="1" x14ac:dyDescent="0.25">
      <c r="F1034" s="6" t="s">
        <v>30</v>
      </c>
    </row>
    <row r="1035" spans="6:6" ht="12.75" customHeight="1" x14ac:dyDescent="0.25">
      <c r="F1035" s="6" t="s">
        <v>30</v>
      </c>
    </row>
    <row r="1036" spans="6:6" ht="12.75" customHeight="1" x14ac:dyDescent="0.25">
      <c r="F1036" s="6" t="s">
        <v>30</v>
      </c>
    </row>
    <row r="1037" spans="6:6" ht="12.75" customHeight="1" x14ac:dyDescent="0.25">
      <c r="F1037" s="6" t="s">
        <v>30</v>
      </c>
    </row>
    <row r="1038" spans="6:6" ht="12.75" customHeight="1" x14ac:dyDescent="0.25">
      <c r="F1038" s="6" t="s">
        <v>30</v>
      </c>
    </row>
    <row r="1039" spans="6:6" ht="12.75" customHeight="1" x14ac:dyDescent="0.25">
      <c r="F1039" s="6" t="s">
        <v>30</v>
      </c>
    </row>
    <row r="1040" spans="6:6" ht="12.75" customHeight="1" x14ac:dyDescent="0.25">
      <c r="F1040" s="6" t="s">
        <v>30</v>
      </c>
    </row>
    <row r="1041" spans="6:6" ht="12.75" customHeight="1" x14ac:dyDescent="0.25">
      <c r="F1041" s="6" t="s">
        <v>30</v>
      </c>
    </row>
    <row r="1042" spans="6:6" ht="12.75" customHeight="1" x14ac:dyDescent="0.25">
      <c r="F1042" s="6" t="s">
        <v>30</v>
      </c>
    </row>
    <row r="1043" spans="6:6" ht="12.75" customHeight="1" x14ac:dyDescent="0.25">
      <c r="F1043" s="6" t="s">
        <v>30</v>
      </c>
    </row>
    <row r="1044" spans="6:6" ht="12.75" customHeight="1" x14ac:dyDescent="0.25">
      <c r="F1044" s="6" t="s">
        <v>30</v>
      </c>
    </row>
    <row r="1045" spans="6:6" ht="12.75" customHeight="1" x14ac:dyDescent="0.25">
      <c r="F1045" s="6" t="s">
        <v>30</v>
      </c>
    </row>
    <row r="1046" spans="6:6" ht="12.75" customHeight="1" x14ac:dyDescent="0.25">
      <c r="F1046" s="6" t="s">
        <v>30</v>
      </c>
    </row>
    <row r="1047" spans="6:6" ht="12.75" customHeight="1" x14ac:dyDescent="0.25">
      <c r="F1047" s="6" t="s">
        <v>30</v>
      </c>
    </row>
    <row r="1048" spans="6:6" ht="12.75" customHeight="1" x14ac:dyDescent="0.25">
      <c r="F1048" s="6" t="s">
        <v>30</v>
      </c>
    </row>
    <row r="1049" spans="6:6" ht="12.75" customHeight="1" x14ac:dyDescent="0.25">
      <c r="F1049" s="6" t="s">
        <v>30</v>
      </c>
    </row>
    <row r="1050" spans="6:6" ht="12.75" customHeight="1" x14ac:dyDescent="0.25">
      <c r="F1050" s="6" t="s">
        <v>30</v>
      </c>
    </row>
    <row r="1051" spans="6:6" ht="12.75" customHeight="1" x14ac:dyDescent="0.25">
      <c r="F1051" s="6" t="s">
        <v>30</v>
      </c>
    </row>
    <row r="1052" spans="6:6" ht="12.75" customHeight="1" x14ac:dyDescent="0.25">
      <c r="F1052" s="6" t="s">
        <v>30</v>
      </c>
    </row>
    <row r="1053" spans="6:6" ht="12.75" customHeight="1" x14ac:dyDescent="0.25">
      <c r="F1053" s="6" t="s">
        <v>30</v>
      </c>
    </row>
    <row r="1054" spans="6:6" ht="12.75" customHeight="1" x14ac:dyDescent="0.25">
      <c r="F1054" s="6" t="s">
        <v>30</v>
      </c>
    </row>
    <row r="1055" spans="6:6" ht="12.75" customHeight="1" x14ac:dyDescent="0.25">
      <c r="F1055" s="6" t="s">
        <v>30</v>
      </c>
    </row>
    <row r="1056" spans="6:6" ht="12.75" customHeight="1" x14ac:dyDescent="0.25">
      <c r="F1056" s="6" t="s">
        <v>30</v>
      </c>
    </row>
    <row r="1057" spans="6:6" ht="12.75" customHeight="1" x14ac:dyDescent="0.25">
      <c r="F1057" s="6" t="s">
        <v>30</v>
      </c>
    </row>
    <row r="1058" spans="6:6" ht="12.75" customHeight="1" x14ac:dyDescent="0.25">
      <c r="F1058" s="6" t="s">
        <v>30</v>
      </c>
    </row>
    <row r="1059" spans="6:6" ht="12.75" customHeight="1" x14ac:dyDescent="0.25">
      <c r="F1059" s="6" t="s">
        <v>30</v>
      </c>
    </row>
    <row r="1060" spans="6:6" ht="12.75" customHeight="1" x14ac:dyDescent="0.25">
      <c r="F1060" s="6" t="s">
        <v>30</v>
      </c>
    </row>
    <row r="1061" spans="6:6" ht="12.75" customHeight="1" x14ac:dyDescent="0.25">
      <c r="F1061" s="6" t="s">
        <v>30</v>
      </c>
    </row>
    <row r="1062" spans="6:6" ht="12.75" customHeight="1" x14ac:dyDescent="0.25">
      <c r="F1062" s="6" t="s">
        <v>30</v>
      </c>
    </row>
    <row r="1063" spans="6:6" ht="12.75" customHeight="1" x14ac:dyDescent="0.25">
      <c r="F1063" s="6" t="s">
        <v>30</v>
      </c>
    </row>
    <row r="1064" spans="6:6" ht="12.75" customHeight="1" x14ac:dyDescent="0.25">
      <c r="F1064" s="6" t="s">
        <v>30</v>
      </c>
    </row>
    <row r="1065" spans="6:6" ht="12.75" customHeight="1" x14ac:dyDescent="0.25">
      <c r="F1065" s="6" t="s">
        <v>30</v>
      </c>
    </row>
    <row r="1066" spans="6:6" ht="12.75" customHeight="1" x14ac:dyDescent="0.25">
      <c r="F1066" s="6" t="s">
        <v>30</v>
      </c>
    </row>
    <row r="1067" spans="6:6" ht="12.75" customHeight="1" x14ac:dyDescent="0.25">
      <c r="F1067" s="6" t="s">
        <v>30</v>
      </c>
    </row>
    <row r="1068" spans="6:6" ht="12.75" customHeight="1" x14ac:dyDescent="0.25">
      <c r="F1068" s="6" t="s">
        <v>30</v>
      </c>
    </row>
    <row r="1069" spans="6:6" ht="12.75" customHeight="1" x14ac:dyDescent="0.25">
      <c r="F1069" s="6" t="s">
        <v>30</v>
      </c>
    </row>
    <row r="1070" spans="6:6" ht="12.75" customHeight="1" x14ac:dyDescent="0.25">
      <c r="F1070" s="6" t="s">
        <v>30</v>
      </c>
    </row>
    <row r="1071" spans="6:6" ht="12.75" customHeight="1" x14ac:dyDescent="0.25">
      <c r="F1071" s="6" t="s">
        <v>30</v>
      </c>
    </row>
    <row r="1072" spans="6:6" ht="12.75" customHeight="1" x14ac:dyDescent="0.25">
      <c r="F1072" s="6" t="s">
        <v>30</v>
      </c>
    </row>
    <row r="1073" spans="6:6" ht="12.75" customHeight="1" x14ac:dyDescent="0.25">
      <c r="F1073" s="6" t="s">
        <v>30</v>
      </c>
    </row>
    <row r="1074" spans="6:6" ht="12.75" customHeight="1" x14ac:dyDescent="0.25">
      <c r="F1074" s="6" t="s">
        <v>30</v>
      </c>
    </row>
    <row r="1075" spans="6:6" ht="12.75" customHeight="1" x14ac:dyDescent="0.25">
      <c r="F1075" s="6" t="s">
        <v>30</v>
      </c>
    </row>
    <row r="1076" spans="6:6" ht="12.75" customHeight="1" x14ac:dyDescent="0.25">
      <c r="F1076" s="6" t="s">
        <v>30</v>
      </c>
    </row>
    <row r="1077" spans="6:6" ht="12.75" customHeight="1" x14ac:dyDescent="0.25">
      <c r="F1077" s="6" t="s">
        <v>30</v>
      </c>
    </row>
    <row r="1078" spans="6:6" ht="12.75" customHeight="1" x14ac:dyDescent="0.25">
      <c r="F1078" s="6" t="s">
        <v>30</v>
      </c>
    </row>
    <row r="1079" spans="6:6" ht="12.75" customHeight="1" x14ac:dyDescent="0.25">
      <c r="F1079" s="6" t="s">
        <v>30</v>
      </c>
    </row>
    <row r="1080" spans="6:6" ht="12.75" customHeight="1" x14ac:dyDescent="0.25">
      <c r="F1080" s="6" t="s">
        <v>30</v>
      </c>
    </row>
    <row r="1081" spans="6:6" ht="12.75" customHeight="1" x14ac:dyDescent="0.25">
      <c r="F1081" s="6" t="s">
        <v>30</v>
      </c>
    </row>
    <row r="1082" spans="6:6" ht="12.75" customHeight="1" x14ac:dyDescent="0.25">
      <c r="F1082" s="6" t="s">
        <v>30</v>
      </c>
    </row>
    <row r="1083" spans="6:6" ht="12.75" customHeight="1" x14ac:dyDescent="0.25">
      <c r="F1083" s="6" t="s">
        <v>30</v>
      </c>
    </row>
    <row r="1084" spans="6:6" ht="12.75" customHeight="1" x14ac:dyDescent="0.25">
      <c r="F1084" s="6" t="s">
        <v>30</v>
      </c>
    </row>
    <row r="1085" spans="6:6" ht="12.75" customHeight="1" x14ac:dyDescent="0.25">
      <c r="F1085" s="6" t="s">
        <v>30</v>
      </c>
    </row>
    <row r="1086" spans="6:6" ht="12.75" customHeight="1" x14ac:dyDescent="0.25">
      <c r="F1086" s="6" t="s">
        <v>30</v>
      </c>
    </row>
    <row r="1087" spans="6:6" ht="12.75" customHeight="1" x14ac:dyDescent="0.25">
      <c r="F1087" s="6" t="s">
        <v>30</v>
      </c>
    </row>
    <row r="1088" spans="6:6" ht="12.75" customHeight="1" x14ac:dyDescent="0.25">
      <c r="F1088" s="6" t="s">
        <v>30</v>
      </c>
    </row>
    <row r="1089" spans="6:6" ht="12.75" customHeight="1" x14ac:dyDescent="0.25">
      <c r="F1089" s="6" t="s">
        <v>30</v>
      </c>
    </row>
    <row r="1090" spans="6:6" ht="12.75" customHeight="1" x14ac:dyDescent="0.25">
      <c r="F1090" s="6" t="s">
        <v>30</v>
      </c>
    </row>
    <row r="1091" spans="6:6" ht="12.75" customHeight="1" x14ac:dyDescent="0.25">
      <c r="F1091" s="6" t="s">
        <v>30</v>
      </c>
    </row>
    <row r="1092" spans="6:6" ht="12.75" customHeight="1" x14ac:dyDescent="0.25">
      <c r="F1092" s="6" t="s">
        <v>30</v>
      </c>
    </row>
    <row r="1093" spans="6:6" ht="12.75" customHeight="1" x14ac:dyDescent="0.25">
      <c r="F1093" s="6" t="s">
        <v>30</v>
      </c>
    </row>
    <row r="1094" spans="6:6" ht="12.75" customHeight="1" x14ac:dyDescent="0.25">
      <c r="F1094" s="6" t="s">
        <v>30</v>
      </c>
    </row>
    <row r="1095" spans="6:6" ht="12.75" customHeight="1" x14ac:dyDescent="0.25">
      <c r="F1095" s="6" t="s">
        <v>30</v>
      </c>
    </row>
    <row r="1096" spans="6:6" ht="12.75" customHeight="1" x14ac:dyDescent="0.25">
      <c r="F1096" s="6" t="s">
        <v>30</v>
      </c>
    </row>
    <row r="1097" spans="6:6" ht="12.75" customHeight="1" x14ac:dyDescent="0.25">
      <c r="F1097" s="6" t="s">
        <v>30</v>
      </c>
    </row>
    <row r="1098" spans="6:6" ht="12.75" customHeight="1" x14ac:dyDescent="0.25">
      <c r="F1098" s="6" t="s">
        <v>30</v>
      </c>
    </row>
    <row r="1099" spans="6:6" ht="12.75" customHeight="1" x14ac:dyDescent="0.25">
      <c r="F1099" s="6" t="s">
        <v>30</v>
      </c>
    </row>
    <row r="1100" spans="6:6" ht="12.75" customHeight="1" x14ac:dyDescent="0.25">
      <c r="F1100" s="6" t="s">
        <v>30</v>
      </c>
    </row>
    <row r="1101" spans="6:6" ht="12.75" customHeight="1" x14ac:dyDescent="0.25">
      <c r="F1101" s="6" t="s">
        <v>30</v>
      </c>
    </row>
    <row r="1102" spans="6:6" ht="12.75" customHeight="1" x14ac:dyDescent="0.25">
      <c r="F1102" s="6" t="s">
        <v>30</v>
      </c>
    </row>
    <row r="1103" spans="6:6" ht="12.75" customHeight="1" x14ac:dyDescent="0.25">
      <c r="F1103" s="6" t="s">
        <v>30</v>
      </c>
    </row>
    <row r="1104" spans="6:6" ht="12.75" customHeight="1" x14ac:dyDescent="0.25">
      <c r="F1104" s="6" t="s">
        <v>30</v>
      </c>
    </row>
    <row r="1105" spans="6:6" ht="12.75" customHeight="1" x14ac:dyDescent="0.25">
      <c r="F1105" s="6" t="s">
        <v>30</v>
      </c>
    </row>
    <row r="1106" spans="6:6" ht="12.75" customHeight="1" x14ac:dyDescent="0.25">
      <c r="F1106" s="6" t="s">
        <v>30</v>
      </c>
    </row>
    <row r="1107" spans="6:6" ht="12.75" customHeight="1" x14ac:dyDescent="0.25">
      <c r="F1107" s="6" t="s">
        <v>30</v>
      </c>
    </row>
    <row r="1108" spans="6:6" ht="12.75" customHeight="1" x14ac:dyDescent="0.25">
      <c r="F1108" s="6" t="s">
        <v>30</v>
      </c>
    </row>
    <row r="1109" spans="6:6" ht="12.75" customHeight="1" x14ac:dyDescent="0.25">
      <c r="F1109" s="6" t="s">
        <v>30</v>
      </c>
    </row>
    <row r="1110" spans="6:6" ht="12.75" customHeight="1" x14ac:dyDescent="0.25">
      <c r="F1110" s="6" t="s">
        <v>30</v>
      </c>
    </row>
    <row r="1111" spans="6:6" ht="12.75" customHeight="1" x14ac:dyDescent="0.25">
      <c r="F1111" s="6" t="s">
        <v>30</v>
      </c>
    </row>
    <row r="1112" spans="6:6" ht="12.75" customHeight="1" x14ac:dyDescent="0.25">
      <c r="F1112" s="6" t="s">
        <v>30</v>
      </c>
    </row>
    <row r="1113" spans="6:6" ht="12.75" customHeight="1" x14ac:dyDescent="0.25">
      <c r="F1113" s="6" t="s">
        <v>30</v>
      </c>
    </row>
    <row r="1114" spans="6:6" ht="12.75" customHeight="1" x14ac:dyDescent="0.25">
      <c r="F1114" s="6" t="s">
        <v>30</v>
      </c>
    </row>
    <row r="1115" spans="6:6" ht="12.75" customHeight="1" x14ac:dyDescent="0.25">
      <c r="F1115" s="6" t="s">
        <v>30</v>
      </c>
    </row>
    <row r="1116" spans="6:6" ht="12.75" customHeight="1" x14ac:dyDescent="0.25">
      <c r="F1116" s="6" t="s">
        <v>30</v>
      </c>
    </row>
    <row r="1117" spans="6:6" ht="12.75" customHeight="1" x14ac:dyDescent="0.25">
      <c r="F1117" s="6" t="s">
        <v>30</v>
      </c>
    </row>
    <row r="1118" spans="6:6" ht="12.75" customHeight="1" x14ac:dyDescent="0.25">
      <c r="F1118" s="6" t="s">
        <v>30</v>
      </c>
    </row>
    <row r="1119" spans="6:6" ht="12.75" customHeight="1" x14ac:dyDescent="0.25">
      <c r="F1119" s="6" t="s">
        <v>30</v>
      </c>
    </row>
    <row r="1120" spans="6:6" ht="12.75" customHeight="1" x14ac:dyDescent="0.25">
      <c r="F1120" s="6" t="s">
        <v>30</v>
      </c>
    </row>
    <row r="1121" spans="6:6" ht="12.75" customHeight="1" x14ac:dyDescent="0.25">
      <c r="F1121" s="6" t="s">
        <v>30</v>
      </c>
    </row>
    <row r="1122" spans="6:6" ht="12.75" customHeight="1" x14ac:dyDescent="0.25">
      <c r="F1122" s="6" t="s">
        <v>30</v>
      </c>
    </row>
    <row r="1123" spans="6:6" ht="12.75" customHeight="1" x14ac:dyDescent="0.25">
      <c r="F1123" s="6" t="s">
        <v>30</v>
      </c>
    </row>
    <row r="1124" spans="6:6" ht="12.75" customHeight="1" x14ac:dyDescent="0.25">
      <c r="F1124" s="6" t="s">
        <v>30</v>
      </c>
    </row>
    <row r="1125" spans="6:6" ht="12.75" customHeight="1" x14ac:dyDescent="0.25">
      <c r="F1125" s="6" t="s">
        <v>30</v>
      </c>
    </row>
    <row r="1126" spans="6:6" ht="12.75" customHeight="1" x14ac:dyDescent="0.25">
      <c r="F1126" s="6" t="s">
        <v>30</v>
      </c>
    </row>
    <row r="1127" spans="6:6" ht="12.75" customHeight="1" x14ac:dyDescent="0.25">
      <c r="F1127" s="6" t="s">
        <v>30</v>
      </c>
    </row>
    <row r="1128" spans="6:6" ht="12.75" customHeight="1" x14ac:dyDescent="0.25">
      <c r="F1128" s="6" t="s">
        <v>30</v>
      </c>
    </row>
    <row r="1129" spans="6:6" ht="12.75" customHeight="1" x14ac:dyDescent="0.25">
      <c r="F1129" s="6" t="s">
        <v>30</v>
      </c>
    </row>
    <row r="1130" spans="6:6" ht="12.75" customHeight="1" x14ac:dyDescent="0.25">
      <c r="F1130" s="6" t="s">
        <v>30</v>
      </c>
    </row>
    <row r="1131" spans="6:6" ht="12.75" customHeight="1" x14ac:dyDescent="0.25">
      <c r="F1131" s="6" t="s">
        <v>30</v>
      </c>
    </row>
    <row r="1132" spans="6:6" ht="12.75" customHeight="1" x14ac:dyDescent="0.25">
      <c r="F1132" s="6" t="s">
        <v>30</v>
      </c>
    </row>
    <row r="1133" spans="6:6" ht="12.75" customHeight="1" x14ac:dyDescent="0.25">
      <c r="F1133" s="6" t="s">
        <v>30</v>
      </c>
    </row>
    <row r="1134" spans="6:6" ht="12.75" customHeight="1" x14ac:dyDescent="0.25">
      <c r="F1134" s="6" t="s">
        <v>30</v>
      </c>
    </row>
    <row r="1135" spans="6:6" ht="12.75" customHeight="1" x14ac:dyDescent="0.25">
      <c r="F1135" s="6" t="s">
        <v>30</v>
      </c>
    </row>
    <row r="1136" spans="6:6" ht="12.75" customHeight="1" x14ac:dyDescent="0.25">
      <c r="F1136" s="6" t="s">
        <v>30</v>
      </c>
    </row>
    <row r="1137" spans="6:6" ht="12.75" customHeight="1" x14ac:dyDescent="0.25">
      <c r="F1137" s="6" t="s">
        <v>30</v>
      </c>
    </row>
    <row r="1138" spans="6:6" ht="12.75" customHeight="1" x14ac:dyDescent="0.25">
      <c r="F1138" s="6" t="s">
        <v>30</v>
      </c>
    </row>
    <row r="1139" spans="6:6" ht="12.75" customHeight="1" x14ac:dyDescent="0.25">
      <c r="F1139" s="6" t="s">
        <v>30</v>
      </c>
    </row>
    <row r="1140" spans="6:6" ht="12.75" customHeight="1" x14ac:dyDescent="0.25">
      <c r="F1140" s="6" t="s">
        <v>30</v>
      </c>
    </row>
    <row r="1141" spans="6:6" ht="12.75" customHeight="1" x14ac:dyDescent="0.25">
      <c r="F1141" s="6" t="s">
        <v>30</v>
      </c>
    </row>
    <row r="1142" spans="6:6" ht="12.75" customHeight="1" x14ac:dyDescent="0.25">
      <c r="F1142" s="6" t="s">
        <v>30</v>
      </c>
    </row>
    <row r="1143" spans="6:6" ht="12.75" customHeight="1" x14ac:dyDescent="0.25">
      <c r="F1143" s="6" t="s">
        <v>30</v>
      </c>
    </row>
    <row r="1144" spans="6:6" ht="12.75" customHeight="1" x14ac:dyDescent="0.25">
      <c r="F1144" s="6" t="s">
        <v>30</v>
      </c>
    </row>
    <row r="1145" spans="6:6" ht="12.75" customHeight="1" x14ac:dyDescent="0.25">
      <c r="F1145" s="6" t="s">
        <v>30</v>
      </c>
    </row>
    <row r="1146" spans="6:6" ht="12.75" customHeight="1" x14ac:dyDescent="0.25">
      <c r="F1146" s="6" t="s">
        <v>30</v>
      </c>
    </row>
    <row r="1147" spans="6:6" ht="12.75" customHeight="1" x14ac:dyDescent="0.25">
      <c r="F1147" s="6" t="s">
        <v>30</v>
      </c>
    </row>
    <row r="1148" spans="6:6" ht="12.75" customHeight="1" x14ac:dyDescent="0.25">
      <c r="F1148" s="6" t="s">
        <v>30</v>
      </c>
    </row>
    <row r="1149" spans="6:6" ht="12.75" customHeight="1" x14ac:dyDescent="0.25">
      <c r="F1149" s="6" t="s">
        <v>30</v>
      </c>
    </row>
    <row r="1150" spans="6:6" ht="12.75" customHeight="1" x14ac:dyDescent="0.25">
      <c r="F1150" s="6" t="s">
        <v>30</v>
      </c>
    </row>
    <row r="1151" spans="6:6" ht="12.75" customHeight="1" x14ac:dyDescent="0.25">
      <c r="F1151" s="6" t="s">
        <v>30</v>
      </c>
    </row>
    <row r="1152" spans="6:6" ht="12.75" customHeight="1" x14ac:dyDescent="0.25">
      <c r="F1152" s="6" t="s">
        <v>30</v>
      </c>
    </row>
    <row r="1153" spans="6:6" ht="12.75" customHeight="1" x14ac:dyDescent="0.25">
      <c r="F1153" s="6" t="s">
        <v>30</v>
      </c>
    </row>
    <row r="1154" spans="6:6" ht="12.75" customHeight="1" x14ac:dyDescent="0.25">
      <c r="F1154" s="6" t="s">
        <v>30</v>
      </c>
    </row>
    <row r="1155" spans="6:6" ht="12.75" customHeight="1" x14ac:dyDescent="0.25">
      <c r="F1155" s="6" t="s">
        <v>30</v>
      </c>
    </row>
    <row r="1156" spans="6:6" ht="12.75" customHeight="1" x14ac:dyDescent="0.25">
      <c r="F1156" s="6" t="s">
        <v>30</v>
      </c>
    </row>
    <row r="1157" spans="6:6" ht="12.75" customHeight="1" x14ac:dyDescent="0.25">
      <c r="F1157" s="6" t="s">
        <v>30</v>
      </c>
    </row>
    <row r="1158" spans="6:6" ht="12.75" customHeight="1" x14ac:dyDescent="0.25">
      <c r="F1158" s="6" t="s">
        <v>30</v>
      </c>
    </row>
    <row r="1159" spans="6:6" ht="12.75" customHeight="1" x14ac:dyDescent="0.25">
      <c r="F1159" s="6" t="s">
        <v>30</v>
      </c>
    </row>
    <row r="1160" spans="6:6" ht="12.75" customHeight="1" x14ac:dyDescent="0.25">
      <c r="F1160" s="6" t="s">
        <v>30</v>
      </c>
    </row>
    <row r="1161" spans="6:6" ht="12.75" customHeight="1" x14ac:dyDescent="0.25">
      <c r="F1161" s="6" t="s">
        <v>30</v>
      </c>
    </row>
    <row r="1162" spans="6:6" ht="12.75" customHeight="1" x14ac:dyDescent="0.25">
      <c r="F1162" s="6" t="s">
        <v>30</v>
      </c>
    </row>
    <row r="1163" spans="6:6" ht="12.75" customHeight="1" x14ac:dyDescent="0.25">
      <c r="F1163" s="6" t="s">
        <v>30</v>
      </c>
    </row>
    <row r="1164" spans="6:6" ht="12.75" customHeight="1" x14ac:dyDescent="0.25">
      <c r="F1164" s="6" t="s">
        <v>30</v>
      </c>
    </row>
    <row r="1165" spans="6:6" ht="12.75" customHeight="1" x14ac:dyDescent="0.25">
      <c r="F1165" s="6" t="s">
        <v>30</v>
      </c>
    </row>
    <row r="1166" spans="6:6" ht="12.75" customHeight="1" x14ac:dyDescent="0.25">
      <c r="F1166" s="6" t="s">
        <v>30</v>
      </c>
    </row>
    <row r="1167" spans="6:6" ht="12.75" customHeight="1" x14ac:dyDescent="0.25">
      <c r="F1167" s="6" t="s">
        <v>30</v>
      </c>
    </row>
    <row r="1168" spans="6:6" ht="12.75" customHeight="1" x14ac:dyDescent="0.25">
      <c r="F1168" s="6" t="s">
        <v>30</v>
      </c>
    </row>
    <row r="1169" spans="6:6" ht="12.75" customHeight="1" x14ac:dyDescent="0.25">
      <c r="F1169" s="6" t="s">
        <v>30</v>
      </c>
    </row>
    <row r="1170" spans="6:6" ht="12.75" customHeight="1" x14ac:dyDescent="0.25">
      <c r="F1170" s="6" t="s">
        <v>30</v>
      </c>
    </row>
    <row r="1171" spans="6:6" ht="12.75" customHeight="1" x14ac:dyDescent="0.25">
      <c r="F1171" s="6" t="s">
        <v>30</v>
      </c>
    </row>
    <row r="1172" spans="6:6" ht="12.75" customHeight="1" x14ac:dyDescent="0.25">
      <c r="F1172" s="6" t="s">
        <v>30</v>
      </c>
    </row>
    <row r="1173" spans="6:6" ht="12.75" customHeight="1" x14ac:dyDescent="0.25">
      <c r="F1173" s="6" t="s">
        <v>30</v>
      </c>
    </row>
    <row r="1174" spans="6:6" ht="12.75" customHeight="1" x14ac:dyDescent="0.25">
      <c r="F1174" s="6" t="s">
        <v>30</v>
      </c>
    </row>
    <row r="1175" spans="6:6" ht="12.75" customHeight="1" x14ac:dyDescent="0.25">
      <c r="F1175" s="6" t="s">
        <v>30</v>
      </c>
    </row>
    <row r="1176" spans="6:6" ht="12.75" customHeight="1" x14ac:dyDescent="0.25">
      <c r="F1176" s="6" t="s">
        <v>30</v>
      </c>
    </row>
    <row r="1177" spans="6:6" ht="12.75" customHeight="1" x14ac:dyDescent="0.25">
      <c r="F1177" s="6" t="s">
        <v>30</v>
      </c>
    </row>
    <row r="1178" spans="6:6" ht="12.75" customHeight="1" x14ac:dyDescent="0.25">
      <c r="F1178" s="6" t="s">
        <v>30</v>
      </c>
    </row>
  </sheetData>
  <pageMargins left="0.7" right="0.7" top="0.75" bottom="0.75" header="0" footer="0"/>
  <pageSetup paperSize="9"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ummaryRight="0"/>
  </sheetPr>
  <dimension ref="A1:Z1000"/>
  <sheetViews>
    <sheetView workbookViewId="0">
      <selection activeCell="A14" sqref="A14"/>
    </sheetView>
  </sheetViews>
  <sheetFormatPr baseColWidth="10" defaultColWidth="14.44140625" defaultRowHeight="15" customHeight="1" x14ac:dyDescent="0.25"/>
  <cols>
    <col min="1" max="7" width="14.44140625" customWidth="1"/>
  </cols>
  <sheetData>
    <row r="1" spans="1:26" ht="15.75" customHeight="1" x14ac:dyDescent="0.25">
      <c r="A1" s="2">
        <v>680</v>
      </c>
      <c r="B1" s="2">
        <v>110</v>
      </c>
      <c r="C1" s="2">
        <v>102</v>
      </c>
      <c r="D1" s="2">
        <v>279</v>
      </c>
      <c r="E1" s="2">
        <v>237</v>
      </c>
      <c r="F1" s="2">
        <v>727</v>
      </c>
      <c r="G1" s="2">
        <v>629</v>
      </c>
      <c r="H1" s="2"/>
      <c r="I1" s="2"/>
      <c r="J1" s="2"/>
      <c r="K1" s="2"/>
      <c r="L1" s="2"/>
      <c r="M1" s="2"/>
      <c r="N1" s="2"/>
      <c r="O1" s="2"/>
      <c r="P1" s="2"/>
      <c r="Q1" s="2"/>
      <c r="R1" s="2"/>
      <c r="S1" s="2"/>
      <c r="T1" s="2"/>
      <c r="U1" s="2"/>
      <c r="V1" s="2"/>
      <c r="W1" s="2"/>
      <c r="X1" s="2"/>
      <c r="Y1" s="2"/>
      <c r="Z1" s="2"/>
    </row>
    <row r="2" spans="1:26" ht="15.75" customHeight="1" x14ac:dyDescent="0.25">
      <c r="A2" s="6" t="s">
        <v>95</v>
      </c>
      <c r="B2" s="6" t="s">
        <v>218</v>
      </c>
      <c r="C2" s="6" t="s">
        <v>227</v>
      </c>
      <c r="D2" s="6" t="s">
        <v>195</v>
      </c>
      <c r="E2" s="6" t="s">
        <v>206</v>
      </c>
      <c r="F2" s="6" t="s">
        <v>116</v>
      </c>
      <c r="G2" s="6" t="s">
        <v>45</v>
      </c>
      <c r="H2" s="8"/>
      <c r="I2" s="8"/>
      <c r="J2" s="8"/>
      <c r="K2" s="8"/>
      <c r="L2" s="8"/>
      <c r="M2" s="8"/>
      <c r="N2" s="8"/>
      <c r="O2" s="8"/>
      <c r="P2" s="8"/>
      <c r="Q2" s="8"/>
      <c r="R2" s="8"/>
      <c r="S2" s="8"/>
      <c r="T2" s="8"/>
      <c r="U2" s="8"/>
      <c r="V2" s="8"/>
      <c r="W2" s="8"/>
      <c r="X2" s="8"/>
      <c r="Y2" s="8"/>
      <c r="Z2" s="8"/>
    </row>
    <row r="3" spans="1:26" ht="15.75" customHeight="1" x14ac:dyDescent="0.25">
      <c r="A3" s="6" t="s">
        <v>95</v>
      </c>
      <c r="B3" s="6" t="s">
        <v>218</v>
      </c>
      <c r="C3" s="6" t="s">
        <v>227</v>
      </c>
      <c r="D3" s="6" t="s">
        <v>195</v>
      </c>
      <c r="E3" s="6" t="s">
        <v>206</v>
      </c>
      <c r="F3" s="6" t="s">
        <v>116</v>
      </c>
      <c r="G3" s="6" t="s">
        <v>45</v>
      </c>
      <c r="H3" s="8"/>
      <c r="I3" s="8"/>
      <c r="J3" s="8"/>
      <c r="K3" s="8"/>
      <c r="L3" s="8"/>
      <c r="M3" s="8"/>
      <c r="N3" s="8"/>
      <c r="O3" s="8"/>
      <c r="P3" s="8"/>
      <c r="Q3" s="8"/>
      <c r="R3" s="8"/>
      <c r="S3" s="8"/>
      <c r="T3" s="8"/>
      <c r="U3" s="8"/>
      <c r="V3" s="8"/>
      <c r="W3" s="8"/>
      <c r="X3" s="8"/>
      <c r="Y3" s="8"/>
      <c r="Z3" s="8"/>
    </row>
    <row r="4" spans="1:26" ht="15.75" customHeight="1" x14ac:dyDescent="0.25">
      <c r="A4" s="6" t="s">
        <v>95</v>
      </c>
      <c r="B4" s="6" t="s">
        <v>218</v>
      </c>
      <c r="C4" s="6" t="s">
        <v>227</v>
      </c>
      <c r="D4" s="6" t="s">
        <v>195</v>
      </c>
      <c r="E4" s="6" t="s">
        <v>206</v>
      </c>
      <c r="F4" s="6" t="s">
        <v>116</v>
      </c>
      <c r="G4" s="6" t="s">
        <v>45</v>
      </c>
      <c r="H4" s="8"/>
      <c r="I4" s="8"/>
      <c r="J4" s="8"/>
      <c r="K4" s="8"/>
      <c r="L4" s="8"/>
      <c r="M4" s="8"/>
      <c r="N4" s="8"/>
      <c r="O4" s="8"/>
      <c r="P4" s="8"/>
      <c r="Q4" s="8"/>
      <c r="R4" s="8"/>
      <c r="S4" s="8"/>
      <c r="T4" s="8"/>
      <c r="U4" s="8"/>
      <c r="V4" s="8"/>
      <c r="W4" s="8"/>
      <c r="X4" s="8"/>
      <c r="Y4" s="8"/>
      <c r="Z4" s="8"/>
    </row>
    <row r="5" spans="1:26" ht="15.75" customHeight="1" x14ac:dyDescent="0.25">
      <c r="A5" s="6" t="s">
        <v>95</v>
      </c>
      <c r="B5" s="6" t="s">
        <v>218</v>
      </c>
      <c r="C5" s="6" t="s">
        <v>227</v>
      </c>
      <c r="D5" s="6" t="s">
        <v>195</v>
      </c>
      <c r="E5" s="6" t="s">
        <v>206</v>
      </c>
      <c r="F5" s="6" t="s">
        <v>116</v>
      </c>
      <c r="G5" s="6" t="s">
        <v>45</v>
      </c>
      <c r="H5" s="8"/>
      <c r="I5" s="8"/>
      <c r="J5" s="8"/>
      <c r="K5" s="8"/>
      <c r="L5" s="8"/>
      <c r="M5" s="8"/>
      <c r="N5" s="8"/>
      <c r="O5" s="8"/>
      <c r="P5" s="8"/>
      <c r="Q5" s="8"/>
      <c r="R5" s="8"/>
      <c r="S5" s="8"/>
      <c r="T5" s="8"/>
      <c r="U5" s="8"/>
      <c r="V5" s="8"/>
      <c r="W5" s="8"/>
      <c r="X5" s="8"/>
      <c r="Y5" s="8"/>
      <c r="Z5" s="8"/>
    </row>
    <row r="6" spans="1:26" ht="15.75" customHeight="1" x14ac:dyDescent="0.25">
      <c r="A6" s="6" t="s">
        <v>95</v>
      </c>
      <c r="B6" s="6" t="s">
        <v>218</v>
      </c>
      <c r="C6" s="6" t="s">
        <v>227</v>
      </c>
      <c r="D6" s="6" t="s">
        <v>195</v>
      </c>
      <c r="E6" s="6" t="s">
        <v>206</v>
      </c>
      <c r="F6" s="6" t="s">
        <v>116</v>
      </c>
      <c r="G6" s="6" t="s">
        <v>45</v>
      </c>
      <c r="H6" s="8"/>
      <c r="I6" s="8"/>
      <c r="J6" s="8"/>
      <c r="K6" s="8"/>
      <c r="L6" s="8"/>
      <c r="M6" s="8"/>
      <c r="N6" s="8"/>
      <c r="O6" s="8"/>
      <c r="P6" s="8"/>
      <c r="Q6" s="8"/>
      <c r="R6" s="8"/>
      <c r="S6" s="8"/>
      <c r="T6" s="8"/>
      <c r="U6" s="8"/>
      <c r="V6" s="8"/>
      <c r="W6" s="8"/>
      <c r="X6" s="8"/>
      <c r="Y6" s="8"/>
      <c r="Z6" s="8"/>
    </row>
    <row r="7" spans="1:26" ht="15.75" customHeight="1" x14ac:dyDescent="0.25">
      <c r="A7" s="6" t="s">
        <v>95</v>
      </c>
      <c r="B7" s="6" t="s">
        <v>218</v>
      </c>
      <c r="C7" s="6" t="s">
        <v>227</v>
      </c>
      <c r="D7" s="6" t="s">
        <v>195</v>
      </c>
      <c r="E7" s="6" t="s">
        <v>206</v>
      </c>
      <c r="F7" s="6" t="s">
        <v>116</v>
      </c>
      <c r="G7" s="6" t="s">
        <v>45</v>
      </c>
      <c r="H7" s="8"/>
      <c r="I7" s="8"/>
      <c r="J7" s="8"/>
      <c r="K7" s="8"/>
      <c r="L7" s="8"/>
      <c r="M7" s="8"/>
      <c r="N7" s="8"/>
      <c r="O7" s="8"/>
      <c r="P7" s="8"/>
      <c r="Q7" s="8"/>
      <c r="R7" s="8"/>
      <c r="S7" s="8"/>
      <c r="T7" s="8"/>
      <c r="U7" s="8"/>
      <c r="V7" s="8"/>
      <c r="W7" s="8"/>
      <c r="X7" s="8"/>
      <c r="Y7" s="8"/>
      <c r="Z7" s="8"/>
    </row>
    <row r="8" spans="1:26" ht="15.75" customHeight="1" x14ac:dyDescent="0.25">
      <c r="A8" s="6" t="s">
        <v>95</v>
      </c>
      <c r="B8" s="6" t="s">
        <v>218</v>
      </c>
      <c r="C8" s="6" t="s">
        <v>227</v>
      </c>
      <c r="D8" s="6" t="s">
        <v>195</v>
      </c>
      <c r="E8" s="6" t="s">
        <v>206</v>
      </c>
      <c r="F8" s="6" t="s">
        <v>116</v>
      </c>
      <c r="G8" s="6" t="s">
        <v>45</v>
      </c>
      <c r="H8" s="8"/>
      <c r="I8" s="8"/>
      <c r="J8" s="8"/>
      <c r="K8" s="8"/>
      <c r="L8" s="8"/>
      <c r="M8" s="8"/>
      <c r="N8" s="8"/>
      <c r="O8" s="8"/>
      <c r="P8" s="8"/>
      <c r="Q8" s="8"/>
      <c r="R8" s="8"/>
      <c r="S8" s="8"/>
      <c r="T8" s="8"/>
      <c r="U8" s="8"/>
      <c r="V8" s="8"/>
      <c r="W8" s="8"/>
      <c r="X8" s="8"/>
      <c r="Y8" s="8"/>
      <c r="Z8" s="8"/>
    </row>
    <row r="9" spans="1:26" ht="15.75" customHeight="1" x14ac:dyDescent="0.25">
      <c r="A9" s="6" t="s">
        <v>95</v>
      </c>
      <c r="B9" s="6" t="s">
        <v>218</v>
      </c>
      <c r="C9" s="6" t="s">
        <v>227</v>
      </c>
      <c r="D9" s="6" t="s">
        <v>195</v>
      </c>
      <c r="E9" s="6" t="s">
        <v>206</v>
      </c>
      <c r="F9" s="6" t="s">
        <v>116</v>
      </c>
      <c r="G9" s="6" t="s">
        <v>45</v>
      </c>
      <c r="H9" s="8"/>
      <c r="I9" s="8"/>
      <c r="J9" s="8"/>
      <c r="K9" s="8"/>
      <c r="L9" s="8"/>
      <c r="M9" s="8"/>
      <c r="N9" s="8"/>
      <c r="O9" s="8"/>
      <c r="P9" s="8"/>
      <c r="Q9" s="8"/>
      <c r="R9" s="8"/>
      <c r="S9" s="8"/>
      <c r="T9" s="8"/>
      <c r="U9" s="8"/>
      <c r="V9" s="8"/>
      <c r="W9" s="8"/>
      <c r="X9" s="8"/>
      <c r="Y9" s="8"/>
      <c r="Z9" s="8"/>
    </row>
    <row r="10" spans="1:26" ht="15.75" customHeight="1" x14ac:dyDescent="0.25">
      <c r="A10" s="6" t="s">
        <v>95</v>
      </c>
      <c r="B10" s="6" t="s">
        <v>218</v>
      </c>
      <c r="C10" s="6" t="s">
        <v>227</v>
      </c>
      <c r="D10" s="6" t="s">
        <v>195</v>
      </c>
      <c r="E10" s="6" t="s">
        <v>206</v>
      </c>
      <c r="F10" s="6" t="s">
        <v>116</v>
      </c>
      <c r="G10" s="6" t="s">
        <v>45</v>
      </c>
      <c r="H10" s="8"/>
      <c r="I10" s="8"/>
      <c r="J10" s="8"/>
      <c r="K10" s="8"/>
      <c r="L10" s="8"/>
      <c r="M10" s="8"/>
      <c r="N10" s="8"/>
      <c r="O10" s="8"/>
      <c r="P10" s="8"/>
      <c r="Q10" s="8"/>
      <c r="R10" s="8"/>
      <c r="S10" s="8"/>
      <c r="T10" s="8"/>
      <c r="U10" s="8"/>
      <c r="V10" s="8"/>
      <c r="W10" s="8"/>
      <c r="X10" s="8"/>
      <c r="Y10" s="8"/>
      <c r="Z10" s="8"/>
    </row>
    <row r="11" spans="1:26" ht="15.75" customHeight="1" x14ac:dyDescent="0.25">
      <c r="A11" s="6" t="s">
        <v>95</v>
      </c>
      <c r="B11" s="6" t="s">
        <v>218</v>
      </c>
      <c r="C11" s="6" t="s">
        <v>227</v>
      </c>
      <c r="D11" s="6" t="s">
        <v>195</v>
      </c>
      <c r="E11" s="6" t="s">
        <v>206</v>
      </c>
      <c r="F11" s="6" t="s">
        <v>116</v>
      </c>
      <c r="G11" s="6" t="s">
        <v>45</v>
      </c>
      <c r="H11" s="8"/>
      <c r="I11" s="8"/>
      <c r="J11" s="8"/>
      <c r="K11" s="8"/>
      <c r="L11" s="8"/>
      <c r="M11" s="8"/>
      <c r="N11" s="8"/>
      <c r="O11" s="8"/>
      <c r="P11" s="8"/>
      <c r="Q11" s="8"/>
      <c r="R11" s="8"/>
      <c r="S11" s="8"/>
      <c r="T11" s="8"/>
      <c r="U11" s="8"/>
      <c r="V11" s="8"/>
      <c r="W11" s="8"/>
      <c r="X11" s="8"/>
      <c r="Y11" s="8"/>
      <c r="Z11" s="8"/>
    </row>
    <row r="12" spans="1:26" ht="15.75" customHeight="1" x14ac:dyDescent="0.25">
      <c r="A12" s="6" t="s">
        <v>95</v>
      </c>
      <c r="B12" s="6" t="s">
        <v>218</v>
      </c>
      <c r="C12" s="6" t="s">
        <v>227</v>
      </c>
      <c r="D12" s="6" t="s">
        <v>195</v>
      </c>
      <c r="E12" s="6" t="s">
        <v>206</v>
      </c>
      <c r="F12" s="6" t="s">
        <v>116</v>
      </c>
      <c r="G12" s="6" t="s">
        <v>45</v>
      </c>
      <c r="H12" s="8"/>
      <c r="I12" s="8"/>
      <c r="J12" s="8"/>
      <c r="K12" s="8"/>
      <c r="L12" s="8"/>
      <c r="M12" s="8"/>
      <c r="N12" s="8"/>
      <c r="O12" s="8"/>
      <c r="P12" s="8"/>
      <c r="Q12" s="8"/>
      <c r="R12" s="8"/>
      <c r="S12" s="8"/>
      <c r="T12" s="8"/>
      <c r="U12" s="8"/>
      <c r="V12" s="8"/>
      <c r="W12" s="8"/>
      <c r="X12" s="8"/>
      <c r="Y12" s="8"/>
      <c r="Z12" s="8"/>
    </row>
    <row r="13" spans="1:26" ht="15.75" customHeight="1" x14ac:dyDescent="0.25">
      <c r="A13" s="6" t="s">
        <v>95</v>
      </c>
      <c r="B13" s="6" t="s">
        <v>218</v>
      </c>
      <c r="C13" s="6" t="s">
        <v>227</v>
      </c>
      <c r="D13" s="6" t="s">
        <v>195</v>
      </c>
      <c r="E13" s="6" t="s">
        <v>206</v>
      </c>
      <c r="F13" s="6" t="s">
        <v>116</v>
      </c>
      <c r="G13" s="6" t="s">
        <v>45</v>
      </c>
      <c r="H13" s="8"/>
      <c r="I13" s="8"/>
      <c r="J13" s="8"/>
      <c r="K13" s="8"/>
      <c r="L13" s="8"/>
      <c r="M13" s="8"/>
      <c r="N13" s="8"/>
      <c r="O13" s="8"/>
      <c r="P13" s="8"/>
      <c r="Q13" s="8"/>
      <c r="R13" s="8"/>
      <c r="S13" s="8"/>
      <c r="T13" s="8"/>
      <c r="U13" s="8"/>
      <c r="V13" s="8"/>
      <c r="W13" s="8"/>
      <c r="X13" s="8"/>
      <c r="Y13" s="8"/>
      <c r="Z13" s="8"/>
    </row>
    <row r="14" spans="1:26" ht="15.75" customHeight="1" x14ac:dyDescent="0.25">
      <c r="A14" s="6" t="s">
        <v>95</v>
      </c>
      <c r="B14" s="6" t="s">
        <v>218</v>
      </c>
      <c r="C14" s="6" t="s">
        <v>227</v>
      </c>
      <c r="D14" s="6" t="s">
        <v>195</v>
      </c>
      <c r="E14" s="6" t="s">
        <v>206</v>
      </c>
      <c r="F14" s="6" t="s">
        <v>116</v>
      </c>
      <c r="G14" s="6" t="s">
        <v>45</v>
      </c>
      <c r="H14" s="8"/>
      <c r="I14" s="8"/>
      <c r="J14" s="8"/>
      <c r="K14" s="8"/>
      <c r="L14" s="8"/>
      <c r="M14" s="8"/>
      <c r="N14" s="8"/>
      <c r="O14" s="8"/>
      <c r="P14" s="8"/>
      <c r="Q14" s="8"/>
      <c r="R14" s="8"/>
      <c r="S14" s="8"/>
      <c r="T14" s="8"/>
      <c r="U14" s="8"/>
      <c r="V14" s="8"/>
      <c r="W14" s="8"/>
      <c r="X14" s="8"/>
      <c r="Y14" s="8"/>
      <c r="Z14" s="8"/>
    </row>
    <row r="15" spans="1:26" ht="15.75" customHeight="1" x14ac:dyDescent="0.25">
      <c r="A15" s="6" t="s">
        <v>95</v>
      </c>
      <c r="B15" s="6" t="s">
        <v>218</v>
      </c>
      <c r="C15" s="6" t="s">
        <v>227</v>
      </c>
      <c r="D15" s="6" t="s">
        <v>195</v>
      </c>
      <c r="E15" s="6" t="s">
        <v>206</v>
      </c>
      <c r="F15" s="6" t="s">
        <v>116</v>
      </c>
      <c r="G15" s="6" t="s">
        <v>45</v>
      </c>
      <c r="H15" s="8"/>
      <c r="I15" s="8"/>
      <c r="J15" s="8"/>
      <c r="K15" s="8"/>
      <c r="L15" s="8"/>
      <c r="M15" s="8"/>
      <c r="N15" s="8"/>
      <c r="O15" s="8"/>
      <c r="P15" s="8"/>
      <c r="Q15" s="8"/>
      <c r="R15" s="8"/>
      <c r="S15" s="8"/>
      <c r="T15" s="8"/>
      <c r="U15" s="8"/>
      <c r="V15" s="8"/>
      <c r="W15" s="8"/>
      <c r="X15" s="8"/>
      <c r="Y15" s="8"/>
      <c r="Z15" s="8"/>
    </row>
    <row r="16" spans="1:26" ht="15.75" customHeight="1" x14ac:dyDescent="0.25">
      <c r="A16" s="6" t="s">
        <v>95</v>
      </c>
      <c r="B16" s="6" t="s">
        <v>218</v>
      </c>
      <c r="C16" s="6" t="s">
        <v>227</v>
      </c>
      <c r="D16" s="6" t="s">
        <v>195</v>
      </c>
      <c r="E16" s="6" t="s">
        <v>206</v>
      </c>
      <c r="F16" s="6" t="s">
        <v>116</v>
      </c>
      <c r="G16" s="6" t="s">
        <v>45</v>
      </c>
      <c r="H16" s="8"/>
      <c r="I16" s="8"/>
      <c r="J16" s="8"/>
      <c r="K16" s="8"/>
      <c r="L16" s="8"/>
      <c r="M16" s="8"/>
      <c r="N16" s="8"/>
      <c r="O16" s="8"/>
      <c r="P16" s="8"/>
      <c r="Q16" s="8"/>
      <c r="R16" s="8"/>
      <c r="S16" s="8"/>
      <c r="T16" s="8"/>
      <c r="U16" s="8"/>
      <c r="V16" s="8"/>
      <c r="W16" s="8"/>
      <c r="X16" s="8"/>
      <c r="Y16" s="8"/>
      <c r="Z16" s="8"/>
    </row>
    <row r="17" spans="1:26" ht="15.75" customHeight="1" x14ac:dyDescent="0.25">
      <c r="A17" s="6" t="s">
        <v>95</v>
      </c>
      <c r="B17" s="6" t="s">
        <v>218</v>
      </c>
      <c r="C17" s="6" t="s">
        <v>227</v>
      </c>
      <c r="D17" s="6" t="s">
        <v>195</v>
      </c>
      <c r="E17" s="6" t="s">
        <v>206</v>
      </c>
      <c r="F17" s="6" t="s">
        <v>116</v>
      </c>
      <c r="G17" s="6" t="s">
        <v>45</v>
      </c>
      <c r="H17" s="8"/>
      <c r="I17" s="8"/>
      <c r="J17" s="8"/>
      <c r="K17" s="8"/>
      <c r="L17" s="8"/>
      <c r="M17" s="8"/>
      <c r="N17" s="8"/>
      <c r="O17" s="8"/>
      <c r="P17" s="8"/>
      <c r="Q17" s="8"/>
      <c r="R17" s="8"/>
      <c r="S17" s="8"/>
      <c r="T17" s="8"/>
      <c r="U17" s="8"/>
      <c r="V17" s="8"/>
      <c r="W17" s="8"/>
      <c r="X17" s="8"/>
      <c r="Y17" s="8"/>
      <c r="Z17" s="8"/>
    </row>
    <row r="18" spans="1:26" ht="15.75" customHeight="1" x14ac:dyDescent="0.25">
      <c r="A18" s="6" t="s">
        <v>95</v>
      </c>
      <c r="B18" s="6" t="s">
        <v>218</v>
      </c>
      <c r="C18" s="6" t="s">
        <v>227</v>
      </c>
      <c r="D18" s="6" t="s">
        <v>195</v>
      </c>
      <c r="E18" s="6" t="s">
        <v>206</v>
      </c>
      <c r="F18" s="6" t="s">
        <v>116</v>
      </c>
      <c r="G18" s="6" t="s">
        <v>45</v>
      </c>
      <c r="H18" s="8"/>
      <c r="I18" s="8"/>
      <c r="J18" s="8"/>
      <c r="K18" s="8"/>
      <c r="L18" s="8"/>
      <c r="M18" s="8"/>
      <c r="N18" s="8"/>
      <c r="O18" s="8"/>
      <c r="P18" s="8"/>
      <c r="Q18" s="8"/>
      <c r="R18" s="8"/>
      <c r="S18" s="8"/>
      <c r="T18" s="8"/>
      <c r="U18" s="8"/>
      <c r="V18" s="8"/>
      <c r="W18" s="8"/>
      <c r="X18" s="8"/>
      <c r="Y18" s="8"/>
      <c r="Z18" s="8"/>
    </row>
    <row r="19" spans="1:26" ht="15.75" customHeight="1" x14ac:dyDescent="0.25">
      <c r="A19" s="6" t="s">
        <v>95</v>
      </c>
      <c r="B19" s="6" t="s">
        <v>218</v>
      </c>
      <c r="C19" s="6" t="s">
        <v>227</v>
      </c>
      <c r="D19" s="6" t="s">
        <v>195</v>
      </c>
      <c r="E19" s="6" t="s">
        <v>206</v>
      </c>
      <c r="F19" s="6" t="s">
        <v>116</v>
      </c>
      <c r="G19" s="6" t="s">
        <v>45</v>
      </c>
      <c r="H19" s="8"/>
      <c r="I19" s="8"/>
      <c r="J19" s="8"/>
      <c r="K19" s="8"/>
      <c r="L19" s="8"/>
      <c r="M19" s="8"/>
      <c r="N19" s="8"/>
      <c r="O19" s="8"/>
      <c r="P19" s="8"/>
      <c r="Q19" s="8"/>
      <c r="R19" s="8"/>
      <c r="S19" s="8"/>
      <c r="T19" s="8"/>
      <c r="U19" s="8"/>
      <c r="V19" s="8"/>
      <c r="W19" s="8"/>
      <c r="X19" s="8"/>
      <c r="Y19" s="8"/>
      <c r="Z19" s="8"/>
    </row>
    <row r="20" spans="1:26" ht="15.75" customHeight="1" x14ac:dyDescent="0.25">
      <c r="A20" s="6" t="s">
        <v>95</v>
      </c>
      <c r="B20" s="6" t="s">
        <v>218</v>
      </c>
      <c r="C20" s="6" t="s">
        <v>227</v>
      </c>
      <c r="D20" s="6" t="s">
        <v>195</v>
      </c>
      <c r="E20" s="6" t="s">
        <v>206</v>
      </c>
      <c r="F20" s="6" t="s">
        <v>116</v>
      </c>
      <c r="G20" s="6" t="s">
        <v>45</v>
      </c>
      <c r="H20" s="8"/>
      <c r="I20" s="8"/>
      <c r="J20" s="8"/>
      <c r="K20" s="8"/>
      <c r="L20" s="8"/>
      <c r="M20" s="8"/>
      <c r="N20" s="8"/>
      <c r="O20" s="8"/>
      <c r="P20" s="8"/>
      <c r="Q20" s="8"/>
      <c r="R20" s="8"/>
      <c r="S20" s="8"/>
      <c r="T20" s="8"/>
      <c r="U20" s="8"/>
      <c r="V20" s="8"/>
      <c r="W20" s="8"/>
      <c r="X20" s="8"/>
      <c r="Y20" s="8"/>
      <c r="Z20" s="8"/>
    </row>
    <row r="21" spans="1:26" ht="15.75" customHeight="1" x14ac:dyDescent="0.25">
      <c r="A21" s="6" t="s">
        <v>95</v>
      </c>
      <c r="B21" s="6" t="s">
        <v>218</v>
      </c>
      <c r="C21" s="6" t="s">
        <v>227</v>
      </c>
      <c r="D21" s="6" t="s">
        <v>195</v>
      </c>
      <c r="E21" s="6" t="s">
        <v>206</v>
      </c>
      <c r="F21" s="6" t="s">
        <v>116</v>
      </c>
      <c r="G21" s="6" t="s">
        <v>45</v>
      </c>
      <c r="H21" s="8"/>
      <c r="I21" s="8"/>
      <c r="J21" s="8"/>
      <c r="K21" s="8"/>
      <c r="L21" s="8"/>
      <c r="M21" s="8"/>
      <c r="N21" s="8"/>
      <c r="O21" s="8"/>
      <c r="P21" s="8"/>
      <c r="Q21" s="8"/>
      <c r="R21" s="8"/>
      <c r="S21" s="8"/>
      <c r="T21" s="8"/>
      <c r="U21" s="8"/>
      <c r="V21" s="8"/>
      <c r="W21" s="8"/>
      <c r="X21" s="8"/>
      <c r="Y21" s="8"/>
      <c r="Z21" s="8"/>
    </row>
    <row r="22" spans="1:26" ht="15.75" customHeight="1" x14ac:dyDescent="0.25">
      <c r="A22" s="6" t="s">
        <v>95</v>
      </c>
      <c r="B22" s="6" t="s">
        <v>218</v>
      </c>
      <c r="C22" s="6" t="s">
        <v>227</v>
      </c>
      <c r="D22" s="6" t="s">
        <v>195</v>
      </c>
      <c r="E22" s="6" t="s">
        <v>206</v>
      </c>
      <c r="F22" s="6" t="s">
        <v>116</v>
      </c>
      <c r="G22" s="6" t="s">
        <v>45</v>
      </c>
      <c r="H22" s="8"/>
      <c r="I22" s="8"/>
      <c r="J22" s="8"/>
      <c r="K22" s="8"/>
      <c r="L22" s="8"/>
      <c r="M22" s="8"/>
      <c r="N22" s="8"/>
      <c r="O22" s="8"/>
      <c r="P22" s="8"/>
      <c r="Q22" s="8"/>
      <c r="R22" s="8"/>
      <c r="S22" s="8"/>
      <c r="T22" s="8"/>
      <c r="U22" s="8"/>
      <c r="V22" s="8"/>
      <c r="W22" s="8"/>
      <c r="X22" s="8"/>
      <c r="Y22" s="8"/>
      <c r="Z22" s="8"/>
    </row>
    <row r="23" spans="1:26" ht="15.75" customHeight="1" x14ac:dyDescent="0.25">
      <c r="A23" s="6" t="s">
        <v>95</v>
      </c>
      <c r="B23" s="6" t="s">
        <v>218</v>
      </c>
      <c r="C23" s="6" t="s">
        <v>227</v>
      </c>
      <c r="D23" s="6" t="s">
        <v>195</v>
      </c>
      <c r="E23" s="6" t="s">
        <v>206</v>
      </c>
      <c r="F23" s="6" t="s">
        <v>116</v>
      </c>
      <c r="G23" s="6" t="s">
        <v>45</v>
      </c>
      <c r="H23" s="8"/>
      <c r="I23" s="8"/>
      <c r="J23" s="8"/>
      <c r="K23" s="8"/>
      <c r="L23" s="8"/>
      <c r="M23" s="8"/>
      <c r="N23" s="8"/>
      <c r="O23" s="8"/>
      <c r="P23" s="8"/>
      <c r="Q23" s="8"/>
      <c r="R23" s="8"/>
      <c r="S23" s="8"/>
      <c r="T23" s="8"/>
      <c r="U23" s="8"/>
      <c r="V23" s="8"/>
      <c r="W23" s="8"/>
      <c r="X23" s="8"/>
      <c r="Y23" s="8"/>
      <c r="Z23" s="8"/>
    </row>
    <row r="24" spans="1:26" ht="15.75" customHeight="1" x14ac:dyDescent="0.25">
      <c r="A24" s="6" t="s">
        <v>95</v>
      </c>
      <c r="B24" s="6" t="s">
        <v>218</v>
      </c>
      <c r="C24" s="6" t="s">
        <v>227</v>
      </c>
      <c r="D24" s="6" t="s">
        <v>195</v>
      </c>
      <c r="E24" s="6" t="s">
        <v>206</v>
      </c>
      <c r="F24" s="6" t="s">
        <v>116</v>
      </c>
      <c r="G24" s="6" t="s">
        <v>45</v>
      </c>
      <c r="H24" s="8"/>
      <c r="I24" s="8"/>
      <c r="J24" s="8"/>
      <c r="K24" s="8"/>
      <c r="L24" s="8"/>
      <c r="M24" s="8"/>
      <c r="N24" s="8"/>
      <c r="O24" s="8"/>
      <c r="P24" s="8"/>
      <c r="Q24" s="8"/>
      <c r="R24" s="8"/>
      <c r="S24" s="8"/>
      <c r="T24" s="8"/>
      <c r="U24" s="8"/>
      <c r="V24" s="8"/>
      <c r="W24" s="8"/>
      <c r="X24" s="8"/>
      <c r="Y24" s="8"/>
      <c r="Z24" s="8"/>
    </row>
    <row r="25" spans="1:26" ht="15.75" customHeight="1" x14ac:dyDescent="0.25">
      <c r="A25" s="6" t="s">
        <v>95</v>
      </c>
      <c r="B25" s="6" t="s">
        <v>218</v>
      </c>
      <c r="C25" s="6" t="s">
        <v>227</v>
      </c>
      <c r="D25" s="6" t="s">
        <v>195</v>
      </c>
      <c r="E25" s="6" t="s">
        <v>206</v>
      </c>
      <c r="F25" s="6" t="s">
        <v>116</v>
      </c>
      <c r="G25" s="6" t="s">
        <v>45</v>
      </c>
      <c r="H25" s="8"/>
      <c r="I25" s="8"/>
      <c r="J25" s="8"/>
      <c r="K25" s="8"/>
      <c r="L25" s="8"/>
      <c r="M25" s="8"/>
      <c r="N25" s="8"/>
      <c r="O25" s="8"/>
      <c r="P25" s="8"/>
      <c r="Q25" s="8"/>
      <c r="R25" s="8"/>
      <c r="S25" s="8"/>
      <c r="T25" s="8"/>
      <c r="U25" s="8"/>
      <c r="V25" s="8"/>
      <c r="W25" s="8"/>
      <c r="X25" s="8"/>
      <c r="Y25" s="8"/>
      <c r="Z25" s="8"/>
    </row>
    <row r="26" spans="1:26" ht="15.75" customHeight="1" x14ac:dyDescent="0.25">
      <c r="A26" s="6" t="s">
        <v>95</v>
      </c>
      <c r="B26" s="6" t="s">
        <v>218</v>
      </c>
      <c r="C26" s="6" t="s">
        <v>227</v>
      </c>
      <c r="D26" s="6" t="s">
        <v>195</v>
      </c>
      <c r="E26" s="6" t="s">
        <v>206</v>
      </c>
      <c r="F26" s="6" t="s">
        <v>116</v>
      </c>
      <c r="G26" s="6" t="s">
        <v>45</v>
      </c>
      <c r="H26" s="8"/>
      <c r="I26" s="8"/>
      <c r="J26" s="8"/>
      <c r="K26" s="8"/>
      <c r="L26" s="8"/>
      <c r="M26" s="8"/>
      <c r="N26" s="8"/>
      <c r="O26" s="8"/>
      <c r="P26" s="8"/>
      <c r="Q26" s="8"/>
      <c r="R26" s="8"/>
      <c r="S26" s="8"/>
      <c r="T26" s="8"/>
      <c r="U26" s="8"/>
      <c r="V26" s="8"/>
      <c r="W26" s="8"/>
      <c r="X26" s="8"/>
      <c r="Y26" s="8"/>
      <c r="Z26" s="8"/>
    </row>
    <row r="27" spans="1:26" ht="15.75" customHeight="1" x14ac:dyDescent="0.25">
      <c r="A27" s="6" t="s">
        <v>95</v>
      </c>
      <c r="B27" s="6" t="s">
        <v>218</v>
      </c>
      <c r="C27" s="6" t="s">
        <v>227</v>
      </c>
      <c r="D27" s="6" t="s">
        <v>195</v>
      </c>
      <c r="E27" s="6" t="s">
        <v>206</v>
      </c>
      <c r="F27" s="6" t="s">
        <v>116</v>
      </c>
      <c r="G27" s="6" t="s">
        <v>45</v>
      </c>
      <c r="H27" s="8"/>
      <c r="I27" s="8"/>
      <c r="J27" s="8"/>
      <c r="K27" s="8"/>
      <c r="L27" s="8"/>
      <c r="M27" s="8"/>
      <c r="N27" s="8"/>
      <c r="O27" s="8"/>
      <c r="P27" s="8"/>
      <c r="Q27" s="8"/>
      <c r="R27" s="8"/>
      <c r="S27" s="8"/>
      <c r="T27" s="8"/>
      <c r="U27" s="8"/>
      <c r="V27" s="8"/>
      <c r="W27" s="8"/>
      <c r="X27" s="8"/>
      <c r="Y27" s="8"/>
      <c r="Z27" s="8"/>
    </row>
    <row r="28" spans="1:26" ht="15.75" customHeight="1" x14ac:dyDescent="0.25">
      <c r="A28" s="6" t="s">
        <v>95</v>
      </c>
      <c r="B28" s="6" t="s">
        <v>218</v>
      </c>
      <c r="C28" s="6" t="s">
        <v>227</v>
      </c>
      <c r="D28" s="6" t="s">
        <v>195</v>
      </c>
      <c r="E28" s="6" t="s">
        <v>206</v>
      </c>
      <c r="F28" s="6" t="s">
        <v>116</v>
      </c>
      <c r="G28" s="6" t="s">
        <v>45</v>
      </c>
      <c r="H28" s="8"/>
      <c r="I28" s="8"/>
      <c r="J28" s="8"/>
      <c r="K28" s="8"/>
      <c r="L28" s="8"/>
      <c r="M28" s="8"/>
      <c r="N28" s="8"/>
      <c r="O28" s="8"/>
      <c r="P28" s="8"/>
      <c r="Q28" s="8"/>
      <c r="R28" s="8"/>
      <c r="S28" s="8"/>
      <c r="T28" s="8"/>
      <c r="U28" s="8"/>
      <c r="V28" s="8"/>
      <c r="W28" s="8"/>
      <c r="X28" s="8"/>
      <c r="Y28" s="8"/>
      <c r="Z28" s="8"/>
    </row>
    <row r="29" spans="1:26" ht="15.75" customHeight="1" x14ac:dyDescent="0.25">
      <c r="A29" s="6" t="s">
        <v>95</v>
      </c>
      <c r="B29" s="6" t="s">
        <v>218</v>
      </c>
      <c r="C29" s="6" t="s">
        <v>227</v>
      </c>
      <c r="D29" s="6" t="s">
        <v>195</v>
      </c>
      <c r="E29" s="6" t="s">
        <v>206</v>
      </c>
      <c r="F29" s="6" t="s">
        <v>116</v>
      </c>
      <c r="G29" s="6" t="s">
        <v>45</v>
      </c>
      <c r="H29" s="8"/>
      <c r="I29" s="8"/>
      <c r="J29" s="8"/>
      <c r="K29" s="8"/>
      <c r="L29" s="8"/>
      <c r="M29" s="8"/>
      <c r="N29" s="8"/>
      <c r="O29" s="8"/>
      <c r="P29" s="8"/>
      <c r="Q29" s="8"/>
      <c r="R29" s="8"/>
      <c r="S29" s="8"/>
      <c r="T29" s="8"/>
      <c r="U29" s="8"/>
      <c r="V29" s="8"/>
      <c r="W29" s="8"/>
      <c r="X29" s="8"/>
      <c r="Y29" s="8"/>
      <c r="Z29" s="8"/>
    </row>
    <row r="30" spans="1:26" ht="15.75" customHeight="1" x14ac:dyDescent="0.25">
      <c r="A30" s="6" t="s">
        <v>95</v>
      </c>
      <c r="B30" s="6" t="s">
        <v>218</v>
      </c>
      <c r="C30" s="6" t="s">
        <v>227</v>
      </c>
      <c r="D30" s="6" t="s">
        <v>195</v>
      </c>
      <c r="E30" s="6" t="s">
        <v>206</v>
      </c>
      <c r="F30" s="6" t="s">
        <v>116</v>
      </c>
      <c r="G30" s="6" t="s">
        <v>45</v>
      </c>
      <c r="H30" s="8"/>
      <c r="I30" s="8"/>
      <c r="J30" s="8"/>
      <c r="K30" s="8"/>
      <c r="L30" s="8"/>
      <c r="M30" s="8"/>
      <c r="N30" s="8"/>
      <c r="O30" s="8"/>
      <c r="P30" s="8"/>
      <c r="Q30" s="8"/>
      <c r="R30" s="8"/>
      <c r="S30" s="8"/>
      <c r="T30" s="8"/>
      <c r="U30" s="8"/>
      <c r="V30" s="8"/>
      <c r="W30" s="8"/>
      <c r="X30" s="8"/>
      <c r="Y30" s="8"/>
      <c r="Z30" s="8"/>
    </row>
    <row r="31" spans="1:26" ht="15.75" customHeight="1" x14ac:dyDescent="0.25">
      <c r="A31" s="6" t="s">
        <v>95</v>
      </c>
      <c r="B31" s="6" t="s">
        <v>218</v>
      </c>
      <c r="C31" s="6" t="s">
        <v>227</v>
      </c>
      <c r="D31" s="6" t="s">
        <v>195</v>
      </c>
      <c r="E31" s="6" t="s">
        <v>206</v>
      </c>
      <c r="F31" s="6" t="s">
        <v>116</v>
      </c>
      <c r="G31" s="6" t="s">
        <v>45</v>
      </c>
      <c r="H31" s="8"/>
      <c r="I31" s="8"/>
      <c r="J31" s="8"/>
      <c r="K31" s="8"/>
      <c r="L31" s="8"/>
      <c r="M31" s="8"/>
      <c r="N31" s="8"/>
      <c r="O31" s="8"/>
      <c r="P31" s="8"/>
      <c r="Q31" s="8"/>
      <c r="R31" s="8"/>
      <c r="S31" s="8"/>
      <c r="T31" s="8"/>
      <c r="U31" s="8"/>
      <c r="V31" s="8"/>
      <c r="W31" s="8"/>
      <c r="X31" s="8"/>
      <c r="Y31" s="8"/>
      <c r="Z31" s="8"/>
    </row>
    <row r="32" spans="1:26" ht="15.75" customHeight="1" x14ac:dyDescent="0.25">
      <c r="A32" s="6" t="s">
        <v>95</v>
      </c>
      <c r="B32" s="6" t="s">
        <v>218</v>
      </c>
      <c r="C32" s="6" t="s">
        <v>227</v>
      </c>
      <c r="D32" s="6" t="s">
        <v>195</v>
      </c>
      <c r="E32" s="6" t="s">
        <v>206</v>
      </c>
      <c r="F32" s="6" t="s">
        <v>116</v>
      </c>
      <c r="G32" s="6" t="s">
        <v>45</v>
      </c>
      <c r="H32" s="8"/>
      <c r="I32" s="8"/>
      <c r="J32" s="8"/>
      <c r="K32" s="8"/>
      <c r="L32" s="8"/>
      <c r="M32" s="8"/>
      <c r="N32" s="8"/>
      <c r="O32" s="8"/>
      <c r="P32" s="8"/>
      <c r="Q32" s="8"/>
      <c r="R32" s="8"/>
      <c r="S32" s="8"/>
      <c r="T32" s="8"/>
      <c r="U32" s="8"/>
      <c r="V32" s="8"/>
      <c r="W32" s="8"/>
      <c r="X32" s="8"/>
      <c r="Y32" s="8"/>
      <c r="Z32" s="8"/>
    </row>
    <row r="33" spans="1:26" ht="15.75" customHeight="1" x14ac:dyDescent="0.25">
      <c r="A33" s="6" t="s">
        <v>95</v>
      </c>
      <c r="B33" s="6" t="s">
        <v>218</v>
      </c>
      <c r="C33" s="6" t="s">
        <v>227</v>
      </c>
      <c r="D33" s="6" t="s">
        <v>195</v>
      </c>
      <c r="E33" s="6" t="s">
        <v>206</v>
      </c>
      <c r="F33" s="6" t="s">
        <v>116</v>
      </c>
      <c r="G33" s="6" t="s">
        <v>45</v>
      </c>
      <c r="H33" s="8"/>
      <c r="I33" s="8"/>
      <c r="J33" s="8"/>
      <c r="K33" s="8"/>
      <c r="L33" s="8"/>
      <c r="M33" s="8"/>
      <c r="N33" s="8"/>
      <c r="O33" s="8"/>
      <c r="P33" s="8"/>
      <c r="Q33" s="8"/>
      <c r="R33" s="8"/>
      <c r="S33" s="8"/>
      <c r="T33" s="8"/>
      <c r="U33" s="8"/>
      <c r="V33" s="8"/>
      <c r="W33" s="8"/>
      <c r="X33" s="8"/>
      <c r="Y33" s="8"/>
      <c r="Z33" s="8"/>
    </row>
    <row r="34" spans="1:26" ht="15.75" customHeight="1" x14ac:dyDescent="0.25">
      <c r="A34" s="6" t="s">
        <v>95</v>
      </c>
      <c r="B34" s="6" t="s">
        <v>218</v>
      </c>
      <c r="C34" s="6" t="s">
        <v>227</v>
      </c>
      <c r="D34" s="6" t="s">
        <v>195</v>
      </c>
      <c r="E34" s="6" t="s">
        <v>206</v>
      </c>
      <c r="F34" s="6" t="s">
        <v>116</v>
      </c>
      <c r="G34" s="6" t="s">
        <v>45</v>
      </c>
      <c r="H34" s="8"/>
      <c r="I34" s="8"/>
      <c r="J34" s="8"/>
      <c r="K34" s="8"/>
      <c r="L34" s="8"/>
      <c r="M34" s="8"/>
      <c r="N34" s="8"/>
      <c r="O34" s="8"/>
      <c r="P34" s="8"/>
      <c r="Q34" s="8"/>
      <c r="R34" s="8"/>
      <c r="S34" s="8"/>
      <c r="T34" s="8"/>
      <c r="U34" s="8"/>
      <c r="V34" s="8"/>
      <c r="W34" s="8"/>
      <c r="X34" s="8"/>
      <c r="Y34" s="8"/>
      <c r="Z34" s="8"/>
    </row>
    <row r="35" spans="1:26" ht="15.75" customHeight="1" x14ac:dyDescent="0.25">
      <c r="A35" s="6" t="s">
        <v>95</v>
      </c>
      <c r="B35" s="6" t="s">
        <v>218</v>
      </c>
      <c r="C35" s="6" t="s">
        <v>227</v>
      </c>
      <c r="D35" s="6" t="s">
        <v>195</v>
      </c>
      <c r="E35" s="6" t="s">
        <v>206</v>
      </c>
      <c r="F35" s="6" t="s">
        <v>116</v>
      </c>
      <c r="G35" s="6" t="s">
        <v>45</v>
      </c>
      <c r="H35" s="8"/>
      <c r="I35" s="8"/>
      <c r="J35" s="8"/>
      <c r="K35" s="8"/>
      <c r="L35" s="8"/>
      <c r="M35" s="8"/>
      <c r="N35" s="8"/>
      <c r="O35" s="8"/>
      <c r="P35" s="8"/>
      <c r="Q35" s="8"/>
      <c r="R35" s="8"/>
      <c r="S35" s="8"/>
      <c r="T35" s="8"/>
      <c r="U35" s="8"/>
      <c r="V35" s="8"/>
      <c r="W35" s="8"/>
      <c r="X35" s="8"/>
      <c r="Y35" s="8"/>
      <c r="Z35" s="8"/>
    </row>
    <row r="36" spans="1:26" ht="15.75" customHeight="1" x14ac:dyDescent="0.25">
      <c r="A36" s="6" t="s">
        <v>95</v>
      </c>
      <c r="B36" s="6" t="s">
        <v>218</v>
      </c>
      <c r="C36" s="6" t="s">
        <v>227</v>
      </c>
      <c r="D36" s="6" t="s">
        <v>195</v>
      </c>
      <c r="E36" s="6" t="s">
        <v>206</v>
      </c>
      <c r="F36" s="6" t="s">
        <v>116</v>
      </c>
      <c r="G36" s="6" t="s">
        <v>45</v>
      </c>
      <c r="H36" s="8"/>
      <c r="I36" s="8"/>
      <c r="J36" s="8"/>
      <c r="K36" s="8"/>
      <c r="L36" s="8"/>
      <c r="M36" s="8"/>
      <c r="N36" s="8"/>
      <c r="O36" s="8"/>
      <c r="P36" s="8"/>
      <c r="Q36" s="8"/>
      <c r="R36" s="8"/>
      <c r="S36" s="8"/>
      <c r="T36" s="8"/>
      <c r="U36" s="8"/>
      <c r="V36" s="8"/>
      <c r="W36" s="8"/>
      <c r="X36" s="8"/>
      <c r="Y36" s="8"/>
      <c r="Z36" s="8"/>
    </row>
    <row r="37" spans="1:26" ht="15.75" customHeight="1" x14ac:dyDescent="0.25">
      <c r="A37" s="6" t="s">
        <v>95</v>
      </c>
      <c r="B37" s="6" t="s">
        <v>218</v>
      </c>
      <c r="C37" s="6" t="s">
        <v>227</v>
      </c>
      <c r="D37" s="6" t="s">
        <v>195</v>
      </c>
      <c r="E37" s="6" t="s">
        <v>206</v>
      </c>
      <c r="F37" s="6" t="s">
        <v>116</v>
      </c>
      <c r="G37" s="6" t="s">
        <v>45</v>
      </c>
      <c r="H37" s="8"/>
      <c r="I37" s="8"/>
      <c r="J37" s="8"/>
      <c r="K37" s="8"/>
      <c r="L37" s="8"/>
      <c r="M37" s="8"/>
      <c r="N37" s="8"/>
      <c r="O37" s="8"/>
      <c r="P37" s="8"/>
      <c r="Q37" s="8"/>
      <c r="R37" s="8"/>
      <c r="S37" s="8"/>
      <c r="T37" s="8"/>
      <c r="U37" s="8"/>
      <c r="V37" s="8"/>
      <c r="W37" s="8"/>
      <c r="X37" s="8"/>
      <c r="Y37" s="8"/>
      <c r="Z37" s="8"/>
    </row>
    <row r="38" spans="1:26" ht="15.75" customHeight="1" x14ac:dyDescent="0.25">
      <c r="A38" s="6" t="s">
        <v>95</v>
      </c>
      <c r="B38" s="6" t="s">
        <v>218</v>
      </c>
      <c r="C38" s="6" t="s">
        <v>227</v>
      </c>
      <c r="D38" s="6" t="s">
        <v>195</v>
      </c>
      <c r="E38" s="6" t="s">
        <v>206</v>
      </c>
      <c r="F38" s="6" t="s">
        <v>116</v>
      </c>
      <c r="G38" s="6" t="s">
        <v>45</v>
      </c>
      <c r="H38" s="8"/>
      <c r="I38" s="8"/>
      <c r="J38" s="8"/>
      <c r="K38" s="8"/>
      <c r="L38" s="8"/>
      <c r="M38" s="8"/>
      <c r="N38" s="8"/>
      <c r="O38" s="8"/>
      <c r="P38" s="8"/>
      <c r="Q38" s="8"/>
      <c r="R38" s="8"/>
      <c r="S38" s="8"/>
      <c r="T38" s="8"/>
      <c r="U38" s="8"/>
      <c r="V38" s="8"/>
      <c r="W38" s="8"/>
      <c r="X38" s="8"/>
      <c r="Y38" s="8"/>
      <c r="Z38" s="8"/>
    </row>
    <row r="39" spans="1:26" ht="15.75" customHeight="1" x14ac:dyDescent="0.25">
      <c r="A39" s="6" t="s">
        <v>95</v>
      </c>
      <c r="B39" s="6" t="s">
        <v>218</v>
      </c>
      <c r="C39" s="6" t="s">
        <v>227</v>
      </c>
      <c r="D39" s="6" t="s">
        <v>195</v>
      </c>
      <c r="E39" s="6" t="s">
        <v>206</v>
      </c>
      <c r="F39" s="6" t="s">
        <v>116</v>
      </c>
      <c r="G39" s="6" t="s">
        <v>45</v>
      </c>
      <c r="H39" s="8"/>
      <c r="I39" s="8"/>
      <c r="J39" s="8"/>
      <c r="K39" s="8"/>
      <c r="L39" s="8"/>
      <c r="M39" s="8"/>
      <c r="N39" s="8"/>
      <c r="O39" s="8"/>
      <c r="P39" s="8"/>
      <c r="Q39" s="8"/>
      <c r="R39" s="8"/>
      <c r="S39" s="8"/>
      <c r="T39" s="8"/>
      <c r="U39" s="8"/>
      <c r="V39" s="8"/>
      <c r="W39" s="8"/>
      <c r="X39" s="8"/>
      <c r="Y39" s="8"/>
      <c r="Z39" s="8"/>
    </row>
    <row r="40" spans="1:26" ht="15.75" customHeight="1" x14ac:dyDescent="0.25">
      <c r="A40" s="6" t="s">
        <v>95</v>
      </c>
      <c r="B40" s="6" t="s">
        <v>218</v>
      </c>
      <c r="C40" s="6" t="s">
        <v>227</v>
      </c>
      <c r="D40" s="6" t="s">
        <v>195</v>
      </c>
      <c r="E40" s="6" t="s">
        <v>206</v>
      </c>
      <c r="F40" s="6" t="s">
        <v>116</v>
      </c>
      <c r="G40" s="6" t="s">
        <v>45</v>
      </c>
      <c r="H40" s="8"/>
      <c r="I40" s="8"/>
      <c r="J40" s="8"/>
      <c r="K40" s="8"/>
      <c r="L40" s="8"/>
      <c r="M40" s="8"/>
      <c r="N40" s="8"/>
      <c r="O40" s="8"/>
      <c r="P40" s="8"/>
      <c r="Q40" s="8"/>
      <c r="R40" s="8"/>
      <c r="S40" s="8"/>
      <c r="T40" s="8"/>
      <c r="U40" s="8"/>
      <c r="V40" s="8"/>
      <c r="W40" s="8"/>
      <c r="X40" s="8"/>
      <c r="Y40" s="8"/>
      <c r="Z40" s="8"/>
    </row>
    <row r="41" spans="1:26" ht="15.75" customHeight="1" x14ac:dyDescent="0.25">
      <c r="A41" s="6" t="s">
        <v>95</v>
      </c>
      <c r="B41" s="6" t="s">
        <v>218</v>
      </c>
      <c r="C41" s="6" t="s">
        <v>227</v>
      </c>
      <c r="D41" s="6" t="s">
        <v>195</v>
      </c>
      <c r="E41" s="6" t="s">
        <v>206</v>
      </c>
      <c r="F41" s="6" t="s">
        <v>116</v>
      </c>
      <c r="G41" s="6" t="s">
        <v>45</v>
      </c>
      <c r="H41" s="8"/>
      <c r="I41" s="8"/>
      <c r="J41" s="8"/>
      <c r="K41" s="8"/>
      <c r="L41" s="8"/>
      <c r="M41" s="8"/>
      <c r="N41" s="8"/>
      <c r="O41" s="8"/>
      <c r="P41" s="8"/>
      <c r="Q41" s="8"/>
      <c r="R41" s="8"/>
      <c r="S41" s="8"/>
      <c r="T41" s="8"/>
      <c r="U41" s="8"/>
      <c r="V41" s="8"/>
      <c r="W41" s="8"/>
      <c r="X41" s="8"/>
      <c r="Y41" s="8"/>
      <c r="Z41" s="8"/>
    </row>
    <row r="42" spans="1:26" ht="15.75" customHeight="1" x14ac:dyDescent="0.25">
      <c r="A42" s="6" t="s">
        <v>95</v>
      </c>
      <c r="B42" s="6" t="s">
        <v>218</v>
      </c>
      <c r="C42" s="6" t="s">
        <v>227</v>
      </c>
      <c r="D42" s="6" t="s">
        <v>195</v>
      </c>
      <c r="E42" s="6" t="s">
        <v>206</v>
      </c>
      <c r="F42" s="6" t="s">
        <v>116</v>
      </c>
      <c r="G42" s="6" t="s">
        <v>45</v>
      </c>
      <c r="H42" s="8"/>
      <c r="I42" s="8"/>
      <c r="J42" s="8"/>
      <c r="K42" s="8"/>
      <c r="L42" s="8"/>
      <c r="M42" s="8"/>
      <c r="N42" s="8"/>
      <c r="O42" s="8"/>
      <c r="P42" s="8"/>
      <c r="Q42" s="8"/>
      <c r="R42" s="8"/>
      <c r="S42" s="8"/>
      <c r="T42" s="8"/>
      <c r="U42" s="8"/>
      <c r="V42" s="8"/>
      <c r="W42" s="8"/>
      <c r="X42" s="8"/>
      <c r="Y42" s="8"/>
      <c r="Z42" s="8"/>
    </row>
    <row r="43" spans="1:26" ht="15.75" customHeight="1" x14ac:dyDescent="0.25">
      <c r="A43" s="6" t="s">
        <v>95</v>
      </c>
      <c r="B43" s="6" t="s">
        <v>218</v>
      </c>
      <c r="C43" s="6" t="s">
        <v>227</v>
      </c>
      <c r="D43" s="6" t="s">
        <v>195</v>
      </c>
      <c r="E43" s="6" t="s">
        <v>206</v>
      </c>
      <c r="F43" s="6" t="s">
        <v>116</v>
      </c>
      <c r="G43" s="6" t="s">
        <v>45</v>
      </c>
      <c r="H43" s="8"/>
      <c r="I43" s="8"/>
      <c r="J43" s="8"/>
      <c r="K43" s="8"/>
      <c r="L43" s="8"/>
      <c r="M43" s="8"/>
      <c r="N43" s="8"/>
      <c r="O43" s="8"/>
      <c r="P43" s="8"/>
      <c r="Q43" s="8"/>
      <c r="R43" s="8"/>
      <c r="S43" s="8"/>
      <c r="T43" s="8"/>
      <c r="U43" s="8"/>
      <c r="V43" s="8"/>
      <c r="W43" s="8"/>
      <c r="X43" s="8"/>
      <c r="Y43" s="8"/>
      <c r="Z43" s="8"/>
    </row>
    <row r="44" spans="1:26" ht="15.75" customHeight="1" x14ac:dyDescent="0.25">
      <c r="A44" s="6" t="s">
        <v>95</v>
      </c>
      <c r="B44" s="6" t="s">
        <v>218</v>
      </c>
      <c r="C44" s="6" t="s">
        <v>227</v>
      </c>
      <c r="D44" s="6" t="s">
        <v>195</v>
      </c>
      <c r="E44" s="6" t="s">
        <v>206</v>
      </c>
      <c r="F44" s="6" t="s">
        <v>116</v>
      </c>
      <c r="G44" s="6" t="s">
        <v>45</v>
      </c>
      <c r="H44" s="8"/>
      <c r="I44" s="8"/>
      <c r="J44" s="8"/>
      <c r="K44" s="8"/>
      <c r="L44" s="8"/>
      <c r="M44" s="8"/>
      <c r="N44" s="8"/>
      <c r="O44" s="8"/>
      <c r="P44" s="8"/>
      <c r="Q44" s="8"/>
      <c r="R44" s="8"/>
      <c r="S44" s="8"/>
      <c r="T44" s="8"/>
      <c r="U44" s="8"/>
      <c r="V44" s="8"/>
      <c r="W44" s="8"/>
      <c r="X44" s="8"/>
      <c r="Y44" s="8"/>
      <c r="Z44" s="8"/>
    </row>
    <row r="45" spans="1:26" ht="15.75" customHeight="1" x14ac:dyDescent="0.25">
      <c r="A45" s="6" t="s">
        <v>95</v>
      </c>
      <c r="B45" s="6" t="s">
        <v>218</v>
      </c>
      <c r="C45" s="6" t="s">
        <v>227</v>
      </c>
      <c r="D45" s="6" t="s">
        <v>195</v>
      </c>
      <c r="E45" s="6" t="s">
        <v>206</v>
      </c>
      <c r="F45" s="6" t="s">
        <v>116</v>
      </c>
      <c r="G45" s="6" t="s">
        <v>45</v>
      </c>
      <c r="H45" s="8"/>
      <c r="I45" s="8"/>
      <c r="J45" s="8"/>
      <c r="K45" s="8"/>
      <c r="L45" s="8"/>
      <c r="M45" s="8"/>
      <c r="N45" s="8"/>
      <c r="O45" s="8"/>
      <c r="P45" s="8"/>
      <c r="Q45" s="8"/>
      <c r="R45" s="8"/>
      <c r="S45" s="8"/>
      <c r="T45" s="8"/>
      <c r="U45" s="8"/>
      <c r="V45" s="8"/>
      <c r="W45" s="8"/>
      <c r="X45" s="8"/>
      <c r="Y45" s="8"/>
      <c r="Z45" s="8"/>
    </row>
    <row r="46" spans="1:26" ht="15.75" customHeight="1" x14ac:dyDescent="0.25">
      <c r="A46" s="6" t="s">
        <v>95</v>
      </c>
      <c r="B46" s="6" t="s">
        <v>218</v>
      </c>
      <c r="C46" s="6" t="s">
        <v>227</v>
      </c>
      <c r="D46" s="6" t="s">
        <v>195</v>
      </c>
      <c r="E46" s="6" t="s">
        <v>206</v>
      </c>
      <c r="F46" s="6" t="s">
        <v>116</v>
      </c>
      <c r="G46" s="6" t="s">
        <v>45</v>
      </c>
      <c r="H46" s="8"/>
      <c r="I46" s="8"/>
      <c r="J46" s="8"/>
      <c r="K46" s="8"/>
      <c r="L46" s="8"/>
      <c r="M46" s="8"/>
      <c r="N46" s="8"/>
      <c r="O46" s="8"/>
      <c r="P46" s="8"/>
      <c r="Q46" s="8"/>
      <c r="R46" s="8"/>
      <c r="S46" s="8"/>
      <c r="T46" s="8"/>
      <c r="U46" s="8"/>
      <c r="V46" s="8"/>
      <c r="W46" s="8"/>
      <c r="X46" s="8"/>
      <c r="Y46" s="8"/>
      <c r="Z46" s="8"/>
    </row>
    <row r="47" spans="1:26" ht="15.75" customHeight="1" x14ac:dyDescent="0.25">
      <c r="A47" s="6" t="s">
        <v>95</v>
      </c>
      <c r="B47" s="6" t="s">
        <v>218</v>
      </c>
      <c r="C47" s="6" t="s">
        <v>227</v>
      </c>
      <c r="D47" s="6" t="s">
        <v>195</v>
      </c>
      <c r="E47" s="6" t="s">
        <v>206</v>
      </c>
      <c r="F47" s="6" t="s">
        <v>116</v>
      </c>
      <c r="G47" s="6" t="s">
        <v>45</v>
      </c>
      <c r="H47" s="8"/>
      <c r="I47" s="8"/>
      <c r="J47" s="8"/>
      <c r="K47" s="8"/>
      <c r="L47" s="8"/>
      <c r="M47" s="8"/>
      <c r="N47" s="8"/>
      <c r="O47" s="8"/>
      <c r="P47" s="8"/>
      <c r="Q47" s="8"/>
      <c r="R47" s="8"/>
      <c r="S47" s="8"/>
      <c r="T47" s="8"/>
      <c r="U47" s="8"/>
      <c r="V47" s="8"/>
      <c r="W47" s="8"/>
      <c r="X47" s="8"/>
      <c r="Y47" s="8"/>
      <c r="Z47" s="8"/>
    </row>
    <row r="48" spans="1:26" ht="15.75" customHeight="1" x14ac:dyDescent="0.25">
      <c r="A48" s="6" t="s">
        <v>95</v>
      </c>
      <c r="B48" s="6" t="s">
        <v>218</v>
      </c>
      <c r="C48" s="6" t="s">
        <v>227</v>
      </c>
      <c r="D48" s="6" t="s">
        <v>195</v>
      </c>
      <c r="E48" s="6" t="s">
        <v>206</v>
      </c>
      <c r="F48" s="6" t="s">
        <v>116</v>
      </c>
      <c r="G48" s="6" t="s">
        <v>45</v>
      </c>
      <c r="H48" s="8"/>
      <c r="I48" s="8"/>
      <c r="J48" s="8"/>
      <c r="K48" s="8"/>
      <c r="L48" s="8"/>
      <c r="M48" s="8"/>
      <c r="N48" s="8"/>
      <c r="O48" s="8"/>
      <c r="P48" s="8"/>
      <c r="Q48" s="8"/>
      <c r="R48" s="8"/>
      <c r="S48" s="8"/>
      <c r="T48" s="8"/>
      <c r="U48" s="8"/>
      <c r="V48" s="8"/>
      <c r="W48" s="8"/>
      <c r="X48" s="8"/>
      <c r="Y48" s="8"/>
      <c r="Z48" s="8"/>
    </row>
    <row r="49" spans="1:26" ht="15.75" customHeight="1" x14ac:dyDescent="0.25">
      <c r="A49" s="6" t="s">
        <v>95</v>
      </c>
      <c r="B49" s="6" t="s">
        <v>218</v>
      </c>
      <c r="C49" s="6" t="s">
        <v>227</v>
      </c>
      <c r="D49" s="6" t="s">
        <v>195</v>
      </c>
      <c r="E49" s="6" t="s">
        <v>206</v>
      </c>
      <c r="F49" s="6" t="s">
        <v>116</v>
      </c>
      <c r="G49" s="6" t="s">
        <v>45</v>
      </c>
      <c r="H49" s="8"/>
      <c r="I49" s="8"/>
      <c r="J49" s="8"/>
      <c r="K49" s="8"/>
      <c r="L49" s="8"/>
      <c r="M49" s="8"/>
      <c r="N49" s="8"/>
      <c r="O49" s="8"/>
      <c r="P49" s="8"/>
      <c r="Q49" s="8"/>
      <c r="R49" s="8"/>
      <c r="S49" s="8"/>
      <c r="T49" s="8"/>
      <c r="U49" s="8"/>
      <c r="V49" s="8"/>
      <c r="W49" s="8"/>
      <c r="X49" s="8"/>
      <c r="Y49" s="8"/>
      <c r="Z49" s="8"/>
    </row>
    <row r="50" spans="1:26" ht="15.75" customHeight="1" x14ac:dyDescent="0.25">
      <c r="A50" s="6" t="s">
        <v>95</v>
      </c>
      <c r="B50" s="6" t="s">
        <v>218</v>
      </c>
      <c r="C50" s="6" t="s">
        <v>227</v>
      </c>
      <c r="D50" s="6" t="s">
        <v>195</v>
      </c>
      <c r="E50" s="6" t="s">
        <v>206</v>
      </c>
      <c r="F50" s="6" t="s">
        <v>116</v>
      </c>
      <c r="G50" s="6" t="s">
        <v>45</v>
      </c>
      <c r="H50" s="8"/>
      <c r="I50" s="8"/>
      <c r="J50" s="8"/>
      <c r="K50" s="8"/>
      <c r="L50" s="8"/>
      <c r="M50" s="8"/>
      <c r="N50" s="8"/>
      <c r="O50" s="8"/>
      <c r="P50" s="8"/>
      <c r="Q50" s="8"/>
      <c r="R50" s="8"/>
      <c r="S50" s="8"/>
      <c r="T50" s="8"/>
      <c r="U50" s="8"/>
      <c r="V50" s="8"/>
      <c r="W50" s="8"/>
      <c r="X50" s="8"/>
      <c r="Y50" s="8"/>
      <c r="Z50" s="8"/>
    </row>
    <row r="51" spans="1:26" ht="15.75" customHeight="1" x14ac:dyDescent="0.25">
      <c r="A51" s="6" t="s">
        <v>95</v>
      </c>
      <c r="B51" s="6" t="s">
        <v>218</v>
      </c>
      <c r="C51" s="6" t="s">
        <v>227</v>
      </c>
      <c r="D51" s="6" t="s">
        <v>195</v>
      </c>
      <c r="E51" s="6" t="s">
        <v>206</v>
      </c>
      <c r="F51" s="6" t="s">
        <v>116</v>
      </c>
      <c r="G51" s="6" t="s">
        <v>45</v>
      </c>
      <c r="H51" s="8"/>
      <c r="I51" s="8"/>
      <c r="J51" s="8"/>
      <c r="K51" s="8"/>
      <c r="L51" s="8"/>
      <c r="M51" s="8"/>
      <c r="N51" s="8"/>
      <c r="O51" s="8"/>
      <c r="P51" s="8"/>
      <c r="Q51" s="8"/>
      <c r="R51" s="8"/>
      <c r="S51" s="8"/>
      <c r="T51" s="8"/>
      <c r="U51" s="8"/>
      <c r="V51" s="8"/>
      <c r="W51" s="8"/>
      <c r="X51" s="8"/>
      <c r="Y51" s="8"/>
      <c r="Z51" s="8"/>
    </row>
    <row r="52" spans="1:26" ht="15.75" customHeight="1" x14ac:dyDescent="0.25">
      <c r="A52" s="6" t="s">
        <v>95</v>
      </c>
      <c r="B52" s="6" t="s">
        <v>218</v>
      </c>
      <c r="C52" s="6" t="s">
        <v>227</v>
      </c>
      <c r="D52" s="6" t="s">
        <v>195</v>
      </c>
      <c r="E52" s="6" t="s">
        <v>206</v>
      </c>
      <c r="F52" s="6" t="s">
        <v>116</v>
      </c>
      <c r="G52" s="6" t="s">
        <v>45</v>
      </c>
      <c r="H52" s="8"/>
      <c r="I52" s="8"/>
      <c r="J52" s="8"/>
      <c r="K52" s="8"/>
      <c r="L52" s="8"/>
      <c r="M52" s="8"/>
      <c r="N52" s="8"/>
      <c r="O52" s="8"/>
      <c r="P52" s="8"/>
      <c r="Q52" s="8"/>
      <c r="R52" s="8"/>
      <c r="S52" s="8"/>
      <c r="T52" s="8"/>
      <c r="U52" s="8"/>
      <c r="V52" s="8"/>
      <c r="W52" s="8"/>
      <c r="X52" s="8"/>
      <c r="Y52" s="8"/>
      <c r="Z52" s="8"/>
    </row>
    <row r="53" spans="1:26" ht="15.75" customHeight="1" x14ac:dyDescent="0.25">
      <c r="A53" s="6" t="s">
        <v>95</v>
      </c>
      <c r="B53" s="6" t="s">
        <v>218</v>
      </c>
      <c r="C53" s="6" t="s">
        <v>227</v>
      </c>
      <c r="D53" s="6" t="s">
        <v>195</v>
      </c>
      <c r="E53" s="6" t="s">
        <v>206</v>
      </c>
      <c r="F53" s="6" t="s">
        <v>116</v>
      </c>
      <c r="G53" s="6" t="s">
        <v>45</v>
      </c>
      <c r="H53" s="8"/>
      <c r="I53" s="8"/>
      <c r="J53" s="8"/>
      <c r="K53" s="8"/>
      <c r="L53" s="8"/>
      <c r="M53" s="8"/>
      <c r="N53" s="8"/>
      <c r="O53" s="8"/>
      <c r="P53" s="8"/>
      <c r="Q53" s="8"/>
      <c r="R53" s="8"/>
      <c r="S53" s="8"/>
      <c r="T53" s="8"/>
      <c r="U53" s="8"/>
      <c r="V53" s="8"/>
      <c r="W53" s="8"/>
      <c r="X53" s="8"/>
      <c r="Y53" s="8"/>
      <c r="Z53" s="8"/>
    </row>
    <row r="54" spans="1:26" ht="15.75" customHeight="1" x14ac:dyDescent="0.25">
      <c r="A54" s="6" t="s">
        <v>95</v>
      </c>
      <c r="B54" s="6" t="s">
        <v>218</v>
      </c>
      <c r="C54" s="6" t="s">
        <v>227</v>
      </c>
      <c r="D54" s="6" t="s">
        <v>195</v>
      </c>
      <c r="E54" s="6" t="s">
        <v>206</v>
      </c>
      <c r="F54" s="6" t="s">
        <v>116</v>
      </c>
      <c r="G54" s="6" t="s">
        <v>45</v>
      </c>
      <c r="H54" s="8"/>
      <c r="I54" s="8"/>
      <c r="J54" s="8"/>
      <c r="K54" s="8"/>
      <c r="L54" s="8"/>
      <c r="M54" s="8"/>
      <c r="N54" s="8"/>
      <c r="O54" s="8"/>
      <c r="P54" s="8"/>
      <c r="Q54" s="8"/>
      <c r="R54" s="8"/>
      <c r="S54" s="8"/>
      <c r="T54" s="8"/>
      <c r="U54" s="8"/>
      <c r="V54" s="8"/>
      <c r="W54" s="8"/>
      <c r="X54" s="8"/>
      <c r="Y54" s="8"/>
      <c r="Z54" s="8"/>
    </row>
    <row r="55" spans="1:26" ht="15.75" customHeight="1" x14ac:dyDescent="0.25">
      <c r="A55" s="6" t="s">
        <v>95</v>
      </c>
      <c r="B55" s="6" t="s">
        <v>218</v>
      </c>
      <c r="C55" s="6" t="s">
        <v>227</v>
      </c>
      <c r="D55" s="6" t="s">
        <v>195</v>
      </c>
      <c r="E55" s="6" t="s">
        <v>206</v>
      </c>
      <c r="F55" s="6" t="s">
        <v>116</v>
      </c>
      <c r="G55" s="6" t="s">
        <v>45</v>
      </c>
      <c r="H55" s="8"/>
      <c r="I55" s="8"/>
      <c r="J55" s="8"/>
      <c r="K55" s="8"/>
      <c r="L55" s="8"/>
      <c r="M55" s="8"/>
      <c r="N55" s="8"/>
      <c r="O55" s="8"/>
      <c r="P55" s="8"/>
      <c r="Q55" s="8"/>
      <c r="R55" s="8"/>
      <c r="S55" s="8"/>
      <c r="T55" s="8"/>
      <c r="U55" s="8"/>
      <c r="V55" s="8"/>
      <c r="W55" s="8"/>
      <c r="X55" s="8"/>
      <c r="Y55" s="8"/>
      <c r="Z55" s="8"/>
    </row>
    <row r="56" spans="1:26" ht="15.75" customHeight="1" x14ac:dyDescent="0.25">
      <c r="A56" s="6" t="s">
        <v>95</v>
      </c>
      <c r="B56" s="6" t="s">
        <v>218</v>
      </c>
      <c r="C56" s="6" t="s">
        <v>227</v>
      </c>
      <c r="D56" s="6" t="s">
        <v>195</v>
      </c>
      <c r="E56" s="6" t="s">
        <v>206</v>
      </c>
      <c r="F56" s="6" t="s">
        <v>116</v>
      </c>
      <c r="G56" s="6" t="s">
        <v>45</v>
      </c>
      <c r="H56" s="8"/>
      <c r="I56" s="8"/>
      <c r="J56" s="8"/>
      <c r="K56" s="8"/>
      <c r="L56" s="8"/>
      <c r="M56" s="8"/>
      <c r="N56" s="8"/>
      <c r="O56" s="8"/>
      <c r="P56" s="8"/>
      <c r="Q56" s="8"/>
      <c r="R56" s="8"/>
      <c r="S56" s="8"/>
      <c r="T56" s="8"/>
      <c r="U56" s="8"/>
      <c r="V56" s="8"/>
      <c r="W56" s="8"/>
      <c r="X56" s="8"/>
      <c r="Y56" s="8"/>
      <c r="Z56" s="8"/>
    </row>
    <row r="57" spans="1:26" ht="15.75" customHeight="1" x14ac:dyDescent="0.25">
      <c r="A57" s="6" t="s">
        <v>95</v>
      </c>
      <c r="B57" s="6" t="s">
        <v>218</v>
      </c>
      <c r="C57" s="6" t="s">
        <v>227</v>
      </c>
      <c r="D57" s="6" t="s">
        <v>195</v>
      </c>
      <c r="E57" s="6" t="s">
        <v>206</v>
      </c>
      <c r="F57" s="6" t="s">
        <v>116</v>
      </c>
      <c r="G57" s="6" t="s">
        <v>45</v>
      </c>
      <c r="H57" s="8"/>
      <c r="I57" s="8"/>
      <c r="J57" s="8"/>
      <c r="K57" s="8"/>
      <c r="L57" s="8"/>
      <c r="M57" s="8"/>
      <c r="N57" s="8"/>
      <c r="O57" s="8"/>
      <c r="P57" s="8"/>
      <c r="Q57" s="8"/>
      <c r="R57" s="8"/>
      <c r="S57" s="8"/>
      <c r="T57" s="8"/>
      <c r="U57" s="8"/>
      <c r="V57" s="8"/>
      <c r="W57" s="8"/>
      <c r="X57" s="8"/>
      <c r="Y57" s="8"/>
      <c r="Z57" s="8"/>
    </row>
    <row r="58" spans="1:26" ht="15.75" customHeight="1" x14ac:dyDescent="0.25">
      <c r="A58" s="6" t="s">
        <v>95</v>
      </c>
      <c r="B58" s="6" t="s">
        <v>218</v>
      </c>
      <c r="C58" s="6" t="s">
        <v>227</v>
      </c>
      <c r="D58" s="6" t="s">
        <v>195</v>
      </c>
      <c r="E58" s="6" t="s">
        <v>206</v>
      </c>
      <c r="F58" s="6" t="s">
        <v>116</v>
      </c>
      <c r="G58" s="6" t="s">
        <v>45</v>
      </c>
      <c r="H58" s="8"/>
      <c r="I58" s="8"/>
      <c r="J58" s="8"/>
      <c r="K58" s="8"/>
      <c r="L58" s="8"/>
      <c r="M58" s="8"/>
      <c r="N58" s="8"/>
      <c r="O58" s="8"/>
      <c r="P58" s="8"/>
      <c r="Q58" s="8"/>
      <c r="R58" s="8"/>
      <c r="S58" s="8"/>
      <c r="T58" s="8"/>
      <c r="U58" s="8"/>
      <c r="V58" s="8"/>
      <c r="W58" s="8"/>
      <c r="X58" s="8"/>
      <c r="Y58" s="8"/>
      <c r="Z58" s="8"/>
    </row>
    <row r="59" spans="1:26" ht="15.75" customHeight="1" x14ac:dyDescent="0.25">
      <c r="A59" s="6" t="s">
        <v>95</v>
      </c>
      <c r="B59" s="6" t="s">
        <v>218</v>
      </c>
      <c r="C59" s="6" t="s">
        <v>227</v>
      </c>
      <c r="D59" s="6" t="s">
        <v>195</v>
      </c>
      <c r="E59" s="6" t="s">
        <v>206</v>
      </c>
      <c r="F59" s="6" t="s">
        <v>116</v>
      </c>
      <c r="G59" s="6" t="s">
        <v>45</v>
      </c>
      <c r="H59" s="8"/>
      <c r="I59" s="8"/>
      <c r="J59" s="8"/>
      <c r="K59" s="8"/>
      <c r="L59" s="8"/>
      <c r="M59" s="8"/>
      <c r="N59" s="8"/>
      <c r="O59" s="8"/>
      <c r="P59" s="8"/>
      <c r="Q59" s="8"/>
      <c r="R59" s="8"/>
      <c r="S59" s="8"/>
      <c r="T59" s="8"/>
      <c r="U59" s="8"/>
      <c r="V59" s="8"/>
      <c r="W59" s="8"/>
      <c r="X59" s="8"/>
      <c r="Y59" s="8"/>
      <c r="Z59" s="8"/>
    </row>
    <row r="60" spans="1:26" ht="15.75" customHeight="1" x14ac:dyDescent="0.25">
      <c r="A60" s="6" t="s">
        <v>95</v>
      </c>
      <c r="B60" s="6" t="s">
        <v>218</v>
      </c>
      <c r="C60" s="6" t="s">
        <v>227</v>
      </c>
      <c r="D60" s="6" t="s">
        <v>195</v>
      </c>
      <c r="E60" s="6" t="s">
        <v>206</v>
      </c>
      <c r="F60" s="6" t="s">
        <v>116</v>
      </c>
      <c r="G60" s="6" t="s">
        <v>45</v>
      </c>
      <c r="H60" s="8"/>
      <c r="I60" s="8"/>
      <c r="J60" s="8"/>
      <c r="K60" s="8"/>
      <c r="L60" s="8"/>
      <c r="M60" s="8"/>
      <c r="N60" s="8"/>
      <c r="O60" s="8"/>
      <c r="P60" s="8"/>
      <c r="Q60" s="8"/>
      <c r="R60" s="8"/>
      <c r="S60" s="8"/>
      <c r="T60" s="8"/>
      <c r="U60" s="8"/>
      <c r="V60" s="8"/>
      <c r="W60" s="8"/>
      <c r="X60" s="8"/>
      <c r="Y60" s="8"/>
      <c r="Z60" s="8"/>
    </row>
    <row r="61" spans="1:26" ht="15.75" customHeight="1" x14ac:dyDescent="0.25">
      <c r="A61" s="6" t="s">
        <v>95</v>
      </c>
      <c r="B61" s="6" t="s">
        <v>218</v>
      </c>
      <c r="C61" s="6" t="s">
        <v>227</v>
      </c>
      <c r="D61" s="6" t="s">
        <v>195</v>
      </c>
      <c r="E61" s="6" t="s">
        <v>206</v>
      </c>
      <c r="F61" s="6" t="s">
        <v>116</v>
      </c>
      <c r="G61" s="6" t="s">
        <v>45</v>
      </c>
      <c r="H61" s="8"/>
      <c r="I61" s="8"/>
      <c r="J61" s="8"/>
      <c r="K61" s="8"/>
      <c r="L61" s="8"/>
      <c r="M61" s="8"/>
      <c r="N61" s="8"/>
      <c r="O61" s="8"/>
      <c r="P61" s="8"/>
      <c r="Q61" s="8"/>
      <c r="R61" s="8"/>
      <c r="S61" s="8"/>
      <c r="T61" s="8"/>
      <c r="U61" s="8"/>
      <c r="V61" s="8"/>
      <c r="W61" s="8"/>
      <c r="X61" s="8"/>
      <c r="Y61" s="8"/>
      <c r="Z61" s="8"/>
    </row>
    <row r="62" spans="1:26" ht="15.75" customHeight="1" x14ac:dyDescent="0.25">
      <c r="A62" s="6" t="s">
        <v>95</v>
      </c>
      <c r="B62" s="6" t="s">
        <v>218</v>
      </c>
      <c r="C62" s="6" t="s">
        <v>227</v>
      </c>
      <c r="D62" s="6" t="s">
        <v>195</v>
      </c>
      <c r="E62" s="6" t="s">
        <v>206</v>
      </c>
      <c r="F62" s="6" t="s">
        <v>116</v>
      </c>
      <c r="G62" s="6" t="s">
        <v>45</v>
      </c>
      <c r="H62" s="8"/>
      <c r="I62" s="8"/>
      <c r="J62" s="8"/>
      <c r="K62" s="8"/>
      <c r="L62" s="8"/>
      <c r="M62" s="8"/>
      <c r="N62" s="8"/>
      <c r="O62" s="8"/>
      <c r="P62" s="8"/>
      <c r="Q62" s="8"/>
      <c r="R62" s="8"/>
      <c r="S62" s="8"/>
      <c r="T62" s="8"/>
      <c r="U62" s="8"/>
      <c r="V62" s="8"/>
      <c r="W62" s="8"/>
      <c r="X62" s="8"/>
      <c r="Y62" s="8"/>
      <c r="Z62" s="8"/>
    </row>
    <row r="63" spans="1:26" ht="15.75" customHeight="1" x14ac:dyDescent="0.25">
      <c r="A63" s="6" t="s">
        <v>95</v>
      </c>
      <c r="B63" s="6" t="s">
        <v>218</v>
      </c>
      <c r="C63" s="6" t="s">
        <v>227</v>
      </c>
      <c r="D63" s="6" t="s">
        <v>195</v>
      </c>
      <c r="E63" s="6" t="s">
        <v>206</v>
      </c>
      <c r="F63" s="6" t="s">
        <v>116</v>
      </c>
      <c r="G63" s="6" t="s">
        <v>45</v>
      </c>
      <c r="H63" s="8"/>
      <c r="I63" s="8"/>
      <c r="J63" s="8"/>
      <c r="K63" s="8"/>
      <c r="L63" s="8"/>
      <c r="M63" s="8"/>
      <c r="N63" s="8"/>
      <c r="O63" s="8"/>
      <c r="P63" s="8"/>
      <c r="Q63" s="8"/>
      <c r="R63" s="8"/>
      <c r="S63" s="8"/>
      <c r="T63" s="8"/>
      <c r="U63" s="8"/>
      <c r="V63" s="8"/>
      <c r="W63" s="8"/>
      <c r="X63" s="8"/>
      <c r="Y63" s="8"/>
      <c r="Z63" s="8"/>
    </row>
    <row r="64" spans="1:26" ht="15.75" customHeight="1" x14ac:dyDescent="0.25">
      <c r="A64" s="6" t="s">
        <v>95</v>
      </c>
      <c r="B64" s="6" t="s">
        <v>218</v>
      </c>
      <c r="C64" s="6" t="s">
        <v>227</v>
      </c>
      <c r="D64" s="6" t="s">
        <v>195</v>
      </c>
      <c r="E64" s="6" t="s">
        <v>206</v>
      </c>
      <c r="F64" s="6" t="s">
        <v>116</v>
      </c>
      <c r="G64" s="6" t="s">
        <v>45</v>
      </c>
      <c r="H64" s="8"/>
      <c r="I64" s="8"/>
      <c r="J64" s="8"/>
      <c r="K64" s="8"/>
      <c r="L64" s="8"/>
      <c r="M64" s="8"/>
      <c r="N64" s="8"/>
      <c r="O64" s="8"/>
      <c r="P64" s="8"/>
      <c r="Q64" s="8"/>
      <c r="R64" s="8"/>
      <c r="S64" s="8"/>
      <c r="T64" s="8"/>
      <c r="U64" s="8"/>
      <c r="V64" s="8"/>
      <c r="W64" s="8"/>
      <c r="X64" s="8"/>
      <c r="Y64" s="8"/>
      <c r="Z64" s="8"/>
    </row>
    <row r="65" spans="1:26" ht="15.75" customHeight="1" x14ac:dyDescent="0.25">
      <c r="A65" s="6" t="s">
        <v>95</v>
      </c>
      <c r="B65" s="6" t="s">
        <v>218</v>
      </c>
      <c r="C65" s="6" t="s">
        <v>227</v>
      </c>
      <c r="D65" s="6" t="s">
        <v>195</v>
      </c>
      <c r="E65" s="6" t="s">
        <v>206</v>
      </c>
      <c r="F65" s="6" t="s">
        <v>116</v>
      </c>
      <c r="G65" s="6" t="s">
        <v>45</v>
      </c>
      <c r="H65" s="8"/>
      <c r="I65" s="8"/>
      <c r="J65" s="8"/>
      <c r="K65" s="8"/>
      <c r="L65" s="8"/>
      <c r="M65" s="8"/>
      <c r="N65" s="8"/>
      <c r="O65" s="8"/>
      <c r="P65" s="8"/>
      <c r="Q65" s="8"/>
      <c r="R65" s="8"/>
      <c r="S65" s="8"/>
      <c r="T65" s="8"/>
      <c r="U65" s="8"/>
      <c r="V65" s="8"/>
      <c r="W65" s="8"/>
      <c r="X65" s="8"/>
      <c r="Y65" s="8"/>
      <c r="Z65" s="8"/>
    </row>
    <row r="66" spans="1:26" ht="15.75" customHeight="1" x14ac:dyDescent="0.25">
      <c r="A66" s="6" t="s">
        <v>95</v>
      </c>
      <c r="B66" s="6" t="s">
        <v>218</v>
      </c>
      <c r="C66" s="6" t="s">
        <v>227</v>
      </c>
      <c r="D66" s="6" t="s">
        <v>195</v>
      </c>
      <c r="E66" s="6" t="s">
        <v>206</v>
      </c>
      <c r="F66" s="6" t="s">
        <v>116</v>
      </c>
      <c r="G66" s="6" t="s">
        <v>45</v>
      </c>
      <c r="H66" s="8"/>
      <c r="I66" s="8"/>
      <c r="J66" s="8"/>
      <c r="K66" s="8"/>
      <c r="L66" s="8"/>
      <c r="M66" s="8"/>
      <c r="N66" s="8"/>
      <c r="O66" s="8"/>
      <c r="P66" s="8"/>
      <c r="Q66" s="8"/>
      <c r="R66" s="8"/>
      <c r="S66" s="8"/>
      <c r="T66" s="8"/>
      <c r="U66" s="8"/>
      <c r="V66" s="8"/>
      <c r="W66" s="8"/>
      <c r="X66" s="8"/>
      <c r="Y66" s="8"/>
      <c r="Z66" s="8"/>
    </row>
    <row r="67" spans="1:26" ht="15.75" customHeight="1" x14ac:dyDescent="0.25">
      <c r="A67" s="6" t="s">
        <v>95</v>
      </c>
      <c r="B67" s="6" t="s">
        <v>218</v>
      </c>
      <c r="C67" s="6" t="s">
        <v>227</v>
      </c>
      <c r="D67" s="6" t="s">
        <v>195</v>
      </c>
      <c r="E67" s="6" t="s">
        <v>206</v>
      </c>
      <c r="F67" s="6" t="s">
        <v>116</v>
      </c>
      <c r="G67" s="6" t="s">
        <v>45</v>
      </c>
      <c r="H67" s="8"/>
      <c r="I67" s="8"/>
      <c r="J67" s="8"/>
      <c r="K67" s="8"/>
      <c r="L67" s="8"/>
      <c r="M67" s="8"/>
      <c r="N67" s="8"/>
      <c r="O67" s="8"/>
      <c r="P67" s="8"/>
      <c r="Q67" s="8"/>
      <c r="R67" s="8"/>
      <c r="S67" s="8"/>
      <c r="T67" s="8"/>
      <c r="U67" s="8"/>
      <c r="V67" s="8"/>
      <c r="W67" s="8"/>
      <c r="X67" s="8"/>
      <c r="Y67" s="8"/>
      <c r="Z67" s="8"/>
    </row>
    <row r="68" spans="1:26" ht="15.75" customHeight="1" x14ac:dyDescent="0.25">
      <c r="A68" s="6" t="s">
        <v>95</v>
      </c>
      <c r="B68" s="6" t="s">
        <v>218</v>
      </c>
      <c r="C68" s="6" t="s">
        <v>227</v>
      </c>
      <c r="D68" s="6" t="s">
        <v>195</v>
      </c>
      <c r="E68" s="6" t="s">
        <v>206</v>
      </c>
      <c r="F68" s="6" t="s">
        <v>116</v>
      </c>
      <c r="G68" s="6" t="s">
        <v>45</v>
      </c>
      <c r="H68" s="8"/>
      <c r="I68" s="8"/>
      <c r="J68" s="8"/>
      <c r="K68" s="8"/>
      <c r="L68" s="8"/>
      <c r="M68" s="8"/>
      <c r="N68" s="8"/>
      <c r="O68" s="8"/>
      <c r="P68" s="8"/>
      <c r="Q68" s="8"/>
      <c r="R68" s="8"/>
      <c r="S68" s="8"/>
      <c r="T68" s="8"/>
      <c r="U68" s="8"/>
      <c r="V68" s="8"/>
      <c r="W68" s="8"/>
      <c r="X68" s="8"/>
      <c r="Y68" s="8"/>
      <c r="Z68" s="8"/>
    </row>
    <row r="69" spans="1:26" ht="15.75" customHeight="1" x14ac:dyDescent="0.25">
      <c r="A69" s="6" t="s">
        <v>95</v>
      </c>
      <c r="B69" s="6" t="s">
        <v>218</v>
      </c>
      <c r="C69" s="6" t="s">
        <v>227</v>
      </c>
      <c r="D69" s="6" t="s">
        <v>195</v>
      </c>
      <c r="E69" s="6" t="s">
        <v>206</v>
      </c>
      <c r="F69" s="6" t="s">
        <v>116</v>
      </c>
      <c r="G69" s="6" t="s">
        <v>45</v>
      </c>
      <c r="H69" s="8"/>
      <c r="I69" s="8"/>
      <c r="J69" s="8"/>
      <c r="K69" s="8"/>
      <c r="L69" s="8"/>
      <c r="M69" s="8"/>
      <c r="N69" s="8"/>
      <c r="O69" s="8"/>
      <c r="P69" s="8"/>
      <c r="Q69" s="8"/>
      <c r="R69" s="8"/>
      <c r="S69" s="8"/>
      <c r="T69" s="8"/>
      <c r="U69" s="8"/>
      <c r="V69" s="8"/>
      <c r="W69" s="8"/>
      <c r="X69" s="8"/>
      <c r="Y69" s="8"/>
      <c r="Z69" s="8"/>
    </row>
    <row r="70" spans="1:26" ht="15.75" customHeight="1" x14ac:dyDescent="0.25">
      <c r="A70" s="6" t="s">
        <v>95</v>
      </c>
      <c r="B70" s="6" t="s">
        <v>218</v>
      </c>
      <c r="C70" s="6" t="s">
        <v>227</v>
      </c>
      <c r="D70" s="6" t="s">
        <v>195</v>
      </c>
      <c r="E70" s="6" t="s">
        <v>206</v>
      </c>
      <c r="F70" s="6" t="s">
        <v>116</v>
      </c>
      <c r="G70" s="6" t="s">
        <v>45</v>
      </c>
      <c r="H70" s="8"/>
      <c r="I70" s="8"/>
      <c r="J70" s="8"/>
      <c r="K70" s="8"/>
      <c r="L70" s="8"/>
      <c r="M70" s="8"/>
      <c r="N70" s="8"/>
      <c r="O70" s="8"/>
      <c r="P70" s="8"/>
      <c r="Q70" s="8"/>
      <c r="R70" s="8"/>
      <c r="S70" s="8"/>
      <c r="T70" s="8"/>
      <c r="U70" s="8"/>
      <c r="V70" s="8"/>
      <c r="W70" s="8"/>
      <c r="X70" s="8"/>
      <c r="Y70" s="8"/>
      <c r="Z70" s="8"/>
    </row>
    <row r="71" spans="1:26" ht="15.75" customHeight="1" x14ac:dyDescent="0.25">
      <c r="A71" s="6" t="s">
        <v>95</v>
      </c>
      <c r="B71" s="6" t="s">
        <v>218</v>
      </c>
      <c r="C71" s="6" t="s">
        <v>227</v>
      </c>
      <c r="D71" s="6" t="s">
        <v>195</v>
      </c>
      <c r="E71" s="6" t="s">
        <v>206</v>
      </c>
      <c r="F71" s="6" t="s">
        <v>116</v>
      </c>
      <c r="G71" s="6" t="s">
        <v>45</v>
      </c>
      <c r="H71" s="8"/>
      <c r="I71" s="8"/>
      <c r="J71" s="8"/>
      <c r="K71" s="8"/>
      <c r="L71" s="8"/>
      <c r="M71" s="8"/>
      <c r="N71" s="8"/>
      <c r="O71" s="8"/>
      <c r="P71" s="8"/>
      <c r="Q71" s="8"/>
      <c r="R71" s="8"/>
      <c r="S71" s="8"/>
      <c r="T71" s="8"/>
      <c r="U71" s="8"/>
      <c r="V71" s="8"/>
      <c r="W71" s="8"/>
      <c r="X71" s="8"/>
      <c r="Y71" s="8"/>
      <c r="Z71" s="8"/>
    </row>
    <row r="72" spans="1:26" ht="15.75" customHeight="1" x14ac:dyDescent="0.25">
      <c r="A72" s="6" t="s">
        <v>95</v>
      </c>
      <c r="B72" s="6" t="s">
        <v>218</v>
      </c>
      <c r="C72" s="6" t="s">
        <v>227</v>
      </c>
      <c r="D72" s="6" t="s">
        <v>195</v>
      </c>
      <c r="E72" s="6" t="s">
        <v>206</v>
      </c>
      <c r="F72" s="6" t="s">
        <v>116</v>
      </c>
      <c r="G72" s="6" t="s">
        <v>45</v>
      </c>
      <c r="H72" s="8"/>
      <c r="I72" s="8"/>
      <c r="J72" s="8"/>
      <c r="K72" s="8"/>
      <c r="L72" s="8"/>
      <c r="M72" s="8"/>
      <c r="N72" s="8"/>
      <c r="O72" s="8"/>
      <c r="P72" s="8"/>
      <c r="Q72" s="8"/>
      <c r="R72" s="8"/>
      <c r="S72" s="8"/>
      <c r="T72" s="8"/>
      <c r="U72" s="8"/>
      <c r="V72" s="8"/>
      <c r="W72" s="8"/>
      <c r="X72" s="8"/>
      <c r="Y72" s="8"/>
      <c r="Z72" s="8"/>
    </row>
    <row r="73" spans="1:26" ht="15.75" customHeight="1" x14ac:dyDescent="0.25">
      <c r="A73" s="6" t="s">
        <v>95</v>
      </c>
      <c r="B73" s="6" t="s">
        <v>218</v>
      </c>
      <c r="C73" s="6" t="s">
        <v>227</v>
      </c>
      <c r="D73" s="6" t="s">
        <v>195</v>
      </c>
      <c r="E73" s="6" t="s">
        <v>206</v>
      </c>
      <c r="F73" s="6" t="s">
        <v>116</v>
      </c>
      <c r="G73" s="6" t="s">
        <v>45</v>
      </c>
      <c r="H73" s="8"/>
      <c r="I73" s="8"/>
      <c r="J73" s="8"/>
      <c r="K73" s="8"/>
      <c r="L73" s="8"/>
      <c r="M73" s="8"/>
      <c r="N73" s="8"/>
      <c r="O73" s="8"/>
      <c r="P73" s="8"/>
      <c r="Q73" s="8"/>
      <c r="R73" s="8"/>
      <c r="S73" s="8"/>
      <c r="T73" s="8"/>
      <c r="U73" s="8"/>
      <c r="V73" s="8"/>
      <c r="W73" s="8"/>
      <c r="X73" s="8"/>
      <c r="Y73" s="8"/>
      <c r="Z73" s="8"/>
    </row>
    <row r="74" spans="1:26" ht="15.75" customHeight="1" x14ac:dyDescent="0.25">
      <c r="A74" s="6" t="s">
        <v>95</v>
      </c>
      <c r="B74" s="6" t="s">
        <v>218</v>
      </c>
      <c r="C74" s="6" t="s">
        <v>227</v>
      </c>
      <c r="D74" s="6" t="s">
        <v>195</v>
      </c>
      <c r="E74" s="6" t="s">
        <v>206</v>
      </c>
      <c r="F74" s="6" t="s">
        <v>116</v>
      </c>
      <c r="G74" s="6" t="s">
        <v>45</v>
      </c>
      <c r="H74" s="8"/>
      <c r="I74" s="8"/>
      <c r="J74" s="8"/>
      <c r="K74" s="8"/>
      <c r="L74" s="8"/>
      <c r="M74" s="8"/>
      <c r="N74" s="8"/>
      <c r="O74" s="8"/>
      <c r="P74" s="8"/>
      <c r="Q74" s="8"/>
      <c r="R74" s="8"/>
      <c r="S74" s="8"/>
      <c r="T74" s="8"/>
      <c r="U74" s="8"/>
      <c r="V74" s="8"/>
      <c r="W74" s="8"/>
      <c r="X74" s="8"/>
      <c r="Y74" s="8"/>
      <c r="Z74" s="8"/>
    </row>
    <row r="75" spans="1:26" ht="15.75" customHeight="1" x14ac:dyDescent="0.25">
      <c r="A75" s="6" t="s">
        <v>95</v>
      </c>
      <c r="B75" s="6" t="s">
        <v>218</v>
      </c>
      <c r="C75" s="6" t="s">
        <v>227</v>
      </c>
      <c r="D75" s="6" t="s">
        <v>195</v>
      </c>
      <c r="E75" s="6" t="s">
        <v>206</v>
      </c>
      <c r="F75" s="6" t="s">
        <v>116</v>
      </c>
      <c r="G75" s="6" t="s">
        <v>45</v>
      </c>
      <c r="H75" s="8"/>
      <c r="I75" s="8"/>
      <c r="J75" s="8"/>
      <c r="K75" s="8"/>
      <c r="L75" s="8"/>
      <c r="M75" s="8"/>
      <c r="N75" s="8"/>
      <c r="O75" s="8"/>
      <c r="P75" s="8"/>
      <c r="Q75" s="8"/>
      <c r="R75" s="8"/>
      <c r="S75" s="8"/>
      <c r="T75" s="8"/>
      <c r="U75" s="8"/>
      <c r="V75" s="8"/>
      <c r="W75" s="8"/>
      <c r="X75" s="8"/>
      <c r="Y75" s="8"/>
      <c r="Z75" s="8"/>
    </row>
    <row r="76" spans="1:26" ht="15.75" customHeight="1" x14ac:dyDescent="0.25">
      <c r="A76" s="6" t="s">
        <v>95</v>
      </c>
      <c r="B76" s="6" t="s">
        <v>218</v>
      </c>
      <c r="C76" s="6" t="s">
        <v>227</v>
      </c>
      <c r="D76" s="6" t="s">
        <v>195</v>
      </c>
      <c r="E76" s="6" t="s">
        <v>206</v>
      </c>
      <c r="F76" s="6" t="s">
        <v>116</v>
      </c>
      <c r="G76" s="6" t="s">
        <v>45</v>
      </c>
      <c r="H76" s="8"/>
      <c r="I76" s="8"/>
      <c r="J76" s="8"/>
      <c r="K76" s="8"/>
      <c r="L76" s="8"/>
      <c r="M76" s="8"/>
      <c r="N76" s="8"/>
      <c r="O76" s="8"/>
      <c r="P76" s="8"/>
      <c r="Q76" s="8"/>
      <c r="R76" s="8"/>
      <c r="S76" s="8"/>
      <c r="T76" s="8"/>
      <c r="U76" s="8"/>
      <c r="V76" s="8"/>
      <c r="W76" s="8"/>
      <c r="X76" s="8"/>
      <c r="Y76" s="8"/>
      <c r="Z76" s="8"/>
    </row>
    <row r="77" spans="1:26" ht="15.75" customHeight="1" x14ac:dyDescent="0.25">
      <c r="A77" s="6" t="s">
        <v>95</v>
      </c>
      <c r="B77" s="6" t="s">
        <v>218</v>
      </c>
      <c r="C77" s="6" t="s">
        <v>227</v>
      </c>
      <c r="D77" s="6" t="s">
        <v>195</v>
      </c>
      <c r="E77" s="6" t="s">
        <v>206</v>
      </c>
      <c r="F77" s="6" t="s">
        <v>116</v>
      </c>
      <c r="G77" s="6" t="s">
        <v>45</v>
      </c>
      <c r="H77" s="8"/>
      <c r="I77" s="8"/>
      <c r="J77" s="8"/>
      <c r="K77" s="8"/>
      <c r="L77" s="8"/>
      <c r="M77" s="8"/>
      <c r="N77" s="8"/>
      <c r="O77" s="8"/>
      <c r="P77" s="8"/>
      <c r="Q77" s="8"/>
      <c r="R77" s="8"/>
      <c r="S77" s="8"/>
      <c r="T77" s="8"/>
      <c r="U77" s="8"/>
      <c r="V77" s="8"/>
      <c r="W77" s="8"/>
      <c r="X77" s="8"/>
      <c r="Y77" s="8"/>
      <c r="Z77" s="8"/>
    </row>
    <row r="78" spans="1:26" ht="15.75" customHeight="1" x14ac:dyDescent="0.25">
      <c r="A78" s="6" t="s">
        <v>95</v>
      </c>
      <c r="B78" s="6" t="s">
        <v>218</v>
      </c>
      <c r="C78" s="6" t="s">
        <v>227</v>
      </c>
      <c r="D78" s="6" t="s">
        <v>195</v>
      </c>
      <c r="E78" s="6" t="s">
        <v>206</v>
      </c>
      <c r="F78" s="6" t="s">
        <v>116</v>
      </c>
      <c r="G78" s="6" t="s">
        <v>45</v>
      </c>
      <c r="H78" s="8"/>
      <c r="I78" s="8"/>
      <c r="J78" s="8"/>
      <c r="K78" s="8"/>
      <c r="L78" s="8"/>
      <c r="M78" s="8"/>
      <c r="N78" s="8"/>
      <c r="O78" s="8"/>
      <c r="P78" s="8"/>
      <c r="Q78" s="8"/>
      <c r="R78" s="8"/>
      <c r="S78" s="8"/>
      <c r="T78" s="8"/>
      <c r="U78" s="8"/>
      <c r="V78" s="8"/>
      <c r="W78" s="8"/>
      <c r="X78" s="8"/>
      <c r="Y78" s="8"/>
      <c r="Z78" s="8"/>
    </row>
    <row r="79" spans="1:26" ht="15.75" customHeight="1" x14ac:dyDescent="0.25">
      <c r="A79" s="6" t="s">
        <v>95</v>
      </c>
      <c r="B79" s="6" t="s">
        <v>218</v>
      </c>
      <c r="C79" s="6" t="s">
        <v>227</v>
      </c>
      <c r="D79" s="6" t="s">
        <v>195</v>
      </c>
      <c r="E79" s="6" t="s">
        <v>206</v>
      </c>
      <c r="F79" s="6" t="s">
        <v>116</v>
      </c>
      <c r="G79" s="6" t="s">
        <v>45</v>
      </c>
      <c r="H79" s="8"/>
      <c r="I79" s="8"/>
      <c r="J79" s="8"/>
      <c r="K79" s="8"/>
      <c r="L79" s="8"/>
      <c r="M79" s="8"/>
      <c r="N79" s="8"/>
      <c r="O79" s="8"/>
      <c r="P79" s="8"/>
      <c r="Q79" s="8"/>
      <c r="R79" s="8"/>
      <c r="S79" s="8"/>
      <c r="T79" s="8"/>
      <c r="U79" s="8"/>
      <c r="V79" s="8"/>
      <c r="W79" s="8"/>
      <c r="X79" s="8"/>
      <c r="Y79" s="8"/>
      <c r="Z79" s="8"/>
    </row>
    <row r="80" spans="1:26" ht="15.75" customHeight="1" x14ac:dyDescent="0.25">
      <c r="A80" s="6" t="s">
        <v>95</v>
      </c>
      <c r="B80" s="6" t="s">
        <v>218</v>
      </c>
      <c r="C80" s="6" t="s">
        <v>227</v>
      </c>
      <c r="D80" s="6" t="s">
        <v>195</v>
      </c>
      <c r="E80" s="6" t="s">
        <v>206</v>
      </c>
      <c r="F80" s="6" t="s">
        <v>116</v>
      </c>
      <c r="G80" s="6" t="s">
        <v>45</v>
      </c>
      <c r="H80" s="8"/>
      <c r="I80" s="8"/>
      <c r="J80" s="8"/>
      <c r="K80" s="8"/>
      <c r="L80" s="8"/>
      <c r="M80" s="8"/>
      <c r="N80" s="8"/>
      <c r="O80" s="8"/>
      <c r="P80" s="8"/>
      <c r="Q80" s="8"/>
      <c r="R80" s="8"/>
      <c r="S80" s="8"/>
      <c r="T80" s="8"/>
      <c r="U80" s="8"/>
      <c r="V80" s="8"/>
      <c r="W80" s="8"/>
      <c r="X80" s="8"/>
      <c r="Y80" s="8"/>
      <c r="Z80" s="8"/>
    </row>
    <row r="81" spans="1:26" ht="15.75" customHeight="1" x14ac:dyDescent="0.25">
      <c r="A81" s="6" t="s">
        <v>95</v>
      </c>
      <c r="B81" s="6" t="s">
        <v>218</v>
      </c>
      <c r="C81" s="6" t="s">
        <v>227</v>
      </c>
      <c r="D81" s="6" t="s">
        <v>195</v>
      </c>
      <c r="E81" s="6" t="s">
        <v>206</v>
      </c>
      <c r="F81" s="6" t="s">
        <v>116</v>
      </c>
      <c r="G81" s="6" t="s">
        <v>45</v>
      </c>
      <c r="H81" s="8"/>
      <c r="I81" s="8"/>
      <c r="J81" s="8"/>
      <c r="K81" s="8"/>
      <c r="L81" s="8"/>
      <c r="M81" s="8"/>
      <c r="N81" s="8"/>
      <c r="O81" s="8"/>
      <c r="P81" s="8"/>
      <c r="Q81" s="8"/>
      <c r="R81" s="8"/>
      <c r="S81" s="8"/>
      <c r="T81" s="8"/>
      <c r="U81" s="8"/>
      <c r="V81" s="8"/>
      <c r="W81" s="8"/>
      <c r="X81" s="8"/>
      <c r="Y81" s="8"/>
      <c r="Z81" s="8"/>
    </row>
    <row r="82" spans="1:26" ht="15.75" customHeight="1" x14ac:dyDescent="0.25">
      <c r="A82" s="6" t="s">
        <v>95</v>
      </c>
      <c r="B82" s="6" t="s">
        <v>218</v>
      </c>
      <c r="C82" s="6" t="s">
        <v>227</v>
      </c>
      <c r="D82" s="6" t="s">
        <v>195</v>
      </c>
      <c r="E82" s="6" t="s">
        <v>206</v>
      </c>
      <c r="F82" s="6" t="s">
        <v>116</v>
      </c>
      <c r="G82" s="6" t="s">
        <v>45</v>
      </c>
      <c r="H82" s="8"/>
      <c r="I82" s="8"/>
      <c r="J82" s="8"/>
      <c r="K82" s="8"/>
      <c r="L82" s="8"/>
      <c r="M82" s="8"/>
      <c r="N82" s="8"/>
      <c r="O82" s="8"/>
      <c r="P82" s="8"/>
      <c r="Q82" s="8"/>
      <c r="R82" s="8"/>
      <c r="S82" s="8"/>
      <c r="T82" s="8"/>
      <c r="U82" s="8"/>
      <c r="V82" s="8"/>
      <c r="W82" s="8"/>
      <c r="X82" s="8"/>
      <c r="Y82" s="8"/>
      <c r="Z82" s="8"/>
    </row>
    <row r="83" spans="1:26" ht="15.75" customHeight="1" x14ac:dyDescent="0.25">
      <c r="A83" s="6" t="s">
        <v>95</v>
      </c>
      <c r="B83" s="6" t="s">
        <v>218</v>
      </c>
      <c r="C83" s="6" t="s">
        <v>227</v>
      </c>
      <c r="D83" s="6" t="s">
        <v>195</v>
      </c>
      <c r="E83" s="6" t="s">
        <v>206</v>
      </c>
      <c r="F83" s="6" t="s">
        <v>116</v>
      </c>
      <c r="G83" s="6" t="s">
        <v>45</v>
      </c>
      <c r="H83" s="8"/>
      <c r="I83" s="8"/>
      <c r="J83" s="8"/>
      <c r="K83" s="8"/>
      <c r="L83" s="8"/>
      <c r="M83" s="8"/>
      <c r="N83" s="8"/>
      <c r="O83" s="8"/>
      <c r="P83" s="8"/>
      <c r="Q83" s="8"/>
      <c r="R83" s="8"/>
      <c r="S83" s="8"/>
      <c r="T83" s="8"/>
      <c r="U83" s="8"/>
      <c r="V83" s="8"/>
      <c r="W83" s="8"/>
      <c r="X83" s="8"/>
      <c r="Y83" s="8"/>
      <c r="Z83" s="8"/>
    </row>
    <row r="84" spans="1:26" ht="15.75" customHeight="1" x14ac:dyDescent="0.25">
      <c r="A84" s="6" t="s">
        <v>95</v>
      </c>
      <c r="B84" s="6" t="s">
        <v>218</v>
      </c>
      <c r="C84" s="6" t="s">
        <v>227</v>
      </c>
      <c r="D84" s="6" t="s">
        <v>195</v>
      </c>
      <c r="E84" s="6" t="s">
        <v>206</v>
      </c>
      <c r="F84" s="6" t="s">
        <v>116</v>
      </c>
      <c r="G84" s="6" t="s">
        <v>45</v>
      </c>
      <c r="H84" s="8"/>
      <c r="I84" s="8"/>
      <c r="J84" s="8"/>
      <c r="K84" s="8"/>
      <c r="L84" s="8"/>
      <c r="M84" s="8"/>
      <c r="N84" s="8"/>
      <c r="O84" s="8"/>
      <c r="P84" s="8"/>
      <c r="Q84" s="8"/>
      <c r="R84" s="8"/>
      <c r="S84" s="8"/>
      <c r="T84" s="8"/>
      <c r="U84" s="8"/>
      <c r="V84" s="8"/>
      <c r="W84" s="8"/>
      <c r="X84" s="8"/>
      <c r="Y84" s="8"/>
      <c r="Z84" s="8"/>
    </row>
    <row r="85" spans="1:26" ht="15.75" customHeight="1" x14ac:dyDescent="0.25">
      <c r="A85" s="6" t="s">
        <v>95</v>
      </c>
      <c r="B85" s="6" t="s">
        <v>218</v>
      </c>
      <c r="C85" s="6" t="s">
        <v>227</v>
      </c>
      <c r="D85" s="6" t="s">
        <v>195</v>
      </c>
      <c r="E85" s="6" t="s">
        <v>206</v>
      </c>
      <c r="F85" s="6" t="s">
        <v>116</v>
      </c>
      <c r="G85" s="6" t="s">
        <v>45</v>
      </c>
      <c r="H85" s="8"/>
      <c r="I85" s="8"/>
      <c r="J85" s="8"/>
      <c r="K85" s="8"/>
      <c r="L85" s="8"/>
      <c r="M85" s="8"/>
      <c r="N85" s="8"/>
      <c r="O85" s="8"/>
      <c r="P85" s="8"/>
      <c r="Q85" s="8"/>
      <c r="R85" s="8"/>
      <c r="S85" s="8"/>
      <c r="T85" s="8"/>
      <c r="U85" s="8"/>
      <c r="V85" s="8"/>
      <c r="W85" s="8"/>
      <c r="X85" s="8"/>
      <c r="Y85" s="8"/>
      <c r="Z85" s="8"/>
    </row>
    <row r="86" spans="1:26" ht="15.75" customHeight="1" x14ac:dyDescent="0.25">
      <c r="A86" s="6" t="s">
        <v>95</v>
      </c>
      <c r="B86" s="6" t="s">
        <v>218</v>
      </c>
      <c r="C86" s="6" t="s">
        <v>227</v>
      </c>
      <c r="D86" s="6" t="s">
        <v>195</v>
      </c>
      <c r="E86" s="6" t="s">
        <v>206</v>
      </c>
      <c r="F86" s="6" t="s">
        <v>116</v>
      </c>
      <c r="G86" s="6" t="s">
        <v>45</v>
      </c>
      <c r="H86" s="8"/>
      <c r="I86" s="8"/>
      <c r="J86" s="8"/>
      <c r="K86" s="8"/>
      <c r="L86" s="8"/>
      <c r="M86" s="8"/>
      <c r="N86" s="8"/>
      <c r="O86" s="8"/>
      <c r="P86" s="8"/>
      <c r="Q86" s="8"/>
      <c r="R86" s="8"/>
      <c r="S86" s="8"/>
      <c r="T86" s="8"/>
      <c r="U86" s="8"/>
      <c r="V86" s="8"/>
      <c r="W86" s="8"/>
      <c r="X86" s="8"/>
      <c r="Y86" s="8"/>
      <c r="Z86" s="8"/>
    </row>
    <row r="87" spans="1:26" ht="15.75" customHeight="1" x14ac:dyDescent="0.25">
      <c r="A87" s="6" t="s">
        <v>95</v>
      </c>
      <c r="B87" s="6" t="s">
        <v>218</v>
      </c>
      <c r="C87" s="6" t="s">
        <v>227</v>
      </c>
      <c r="D87" s="6" t="s">
        <v>195</v>
      </c>
      <c r="E87" s="6" t="s">
        <v>206</v>
      </c>
      <c r="F87" s="6" t="s">
        <v>116</v>
      </c>
      <c r="G87" s="6" t="s">
        <v>45</v>
      </c>
      <c r="H87" s="8"/>
      <c r="I87" s="8"/>
      <c r="J87" s="8"/>
      <c r="K87" s="8"/>
      <c r="L87" s="8"/>
      <c r="M87" s="8"/>
      <c r="N87" s="8"/>
      <c r="O87" s="8"/>
      <c r="P87" s="8"/>
      <c r="Q87" s="8"/>
      <c r="R87" s="8"/>
      <c r="S87" s="8"/>
      <c r="T87" s="8"/>
      <c r="U87" s="8"/>
      <c r="V87" s="8"/>
      <c r="W87" s="8"/>
      <c r="X87" s="8"/>
      <c r="Y87" s="8"/>
      <c r="Z87" s="8"/>
    </row>
    <row r="88" spans="1:26" ht="15.75" customHeight="1" x14ac:dyDescent="0.25">
      <c r="A88" s="6" t="s">
        <v>95</v>
      </c>
      <c r="B88" s="6" t="s">
        <v>218</v>
      </c>
      <c r="C88" s="6" t="s">
        <v>227</v>
      </c>
      <c r="D88" s="6" t="s">
        <v>195</v>
      </c>
      <c r="E88" s="6" t="s">
        <v>206</v>
      </c>
      <c r="F88" s="6" t="s">
        <v>116</v>
      </c>
      <c r="G88" s="6" t="s">
        <v>45</v>
      </c>
      <c r="H88" s="8"/>
      <c r="I88" s="8"/>
      <c r="J88" s="8"/>
      <c r="K88" s="8"/>
      <c r="L88" s="8"/>
      <c r="M88" s="8"/>
      <c r="N88" s="8"/>
      <c r="O88" s="8"/>
      <c r="P88" s="8"/>
      <c r="Q88" s="8"/>
      <c r="R88" s="8"/>
      <c r="S88" s="8"/>
      <c r="T88" s="8"/>
      <c r="U88" s="8"/>
      <c r="V88" s="8"/>
      <c r="W88" s="8"/>
      <c r="X88" s="8"/>
      <c r="Y88" s="8"/>
      <c r="Z88" s="8"/>
    </row>
    <row r="89" spans="1:26" ht="15.75" customHeight="1" x14ac:dyDescent="0.25">
      <c r="A89" s="6" t="s">
        <v>95</v>
      </c>
      <c r="B89" s="6" t="s">
        <v>218</v>
      </c>
      <c r="C89" s="6" t="s">
        <v>227</v>
      </c>
      <c r="D89" s="6" t="s">
        <v>195</v>
      </c>
      <c r="E89" s="6" t="s">
        <v>206</v>
      </c>
      <c r="F89" s="6" t="s">
        <v>116</v>
      </c>
      <c r="G89" s="6" t="s">
        <v>45</v>
      </c>
      <c r="H89" s="8"/>
      <c r="I89" s="8"/>
      <c r="J89" s="8"/>
      <c r="K89" s="8"/>
      <c r="L89" s="8"/>
      <c r="M89" s="8"/>
      <c r="N89" s="8"/>
      <c r="O89" s="8"/>
      <c r="P89" s="8"/>
      <c r="Q89" s="8"/>
      <c r="R89" s="8"/>
      <c r="S89" s="8"/>
      <c r="T89" s="8"/>
      <c r="U89" s="8"/>
      <c r="V89" s="8"/>
      <c r="W89" s="8"/>
      <c r="X89" s="8"/>
      <c r="Y89" s="8"/>
      <c r="Z89" s="8"/>
    </row>
    <row r="90" spans="1:26" ht="15.75" customHeight="1" x14ac:dyDescent="0.25">
      <c r="A90" s="6" t="s">
        <v>95</v>
      </c>
      <c r="B90" s="6" t="s">
        <v>218</v>
      </c>
      <c r="C90" s="6" t="s">
        <v>227</v>
      </c>
      <c r="D90" s="6" t="s">
        <v>195</v>
      </c>
      <c r="E90" s="6" t="s">
        <v>206</v>
      </c>
      <c r="F90" s="6" t="s">
        <v>116</v>
      </c>
      <c r="G90" s="6" t="s">
        <v>45</v>
      </c>
      <c r="H90" s="8"/>
      <c r="I90" s="8"/>
      <c r="J90" s="8"/>
      <c r="K90" s="8"/>
      <c r="L90" s="8"/>
      <c r="M90" s="8"/>
      <c r="N90" s="8"/>
      <c r="O90" s="8"/>
      <c r="P90" s="8"/>
      <c r="Q90" s="8"/>
      <c r="R90" s="8"/>
      <c r="S90" s="8"/>
      <c r="T90" s="8"/>
      <c r="U90" s="8"/>
      <c r="V90" s="8"/>
      <c r="W90" s="8"/>
      <c r="X90" s="8"/>
      <c r="Y90" s="8"/>
      <c r="Z90" s="8"/>
    </row>
    <row r="91" spans="1:26" ht="15.75" customHeight="1" x14ac:dyDescent="0.25">
      <c r="A91" s="6" t="s">
        <v>95</v>
      </c>
      <c r="B91" s="6" t="s">
        <v>218</v>
      </c>
      <c r="C91" s="6" t="s">
        <v>227</v>
      </c>
      <c r="D91" s="6" t="s">
        <v>195</v>
      </c>
      <c r="E91" s="6" t="s">
        <v>206</v>
      </c>
      <c r="F91" s="6" t="s">
        <v>116</v>
      </c>
      <c r="G91" s="6" t="s">
        <v>45</v>
      </c>
      <c r="H91" s="8"/>
      <c r="I91" s="8"/>
      <c r="J91" s="8"/>
      <c r="K91" s="8"/>
      <c r="L91" s="8"/>
      <c r="M91" s="8"/>
      <c r="N91" s="8"/>
      <c r="O91" s="8"/>
      <c r="P91" s="8"/>
      <c r="Q91" s="8"/>
      <c r="R91" s="8"/>
      <c r="S91" s="8"/>
      <c r="T91" s="8"/>
      <c r="U91" s="8"/>
      <c r="V91" s="8"/>
      <c r="W91" s="8"/>
      <c r="X91" s="8"/>
      <c r="Y91" s="8"/>
      <c r="Z91" s="8"/>
    </row>
    <row r="92" spans="1:26" ht="15.75" customHeight="1" x14ac:dyDescent="0.25">
      <c r="A92" s="6" t="s">
        <v>95</v>
      </c>
      <c r="B92" s="6" t="s">
        <v>218</v>
      </c>
      <c r="C92" s="6" t="s">
        <v>227</v>
      </c>
      <c r="D92" s="6" t="s">
        <v>195</v>
      </c>
      <c r="E92" s="6" t="s">
        <v>206</v>
      </c>
      <c r="F92" s="6" t="s">
        <v>116</v>
      </c>
      <c r="G92" s="6" t="s">
        <v>45</v>
      </c>
      <c r="H92" s="8"/>
      <c r="I92" s="8"/>
      <c r="J92" s="8"/>
      <c r="K92" s="8"/>
      <c r="L92" s="8"/>
      <c r="M92" s="8"/>
      <c r="N92" s="8"/>
      <c r="O92" s="8"/>
      <c r="P92" s="8"/>
      <c r="Q92" s="8"/>
      <c r="R92" s="8"/>
      <c r="S92" s="8"/>
      <c r="T92" s="8"/>
      <c r="U92" s="8"/>
      <c r="V92" s="8"/>
      <c r="W92" s="8"/>
      <c r="X92" s="8"/>
      <c r="Y92" s="8"/>
      <c r="Z92" s="8"/>
    </row>
    <row r="93" spans="1:26" ht="15.75" customHeight="1" x14ac:dyDescent="0.25">
      <c r="A93" s="6" t="s">
        <v>95</v>
      </c>
      <c r="B93" s="6" t="s">
        <v>218</v>
      </c>
      <c r="C93" s="6" t="s">
        <v>227</v>
      </c>
      <c r="D93" s="6" t="s">
        <v>195</v>
      </c>
      <c r="E93" s="6" t="s">
        <v>206</v>
      </c>
      <c r="F93" s="6" t="s">
        <v>116</v>
      </c>
      <c r="G93" s="6" t="s">
        <v>45</v>
      </c>
      <c r="H93" s="8"/>
      <c r="I93" s="8"/>
      <c r="J93" s="8"/>
      <c r="K93" s="8"/>
      <c r="L93" s="8"/>
      <c r="M93" s="8"/>
      <c r="N93" s="8"/>
      <c r="O93" s="8"/>
      <c r="P93" s="8"/>
      <c r="Q93" s="8"/>
      <c r="R93" s="8"/>
      <c r="S93" s="8"/>
      <c r="T93" s="8"/>
      <c r="U93" s="8"/>
      <c r="V93" s="8"/>
      <c r="W93" s="8"/>
      <c r="X93" s="8"/>
      <c r="Y93" s="8"/>
      <c r="Z93" s="8"/>
    </row>
    <row r="94" spans="1:26" ht="15.75" customHeight="1" x14ac:dyDescent="0.25">
      <c r="A94" s="6" t="s">
        <v>95</v>
      </c>
      <c r="B94" s="6" t="s">
        <v>218</v>
      </c>
      <c r="C94" s="6" t="s">
        <v>227</v>
      </c>
      <c r="D94" s="6" t="s">
        <v>195</v>
      </c>
      <c r="E94" s="6" t="s">
        <v>206</v>
      </c>
      <c r="F94" s="6" t="s">
        <v>116</v>
      </c>
      <c r="G94" s="6" t="s">
        <v>45</v>
      </c>
      <c r="H94" s="8"/>
      <c r="I94" s="8"/>
      <c r="J94" s="8"/>
      <c r="K94" s="8"/>
      <c r="L94" s="8"/>
      <c r="M94" s="8"/>
      <c r="N94" s="8"/>
      <c r="O94" s="8"/>
      <c r="P94" s="8"/>
      <c r="Q94" s="8"/>
      <c r="R94" s="8"/>
      <c r="S94" s="8"/>
      <c r="T94" s="8"/>
      <c r="U94" s="8"/>
      <c r="V94" s="8"/>
      <c r="W94" s="8"/>
      <c r="X94" s="8"/>
      <c r="Y94" s="8"/>
      <c r="Z94" s="8"/>
    </row>
    <row r="95" spans="1:26" ht="15.75" customHeight="1" x14ac:dyDescent="0.25">
      <c r="A95" s="6" t="s">
        <v>95</v>
      </c>
      <c r="B95" s="6" t="s">
        <v>218</v>
      </c>
      <c r="C95" s="6" t="s">
        <v>227</v>
      </c>
      <c r="D95" s="6" t="s">
        <v>195</v>
      </c>
      <c r="E95" s="6" t="s">
        <v>206</v>
      </c>
      <c r="F95" s="6" t="s">
        <v>116</v>
      </c>
      <c r="G95" s="6" t="s">
        <v>45</v>
      </c>
      <c r="H95" s="8"/>
      <c r="I95" s="8"/>
      <c r="J95" s="8"/>
      <c r="K95" s="8"/>
      <c r="L95" s="8"/>
      <c r="M95" s="8"/>
      <c r="N95" s="8"/>
      <c r="O95" s="8"/>
      <c r="P95" s="8"/>
      <c r="Q95" s="8"/>
      <c r="R95" s="8"/>
      <c r="S95" s="8"/>
      <c r="T95" s="8"/>
      <c r="U95" s="8"/>
      <c r="V95" s="8"/>
      <c r="W95" s="8"/>
      <c r="X95" s="8"/>
      <c r="Y95" s="8"/>
      <c r="Z95" s="8"/>
    </row>
    <row r="96" spans="1:26" ht="15.75" customHeight="1" x14ac:dyDescent="0.25">
      <c r="A96" s="6" t="s">
        <v>95</v>
      </c>
      <c r="B96" s="6" t="s">
        <v>218</v>
      </c>
      <c r="C96" s="6" t="s">
        <v>227</v>
      </c>
      <c r="D96" s="6" t="s">
        <v>195</v>
      </c>
      <c r="E96" s="6" t="s">
        <v>206</v>
      </c>
      <c r="F96" s="6" t="s">
        <v>116</v>
      </c>
      <c r="G96" s="6" t="s">
        <v>45</v>
      </c>
      <c r="H96" s="8"/>
      <c r="I96" s="8"/>
      <c r="J96" s="8"/>
      <c r="K96" s="8"/>
      <c r="L96" s="8"/>
      <c r="M96" s="8"/>
      <c r="N96" s="8"/>
      <c r="O96" s="8"/>
      <c r="P96" s="8"/>
      <c r="Q96" s="8"/>
      <c r="R96" s="8"/>
      <c r="S96" s="8"/>
      <c r="T96" s="8"/>
      <c r="U96" s="8"/>
      <c r="V96" s="8"/>
      <c r="W96" s="8"/>
      <c r="X96" s="8"/>
      <c r="Y96" s="8"/>
      <c r="Z96" s="8"/>
    </row>
    <row r="97" spans="1:26" ht="15.75" customHeight="1" x14ac:dyDescent="0.25">
      <c r="A97" s="6" t="s">
        <v>95</v>
      </c>
      <c r="B97" s="6" t="s">
        <v>218</v>
      </c>
      <c r="C97" s="6" t="s">
        <v>227</v>
      </c>
      <c r="D97" s="6" t="s">
        <v>195</v>
      </c>
      <c r="E97" s="6" t="s">
        <v>206</v>
      </c>
      <c r="F97" s="6" t="s">
        <v>116</v>
      </c>
      <c r="G97" s="6" t="s">
        <v>45</v>
      </c>
      <c r="H97" s="8"/>
      <c r="I97" s="8"/>
      <c r="J97" s="8"/>
      <c r="K97" s="8"/>
      <c r="L97" s="8"/>
      <c r="M97" s="8"/>
      <c r="N97" s="8"/>
      <c r="O97" s="8"/>
      <c r="P97" s="8"/>
      <c r="Q97" s="8"/>
      <c r="R97" s="8"/>
      <c r="S97" s="8"/>
      <c r="T97" s="8"/>
      <c r="U97" s="8"/>
      <c r="V97" s="8"/>
      <c r="W97" s="8"/>
      <c r="X97" s="8"/>
      <c r="Y97" s="8"/>
      <c r="Z97" s="8"/>
    </row>
    <row r="98" spans="1:26" ht="15.75" customHeight="1" x14ac:dyDescent="0.25">
      <c r="A98" s="6" t="s">
        <v>95</v>
      </c>
      <c r="B98" s="6" t="s">
        <v>218</v>
      </c>
      <c r="C98" s="6" t="s">
        <v>227</v>
      </c>
      <c r="D98" s="6" t="s">
        <v>195</v>
      </c>
      <c r="E98" s="6" t="s">
        <v>206</v>
      </c>
      <c r="F98" s="6" t="s">
        <v>116</v>
      </c>
      <c r="G98" s="6" t="s">
        <v>45</v>
      </c>
      <c r="H98" s="8"/>
      <c r="I98" s="8"/>
      <c r="J98" s="8"/>
      <c r="K98" s="8"/>
      <c r="L98" s="8"/>
      <c r="M98" s="8"/>
      <c r="N98" s="8"/>
      <c r="O98" s="8"/>
      <c r="P98" s="8"/>
      <c r="Q98" s="8"/>
      <c r="R98" s="8"/>
      <c r="S98" s="8"/>
      <c r="T98" s="8"/>
      <c r="U98" s="8"/>
      <c r="V98" s="8"/>
      <c r="W98" s="8"/>
      <c r="X98" s="8"/>
      <c r="Y98" s="8"/>
      <c r="Z98" s="8"/>
    </row>
    <row r="99" spans="1:26" ht="15.75" customHeight="1" x14ac:dyDescent="0.25">
      <c r="A99" s="6" t="s">
        <v>95</v>
      </c>
      <c r="B99" s="6" t="s">
        <v>218</v>
      </c>
      <c r="C99" s="6" t="s">
        <v>227</v>
      </c>
      <c r="D99" s="6" t="s">
        <v>195</v>
      </c>
      <c r="E99" s="6" t="s">
        <v>206</v>
      </c>
      <c r="F99" s="6" t="s">
        <v>116</v>
      </c>
      <c r="G99" s="6" t="s">
        <v>45</v>
      </c>
      <c r="H99" s="8"/>
      <c r="I99" s="8"/>
      <c r="J99" s="8"/>
      <c r="K99" s="8"/>
      <c r="L99" s="8"/>
      <c r="M99" s="8"/>
      <c r="N99" s="8"/>
      <c r="O99" s="8"/>
      <c r="P99" s="8"/>
      <c r="Q99" s="8"/>
      <c r="R99" s="8"/>
      <c r="S99" s="8"/>
      <c r="T99" s="8"/>
      <c r="U99" s="8"/>
      <c r="V99" s="8"/>
      <c r="W99" s="8"/>
      <c r="X99" s="8"/>
      <c r="Y99" s="8"/>
      <c r="Z99" s="8"/>
    </row>
    <row r="100" spans="1:26" ht="15.75" customHeight="1" x14ac:dyDescent="0.25">
      <c r="A100" s="6" t="s">
        <v>95</v>
      </c>
      <c r="B100" s="6" t="s">
        <v>218</v>
      </c>
      <c r="C100" s="6" t="s">
        <v>227</v>
      </c>
      <c r="D100" s="6" t="s">
        <v>195</v>
      </c>
      <c r="E100" s="6" t="s">
        <v>206</v>
      </c>
      <c r="F100" s="6" t="s">
        <v>116</v>
      </c>
      <c r="G100" s="6" t="s">
        <v>45</v>
      </c>
      <c r="H100" s="8"/>
      <c r="I100" s="8"/>
      <c r="J100" s="8"/>
      <c r="K100" s="8"/>
      <c r="L100" s="8"/>
      <c r="M100" s="8"/>
      <c r="N100" s="8"/>
      <c r="O100" s="8"/>
      <c r="P100" s="8"/>
      <c r="Q100" s="8"/>
      <c r="R100" s="8"/>
      <c r="S100" s="8"/>
      <c r="T100" s="8"/>
      <c r="U100" s="8"/>
      <c r="V100" s="8"/>
      <c r="W100" s="8"/>
      <c r="X100" s="8"/>
      <c r="Y100" s="8"/>
      <c r="Z100" s="8"/>
    </row>
    <row r="101" spans="1:26" ht="15.75" customHeight="1" x14ac:dyDescent="0.25">
      <c r="A101" s="6" t="s">
        <v>95</v>
      </c>
      <c r="B101" s="6" t="s">
        <v>218</v>
      </c>
      <c r="C101" s="6" t="s">
        <v>227</v>
      </c>
      <c r="D101" s="6" t="s">
        <v>195</v>
      </c>
      <c r="E101" s="6" t="s">
        <v>206</v>
      </c>
      <c r="F101" s="6" t="s">
        <v>116</v>
      </c>
      <c r="G101" s="6" t="s">
        <v>45</v>
      </c>
      <c r="H101" s="8"/>
      <c r="I101" s="8"/>
      <c r="J101" s="8"/>
      <c r="K101" s="8"/>
      <c r="L101" s="8"/>
      <c r="M101" s="8"/>
      <c r="N101" s="8"/>
      <c r="O101" s="8"/>
      <c r="P101" s="8"/>
      <c r="Q101" s="8"/>
      <c r="R101" s="8"/>
      <c r="S101" s="8"/>
      <c r="T101" s="8"/>
      <c r="U101" s="8"/>
      <c r="V101" s="8"/>
      <c r="W101" s="8"/>
      <c r="X101" s="8"/>
      <c r="Y101" s="8"/>
      <c r="Z101" s="8"/>
    </row>
    <row r="102" spans="1:26" ht="15.75" customHeight="1" x14ac:dyDescent="0.25">
      <c r="A102" s="6" t="s">
        <v>95</v>
      </c>
      <c r="B102" s="6" t="s">
        <v>218</v>
      </c>
      <c r="C102" s="6" t="s">
        <v>227</v>
      </c>
      <c r="D102" s="6" t="s">
        <v>195</v>
      </c>
      <c r="E102" s="6" t="s">
        <v>206</v>
      </c>
      <c r="F102" s="6" t="s">
        <v>116</v>
      </c>
      <c r="G102" s="6" t="s">
        <v>45</v>
      </c>
      <c r="H102" s="8"/>
      <c r="I102" s="8"/>
      <c r="J102" s="8"/>
      <c r="K102" s="8"/>
      <c r="L102" s="8"/>
      <c r="M102" s="8"/>
      <c r="N102" s="8"/>
      <c r="O102" s="8"/>
      <c r="P102" s="8"/>
      <c r="Q102" s="8"/>
      <c r="R102" s="8"/>
      <c r="S102" s="8"/>
      <c r="T102" s="8"/>
      <c r="U102" s="8"/>
      <c r="V102" s="8"/>
      <c r="W102" s="8"/>
      <c r="X102" s="8"/>
      <c r="Y102" s="8"/>
      <c r="Z102" s="8"/>
    </row>
    <row r="103" spans="1:26" ht="15.75" customHeight="1" x14ac:dyDescent="0.25">
      <c r="A103" s="6" t="s">
        <v>95</v>
      </c>
      <c r="B103" s="6" t="s">
        <v>218</v>
      </c>
      <c r="C103" s="6" t="s">
        <v>227</v>
      </c>
      <c r="D103" s="6" t="s">
        <v>195</v>
      </c>
      <c r="E103" s="6" t="s">
        <v>206</v>
      </c>
      <c r="F103" s="6" t="s">
        <v>116</v>
      </c>
      <c r="G103" s="6" t="s">
        <v>45</v>
      </c>
      <c r="H103" s="8"/>
      <c r="I103" s="8"/>
      <c r="J103" s="8"/>
      <c r="K103" s="8"/>
      <c r="L103" s="8"/>
      <c r="M103" s="8"/>
      <c r="N103" s="8"/>
      <c r="O103" s="8"/>
      <c r="P103" s="8"/>
      <c r="Q103" s="8"/>
      <c r="R103" s="8"/>
      <c r="S103" s="8"/>
      <c r="T103" s="8"/>
      <c r="U103" s="8"/>
      <c r="V103" s="8"/>
      <c r="W103" s="8"/>
      <c r="X103" s="8"/>
      <c r="Y103" s="8"/>
      <c r="Z103" s="8"/>
    </row>
    <row r="104" spans="1:26" ht="15.75" customHeight="1" x14ac:dyDescent="0.25">
      <c r="A104" s="6" t="s">
        <v>95</v>
      </c>
      <c r="B104" s="6" t="s">
        <v>218</v>
      </c>
      <c r="C104" s="8"/>
      <c r="D104" s="6" t="s">
        <v>195</v>
      </c>
      <c r="E104" s="6" t="s">
        <v>206</v>
      </c>
      <c r="F104" s="6" t="s">
        <v>116</v>
      </c>
      <c r="G104" s="6" t="s">
        <v>45</v>
      </c>
      <c r="H104" s="8"/>
      <c r="I104" s="8"/>
      <c r="J104" s="8"/>
      <c r="K104" s="8"/>
      <c r="L104" s="8"/>
      <c r="M104" s="8"/>
      <c r="N104" s="8"/>
      <c r="O104" s="8"/>
      <c r="P104" s="8"/>
      <c r="Q104" s="8"/>
      <c r="R104" s="8"/>
      <c r="S104" s="8"/>
      <c r="T104" s="8"/>
      <c r="U104" s="8"/>
      <c r="V104" s="8"/>
      <c r="W104" s="8"/>
      <c r="X104" s="8"/>
      <c r="Y104" s="8"/>
      <c r="Z104" s="8"/>
    </row>
    <row r="105" spans="1:26" ht="15.75" customHeight="1" x14ac:dyDescent="0.25">
      <c r="A105" s="6" t="s">
        <v>95</v>
      </c>
      <c r="B105" s="6" t="s">
        <v>218</v>
      </c>
      <c r="C105" s="8"/>
      <c r="D105" s="6" t="s">
        <v>195</v>
      </c>
      <c r="E105" s="6" t="s">
        <v>206</v>
      </c>
      <c r="F105" s="6" t="s">
        <v>116</v>
      </c>
      <c r="G105" s="6" t="s">
        <v>45</v>
      </c>
      <c r="H105" s="8"/>
      <c r="I105" s="8"/>
      <c r="J105" s="8"/>
      <c r="K105" s="8"/>
      <c r="L105" s="8"/>
      <c r="M105" s="8"/>
      <c r="N105" s="8"/>
      <c r="O105" s="8"/>
      <c r="P105" s="8"/>
      <c r="Q105" s="8"/>
      <c r="R105" s="8"/>
      <c r="S105" s="8"/>
      <c r="T105" s="8"/>
      <c r="U105" s="8"/>
      <c r="V105" s="8"/>
      <c r="W105" s="8"/>
      <c r="X105" s="8"/>
      <c r="Y105" s="8"/>
      <c r="Z105" s="8"/>
    </row>
    <row r="106" spans="1:26" ht="15.75" customHeight="1" x14ac:dyDescent="0.25">
      <c r="A106" s="6" t="s">
        <v>95</v>
      </c>
      <c r="B106" s="6" t="s">
        <v>218</v>
      </c>
      <c r="C106" s="8"/>
      <c r="D106" s="6" t="s">
        <v>195</v>
      </c>
      <c r="E106" s="6" t="s">
        <v>206</v>
      </c>
      <c r="F106" s="6" t="s">
        <v>116</v>
      </c>
      <c r="G106" s="6" t="s">
        <v>45</v>
      </c>
      <c r="H106" s="8"/>
      <c r="I106" s="8"/>
      <c r="J106" s="8"/>
      <c r="K106" s="8"/>
      <c r="L106" s="8"/>
      <c r="M106" s="8"/>
      <c r="N106" s="8"/>
      <c r="O106" s="8"/>
      <c r="P106" s="8"/>
      <c r="Q106" s="8"/>
      <c r="R106" s="8"/>
      <c r="S106" s="8"/>
      <c r="T106" s="8"/>
      <c r="U106" s="8"/>
      <c r="V106" s="8"/>
      <c r="W106" s="8"/>
      <c r="X106" s="8"/>
      <c r="Y106" s="8"/>
      <c r="Z106" s="8"/>
    </row>
    <row r="107" spans="1:26" ht="15.75" customHeight="1" x14ac:dyDescent="0.25">
      <c r="A107" s="6" t="s">
        <v>95</v>
      </c>
      <c r="B107" s="6" t="s">
        <v>218</v>
      </c>
      <c r="C107" s="8"/>
      <c r="D107" s="6" t="s">
        <v>195</v>
      </c>
      <c r="E107" s="6" t="s">
        <v>206</v>
      </c>
      <c r="F107" s="6" t="s">
        <v>116</v>
      </c>
      <c r="G107" s="6" t="s">
        <v>45</v>
      </c>
      <c r="H107" s="8"/>
      <c r="I107" s="8"/>
      <c r="J107" s="8"/>
      <c r="K107" s="8"/>
      <c r="L107" s="8"/>
      <c r="M107" s="8"/>
      <c r="N107" s="8"/>
      <c r="O107" s="8"/>
      <c r="P107" s="8"/>
      <c r="Q107" s="8"/>
      <c r="R107" s="8"/>
      <c r="S107" s="8"/>
      <c r="T107" s="8"/>
      <c r="U107" s="8"/>
      <c r="V107" s="8"/>
      <c r="W107" s="8"/>
      <c r="X107" s="8"/>
      <c r="Y107" s="8"/>
      <c r="Z107" s="8"/>
    </row>
    <row r="108" spans="1:26" ht="15.75" customHeight="1" x14ac:dyDescent="0.25">
      <c r="A108" s="6" t="s">
        <v>95</v>
      </c>
      <c r="B108" s="6" t="s">
        <v>218</v>
      </c>
      <c r="C108" s="8"/>
      <c r="D108" s="6" t="s">
        <v>195</v>
      </c>
      <c r="E108" s="6" t="s">
        <v>206</v>
      </c>
      <c r="F108" s="6" t="s">
        <v>116</v>
      </c>
      <c r="G108" s="6" t="s">
        <v>45</v>
      </c>
      <c r="H108" s="8"/>
      <c r="I108" s="8"/>
      <c r="J108" s="8"/>
      <c r="K108" s="8"/>
      <c r="L108" s="8"/>
      <c r="M108" s="8"/>
      <c r="N108" s="8"/>
      <c r="O108" s="8"/>
      <c r="P108" s="8"/>
      <c r="Q108" s="8"/>
      <c r="R108" s="8"/>
      <c r="S108" s="8"/>
      <c r="T108" s="8"/>
      <c r="U108" s="8"/>
      <c r="V108" s="8"/>
      <c r="W108" s="8"/>
      <c r="X108" s="8"/>
      <c r="Y108" s="8"/>
      <c r="Z108" s="8"/>
    </row>
    <row r="109" spans="1:26" ht="15.75" customHeight="1" x14ac:dyDescent="0.25">
      <c r="A109" s="6" t="s">
        <v>95</v>
      </c>
      <c r="B109" s="6" t="s">
        <v>218</v>
      </c>
      <c r="C109" s="8"/>
      <c r="D109" s="6" t="s">
        <v>195</v>
      </c>
      <c r="E109" s="6" t="s">
        <v>206</v>
      </c>
      <c r="F109" s="6" t="s">
        <v>116</v>
      </c>
      <c r="G109" s="6" t="s">
        <v>45</v>
      </c>
      <c r="H109" s="8"/>
      <c r="I109" s="8"/>
      <c r="J109" s="8"/>
      <c r="K109" s="8"/>
      <c r="L109" s="8"/>
      <c r="M109" s="8"/>
      <c r="N109" s="8"/>
      <c r="O109" s="8"/>
      <c r="P109" s="8"/>
      <c r="Q109" s="8"/>
      <c r="R109" s="8"/>
      <c r="S109" s="8"/>
      <c r="T109" s="8"/>
      <c r="U109" s="8"/>
      <c r="V109" s="8"/>
      <c r="W109" s="8"/>
      <c r="X109" s="8"/>
      <c r="Y109" s="8"/>
      <c r="Z109" s="8"/>
    </row>
    <row r="110" spans="1:26" ht="15.75" customHeight="1" x14ac:dyDescent="0.25">
      <c r="A110" s="6" t="s">
        <v>95</v>
      </c>
      <c r="B110" s="6" t="s">
        <v>218</v>
      </c>
      <c r="C110" s="8"/>
      <c r="D110" s="6" t="s">
        <v>195</v>
      </c>
      <c r="E110" s="6" t="s">
        <v>206</v>
      </c>
      <c r="F110" s="6" t="s">
        <v>116</v>
      </c>
      <c r="G110" s="6" t="s">
        <v>45</v>
      </c>
      <c r="H110" s="8"/>
      <c r="I110" s="8"/>
      <c r="J110" s="8"/>
      <c r="K110" s="8"/>
      <c r="L110" s="8"/>
      <c r="M110" s="8"/>
      <c r="N110" s="8"/>
      <c r="O110" s="8"/>
      <c r="P110" s="8"/>
      <c r="Q110" s="8"/>
      <c r="R110" s="8"/>
      <c r="S110" s="8"/>
      <c r="T110" s="8"/>
      <c r="U110" s="8"/>
      <c r="V110" s="8"/>
      <c r="W110" s="8"/>
      <c r="X110" s="8"/>
      <c r="Y110" s="8"/>
      <c r="Z110" s="8"/>
    </row>
    <row r="111" spans="1:26" ht="15.75" customHeight="1" x14ac:dyDescent="0.25">
      <c r="A111" s="6" t="s">
        <v>95</v>
      </c>
      <c r="B111" s="6" t="s">
        <v>218</v>
      </c>
      <c r="C111" s="8"/>
      <c r="D111" s="6" t="s">
        <v>195</v>
      </c>
      <c r="E111" s="6" t="s">
        <v>206</v>
      </c>
      <c r="F111" s="6" t="s">
        <v>116</v>
      </c>
      <c r="G111" s="6" t="s">
        <v>45</v>
      </c>
      <c r="H111" s="8"/>
      <c r="I111" s="8"/>
      <c r="J111" s="8"/>
      <c r="K111" s="8"/>
      <c r="L111" s="8"/>
      <c r="M111" s="8"/>
      <c r="N111" s="8"/>
      <c r="O111" s="8"/>
      <c r="P111" s="8"/>
      <c r="Q111" s="8"/>
      <c r="R111" s="8"/>
      <c r="S111" s="8"/>
      <c r="T111" s="8"/>
      <c r="U111" s="8"/>
      <c r="V111" s="8"/>
      <c r="W111" s="8"/>
      <c r="X111" s="8"/>
      <c r="Y111" s="8"/>
      <c r="Z111" s="8"/>
    </row>
    <row r="112" spans="1:26" ht="15.75" customHeight="1" x14ac:dyDescent="0.25">
      <c r="A112" s="6" t="s">
        <v>95</v>
      </c>
      <c r="B112" s="8"/>
      <c r="C112" s="8"/>
      <c r="D112" s="6" t="s">
        <v>195</v>
      </c>
      <c r="E112" s="6" t="s">
        <v>206</v>
      </c>
      <c r="F112" s="6" t="s">
        <v>116</v>
      </c>
      <c r="G112" s="6" t="s">
        <v>45</v>
      </c>
      <c r="H112" s="8"/>
      <c r="I112" s="8"/>
      <c r="J112" s="8"/>
      <c r="K112" s="8"/>
      <c r="L112" s="8"/>
      <c r="M112" s="8"/>
      <c r="N112" s="8"/>
      <c r="O112" s="8"/>
      <c r="P112" s="8"/>
      <c r="Q112" s="8"/>
      <c r="R112" s="8"/>
      <c r="S112" s="8"/>
      <c r="T112" s="8"/>
      <c r="U112" s="8"/>
      <c r="V112" s="8"/>
      <c r="W112" s="8"/>
      <c r="X112" s="8"/>
      <c r="Y112" s="8"/>
      <c r="Z112" s="8"/>
    </row>
    <row r="113" spans="1:26" ht="15.75" customHeight="1" x14ac:dyDescent="0.25">
      <c r="A113" s="6" t="s">
        <v>95</v>
      </c>
      <c r="B113" s="8"/>
      <c r="C113" s="8"/>
      <c r="D113" s="6" t="s">
        <v>195</v>
      </c>
      <c r="E113" s="6" t="s">
        <v>206</v>
      </c>
      <c r="F113" s="6" t="s">
        <v>116</v>
      </c>
      <c r="G113" s="6" t="s">
        <v>45</v>
      </c>
      <c r="H113" s="8"/>
      <c r="I113" s="8"/>
      <c r="J113" s="8"/>
      <c r="K113" s="8"/>
      <c r="L113" s="8"/>
      <c r="M113" s="8"/>
      <c r="N113" s="8"/>
      <c r="O113" s="8"/>
      <c r="P113" s="8"/>
      <c r="Q113" s="8"/>
      <c r="R113" s="8"/>
      <c r="S113" s="8"/>
      <c r="T113" s="8"/>
      <c r="U113" s="8"/>
      <c r="V113" s="8"/>
      <c r="W113" s="8"/>
      <c r="X113" s="8"/>
      <c r="Y113" s="8"/>
      <c r="Z113" s="8"/>
    </row>
    <row r="114" spans="1:26" ht="15.75" customHeight="1" x14ac:dyDescent="0.25">
      <c r="A114" s="6" t="s">
        <v>95</v>
      </c>
      <c r="B114" s="8"/>
      <c r="C114" s="8"/>
      <c r="D114" s="6" t="s">
        <v>195</v>
      </c>
      <c r="E114" s="6" t="s">
        <v>206</v>
      </c>
      <c r="F114" s="6" t="s">
        <v>116</v>
      </c>
      <c r="G114" s="6" t="s">
        <v>45</v>
      </c>
      <c r="H114" s="8"/>
      <c r="I114" s="8"/>
      <c r="J114" s="8"/>
      <c r="K114" s="8"/>
      <c r="L114" s="8"/>
      <c r="M114" s="8"/>
      <c r="N114" s="8"/>
      <c r="O114" s="8"/>
      <c r="P114" s="8"/>
      <c r="Q114" s="8"/>
      <c r="R114" s="8"/>
      <c r="S114" s="8"/>
      <c r="T114" s="8"/>
      <c r="U114" s="8"/>
      <c r="V114" s="8"/>
      <c r="W114" s="8"/>
      <c r="X114" s="8"/>
      <c r="Y114" s="8"/>
      <c r="Z114" s="8"/>
    </row>
    <row r="115" spans="1:26" ht="15.75" customHeight="1" x14ac:dyDescent="0.25">
      <c r="A115" s="6" t="s">
        <v>95</v>
      </c>
      <c r="B115" s="8"/>
      <c r="C115" s="8"/>
      <c r="D115" s="6" t="s">
        <v>195</v>
      </c>
      <c r="E115" s="6" t="s">
        <v>206</v>
      </c>
      <c r="F115" s="6" t="s">
        <v>116</v>
      </c>
      <c r="G115" s="6" t="s">
        <v>45</v>
      </c>
      <c r="H115" s="8"/>
      <c r="I115" s="8"/>
      <c r="J115" s="8"/>
      <c r="K115" s="8"/>
      <c r="L115" s="8"/>
      <c r="M115" s="8"/>
      <c r="N115" s="8"/>
      <c r="O115" s="8"/>
      <c r="P115" s="8"/>
      <c r="Q115" s="8"/>
      <c r="R115" s="8"/>
      <c r="S115" s="8"/>
      <c r="T115" s="8"/>
      <c r="U115" s="8"/>
      <c r="V115" s="8"/>
      <c r="W115" s="8"/>
      <c r="X115" s="8"/>
      <c r="Y115" s="8"/>
      <c r="Z115" s="8"/>
    </row>
    <row r="116" spans="1:26" ht="15.75" customHeight="1" x14ac:dyDescent="0.25">
      <c r="A116" s="6" t="s">
        <v>95</v>
      </c>
      <c r="B116" s="8"/>
      <c r="C116" s="8"/>
      <c r="D116" s="6" t="s">
        <v>195</v>
      </c>
      <c r="E116" s="6" t="s">
        <v>206</v>
      </c>
      <c r="F116" s="6" t="s">
        <v>116</v>
      </c>
      <c r="G116" s="6" t="s">
        <v>45</v>
      </c>
      <c r="H116" s="8"/>
      <c r="I116" s="8"/>
      <c r="J116" s="8"/>
      <c r="K116" s="8"/>
      <c r="L116" s="8"/>
      <c r="M116" s="8"/>
      <c r="N116" s="8"/>
      <c r="O116" s="8"/>
      <c r="P116" s="8"/>
      <c r="Q116" s="8"/>
      <c r="R116" s="8"/>
      <c r="S116" s="8"/>
      <c r="T116" s="8"/>
      <c r="U116" s="8"/>
      <c r="V116" s="8"/>
      <c r="W116" s="8"/>
      <c r="X116" s="8"/>
      <c r="Y116" s="8"/>
      <c r="Z116" s="8"/>
    </row>
    <row r="117" spans="1:26" ht="15.75" customHeight="1" x14ac:dyDescent="0.25">
      <c r="A117" s="6" t="s">
        <v>95</v>
      </c>
      <c r="B117" s="8"/>
      <c r="C117" s="8"/>
      <c r="D117" s="6" t="s">
        <v>195</v>
      </c>
      <c r="E117" s="6" t="s">
        <v>206</v>
      </c>
      <c r="F117" s="6" t="s">
        <v>116</v>
      </c>
      <c r="G117" s="6" t="s">
        <v>45</v>
      </c>
      <c r="H117" s="8"/>
      <c r="I117" s="8"/>
      <c r="J117" s="8"/>
      <c r="K117" s="8"/>
      <c r="L117" s="8"/>
      <c r="M117" s="8"/>
      <c r="N117" s="8"/>
      <c r="O117" s="8"/>
      <c r="P117" s="8"/>
      <c r="Q117" s="8"/>
      <c r="R117" s="8"/>
      <c r="S117" s="8"/>
      <c r="T117" s="8"/>
      <c r="U117" s="8"/>
      <c r="V117" s="8"/>
      <c r="W117" s="8"/>
      <c r="X117" s="8"/>
      <c r="Y117" s="8"/>
      <c r="Z117" s="8"/>
    </row>
    <row r="118" spans="1:26" ht="15.75" customHeight="1" x14ac:dyDescent="0.25">
      <c r="A118" s="6" t="s">
        <v>95</v>
      </c>
      <c r="B118" s="8"/>
      <c r="C118" s="8"/>
      <c r="D118" s="6" t="s">
        <v>195</v>
      </c>
      <c r="E118" s="6" t="s">
        <v>206</v>
      </c>
      <c r="F118" s="6" t="s">
        <v>116</v>
      </c>
      <c r="G118" s="6" t="s">
        <v>45</v>
      </c>
      <c r="H118" s="8"/>
      <c r="I118" s="8"/>
      <c r="J118" s="8"/>
      <c r="K118" s="8"/>
      <c r="L118" s="8"/>
      <c r="M118" s="8"/>
      <c r="N118" s="8"/>
      <c r="O118" s="8"/>
      <c r="P118" s="8"/>
      <c r="Q118" s="8"/>
      <c r="R118" s="8"/>
      <c r="S118" s="8"/>
      <c r="T118" s="8"/>
      <c r="U118" s="8"/>
      <c r="V118" s="8"/>
      <c r="W118" s="8"/>
      <c r="X118" s="8"/>
      <c r="Y118" s="8"/>
      <c r="Z118" s="8"/>
    </row>
    <row r="119" spans="1:26" ht="15.75" customHeight="1" x14ac:dyDescent="0.25">
      <c r="A119" s="6" t="s">
        <v>95</v>
      </c>
      <c r="B119" s="8"/>
      <c r="C119" s="8"/>
      <c r="D119" s="6" t="s">
        <v>195</v>
      </c>
      <c r="E119" s="6" t="s">
        <v>206</v>
      </c>
      <c r="F119" s="6" t="s">
        <v>116</v>
      </c>
      <c r="G119" s="6" t="s">
        <v>45</v>
      </c>
      <c r="H119" s="8"/>
      <c r="I119" s="8"/>
      <c r="J119" s="8"/>
      <c r="K119" s="8"/>
      <c r="L119" s="8"/>
      <c r="M119" s="8"/>
      <c r="N119" s="8"/>
      <c r="O119" s="8"/>
      <c r="P119" s="8"/>
      <c r="Q119" s="8"/>
      <c r="R119" s="8"/>
      <c r="S119" s="8"/>
      <c r="T119" s="8"/>
      <c r="U119" s="8"/>
      <c r="V119" s="8"/>
      <c r="W119" s="8"/>
      <c r="X119" s="8"/>
      <c r="Y119" s="8"/>
      <c r="Z119" s="8"/>
    </row>
    <row r="120" spans="1:26" ht="15.75" customHeight="1" x14ac:dyDescent="0.25">
      <c r="A120" s="6" t="s">
        <v>95</v>
      </c>
      <c r="B120" s="8"/>
      <c r="C120" s="8"/>
      <c r="D120" s="6" t="s">
        <v>195</v>
      </c>
      <c r="E120" s="6" t="s">
        <v>206</v>
      </c>
      <c r="F120" s="6" t="s">
        <v>116</v>
      </c>
      <c r="G120" s="6" t="s">
        <v>45</v>
      </c>
      <c r="H120" s="8"/>
      <c r="I120" s="8"/>
      <c r="J120" s="8"/>
      <c r="K120" s="8"/>
      <c r="L120" s="8"/>
      <c r="M120" s="8"/>
      <c r="N120" s="8"/>
      <c r="O120" s="8"/>
      <c r="P120" s="8"/>
      <c r="Q120" s="8"/>
      <c r="R120" s="8"/>
      <c r="S120" s="8"/>
      <c r="T120" s="8"/>
      <c r="U120" s="8"/>
      <c r="V120" s="8"/>
      <c r="W120" s="8"/>
      <c r="X120" s="8"/>
      <c r="Y120" s="8"/>
      <c r="Z120" s="8"/>
    </row>
    <row r="121" spans="1:26" ht="15.75" customHeight="1" x14ac:dyDescent="0.25">
      <c r="A121" s="6" t="s">
        <v>95</v>
      </c>
      <c r="B121" s="8"/>
      <c r="C121" s="8"/>
      <c r="D121" s="6" t="s">
        <v>195</v>
      </c>
      <c r="E121" s="6" t="s">
        <v>206</v>
      </c>
      <c r="F121" s="6" t="s">
        <v>116</v>
      </c>
      <c r="G121" s="6" t="s">
        <v>45</v>
      </c>
      <c r="H121" s="8"/>
      <c r="I121" s="8"/>
      <c r="J121" s="8"/>
      <c r="K121" s="8"/>
      <c r="L121" s="8"/>
      <c r="M121" s="8"/>
      <c r="N121" s="8"/>
      <c r="O121" s="8"/>
      <c r="P121" s="8"/>
      <c r="Q121" s="8"/>
      <c r="R121" s="8"/>
      <c r="S121" s="8"/>
      <c r="T121" s="8"/>
      <c r="U121" s="8"/>
      <c r="V121" s="8"/>
      <c r="W121" s="8"/>
      <c r="X121" s="8"/>
      <c r="Y121" s="8"/>
      <c r="Z121" s="8"/>
    </row>
    <row r="122" spans="1:26" ht="15.75" customHeight="1" x14ac:dyDescent="0.25">
      <c r="A122" s="6" t="s">
        <v>95</v>
      </c>
      <c r="B122" s="8"/>
      <c r="C122" s="8"/>
      <c r="D122" s="6" t="s">
        <v>195</v>
      </c>
      <c r="E122" s="6" t="s">
        <v>206</v>
      </c>
      <c r="F122" s="6" t="s">
        <v>116</v>
      </c>
      <c r="G122" s="6" t="s">
        <v>45</v>
      </c>
      <c r="H122" s="8"/>
      <c r="I122" s="8"/>
      <c r="J122" s="8"/>
      <c r="K122" s="8"/>
      <c r="L122" s="8"/>
      <c r="M122" s="8"/>
      <c r="N122" s="8"/>
      <c r="O122" s="8"/>
      <c r="P122" s="8"/>
      <c r="Q122" s="8"/>
      <c r="R122" s="8"/>
      <c r="S122" s="8"/>
      <c r="T122" s="8"/>
      <c r="U122" s="8"/>
      <c r="V122" s="8"/>
      <c r="W122" s="8"/>
      <c r="X122" s="8"/>
      <c r="Y122" s="8"/>
      <c r="Z122" s="8"/>
    </row>
    <row r="123" spans="1:26" ht="15.75" customHeight="1" x14ac:dyDescent="0.25">
      <c r="A123" s="6" t="s">
        <v>95</v>
      </c>
      <c r="B123" s="8"/>
      <c r="C123" s="8"/>
      <c r="D123" s="6" t="s">
        <v>195</v>
      </c>
      <c r="E123" s="6" t="s">
        <v>206</v>
      </c>
      <c r="F123" s="6" t="s">
        <v>116</v>
      </c>
      <c r="G123" s="6" t="s">
        <v>45</v>
      </c>
      <c r="H123" s="8"/>
      <c r="I123" s="8"/>
      <c r="J123" s="8"/>
      <c r="K123" s="8"/>
      <c r="L123" s="8"/>
      <c r="M123" s="8"/>
      <c r="N123" s="8"/>
      <c r="O123" s="8"/>
      <c r="P123" s="8"/>
      <c r="Q123" s="8"/>
      <c r="R123" s="8"/>
      <c r="S123" s="8"/>
      <c r="T123" s="8"/>
      <c r="U123" s="8"/>
      <c r="V123" s="8"/>
      <c r="W123" s="8"/>
      <c r="X123" s="8"/>
      <c r="Y123" s="8"/>
      <c r="Z123" s="8"/>
    </row>
    <row r="124" spans="1:26" ht="15.75" customHeight="1" x14ac:dyDescent="0.25">
      <c r="A124" s="6" t="s">
        <v>95</v>
      </c>
      <c r="B124" s="8"/>
      <c r="C124" s="8"/>
      <c r="D124" s="6" t="s">
        <v>195</v>
      </c>
      <c r="E124" s="6" t="s">
        <v>206</v>
      </c>
      <c r="F124" s="6" t="s">
        <v>116</v>
      </c>
      <c r="G124" s="6" t="s">
        <v>45</v>
      </c>
      <c r="H124" s="8"/>
      <c r="I124" s="8"/>
      <c r="J124" s="8"/>
      <c r="K124" s="8"/>
      <c r="L124" s="8"/>
      <c r="M124" s="8"/>
      <c r="N124" s="8"/>
      <c r="O124" s="8"/>
      <c r="P124" s="8"/>
      <c r="Q124" s="8"/>
      <c r="R124" s="8"/>
      <c r="S124" s="8"/>
      <c r="T124" s="8"/>
      <c r="U124" s="8"/>
      <c r="V124" s="8"/>
      <c r="W124" s="8"/>
      <c r="X124" s="8"/>
      <c r="Y124" s="8"/>
      <c r="Z124" s="8"/>
    </row>
    <row r="125" spans="1:26" ht="15.75" customHeight="1" x14ac:dyDescent="0.25">
      <c r="A125" s="6" t="s">
        <v>95</v>
      </c>
      <c r="B125" s="8"/>
      <c r="C125" s="8"/>
      <c r="D125" s="6" t="s">
        <v>195</v>
      </c>
      <c r="E125" s="6" t="s">
        <v>206</v>
      </c>
      <c r="F125" s="6" t="s">
        <v>116</v>
      </c>
      <c r="G125" s="6" t="s">
        <v>45</v>
      </c>
      <c r="H125" s="8"/>
      <c r="I125" s="8"/>
      <c r="J125" s="8"/>
      <c r="K125" s="8"/>
      <c r="L125" s="8"/>
      <c r="M125" s="8"/>
      <c r="N125" s="8"/>
      <c r="O125" s="8"/>
      <c r="P125" s="8"/>
      <c r="Q125" s="8"/>
      <c r="R125" s="8"/>
      <c r="S125" s="8"/>
      <c r="T125" s="8"/>
      <c r="U125" s="8"/>
      <c r="V125" s="8"/>
      <c r="W125" s="8"/>
      <c r="X125" s="8"/>
      <c r="Y125" s="8"/>
      <c r="Z125" s="8"/>
    </row>
    <row r="126" spans="1:26" ht="15.75" customHeight="1" x14ac:dyDescent="0.25">
      <c r="A126" s="6" t="s">
        <v>95</v>
      </c>
      <c r="B126" s="8"/>
      <c r="C126" s="8"/>
      <c r="D126" s="6" t="s">
        <v>195</v>
      </c>
      <c r="E126" s="6" t="s">
        <v>206</v>
      </c>
      <c r="F126" s="6" t="s">
        <v>116</v>
      </c>
      <c r="G126" s="6" t="s">
        <v>45</v>
      </c>
      <c r="H126" s="8"/>
      <c r="I126" s="8"/>
      <c r="J126" s="8"/>
      <c r="K126" s="8"/>
      <c r="L126" s="8"/>
      <c r="M126" s="8"/>
      <c r="N126" s="8"/>
      <c r="O126" s="8"/>
      <c r="P126" s="8"/>
      <c r="Q126" s="8"/>
      <c r="R126" s="8"/>
      <c r="S126" s="8"/>
      <c r="T126" s="8"/>
      <c r="U126" s="8"/>
      <c r="V126" s="8"/>
      <c r="W126" s="8"/>
      <c r="X126" s="8"/>
      <c r="Y126" s="8"/>
      <c r="Z126" s="8"/>
    </row>
    <row r="127" spans="1:26" ht="15.75" customHeight="1" x14ac:dyDescent="0.25">
      <c r="A127" s="6" t="s">
        <v>95</v>
      </c>
      <c r="B127" s="8"/>
      <c r="C127" s="8"/>
      <c r="D127" s="6" t="s">
        <v>195</v>
      </c>
      <c r="E127" s="6" t="s">
        <v>206</v>
      </c>
      <c r="F127" s="6" t="s">
        <v>116</v>
      </c>
      <c r="G127" s="6" t="s">
        <v>45</v>
      </c>
      <c r="H127" s="8"/>
      <c r="I127" s="8"/>
      <c r="J127" s="8"/>
      <c r="K127" s="8"/>
      <c r="L127" s="8"/>
      <c r="M127" s="8"/>
      <c r="N127" s="8"/>
      <c r="O127" s="8"/>
      <c r="P127" s="8"/>
      <c r="Q127" s="8"/>
      <c r="R127" s="8"/>
      <c r="S127" s="8"/>
      <c r="T127" s="8"/>
      <c r="U127" s="8"/>
      <c r="V127" s="8"/>
      <c r="W127" s="8"/>
      <c r="X127" s="8"/>
      <c r="Y127" s="8"/>
      <c r="Z127" s="8"/>
    </row>
    <row r="128" spans="1:26" ht="15.75" customHeight="1" x14ac:dyDescent="0.25">
      <c r="A128" s="6" t="s">
        <v>95</v>
      </c>
      <c r="B128" s="8"/>
      <c r="C128" s="8"/>
      <c r="D128" s="6" t="s">
        <v>195</v>
      </c>
      <c r="E128" s="6" t="s">
        <v>206</v>
      </c>
      <c r="F128" s="6" t="s">
        <v>116</v>
      </c>
      <c r="G128" s="6" t="s">
        <v>45</v>
      </c>
      <c r="H128" s="8"/>
      <c r="I128" s="8"/>
      <c r="J128" s="8"/>
      <c r="K128" s="8"/>
      <c r="L128" s="8"/>
      <c r="M128" s="8"/>
      <c r="N128" s="8"/>
      <c r="O128" s="8"/>
      <c r="P128" s="8"/>
      <c r="Q128" s="8"/>
      <c r="R128" s="8"/>
      <c r="S128" s="8"/>
      <c r="T128" s="8"/>
      <c r="U128" s="8"/>
      <c r="V128" s="8"/>
      <c r="W128" s="8"/>
      <c r="X128" s="8"/>
      <c r="Y128" s="8"/>
      <c r="Z128" s="8"/>
    </row>
    <row r="129" spans="1:26" ht="15.75" customHeight="1" x14ac:dyDescent="0.25">
      <c r="A129" s="6" t="s">
        <v>95</v>
      </c>
      <c r="B129" s="8"/>
      <c r="C129" s="8"/>
      <c r="D129" s="6" t="s">
        <v>195</v>
      </c>
      <c r="E129" s="6" t="s">
        <v>206</v>
      </c>
      <c r="F129" s="6" t="s">
        <v>116</v>
      </c>
      <c r="G129" s="6" t="s">
        <v>45</v>
      </c>
      <c r="H129" s="8"/>
      <c r="I129" s="8"/>
      <c r="J129" s="8"/>
      <c r="K129" s="8"/>
      <c r="L129" s="8"/>
      <c r="M129" s="8"/>
      <c r="N129" s="8"/>
      <c r="O129" s="8"/>
      <c r="P129" s="8"/>
      <c r="Q129" s="8"/>
      <c r="R129" s="8"/>
      <c r="S129" s="8"/>
      <c r="T129" s="8"/>
      <c r="U129" s="8"/>
      <c r="V129" s="8"/>
      <c r="W129" s="8"/>
      <c r="X129" s="8"/>
      <c r="Y129" s="8"/>
      <c r="Z129" s="8"/>
    </row>
    <row r="130" spans="1:26" ht="15.75" customHeight="1" x14ac:dyDescent="0.25">
      <c r="A130" s="6" t="s">
        <v>95</v>
      </c>
      <c r="B130" s="8"/>
      <c r="C130" s="8"/>
      <c r="D130" s="6" t="s">
        <v>195</v>
      </c>
      <c r="E130" s="6" t="s">
        <v>206</v>
      </c>
      <c r="F130" s="6" t="s">
        <v>116</v>
      </c>
      <c r="G130" s="6" t="s">
        <v>45</v>
      </c>
      <c r="H130" s="8"/>
      <c r="I130" s="8"/>
      <c r="J130" s="8"/>
      <c r="K130" s="8"/>
      <c r="L130" s="8"/>
      <c r="M130" s="8"/>
      <c r="N130" s="8"/>
      <c r="O130" s="8"/>
      <c r="P130" s="8"/>
      <c r="Q130" s="8"/>
      <c r="R130" s="8"/>
      <c r="S130" s="8"/>
      <c r="T130" s="8"/>
      <c r="U130" s="8"/>
      <c r="V130" s="8"/>
      <c r="W130" s="8"/>
      <c r="X130" s="8"/>
      <c r="Y130" s="8"/>
      <c r="Z130" s="8"/>
    </row>
    <row r="131" spans="1:26" ht="15.75" customHeight="1" x14ac:dyDescent="0.25">
      <c r="A131" s="6" t="s">
        <v>95</v>
      </c>
      <c r="B131" s="8"/>
      <c r="C131" s="8"/>
      <c r="D131" s="6" t="s">
        <v>195</v>
      </c>
      <c r="E131" s="6" t="s">
        <v>206</v>
      </c>
      <c r="F131" s="6" t="s">
        <v>116</v>
      </c>
      <c r="G131" s="6" t="s">
        <v>45</v>
      </c>
      <c r="H131" s="8"/>
      <c r="I131" s="8"/>
      <c r="J131" s="8"/>
      <c r="K131" s="8"/>
      <c r="L131" s="8"/>
      <c r="M131" s="8"/>
      <c r="N131" s="8"/>
      <c r="O131" s="8"/>
      <c r="P131" s="8"/>
      <c r="Q131" s="8"/>
      <c r="R131" s="8"/>
      <c r="S131" s="8"/>
      <c r="T131" s="8"/>
      <c r="U131" s="8"/>
      <c r="V131" s="8"/>
      <c r="W131" s="8"/>
      <c r="X131" s="8"/>
      <c r="Y131" s="8"/>
      <c r="Z131" s="8"/>
    </row>
    <row r="132" spans="1:26" ht="15.75" customHeight="1" x14ac:dyDescent="0.25">
      <c r="A132" s="6" t="s">
        <v>95</v>
      </c>
      <c r="B132" s="8"/>
      <c r="C132" s="8"/>
      <c r="D132" s="6" t="s">
        <v>195</v>
      </c>
      <c r="E132" s="6" t="s">
        <v>206</v>
      </c>
      <c r="F132" s="6" t="s">
        <v>116</v>
      </c>
      <c r="G132" s="6" t="s">
        <v>45</v>
      </c>
      <c r="H132" s="8"/>
      <c r="I132" s="8"/>
      <c r="J132" s="8"/>
      <c r="K132" s="8"/>
      <c r="L132" s="8"/>
      <c r="M132" s="8"/>
      <c r="N132" s="8"/>
      <c r="O132" s="8"/>
      <c r="P132" s="8"/>
      <c r="Q132" s="8"/>
      <c r="R132" s="8"/>
      <c r="S132" s="8"/>
      <c r="T132" s="8"/>
      <c r="U132" s="8"/>
      <c r="V132" s="8"/>
      <c r="W132" s="8"/>
      <c r="X132" s="8"/>
      <c r="Y132" s="8"/>
      <c r="Z132" s="8"/>
    </row>
    <row r="133" spans="1:26" ht="15.75" customHeight="1" x14ac:dyDescent="0.25">
      <c r="A133" s="6" t="s">
        <v>95</v>
      </c>
      <c r="B133" s="8"/>
      <c r="C133" s="8"/>
      <c r="D133" s="6" t="s">
        <v>195</v>
      </c>
      <c r="E133" s="6" t="s">
        <v>206</v>
      </c>
      <c r="F133" s="6" t="s">
        <v>116</v>
      </c>
      <c r="G133" s="6" t="s">
        <v>45</v>
      </c>
      <c r="H133" s="8"/>
      <c r="I133" s="8"/>
      <c r="J133" s="8"/>
      <c r="K133" s="8"/>
      <c r="L133" s="8"/>
      <c r="M133" s="8"/>
      <c r="N133" s="8"/>
      <c r="O133" s="8"/>
      <c r="P133" s="8"/>
      <c r="Q133" s="8"/>
      <c r="R133" s="8"/>
      <c r="S133" s="8"/>
      <c r="T133" s="8"/>
      <c r="U133" s="8"/>
      <c r="V133" s="8"/>
      <c r="W133" s="8"/>
      <c r="X133" s="8"/>
      <c r="Y133" s="8"/>
      <c r="Z133" s="8"/>
    </row>
    <row r="134" spans="1:26" ht="15.75" customHeight="1" x14ac:dyDescent="0.25">
      <c r="A134" s="6" t="s">
        <v>95</v>
      </c>
      <c r="B134" s="8"/>
      <c r="C134" s="8"/>
      <c r="D134" s="6" t="s">
        <v>195</v>
      </c>
      <c r="E134" s="6" t="s">
        <v>206</v>
      </c>
      <c r="F134" s="6" t="s">
        <v>116</v>
      </c>
      <c r="G134" s="6" t="s">
        <v>45</v>
      </c>
      <c r="H134" s="8"/>
      <c r="I134" s="8"/>
      <c r="J134" s="8"/>
      <c r="K134" s="8"/>
      <c r="L134" s="8"/>
      <c r="M134" s="8"/>
      <c r="N134" s="8"/>
      <c r="O134" s="8"/>
      <c r="P134" s="8"/>
      <c r="Q134" s="8"/>
      <c r="R134" s="8"/>
      <c r="S134" s="8"/>
      <c r="T134" s="8"/>
      <c r="U134" s="8"/>
      <c r="V134" s="8"/>
      <c r="W134" s="8"/>
      <c r="X134" s="8"/>
      <c r="Y134" s="8"/>
      <c r="Z134" s="8"/>
    </row>
    <row r="135" spans="1:26" ht="15.75" customHeight="1" x14ac:dyDescent="0.25">
      <c r="A135" s="6" t="s">
        <v>95</v>
      </c>
      <c r="B135" s="8"/>
      <c r="C135" s="8"/>
      <c r="D135" s="6" t="s">
        <v>195</v>
      </c>
      <c r="E135" s="6" t="s">
        <v>206</v>
      </c>
      <c r="F135" s="6" t="s">
        <v>116</v>
      </c>
      <c r="G135" s="6" t="s">
        <v>45</v>
      </c>
      <c r="H135" s="8"/>
      <c r="I135" s="8"/>
      <c r="J135" s="8"/>
      <c r="K135" s="8"/>
      <c r="L135" s="8"/>
      <c r="M135" s="8"/>
      <c r="N135" s="8"/>
      <c r="O135" s="8"/>
      <c r="P135" s="8"/>
      <c r="Q135" s="8"/>
      <c r="R135" s="8"/>
      <c r="S135" s="8"/>
      <c r="T135" s="8"/>
      <c r="U135" s="8"/>
      <c r="V135" s="8"/>
      <c r="W135" s="8"/>
      <c r="X135" s="8"/>
      <c r="Y135" s="8"/>
      <c r="Z135" s="8"/>
    </row>
    <row r="136" spans="1:26" ht="15.75" customHeight="1" x14ac:dyDescent="0.25">
      <c r="A136" s="6" t="s">
        <v>95</v>
      </c>
      <c r="B136" s="8"/>
      <c r="C136" s="8"/>
      <c r="D136" s="6" t="s">
        <v>195</v>
      </c>
      <c r="E136" s="6" t="s">
        <v>206</v>
      </c>
      <c r="F136" s="6" t="s">
        <v>116</v>
      </c>
      <c r="G136" s="6" t="s">
        <v>45</v>
      </c>
      <c r="H136" s="8"/>
      <c r="I136" s="8"/>
      <c r="J136" s="8"/>
      <c r="K136" s="8"/>
      <c r="L136" s="8"/>
      <c r="M136" s="8"/>
      <c r="N136" s="8"/>
      <c r="O136" s="8"/>
      <c r="P136" s="8"/>
      <c r="Q136" s="8"/>
      <c r="R136" s="8"/>
      <c r="S136" s="8"/>
      <c r="T136" s="8"/>
      <c r="U136" s="8"/>
      <c r="V136" s="8"/>
      <c r="W136" s="8"/>
      <c r="X136" s="8"/>
      <c r="Y136" s="8"/>
      <c r="Z136" s="8"/>
    </row>
    <row r="137" spans="1:26" ht="15.75" customHeight="1" x14ac:dyDescent="0.25">
      <c r="A137" s="6" t="s">
        <v>95</v>
      </c>
      <c r="B137" s="8"/>
      <c r="C137" s="8"/>
      <c r="D137" s="6" t="s">
        <v>195</v>
      </c>
      <c r="E137" s="6" t="s">
        <v>206</v>
      </c>
      <c r="F137" s="6" t="s">
        <v>116</v>
      </c>
      <c r="G137" s="6" t="s">
        <v>45</v>
      </c>
      <c r="H137" s="8"/>
      <c r="I137" s="8"/>
      <c r="J137" s="8"/>
      <c r="K137" s="8"/>
      <c r="L137" s="8"/>
      <c r="M137" s="8"/>
      <c r="N137" s="8"/>
      <c r="O137" s="8"/>
      <c r="P137" s="8"/>
      <c r="Q137" s="8"/>
      <c r="R137" s="8"/>
      <c r="S137" s="8"/>
      <c r="T137" s="8"/>
      <c r="U137" s="8"/>
      <c r="V137" s="8"/>
      <c r="W137" s="8"/>
      <c r="X137" s="8"/>
      <c r="Y137" s="8"/>
      <c r="Z137" s="8"/>
    </row>
    <row r="138" spans="1:26" ht="15.75" customHeight="1" x14ac:dyDescent="0.25">
      <c r="A138" s="6" t="s">
        <v>95</v>
      </c>
      <c r="B138" s="8"/>
      <c r="C138" s="8"/>
      <c r="D138" s="6" t="s">
        <v>195</v>
      </c>
      <c r="E138" s="6" t="s">
        <v>206</v>
      </c>
      <c r="F138" s="6" t="s">
        <v>116</v>
      </c>
      <c r="G138" s="6" t="s">
        <v>45</v>
      </c>
      <c r="H138" s="8"/>
      <c r="I138" s="8"/>
      <c r="J138" s="8"/>
      <c r="K138" s="8"/>
      <c r="L138" s="8"/>
      <c r="M138" s="8"/>
      <c r="N138" s="8"/>
      <c r="O138" s="8"/>
      <c r="P138" s="8"/>
      <c r="Q138" s="8"/>
      <c r="R138" s="8"/>
      <c r="S138" s="8"/>
      <c r="T138" s="8"/>
      <c r="U138" s="8"/>
      <c r="V138" s="8"/>
      <c r="W138" s="8"/>
      <c r="X138" s="8"/>
      <c r="Y138" s="8"/>
      <c r="Z138" s="8"/>
    </row>
    <row r="139" spans="1:26" ht="15.75" customHeight="1" x14ac:dyDescent="0.25">
      <c r="A139" s="6" t="s">
        <v>95</v>
      </c>
      <c r="B139" s="8"/>
      <c r="C139" s="8"/>
      <c r="D139" s="6" t="s">
        <v>195</v>
      </c>
      <c r="E139" s="6" t="s">
        <v>206</v>
      </c>
      <c r="F139" s="6" t="s">
        <v>116</v>
      </c>
      <c r="G139" s="6" t="s">
        <v>45</v>
      </c>
      <c r="H139" s="8"/>
      <c r="I139" s="8"/>
      <c r="J139" s="8"/>
      <c r="K139" s="8"/>
      <c r="L139" s="8"/>
      <c r="M139" s="8"/>
      <c r="N139" s="8"/>
      <c r="O139" s="8"/>
      <c r="P139" s="8"/>
      <c r="Q139" s="8"/>
      <c r="R139" s="8"/>
      <c r="S139" s="8"/>
      <c r="T139" s="8"/>
      <c r="U139" s="8"/>
      <c r="V139" s="8"/>
      <c r="W139" s="8"/>
      <c r="X139" s="8"/>
      <c r="Y139" s="8"/>
      <c r="Z139" s="8"/>
    </row>
    <row r="140" spans="1:26" ht="15.75" customHeight="1" x14ac:dyDescent="0.25">
      <c r="A140" s="6" t="s">
        <v>95</v>
      </c>
      <c r="B140" s="8"/>
      <c r="C140" s="8"/>
      <c r="D140" s="6" t="s">
        <v>195</v>
      </c>
      <c r="E140" s="6" t="s">
        <v>206</v>
      </c>
      <c r="F140" s="6" t="s">
        <v>116</v>
      </c>
      <c r="G140" s="6" t="s">
        <v>45</v>
      </c>
      <c r="H140" s="8"/>
      <c r="I140" s="8"/>
      <c r="J140" s="8"/>
      <c r="K140" s="8"/>
      <c r="L140" s="8"/>
      <c r="M140" s="8"/>
      <c r="N140" s="8"/>
      <c r="O140" s="8"/>
      <c r="P140" s="8"/>
      <c r="Q140" s="8"/>
      <c r="R140" s="8"/>
      <c r="S140" s="8"/>
      <c r="T140" s="8"/>
      <c r="U140" s="8"/>
      <c r="V140" s="8"/>
      <c r="W140" s="8"/>
      <c r="X140" s="8"/>
      <c r="Y140" s="8"/>
      <c r="Z140" s="8"/>
    </row>
    <row r="141" spans="1:26" ht="15.75" customHeight="1" x14ac:dyDescent="0.25">
      <c r="A141" s="6" t="s">
        <v>95</v>
      </c>
      <c r="B141" s="8"/>
      <c r="C141" s="8"/>
      <c r="D141" s="6" t="s">
        <v>195</v>
      </c>
      <c r="E141" s="6" t="s">
        <v>206</v>
      </c>
      <c r="F141" s="6" t="s">
        <v>116</v>
      </c>
      <c r="G141" s="6" t="s">
        <v>45</v>
      </c>
      <c r="H141" s="8"/>
      <c r="I141" s="8"/>
      <c r="J141" s="8"/>
      <c r="K141" s="8"/>
      <c r="L141" s="8"/>
      <c r="M141" s="8"/>
      <c r="N141" s="8"/>
      <c r="O141" s="8"/>
      <c r="P141" s="8"/>
      <c r="Q141" s="8"/>
      <c r="R141" s="8"/>
      <c r="S141" s="8"/>
      <c r="T141" s="8"/>
      <c r="U141" s="8"/>
      <c r="V141" s="8"/>
      <c r="W141" s="8"/>
      <c r="X141" s="8"/>
      <c r="Y141" s="8"/>
      <c r="Z141" s="8"/>
    </row>
    <row r="142" spans="1:26" ht="15.75" customHeight="1" x14ac:dyDescent="0.25">
      <c r="A142" s="6" t="s">
        <v>95</v>
      </c>
      <c r="B142" s="8"/>
      <c r="C142" s="8"/>
      <c r="D142" s="6" t="s">
        <v>195</v>
      </c>
      <c r="E142" s="6" t="s">
        <v>206</v>
      </c>
      <c r="F142" s="6" t="s">
        <v>116</v>
      </c>
      <c r="G142" s="6" t="s">
        <v>45</v>
      </c>
      <c r="H142" s="8"/>
      <c r="I142" s="8"/>
      <c r="J142" s="8"/>
      <c r="K142" s="8"/>
      <c r="L142" s="8"/>
      <c r="M142" s="8"/>
      <c r="N142" s="8"/>
      <c r="O142" s="8"/>
      <c r="P142" s="8"/>
      <c r="Q142" s="8"/>
      <c r="R142" s="8"/>
      <c r="S142" s="8"/>
      <c r="T142" s="8"/>
      <c r="U142" s="8"/>
      <c r="V142" s="8"/>
      <c r="W142" s="8"/>
      <c r="X142" s="8"/>
      <c r="Y142" s="8"/>
      <c r="Z142" s="8"/>
    </row>
    <row r="143" spans="1:26" ht="15.75" customHeight="1" x14ac:dyDescent="0.25">
      <c r="A143" s="6" t="s">
        <v>95</v>
      </c>
      <c r="B143" s="8"/>
      <c r="C143" s="8"/>
      <c r="D143" s="6" t="s">
        <v>195</v>
      </c>
      <c r="E143" s="6" t="s">
        <v>206</v>
      </c>
      <c r="F143" s="6" t="s">
        <v>116</v>
      </c>
      <c r="G143" s="6" t="s">
        <v>45</v>
      </c>
      <c r="H143" s="8"/>
      <c r="I143" s="8"/>
      <c r="J143" s="8"/>
      <c r="K143" s="8"/>
      <c r="L143" s="8"/>
      <c r="M143" s="8"/>
      <c r="N143" s="8"/>
      <c r="O143" s="8"/>
      <c r="P143" s="8"/>
      <c r="Q143" s="8"/>
      <c r="R143" s="8"/>
      <c r="S143" s="8"/>
      <c r="T143" s="8"/>
      <c r="U143" s="8"/>
      <c r="V143" s="8"/>
      <c r="W143" s="8"/>
      <c r="X143" s="8"/>
      <c r="Y143" s="8"/>
      <c r="Z143" s="8"/>
    </row>
    <row r="144" spans="1:26" ht="15.75" customHeight="1" x14ac:dyDescent="0.25">
      <c r="A144" s="6" t="s">
        <v>95</v>
      </c>
      <c r="B144" s="8"/>
      <c r="C144" s="8"/>
      <c r="D144" s="6" t="s">
        <v>195</v>
      </c>
      <c r="E144" s="6" t="s">
        <v>206</v>
      </c>
      <c r="F144" s="6" t="s">
        <v>116</v>
      </c>
      <c r="G144" s="6" t="s">
        <v>45</v>
      </c>
      <c r="H144" s="8"/>
      <c r="I144" s="8"/>
      <c r="J144" s="8"/>
      <c r="K144" s="8"/>
      <c r="L144" s="8"/>
      <c r="M144" s="8"/>
      <c r="N144" s="8"/>
      <c r="O144" s="8"/>
      <c r="P144" s="8"/>
      <c r="Q144" s="8"/>
      <c r="R144" s="8"/>
      <c r="S144" s="8"/>
      <c r="T144" s="8"/>
      <c r="U144" s="8"/>
      <c r="V144" s="8"/>
      <c r="W144" s="8"/>
      <c r="X144" s="8"/>
      <c r="Y144" s="8"/>
      <c r="Z144" s="8"/>
    </row>
    <row r="145" spans="1:26" ht="15.75" customHeight="1" x14ac:dyDescent="0.25">
      <c r="A145" s="6" t="s">
        <v>95</v>
      </c>
      <c r="B145" s="8"/>
      <c r="C145" s="8"/>
      <c r="D145" s="6" t="s">
        <v>195</v>
      </c>
      <c r="E145" s="6" t="s">
        <v>206</v>
      </c>
      <c r="F145" s="6" t="s">
        <v>116</v>
      </c>
      <c r="G145" s="6" t="s">
        <v>45</v>
      </c>
      <c r="H145" s="8"/>
      <c r="I145" s="8"/>
      <c r="J145" s="8"/>
      <c r="K145" s="8"/>
      <c r="L145" s="8"/>
      <c r="M145" s="8"/>
      <c r="N145" s="8"/>
      <c r="O145" s="8"/>
      <c r="P145" s="8"/>
      <c r="Q145" s="8"/>
      <c r="R145" s="8"/>
      <c r="S145" s="8"/>
      <c r="T145" s="8"/>
      <c r="U145" s="8"/>
      <c r="V145" s="8"/>
      <c r="W145" s="8"/>
      <c r="X145" s="8"/>
      <c r="Y145" s="8"/>
      <c r="Z145" s="8"/>
    </row>
    <row r="146" spans="1:26" ht="15.75" customHeight="1" x14ac:dyDescent="0.25">
      <c r="A146" s="6" t="s">
        <v>95</v>
      </c>
      <c r="B146" s="8"/>
      <c r="C146" s="8"/>
      <c r="D146" s="6" t="s">
        <v>195</v>
      </c>
      <c r="E146" s="6" t="s">
        <v>206</v>
      </c>
      <c r="F146" s="6" t="s">
        <v>116</v>
      </c>
      <c r="G146" s="6" t="s">
        <v>45</v>
      </c>
      <c r="H146" s="8"/>
      <c r="I146" s="8"/>
      <c r="J146" s="8"/>
      <c r="K146" s="8"/>
      <c r="L146" s="8"/>
      <c r="M146" s="8"/>
      <c r="N146" s="8"/>
      <c r="O146" s="8"/>
      <c r="P146" s="8"/>
      <c r="Q146" s="8"/>
      <c r="R146" s="8"/>
      <c r="S146" s="8"/>
      <c r="T146" s="8"/>
      <c r="U146" s="8"/>
      <c r="V146" s="8"/>
      <c r="W146" s="8"/>
      <c r="X146" s="8"/>
      <c r="Y146" s="8"/>
      <c r="Z146" s="8"/>
    </row>
    <row r="147" spans="1:26" ht="15.75" customHeight="1" x14ac:dyDescent="0.25">
      <c r="A147" s="6" t="s">
        <v>95</v>
      </c>
      <c r="B147" s="8"/>
      <c r="C147" s="8"/>
      <c r="D147" s="6" t="s">
        <v>195</v>
      </c>
      <c r="E147" s="6" t="s">
        <v>206</v>
      </c>
      <c r="F147" s="6" t="s">
        <v>116</v>
      </c>
      <c r="G147" s="6" t="s">
        <v>45</v>
      </c>
      <c r="H147" s="8"/>
      <c r="I147" s="8"/>
      <c r="J147" s="8"/>
      <c r="K147" s="8"/>
      <c r="L147" s="8"/>
      <c r="M147" s="8"/>
      <c r="N147" s="8"/>
      <c r="O147" s="8"/>
      <c r="P147" s="8"/>
      <c r="Q147" s="8"/>
      <c r="R147" s="8"/>
      <c r="S147" s="8"/>
      <c r="T147" s="8"/>
      <c r="U147" s="8"/>
      <c r="V147" s="8"/>
      <c r="W147" s="8"/>
      <c r="X147" s="8"/>
      <c r="Y147" s="8"/>
      <c r="Z147" s="8"/>
    </row>
    <row r="148" spans="1:26" ht="15.75" customHeight="1" x14ac:dyDescent="0.25">
      <c r="A148" s="6" t="s">
        <v>95</v>
      </c>
      <c r="B148" s="8"/>
      <c r="C148" s="8"/>
      <c r="D148" s="6" t="s">
        <v>195</v>
      </c>
      <c r="E148" s="6" t="s">
        <v>206</v>
      </c>
      <c r="F148" s="6" t="s">
        <v>116</v>
      </c>
      <c r="G148" s="6" t="s">
        <v>45</v>
      </c>
      <c r="H148" s="8"/>
      <c r="I148" s="8"/>
      <c r="J148" s="8"/>
      <c r="K148" s="8"/>
      <c r="L148" s="8"/>
      <c r="M148" s="8"/>
      <c r="N148" s="8"/>
      <c r="O148" s="8"/>
      <c r="P148" s="8"/>
      <c r="Q148" s="8"/>
      <c r="R148" s="8"/>
      <c r="S148" s="8"/>
      <c r="T148" s="8"/>
      <c r="U148" s="8"/>
      <c r="V148" s="8"/>
      <c r="W148" s="8"/>
      <c r="X148" s="8"/>
      <c r="Y148" s="8"/>
      <c r="Z148" s="8"/>
    </row>
    <row r="149" spans="1:26" ht="15.75" customHeight="1" x14ac:dyDescent="0.25">
      <c r="A149" s="6" t="s">
        <v>95</v>
      </c>
      <c r="B149" s="8"/>
      <c r="C149" s="8"/>
      <c r="D149" s="6" t="s">
        <v>195</v>
      </c>
      <c r="E149" s="6" t="s">
        <v>206</v>
      </c>
      <c r="F149" s="6" t="s">
        <v>116</v>
      </c>
      <c r="G149" s="6" t="s">
        <v>45</v>
      </c>
      <c r="H149" s="8"/>
      <c r="I149" s="8"/>
      <c r="J149" s="8"/>
      <c r="K149" s="8"/>
      <c r="L149" s="8"/>
      <c r="M149" s="8"/>
      <c r="N149" s="8"/>
      <c r="O149" s="8"/>
      <c r="P149" s="8"/>
      <c r="Q149" s="8"/>
      <c r="R149" s="8"/>
      <c r="S149" s="8"/>
      <c r="T149" s="8"/>
      <c r="U149" s="8"/>
      <c r="V149" s="8"/>
      <c r="W149" s="8"/>
      <c r="X149" s="8"/>
      <c r="Y149" s="8"/>
      <c r="Z149" s="8"/>
    </row>
    <row r="150" spans="1:26" ht="15.75" customHeight="1" x14ac:dyDescent="0.25">
      <c r="A150" s="6" t="s">
        <v>95</v>
      </c>
      <c r="B150" s="8"/>
      <c r="C150" s="8"/>
      <c r="D150" s="6" t="s">
        <v>195</v>
      </c>
      <c r="E150" s="6" t="s">
        <v>206</v>
      </c>
      <c r="F150" s="6" t="s">
        <v>116</v>
      </c>
      <c r="G150" s="6" t="s">
        <v>45</v>
      </c>
      <c r="H150" s="8"/>
      <c r="I150" s="8"/>
      <c r="J150" s="8"/>
      <c r="K150" s="8"/>
      <c r="L150" s="8"/>
      <c r="M150" s="8"/>
      <c r="N150" s="8"/>
      <c r="O150" s="8"/>
      <c r="P150" s="8"/>
      <c r="Q150" s="8"/>
      <c r="R150" s="8"/>
      <c r="S150" s="8"/>
      <c r="T150" s="8"/>
      <c r="U150" s="8"/>
      <c r="V150" s="8"/>
      <c r="W150" s="8"/>
      <c r="X150" s="8"/>
      <c r="Y150" s="8"/>
      <c r="Z150" s="8"/>
    </row>
    <row r="151" spans="1:26" ht="15.75" customHeight="1" x14ac:dyDescent="0.25">
      <c r="A151" s="6" t="s">
        <v>95</v>
      </c>
      <c r="B151" s="8"/>
      <c r="C151" s="8"/>
      <c r="D151" s="6" t="s">
        <v>195</v>
      </c>
      <c r="E151" s="6" t="s">
        <v>206</v>
      </c>
      <c r="F151" s="6" t="s">
        <v>116</v>
      </c>
      <c r="G151" s="6" t="s">
        <v>45</v>
      </c>
      <c r="H151" s="8"/>
      <c r="I151" s="8"/>
      <c r="J151" s="8"/>
      <c r="K151" s="8"/>
      <c r="L151" s="8"/>
      <c r="M151" s="8"/>
      <c r="N151" s="8"/>
      <c r="O151" s="8"/>
      <c r="P151" s="8"/>
      <c r="Q151" s="8"/>
      <c r="R151" s="8"/>
      <c r="S151" s="8"/>
      <c r="T151" s="8"/>
      <c r="U151" s="8"/>
      <c r="V151" s="8"/>
      <c r="W151" s="8"/>
      <c r="X151" s="8"/>
      <c r="Y151" s="8"/>
      <c r="Z151" s="8"/>
    </row>
    <row r="152" spans="1:26" ht="15.75" customHeight="1" x14ac:dyDescent="0.25">
      <c r="A152" s="6" t="s">
        <v>95</v>
      </c>
      <c r="B152" s="8"/>
      <c r="C152" s="8"/>
      <c r="D152" s="6" t="s">
        <v>195</v>
      </c>
      <c r="E152" s="6" t="s">
        <v>206</v>
      </c>
      <c r="F152" s="6" t="s">
        <v>116</v>
      </c>
      <c r="G152" s="6" t="s">
        <v>45</v>
      </c>
      <c r="H152" s="8"/>
      <c r="I152" s="8"/>
      <c r="J152" s="8"/>
      <c r="K152" s="8"/>
      <c r="L152" s="8"/>
      <c r="M152" s="8"/>
      <c r="N152" s="8"/>
      <c r="O152" s="8"/>
      <c r="P152" s="8"/>
      <c r="Q152" s="8"/>
      <c r="R152" s="8"/>
      <c r="S152" s="8"/>
      <c r="T152" s="8"/>
      <c r="U152" s="8"/>
      <c r="V152" s="8"/>
      <c r="W152" s="8"/>
      <c r="X152" s="8"/>
      <c r="Y152" s="8"/>
      <c r="Z152" s="8"/>
    </row>
    <row r="153" spans="1:26" ht="15.75" customHeight="1" x14ac:dyDescent="0.25">
      <c r="A153" s="6" t="s">
        <v>95</v>
      </c>
      <c r="B153" s="8"/>
      <c r="C153" s="8"/>
      <c r="D153" s="6" t="s">
        <v>195</v>
      </c>
      <c r="E153" s="6" t="s">
        <v>206</v>
      </c>
      <c r="F153" s="6" t="s">
        <v>116</v>
      </c>
      <c r="G153" s="6" t="s">
        <v>45</v>
      </c>
      <c r="H153" s="8"/>
      <c r="I153" s="8"/>
      <c r="J153" s="8"/>
      <c r="K153" s="8"/>
      <c r="L153" s="8"/>
      <c r="M153" s="8"/>
      <c r="N153" s="8"/>
      <c r="O153" s="8"/>
      <c r="P153" s="8"/>
      <c r="Q153" s="8"/>
      <c r="R153" s="8"/>
      <c r="S153" s="8"/>
      <c r="T153" s="8"/>
      <c r="U153" s="8"/>
      <c r="V153" s="8"/>
      <c r="W153" s="8"/>
      <c r="X153" s="8"/>
      <c r="Y153" s="8"/>
      <c r="Z153" s="8"/>
    </row>
    <row r="154" spans="1:26" ht="15.75" customHeight="1" x14ac:dyDescent="0.25">
      <c r="A154" s="6" t="s">
        <v>95</v>
      </c>
      <c r="B154" s="8"/>
      <c r="C154" s="8"/>
      <c r="D154" s="6" t="s">
        <v>195</v>
      </c>
      <c r="E154" s="6" t="s">
        <v>206</v>
      </c>
      <c r="F154" s="6" t="s">
        <v>116</v>
      </c>
      <c r="G154" s="6" t="s">
        <v>45</v>
      </c>
      <c r="H154" s="8"/>
      <c r="I154" s="8"/>
      <c r="J154" s="8"/>
      <c r="K154" s="8"/>
      <c r="L154" s="8"/>
      <c r="M154" s="8"/>
      <c r="N154" s="8"/>
      <c r="O154" s="8"/>
      <c r="P154" s="8"/>
      <c r="Q154" s="8"/>
      <c r="R154" s="8"/>
      <c r="S154" s="8"/>
      <c r="T154" s="8"/>
      <c r="U154" s="8"/>
      <c r="V154" s="8"/>
      <c r="W154" s="8"/>
      <c r="X154" s="8"/>
      <c r="Y154" s="8"/>
      <c r="Z154" s="8"/>
    </row>
    <row r="155" spans="1:26" ht="15.75" customHeight="1" x14ac:dyDescent="0.25">
      <c r="A155" s="6" t="s">
        <v>95</v>
      </c>
      <c r="B155" s="8"/>
      <c r="C155" s="8"/>
      <c r="D155" s="6" t="s">
        <v>195</v>
      </c>
      <c r="E155" s="6" t="s">
        <v>206</v>
      </c>
      <c r="F155" s="6" t="s">
        <v>116</v>
      </c>
      <c r="G155" s="6" t="s">
        <v>45</v>
      </c>
      <c r="H155" s="8"/>
      <c r="I155" s="8"/>
      <c r="J155" s="8"/>
      <c r="K155" s="8"/>
      <c r="L155" s="8"/>
      <c r="M155" s="8"/>
      <c r="N155" s="8"/>
      <c r="O155" s="8"/>
      <c r="P155" s="8"/>
      <c r="Q155" s="8"/>
      <c r="R155" s="8"/>
      <c r="S155" s="8"/>
      <c r="T155" s="8"/>
      <c r="U155" s="8"/>
      <c r="V155" s="8"/>
      <c r="W155" s="8"/>
      <c r="X155" s="8"/>
      <c r="Y155" s="8"/>
      <c r="Z155" s="8"/>
    </row>
    <row r="156" spans="1:26" ht="15.75" customHeight="1" x14ac:dyDescent="0.25">
      <c r="A156" s="6" t="s">
        <v>95</v>
      </c>
      <c r="B156" s="8"/>
      <c r="C156" s="8"/>
      <c r="D156" s="6" t="s">
        <v>195</v>
      </c>
      <c r="E156" s="6" t="s">
        <v>206</v>
      </c>
      <c r="F156" s="6" t="s">
        <v>116</v>
      </c>
      <c r="G156" s="6" t="s">
        <v>45</v>
      </c>
      <c r="H156" s="8"/>
      <c r="I156" s="8"/>
      <c r="J156" s="8"/>
      <c r="K156" s="8"/>
      <c r="L156" s="8"/>
      <c r="M156" s="8"/>
      <c r="N156" s="8"/>
      <c r="O156" s="8"/>
      <c r="P156" s="8"/>
      <c r="Q156" s="8"/>
      <c r="R156" s="8"/>
      <c r="S156" s="8"/>
      <c r="T156" s="8"/>
      <c r="U156" s="8"/>
      <c r="V156" s="8"/>
      <c r="W156" s="8"/>
      <c r="X156" s="8"/>
      <c r="Y156" s="8"/>
      <c r="Z156" s="8"/>
    </row>
    <row r="157" spans="1:26" ht="15.75" customHeight="1" x14ac:dyDescent="0.25">
      <c r="A157" s="6" t="s">
        <v>95</v>
      </c>
      <c r="B157" s="8"/>
      <c r="C157" s="8"/>
      <c r="D157" s="6" t="s">
        <v>195</v>
      </c>
      <c r="E157" s="6" t="s">
        <v>206</v>
      </c>
      <c r="F157" s="6" t="s">
        <v>116</v>
      </c>
      <c r="G157" s="6" t="s">
        <v>45</v>
      </c>
      <c r="H157" s="8"/>
      <c r="I157" s="8"/>
      <c r="J157" s="8"/>
      <c r="K157" s="8"/>
      <c r="L157" s="8"/>
      <c r="M157" s="8"/>
      <c r="N157" s="8"/>
      <c r="O157" s="8"/>
      <c r="P157" s="8"/>
      <c r="Q157" s="8"/>
      <c r="R157" s="8"/>
      <c r="S157" s="8"/>
      <c r="T157" s="8"/>
      <c r="U157" s="8"/>
      <c r="V157" s="8"/>
      <c r="W157" s="8"/>
      <c r="X157" s="8"/>
      <c r="Y157" s="8"/>
      <c r="Z157" s="8"/>
    </row>
    <row r="158" spans="1:26" ht="15.75" customHeight="1" x14ac:dyDescent="0.25">
      <c r="A158" s="6" t="s">
        <v>95</v>
      </c>
      <c r="B158" s="8"/>
      <c r="C158" s="8"/>
      <c r="D158" s="6" t="s">
        <v>195</v>
      </c>
      <c r="E158" s="6" t="s">
        <v>206</v>
      </c>
      <c r="F158" s="6" t="s">
        <v>116</v>
      </c>
      <c r="G158" s="6" t="s">
        <v>45</v>
      </c>
      <c r="H158" s="8"/>
      <c r="I158" s="8"/>
      <c r="J158" s="8"/>
      <c r="K158" s="8"/>
      <c r="L158" s="8"/>
      <c r="M158" s="8"/>
      <c r="N158" s="8"/>
      <c r="O158" s="8"/>
      <c r="P158" s="8"/>
      <c r="Q158" s="8"/>
      <c r="R158" s="8"/>
      <c r="S158" s="8"/>
      <c r="T158" s="8"/>
      <c r="U158" s="8"/>
      <c r="V158" s="8"/>
      <c r="W158" s="8"/>
      <c r="X158" s="8"/>
      <c r="Y158" s="8"/>
      <c r="Z158" s="8"/>
    </row>
    <row r="159" spans="1:26" ht="15.75" customHeight="1" x14ac:dyDescent="0.25">
      <c r="A159" s="6" t="s">
        <v>95</v>
      </c>
      <c r="B159" s="8"/>
      <c r="C159" s="8"/>
      <c r="D159" s="6" t="s">
        <v>195</v>
      </c>
      <c r="E159" s="6" t="s">
        <v>206</v>
      </c>
      <c r="F159" s="6" t="s">
        <v>116</v>
      </c>
      <c r="G159" s="6" t="s">
        <v>45</v>
      </c>
      <c r="H159" s="8"/>
      <c r="I159" s="8"/>
      <c r="J159" s="8"/>
      <c r="K159" s="8"/>
      <c r="L159" s="8"/>
      <c r="M159" s="8"/>
      <c r="N159" s="8"/>
      <c r="O159" s="8"/>
      <c r="P159" s="8"/>
      <c r="Q159" s="8"/>
      <c r="R159" s="8"/>
      <c r="S159" s="8"/>
      <c r="T159" s="8"/>
      <c r="U159" s="8"/>
      <c r="V159" s="8"/>
      <c r="W159" s="8"/>
      <c r="X159" s="8"/>
      <c r="Y159" s="8"/>
      <c r="Z159" s="8"/>
    </row>
    <row r="160" spans="1:26" ht="15.75" customHeight="1" x14ac:dyDescent="0.25">
      <c r="A160" s="6" t="s">
        <v>95</v>
      </c>
      <c r="B160" s="8"/>
      <c r="C160" s="8"/>
      <c r="D160" s="6" t="s">
        <v>195</v>
      </c>
      <c r="E160" s="6" t="s">
        <v>206</v>
      </c>
      <c r="F160" s="6" t="s">
        <v>116</v>
      </c>
      <c r="G160" s="6" t="s">
        <v>45</v>
      </c>
      <c r="H160" s="8"/>
      <c r="I160" s="8"/>
      <c r="J160" s="8"/>
      <c r="K160" s="8"/>
      <c r="L160" s="8"/>
      <c r="M160" s="8"/>
      <c r="N160" s="8"/>
      <c r="O160" s="8"/>
      <c r="P160" s="8"/>
      <c r="Q160" s="8"/>
      <c r="R160" s="8"/>
      <c r="S160" s="8"/>
      <c r="T160" s="8"/>
      <c r="U160" s="8"/>
      <c r="V160" s="8"/>
      <c r="W160" s="8"/>
      <c r="X160" s="8"/>
      <c r="Y160" s="8"/>
      <c r="Z160" s="8"/>
    </row>
    <row r="161" spans="1:26" ht="15.75" customHeight="1" x14ac:dyDescent="0.25">
      <c r="A161" s="6" t="s">
        <v>95</v>
      </c>
      <c r="B161" s="8"/>
      <c r="C161" s="8"/>
      <c r="D161" s="6" t="s">
        <v>195</v>
      </c>
      <c r="E161" s="6" t="s">
        <v>206</v>
      </c>
      <c r="F161" s="6" t="s">
        <v>116</v>
      </c>
      <c r="G161" s="6" t="s">
        <v>45</v>
      </c>
      <c r="H161" s="8"/>
      <c r="I161" s="8"/>
      <c r="J161" s="8"/>
      <c r="K161" s="8"/>
      <c r="L161" s="8"/>
      <c r="M161" s="8"/>
      <c r="N161" s="8"/>
      <c r="O161" s="8"/>
      <c r="P161" s="8"/>
      <c r="Q161" s="8"/>
      <c r="R161" s="8"/>
      <c r="S161" s="8"/>
      <c r="T161" s="8"/>
      <c r="U161" s="8"/>
      <c r="V161" s="8"/>
      <c r="W161" s="8"/>
      <c r="X161" s="8"/>
      <c r="Y161" s="8"/>
      <c r="Z161" s="8"/>
    </row>
    <row r="162" spans="1:26" ht="15.75" customHeight="1" x14ac:dyDescent="0.25">
      <c r="A162" s="6" t="s">
        <v>95</v>
      </c>
      <c r="B162" s="8"/>
      <c r="C162" s="8"/>
      <c r="D162" s="6" t="s">
        <v>195</v>
      </c>
      <c r="E162" s="6" t="s">
        <v>206</v>
      </c>
      <c r="F162" s="6" t="s">
        <v>116</v>
      </c>
      <c r="G162" s="6" t="s">
        <v>45</v>
      </c>
      <c r="H162" s="8"/>
      <c r="I162" s="8"/>
      <c r="J162" s="8"/>
      <c r="K162" s="8"/>
      <c r="L162" s="8"/>
      <c r="M162" s="8"/>
      <c r="N162" s="8"/>
      <c r="O162" s="8"/>
      <c r="P162" s="8"/>
      <c r="Q162" s="8"/>
      <c r="R162" s="8"/>
      <c r="S162" s="8"/>
      <c r="T162" s="8"/>
      <c r="U162" s="8"/>
      <c r="V162" s="8"/>
      <c r="W162" s="8"/>
      <c r="X162" s="8"/>
      <c r="Y162" s="8"/>
      <c r="Z162" s="8"/>
    </row>
    <row r="163" spans="1:26" ht="15.75" customHeight="1" x14ac:dyDescent="0.25">
      <c r="A163" s="6" t="s">
        <v>95</v>
      </c>
      <c r="B163" s="8"/>
      <c r="C163" s="8"/>
      <c r="D163" s="6" t="s">
        <v>195</v>
      </c>
      <c r="E163" s="6" t="s">
        <v>206</v>
      </c>
      <c r="F163" s="6" t="s">
        <v>116</v>
      </c>
      <c r="G163" s="6" t="s">
        <v>45</v>
      </c>
      <c r="H163" s="8"/>
      <c r="I163" s="8"/>
      <c r="J163" s="8"/>
      <c r="K163" s="8"/>
      <c r="L163" s="8"/>
      <c r="M163" s="8"/>
      <c r="N163" s="8"/>
      <c r="O163" s="8"/>
      <c r="P163" s="8"/>
      <c r="Q163" s="8"/>
      <c r="R163" s="8"/>
      <c r="S163" s="8"/>
      <c r="T163" s="8"/>
      <c r="U163" s="8"/>
      <c r="V163" s="8"/>
      <c r="W163" s="8"/>
      <c r="X163" s="8"/>
      <c r="Y163" s="8"/>
      <c r="Z163" s="8"/>
    </row>
    <row r="164" spans="1:26" ht="15.75" customHeight="1" x14ac:dyDescent="0.25">
      <c r="A164" s="6" t="s">
        <v>95</v>
      </c>
      <c r="B164" s="8"/>
      <c r="C164" s="8"/>
      <c r="D164" s="6" t="s">
        <v>195</v>
      </c>
      <c r="E164" s="6" t="s">
        <v>206</v>
      </c>
      <c r="F164" s="6" t="s">
        <v>116</v>
      </c>
      <c r="G164" s="6" t="s">
        <v>45</v>
      </c>
      <c r="H164" s="8"/>
      <c r="I164" s="8"/>
      <c r="J164" s="8"/>
      <c r="K164" s="8"/>
      <c r="L164" s="8"/>
      <c r="M164" s="8"/>
      <c r="N164" s="8"/>
      <c r="O164" s="8"/>
      <c r="P164" s="8"/>
      <c r="Q164" s="8"/>
      <c r="R164" s="8"/>
      <c r="S164" s="8"/>
      <c r="T164" s="8"/>
      <c r="U164" s="8"/>
      <c r="V164" s="8"/>
      <c r="W164" s="8"/>
      <c r="X164" s="8"/>
      <c r="Y164" s="8"/>
      <c r="Z164" s="8"/>
    </row>
    <row r="165" spans="1:26" ht="15.75" customHeight="1" x14ac:dyDescent="0.25">
      <c r="A165" s="6" t="s">
        <v>95</v>
      </c>
      <c r="B165" s="8"/>
      <c r="C165" s="8"/>
      <c r="D165" s="6" t="s">
        <v>195</v>
      </c>
      <c r="E165" s="6" t="s">
        <v>206</v>
      </c>
      <c r="F165" s="6" t="s">
        <v>116</v>
      </c>
      <c r="G165" s="6" t="s">
        <v>45</v>
      </c>
      <c r="H165" s="8"/>
      <c r="I165" s="8"/>
      <c r="J165" s="8"/>
      <c r="K165" s="8"/>
      <c r="L165" s="8"/>
      <c r="M165" s="8"/>
      <c r="N165" s="8"/>
      <c r="O165" s="8"/>
      <c r="P165" s="8"/>
      <c r="Q165" s="8"/>
      <c r="R165" s="8"/>
      <c r="S165" s="8"/>
      <c r="T165" s="8"/>
      <c r="U165" s="8"/>
      <c r="V165" s="8"/>
      <c r="W165" s="8"/>
      <c r="X165" s="8"/>
      <c r="Y165" s="8"/>
      <c r="Z165" s="8"/>
    </row>
    <row r="166" spans="1:26" ht="15.75" customHeight="1" x14ac:dyDescent="0.25">
      <c r="A166" s="6" t="s">
        <v>95</v>
      </c>
      <c r="B166" s="8"/>
      <c r="C166" s="8"/>
      <c r="D166" s="6" t="s">
        <v>195</v>
      </c>
      <c r="E166" s="6" t="s">
        <v>206</v>
      </c>
      <c r="F166" s="6" t="s">
        <v>116</v>
      </c>
      <c r="G166" s="6" t="s">
        <v>45</v>
      </c>
      <c r="H166" s="8"/>
      <c r="I166" s="8"/>
      <c r="J166" s="8"/>
      <c r="K166" s="8"/>
      <c r="L166" s="8"/>
      <c r="M166" s="8"/>
      <c r="N166" s="8"/>
      <c r="O166" s="8"/>
      <c r="P166" s="8"/>
      <c r="Q166" s="8"/>
      <c r="R166" s="8"/>
      <c r="S166" s="8"/>
      <c r="T166" s="8"/>
      <c r="U166" s="8"/>
      <c r="V166" s="8"/>
      <c r="W166" s="8"/>
      <c r="X166" s="8"/>
      <c r="Y166" s="8"/>
      <c r="Z166" s="8"/>
    </row>
    <row r="167" spans="1:26" ht="15.75" customHeight="1" x14ac:dyDescent="0.25">
      <c r="A167" s="6" t="s">
        <v>95</v>
      </c>
      <c r="B167" s="8"/>
      <c r="C167" s="8"/>
      <c r="D167" s="6" t="s">
        <v>195</v>
      </c>
      <c r="E167" s="6" t="s">
        <v>206</v>
      </c>
      <c r="F167" s="6" t="s">
        <v>116</v>
      </c>
      <c r="G167" s="6" t="s">
        <v>45</v>
      </c>
      <c r="H167" s="8"/>
      <c r="I167" s="8"/>
      <c r="J167" s="8"/>
      <c r="K167" s="8"/>
      <c r="L167" s="8"/>
      <c r="M167" s="8"/>
      <c r="N167" s="8"/>
      <c r="O167" s="8"/>
      <c r="P167" s="8"/>
      <c r="Q167" s="8"/>
      <c r="R167" s="8"/>
      <c r="S167" s="8"/>
      <c r="T167" s="8"/>
      <c r="U167" s="8"/>
      <c r="V167" s="8"/>
      <c r="W167" s="8"/>
      <c r="X167" s="8"/>
      <c r="Y167" s="8"/>
      <c r="Z167" s="8"/>
    </row>
    <row r="168" spans="1:26" ht="15.75" customHeight="1" x14ac:dyDescent="0.25">
      <c r="A168" s="6" t="s">
        <v>95</v>
      </c>
      <c r="B168" s="8"/>
      <c r="C168" s="8"/>
      <c r="D168" s="6" t="s">
        <v>195</v>
      </c>
      <c r="E168" s="6" t="s">
        <v>206</v>
      </c>
      <c r="F168" s="6" t="s">
        <v>116</v>
      </c>
      <c r="G168" s="6" t="s">
        <v>45</v>
      </c>
      <c r="H168" s="8"/>
      <c r="I168" s="8"/>
      <c r="J168" s="8"/>
      <c r="K168" s="8"/>
      <c r="L168" s="8"/>
      <c r="M168" s="8"/>
      <c r="N168" s="8"/>
      <c r="O168" s="8"/>
      <c r="P168" s="8"/>
      <c r="Q168" s="8"/>
      <c r="R168" s="8"/>
      <c r="S168" s="8"/>
      <c r="T168" s="8"/>
      <c r="U168" s="8"/>
      <c r="V168" s="8"/>
      <c r="W168" s="8"/>
      <c r="X168" s="8"/>
      <c r="Y168" s="8"/>
      <c r="Z168" s="8"/>
    </row>
    <row r="169" spans="1:26" ht="15.75" customHeight="1" x14ac:dyDescent="0.25">
      <c r="A169" s="6" t="s">
        <v>95</v>
      </c>
      <c r="B169" s="8"/>
      <c r="C169" s="8"/>
      <c r="D169" s="6" t="s">
        <v>195</v>
      </c>
      <c r="E169" s="6" t="s">
        <v>206</v>
      </c>
      <c r="F169" s="6" t="s">
        <v>116</v>
      </c>
      <c r="G169" s="6" t="s">
        <v>45</v>
      </c>
      <c r="H169" s="8"/>
      <c r="I169" s="8"/>
      <c r="J169" s="8"/>
      <c r="K169" s="8"/>
      <c r="L169" s="8"/>
      <c r="M169" s="8"/>
      <c r="N169" s="8"/>
      <c r="O169" s="8"/>
      <c r="P169" s="8"/>
      <c r="Q169" s="8"/>
      <c r="R169" s="8"/>
      <c r="S169" s="8"/>
      <c r="T169" s="8"/>
      <c r="U169" s="8"/>
      <c r="V169" s="8"/>
      <c r="W169" s="8"/>
      <c r="X169" s="8"/>
      <c r="Y169" s="8"/>
      <c r="Z169" s="8"/>
    </row>
    <row r="170" spans="1:26" ht="15.75" customHeight="1" x14ac:dyDescent="0.25">
      <c r="A170" s="6" t="s">
        <v>95</v>
      </c>
      <c r="B170" s="8"/>
      <c r="C170" s="8"/>
      <c r="D170" s="6" t="s">
        <v>195</v>
      </c>
      <c r="E170" s="6" t="s">
        <v>206</v>
      </c>
      <c r="F170" s="6" t="s">
        <v>116</v>
      </c>
      <c r="G170" s="6" t="s">
        <v>45</v>
      </c>
      <c r="H170" s="8"/>
      <c r="I170" s="8"/>
      <c r="J170" s="8"/>
      <c r="K170" s="8"/>
      <c r="L170" s="8"/>
      <c r="M170" s="8"/>
      <c r="N170" s="8"/>
      <c r="O170" s="8"/>
      <c r="P170" s="8"/>
      <c r="Q170" s="8"/>
      <c r="R170" s="8"/>
      <c r="S170" s="8"/>
      <c r="T170" s="8"/>
      <c r="U170" s="8"/>
      <c r="V170" s="8"/>
      <c r="W170" s="8"/>
      <c r="X170" s="8"/>
      <c r="Y170" s="8"/>
      <c r="Z170" s="8"/>
    </row>
    <row r="171" spans="1:26" ht="15.75" customHeight="1" x14ac:dyDescent="0.25">
      <c r="A171" s="6" t="s">
        <v>95</v>
      </c>
      <c r="B171" s="8"/>
      <c r="C171" s="8"/>
      <c r="D171" s="6" t="s">
        <v>195</v>
      </c>
      <c r="E171" s="6" t="s">
        <v>206</v>
      </c>
      <c r="F171" s="6" t="s">
        <v>116</v>
      </c>
      <c r="G171" s="6" t="s">
        <v>45</v>
      </c>
      <c r="H171" s="8"/>
      <c r="I171" s="8"/>
      <c r="J171" s="8"/>
      <c r="K171" s="8"/>
      <c r="L171" s="8"/>
      <c r="M171" s="8"/>
      <c r="N171" s="8"/>
      <c r="O171" s="8"/>
      <c r="P171" s="8"/>
      <c r="Q171" s="8"/>
      <c r="R171" s="8"/>
      <c r="S171" s="8"/>
      <c r="T171" s="8"/>
      <c r="U171" s="8"/>
      <c r="V171" s="8"/>
      <c r="W171" s="8"/>
      <c r="X171" s="8"/>
      <c r="Y171" s="8"/>
      <c r="Z171" s="8"/>
    </row>
    <row r="172" spans="1:26" ht="15.75" customHeight="1" x14ac:dyDescent="0.25">
      <c r="A172" s="6" t="s">
        <v>95</v>
      </c>
      <c r="B172" s="8"/>
      <c r="C172" s="8"/>
      <c r="D172" s="6" t="s">
        <v>195</v>
      </c>
      <c r="E172" s="6" t="s">
        <v>206</v>
      </c>
      <c r="F172" s="6" t="s">
        <v>116</v>
      </c>
      <c r="G172" s="6" t="s">
        <v>45</v>
      </c>
      <c r="H172" s="8"/>
      <c r="I172" s="8"/>
      <c r="J172" s="8"/>
      <c r="K172" s="8"/>
      <c r="L172" s="8"/>
      <c r="M172" s="8"/>
      <c r="N172" s="8"/>
      <c r="O172" s="8"/>
      <c r="P172" s="8"/>
      <c r="Q172" s="8"/>
      <c r="R172" s="8"/>
      <c r="S172" s="8"/>
      <c r="T172" s="8"/>
      <c r="U172" s="8"/>
      <c r="V172" s="8"/>
      <c r="W172" s="8"/>
      <c r="X172" s="8"/>
      <c r="Y172" s="8"/>
      <c r="Z172" s="8"/>
    </row>
    <row r="173" spans="1:26" ht="15.75" customHeight="1" x14ac:dyDescent="0.25">
      <c r="A173" s="6" t="s">
        <v>95</v>
      </c>
      <c r="B173" s="8"/>
      <c r="C173" s="8"/>
      <c r="D173" s="6" t="s">
        <v>195</v>
      </c>
      <c r="E173" s="6" t="s">
        <v>206</v>
      </c>
      <c r="F173" s="6" t="s">
        <v>116</v>
      </c>
      <c r="G173" s="6" t="s">
        <v>45</v>
      </c>
      <c r="H173" s="8"/>
      <c r="I173" s="8"/>
      <c r="J173" s="8"/>
      <c r="K173" s="8"/>
      <c r="L173" s="8"/>
      <c r="M173" s="8"/>
      <c r="N173" s="8"/>
      <c r="O173" s="8"/>
      <c r="P173" s="8"/>
      <c r="Q173" s="8"/>
      <c r="R173" s="8"/>
      <c r="S173" s="8"/>
      <c r="T173" s="8"/>
      <c r="U173" s="8"/>
      <c r="V173" s="8"/>
      <c r="W173" s="8"/>
      <c r="X173" s="8"/>
      <c r="Y173" s="8"/>
      <c r="Z173" s="8"/>
    </row>
    <row r="174" spans="1:26" ht="15.75" customHeight="1" x14ac:dyDescent="0.25">
      <c r="A174" s="6" t="s">
        <v>95</v>
      </c>
      <c r="B174" s="8"/>
      <c r="C174" s="8"/>
      <c r="D174" s="6" t="s">
        <v>195</v>
      </c>
      <c r="E174" s="6" t="s">
        <v>206</v>
      </c>
      <c r="F174" s="6" t="s">
        <v>116</v>
      </c>
      <c r="G174" s="6" t="s">
        <v>45</v>
      </c>
      <c r="H174" s="8"/>
      <c r="I174" s="8"/>
      <c r="J174" s="8"/>
      <c r="K174" s="8"/>
      <c r="L174" s="8"/>
      <c r="M174" s="8"/>
      <c r="N174" s="8"/>
      <c r="O174" s="8"/>
      <c r="P174" s="8"/>
      <c r="Q174" s="8"/>
      <c r="R174" s="8"/>
      <c r="S174" s="8"/>
      <c r="T174" s="8"/>
      <c r="U174" s="8"/>
      <c r="V174" s="8"/>
      <c r="W174" s="8"/>
      <c r="X174" s="8"/>
      <c r="Y174" s="8"/>
      <c r="Z174" s="8"/>
    </row>
    <row r="175" spans="1:26" ht="15.75" customHeight="1" x14ac:dyDescent="0.25">
      <c r="A175" s="6" t="s">
        <v>95</v>
      </c>
      <c r="B175" s="8"/>
      <c r="C175" s="8"/>
      <c r="D175" s="6" t="s">
        <v>195</v>
      </c>
      <c r="E175" s="6" t="s">
        <v>206</v>
      </c>
      <c r="F175" s="6" t="s">
        <v>116</v>
      </c>
      <c r="G175" s="6" t="s">
        <v>45</v>
      </c>
      <c r="H175" s="8"/>
      <c r="I175" s="8"/>
      <c r="J175" s="8"/>
      <c r="K175" s="8"/>
      <c r="L175" s="8"/>
      <c r="M175" s="8"/>
      <c r="N175" s="8"/>
      <c r="O175" s="8"/>
      <c r="P175" s="8"/>
      <c r="Q175" s="8"/>
      <c r="R175" s="8"/>
      <c r="S175" s="8"/>
      <c r="T175" s="8"/>
      <c r="U175" s="8"/>
      <c r="V175" s="8"/>
      <c r="W175" s="8"/>
      <c r="X175" s="8"/>
      <c r="Y175" s="8"/>
      <c r="Z175" s="8"/>
    </row>
    <row r="176" spans="1:26" ht="15.75" customHeight="1" x14ac:dyDescent="0.25">
      <c r="A176" s="6" t="s">
        <v>95</v>
      </c>
      <c r="B176" s="8"/>
      <c r="C176" s="8"/>
      <c r="D176" s="6" t="s">
        <v>195</v>
      </c>
      <c r="E176" s="6" t="s">
        <v>206</v>
      </c>
      <c r="F176" s="6" t="s">
        <v>116</v>
      </c>
      <c r="G176" s="6" t="s">
        <v>45</v>
      </c>
      <c r="H176" s="8"/>
      <c r="I176" s="8"/>
      <c r="J176" s="8"/>
      <c r="K176" s="8"/>
      <c r="L176" s="8"/>
      <c r="M176" s="8"/>
      <c r="N176" s="8"/>
      <c r="O176" s="8"/>
      <c r="P176" s="8"/>
      <c r="Q176" s="8"/>
      <c r="R176" s="8"/>
      <c r="S176" s="8"/>
      <c r="T176" s="8"/>
      <c r="U176" s="8"/>
      <c r="V176" s="8"/>
      <c r="W176" s="8"/>
      <c r="X176" s="8"/>
      <c r="Y176" s="8"/>
      <c r="Z176" s="8"/>
    </row>
    <row r="177" spans="1:26" ht="15.75" customHeight="1" x14ac:dyDescent="0.25">
      <c r="A177" s="6" t="s">
        <v>95</v>
      </c>
      <c r="B177" s="8"/>
      <c r="C177" s="8"/>
      <c r="D177" s="6" t="s">
        <v>195</v>
      </c>
      <c r="E177" s="6" t="s">
        <v>206</v>
      </c>
      <c r="F177" s="6" t="s">
        <v>116</v>
      </c>
      <c r="G177" s="6" t="s">
        <v>45</v>
      </c>
      <c r="H177" s="8"/>
      <c r="I177" s="8"/>
      <c r="J177" s="8"/>
      <c r="K177" s="8"/>
      <c r="L177" s="8"/>
      <c r="M177" s="8"/>
      <c r="N177" s="8"/>
      <c r="O177" s="8"/>
      <c r="P177" s="8"/>
      <c r="Q177" s="8"/>
      <c r="R177" s="8"/>
      <c r="S177" s="8"/>
      <c r="T177" s="8"/>
      <c r="U177" s="8"/>
      <c r="V177" s="8"/>
      <c r="W177" s="8"/>
      <c r="X177" s="8"/>
      <c r="Y177" s="8"/>
      <c r="Z177" s="8"/>
    </row>
    <row r="178" spans="1:26" ht="15.75" customHeight="1" x14ac:dyDescent="0.25">
      <c r="A178" s="6" t="s">
        <v>95</v>
      </c>
      <c r="B178" s="8"/>
      <c r="C178" s="8"/>
      <c r="D178" s="6" t="s">
        <v>195</v>
      </c>
      <c r="E178" s="6" t="s">
        <v>206</v>
      </c>
      <c r="F178" s="6" t="s">
        <v>116</v>
      </c>
      <c r="G178" s="6" t="s">
        <v>45</v>
      </c>
      <c r="H178" s="8"/>
      <c r="I178" s="8"/>
      <c r="J178" s="8"/>
      <c r="K178" s="8"/>
      <c r="L178" s="8"/>
      <c r="M178" s="8"/>
      <c r="N178" s="8"/>
      <c r="O178" s="8"/>
      <c r="P178" s="8"/>
      <c r="Q178" s="8"/>
      <c r="R178" s="8"/>
      <c r="S178" s="8"/>
      <c r="T178" s="8"/>
      <c r="U178" s="8"/>
      <c r="V178" s="8"/>
      <c r="W178" s="8"/>
      <c r="X178" s="8"/>
      <c r="Y178" s="8"/>
      <c r="Z178" s="8"/>
    </row>
    <row r="179" spans="1:26" ht="15.75" customHeight="1" x14ac:dyDescent="0.25">
      <c r="A179" s="6" t="s">
        <v>95</v>
      </c>
      <c r="B179" s="8"/>
      <c r="C179" s="8"/>
      <c r="D179" s="6" t="s">
        <v>195</v>
      </c>
      <c r="E179" s="6" t="s">
        <v>206</v>
      </c>
      <c r="F179" s="6" t="s">
        <v>116</v>
      </c>
      <c r="G179" s="6" t="s">
        <v>45</v>
      </c>
      <c r="H179" s="8"/>
      <c r="I179" s="8"/>
      <c r="J179" s="8"/>
      <c r="K179" s="8"/>
      <c r="L179" s="8"/>
      <c r="M179" s="8"/>
      <c r="N179" s="8"/>
      <c r="O179" s="8"/>
      <c r="P179" s="8"/>
      <c r="Q179" s="8"/>
      <c r="R179" s="8"/>
      <c r="S179" s="8"/>
      <c r="T179" s="8"/>
      <c r="U179" s="8"/>
      <c r="V179" s="8"/>
      <c r="W179" s="8"/>
      <c r="X179" s="8"/>
      <c r="Y179" s="8"/>
      <c r="Z179" s="8"/>
    </row>
    <row r="180" spans="1:26" ht="15.75" customHeight="1" x14ac:dyDescent="0.25">
      <c r="A180" s="6" t="s">
        <v>95</v>
      </c>
      <c r="B180" s="8"/>
      <c r="C180" s="8"/>
      <c r="D180" s="6" t="s">
        <v>195</v>
      </c>
      <c r="E180" s="6" t="s">
        <v>206</v>
      </c>
      <c r="F180" s="6" t="s">
        <v>116</v>
      </c>
      <c r="G180" s="6" t="s">
        <v>45</v>
      </c>
      <c r="H180" s="8"/>
      <c r="I180" s="8"/>
      <c r="J180" s="8"/>
      <c r="K180" s="8"/>
      <c r="L180" s="8"/>
      <c r="M180" s="8"/>
      <c r="N180" s="8"/>
      <c r="O180" s="8"/>
      <c r="P180" s="8"/>
      <c r="Q180" s="8"/>
      <c r="R180" s="8"/>
      <c r="S180" s="8"/>
      <c r="T180" s="8"/>
      <c r="U180" s="8"/>
      <c r="V180" s="8"/>
      <c r="W180" s="8"/>
      <c r="X180" s="8"/>
      <c r="Y180" s="8"/>
      <c r="Z180" s="8"/>
    </row>
    <row r="181" spans="1:26" ht="15.75" customHeight="1" x14ac:dyDescent="0.25">
      <c r="A181" s="6" t="s">
        <v>95</v>
      </c>
      <c r="B181" s="8"/>
      <c r="C181" s="8"/>
      <c r="D181" s="6" t="s">
        <v>195</v>
      </c>
      <c r="E181" s="6" t="s">
        <v>206</v>
      </c>
      <c r="F181" s="6" t="s">
        <v>116</v>
      </c>
      <c r="G181" s="6" t="s">
        <v>45</v>
      </c>
      <c r="H181" s="8"/>
      <c r="I181" s="8"/>
      <c r="J181" s="8"/>
      <c r="K181" s="8"/>
      <c r="L181" s="8"/>
      <c r="M181" s="8"/>
      <c r="N181" s="8"/>
      <c r="O181" s="8"/>
      <c r="P181" s="8"/>
      <c r="Q181" s="8"/>
      <c r="R181" s="8"/>
      <c r="S181" s="8"/>
      <c r="T181" s="8"/>
      <c r="U181" s="8"/>
      <c r="V181" s="8"/>
      <c r="W181" s="8"/>
      <c r="X181" s="8"/>
      <c r="Y181" s="8"/>
      <c r="Z181" s="8"/>
    </row>
    <row r="182" spans="1:26" ht="15.75" customHeight="1" x14ac:dyDescent="0.25">
      <c r="A182" s="6" t="s">
        <v>95</v>
      </c>
      <c r="B182" s="8"/>
      <c r="C182" s="8"/>
      <c r="D182" s="6" t="s">
        <v>195</v>
      </c>
      <c r="E182" s="6" t="s">
        <v>206</v>
      </c>
      <c r="F182" s="6" t="s">
        <v>116</v>
      </c>
      <c r="G182" s="6" t="s">
        <v>45</v>
      </c>
      <c r="H182" s="8"/>
      <c r="I182" s="8"/>
      <c r="J182" s="8"/>
      <c r="K182" s="8"/>
      <c r="L182" s="8"/>
      <c r="M182" s="8"/>
      <c r="N182" s="8"/>
      <c r="O182" s="8"/>
      <c r="P182" s="8"/>
      <c r="Q182" s="8"/>
      <c r="R182" s="8"/>
      <c r="S182" s="8"/>
      <c r="T182" s="8"/>
      <c r="U182" s="8"/>
      <c r="V182" s="8"/>
      <c r="W182" s="8"/>
      <c r="X182" s="8"/>
      <c r="Y182" s="8"/>
      <c r="Z182" s="8"/>
    </row>
    <row r="183" spans="1:26" ht="15.75" customHeight="1" x14ac:dyDescent="0.25">
      <c r="A183" s="6" t="s">
        <v>95</v>
      </c>
      <c r="B183" s="8"/>
      <c r="C183" s="8"/>
      <c r="D183" s="6" t="s">
        <v>195</v>
      </c>
      <c r="E183" s="6" t="s">
        <v>206</v>
      </c>
      <c r="F183" s="6" t="s">
        <v>116</v>
      </c>
      <c r="G183" s="6" t="s">
        <v>45</v>
      </c>
      <c r="H183" s="8"/>
      <c r="I183" s="8"/>
      <c r="J183" s="8"/>
      <c r="K183" s="8"/>
      <c r="L183" s="8"/>
      <c r="M183" s="8"/>
      <c r="N183" s="8"/>
      <c r="O183" s="8"/>
      <c r="P183" s="8"/>
      <c r="Q183" s="8"/>
      <c r="R183" s="8"/>
      <c r="S183" s="8"/>
      <c r="T183" s="8"/>
      <c r="U183" s="8"/>
      <c r="V183" s="8"/>
      <c r="W183" s="8"/>
      <c r="X183" s="8"/>
      <c r="Y183" s="8"/>
      <c r="Z183" s="8"/>
    </row>
    <row r="184" spans="1:26" ht="15.75" customHeight="1" x14ac:dyDescent="0.25">
      <c r="A184" s="6" t="s">
        <v>95</v>
      </c>
      <c r="B184" s="8"/>
      <c r="C184" s="8"/>
      <c r="D184" s="6" t="s">
        <v>195</v>
      </c>
      <c r="E184" s="6" t="s">
        <v>206</v>
      </c>
      <c r="F184" s="6" t="s">
        <v>116</v>
      </c>
      <c r="G184" s="6" t="s">
        <v>45</v>
      </c>
      <c r="H184" s="8"/>
      <c r="I184" s="8"/>
      <c r="J184" s="8"/>
      <c r="K184" s="8"/>
      <c r="L184" s="8"/>
      <c r="M184" s="8"/>
      <c r="N184" s="8"/>
      <c r="O184" s="8"/>
      <c r="P184" s="8"/>
      <c r="Q184" s="8"/>
      <c r="R184" s="8"/>
      <c r="S184" s="8"/>
      <c r="T184" s="8"/>
      <c r="U184" s="8"/>
      <c r="V184" s="8"/>
      <c r="W184" s="8"/>
      <c r="X184" s="8"/>
      <c r="Y184" s="8"/>
      <c r="Z184" s="8"/>
    </row>
    <row r="185" spans="1:26" ht="15.75" customHeight="1" x14ac:dyDescent="0.25">
      <c r="A185" s="6" t="s">
        <v>95</v>
      </c>
      <c r="B185" s="8"/>
      <c r="C185" s="8"/>
      <c r="D185" s="6" t="s">
        <v>195</v>
      </c>
      <c r="E185" s="6" t="s">
        <v>206</v>
      </c>
      <c r="F185" s="6" t="s">
        <v>116</v>
      </c>
      <c r="G185" s="6" t="s">
        <v>45</v>
      </c>
      <c r="H185" s="8"/>
      <c r="I185" s="8"/>
      <c r="J185" s="8"/>
      <c r="K185" s="8"/>
      <c r="L185" s="8"/>
      <c r="M185" s="8"/>
      <c r="N185" s="8"/>
      <c r="O185" s="8"/>
      <c r="P185" s="8"/>
      <c r="Q185" s="8"/>
      <c r="R185" s="8"/>
      <c r="S185" s="8"/>
      <c r="T185" s="8"/>
      <c r="U185" s="8"/>
      <c r="V185" s="8"/>
      <c r="W185" s="8"/>
      <c r="X185" s="8"/>
      <c r="Y185" s="8"/>
      <c r="Z185" s="8"/>
    </row>
    <row r="186" spans="1:26" ht="15.75" customHeight="1" x14ac:dyDescent="0.25">
      <c r="A186" s="6" t="s">
        <v>95</v>
      </c>
      <c r="B186" s="8"/>
      <c r="C186" s="8"/>
      <c r="D186" s="6" t="s">
        <v>195</v>
      </c>
      <c r="E186" s="6" t="s">
        <v>206</v>
      </c>
      <c r="F186" s="6" t="s">
        <v>116</v>
      </c>
      <c r="G186" s="6" t="s">
        <v>45</v>
      </c>
      <c r="H186" s="8"/>
      <c r="I186" s="8"/>
      <c r="J186" s="8"/>
      <c r="K186" s="8"/>
      <c r="L186" s="8"/>
      <c r="M186" s="8"/>
      <c r="N186" s="8"/>
      <c r="O186" s="8"/>
      <c r="P186" s="8"/>
      <c r="Q186" s="8"/>
      <c r="R186" s="8"/>
      <c r="S186" s="8"/>
      <c r="T186" s="8"/>
      <c r="U186" s="8"/>
      <c r="V186" s="8"/>
      <c r="W186" s="8"/>
      <c r="X186" s="8"/>
      <c r="Y186" s="8"/>
      <c r="Z186" s="8"/>
    </row>
    <row r="187" spans="1:26" ht="15.75" customHeight="1" x14ac:dyDescent="0.25">
      <c r="A187" s="6" t="s">
        <v>95</v>
      </c>
      <c r="B187" s="8"/>
      <c r="C187" s="8"/>
      <c r="D187" s="6" t="s">
        <v>195</v>
      </c>
      <c r="E187" s="6" t="s">
        <v>206</v>
      </c>
      <c r="F187" s="6" t="s">
        <v>116</v>
      </c>
      <c r="G187" s="6" t="s">
        <v>45</v>
      </c>
      <c r="H187" s="8"/>
      <c r="I187" s="8"/>
      <c r="J187" s="8"/>
      <c r="K187" s="8"/>
      <c r="L187" s="8"/>
      <c r="M187" s="8"/>
      <c r="N187" s="8"/>
      <c r="O187" s="8"/>
      <c r="P187" s="8"/>
      <c r="Q187" s="8"/>
      <c r="R187" s="8"/>
      <c r="S187" s="8"/>
      <c r="T187" s="8"/>
      <c r="U187" s="8"/>
      <c r="V187" s="8"/>
      <c r="W187" s="8"/>
      <c r="X187" s="8"/>
      <c r="Y187" s="8"/>
      <c r="Z187" s="8"/>
    </row>
    <row r="188" spans="1:26" ht="15.75" customHeight="1" x14ac:dyDescent="0.25">
      <c r="A188" s="6" t="s">
        <v>95</v>
      </c>
      <c r="B188" s="8"/>
      <c r="C188" s="8"/>
      <c r="D188" s="6" t="s">
        <v>195</v>
      </c>
      <c r="E188" s="6" t="s">
        <v>206</v>
      </c>
      <c r="F188" s="6" t="s">
        <v>116</v>
      </c>
      <c r="G188" s="6" t="s">
        <v>45</v>
      </c>
      <c r="H188" s="8"/>
      <c r="I188" s="8"/>
      <c r="J188" s="8"/>
      <c r="K188" s="8"/>
      <c r="L188" s="8"/>
      <c r="M188" s="8"/>
      <c r="N188" s="8"/>
      <c r="O188" s="8"/>
      <c r="P188" s="8"/>
      <c r="Q188" s="8"/>
      <c r="R188" s="8"/>
      <c r="S188" s="8"/>
      <c r="T188" s="8"/>
      <c r="U188" s="8"/>
      <c r="V188" s="8"/>
      <c r="W188" s="8"/>
      <c r="X188" s="8"/>
      <c r="Y188" s="8"/>
      <c r="Z188" s="8"/>
    </row>
    <row r="189" spans="1:26" ht="15.75" customHeight="1" x14ac:dyDescent="0.25">
      <c r="A189" s="6" t="s">
        <v>95</v>
      </c>
      <c r="B189" s="8"/>
      <c r="C189" s="8"/>
      <c r="D189" s="6" t="s">
        <v>195</v>
      </c>
      <c r="E189" s="6" t="s">
        <v>206</v>
      </c>
      <c r="F189" s="6" t="s">
        <v>116</v>
      </c>
      <c r="G189" s="6" t="s">
        <v>45</v>
      </c>
      <c r="H189" s="8"/>
      <c r="I189" s="8"/>
      <c r="J189" s="8"/>
      <c r="K189" s="8"/>
      <c r="L189" s="8"/>
      <c r="M189" s="8"/>
      <c r="N189" s="8"/>
      <c r="O189" s="8"/>
      <c r="P189" s="8"/>
      <c r="Q189" s="8"/>
      <c r="R189" s="8"/>
      <c r="S189" s="8"/>
      <c r="T189" s="8"/>
      <c r="U189" s="8"/>
      <c r="V189" s="8"/>
      <c r="W189" s="8"/>
      <c r="X189" s="8"/>
      <c r="Y189" s="8"/>
      <c r="Z189" s="8"/>
    </row>
    <row r="190" spans="1:26" ht="15.75" customHeight="1" x14ac:dyDescent="0.25">
      <c r="A190" s="6" t="s">
        <v>95</v>
      </c>
      <c r="B190" s="8"/>
      <c r="C190" s="8"/>
      <c r="D190" s="6" t="s">
        <v>195</v>
      </c>
      <c r="E190" s="6" t="s">
        <v>206</v>
      </c>
      <c r="F190" s="6" t="s">
        <v>116</v>
      </c>
      <c r="G190" s="6" t="s">
        <v>45</v>
      </c>
      <c r="H190" s="8"/>
      <c r="I190" s="8"/>
      <c r="J190" s="8"/>
      <c r="K190" s="8"/>
      <c r="L190" s="8"/>
      <c r="M190" s="8"/>
      <c r="N190" s="8"/>
      <c r="O190" s="8"/>
      <c r="P190" s="8"/>
      <c r="Q190" s="8"/>
      <c r="R190" s="8"/>
      <c r="S190" s="8"/>
      <c r="T190" s="8"/>
      <c r="U190" s="8"/>
      <c r="V190" s="8"/>
      <c r="W190" s="8"/>
      <c r="X190" s="8"/>
      <c r="Y190" s="8"/>
      <c r="Z190" s="8"/>
    </row>
    <row r="191" spans="1:26" ht="15.75" customHeight="1" x14ac:dyDescent="0.25">
      <c r="A191" s="6" t="s">
        <v>95</v>
      </c>
      <c r="B191" s="8"/>
      <c r="C191" s="8"/>
      <c r="D191" s="6" t="s">
        <v>195</v>
      </c>
      <c r="E191" s="6" t="s">
        <v>206</v>
      </c>
      <c r="F191" s="6" t="s">
        <v>116</v>
      </c>
      <c r="G191" s="6" t="s">
        <v>45</v>
      </c>
      <c r="H191" s="8"/>
      <c r="I191" s="8"/>
      <c r="J191" s="8"/>
      <c r="K191" s="8"/>
      <c r="L191" s="8"/>
      <c r="M191" s="8"/>
      <c r="N191" s="8"/>
      <c r="O191" s="8"/>
      <c r="P191" s="8"/>
      <c r="Q191" s="8"/>
      <c r="R191" s="8"/>
      <c r="S191" s="8"/>
      <c r="T191" s="8"/>
      <c r="U191" s="8"/>
      <c r="V191" s="8"/>
      <c r="W191" s="8"/>
      <c r="X191" s="8"/>
      <c r="Y191" s="8"/>
      <c r="Z191" s="8"/>
    </row>
    <row r="192" spans="1:26" ht="15.75" customHeight="1" x14ac:dyDescent="0.25">
      <c r="A192" s="6" t="s">
        <v>95</v>
      </c>
      <c r="B192" s="8"/>
      <c r="C192" s="8"/>
      <c r="D192" s="6" t="s">
        <v>195</v>
      </c>
      <c r="E192" s="6" t="s">
        <v>206</v>
      </c>
      <c r="F192" s="6" t="s">
        <v>116</v>
      </c>
      <c r="G192" s="6" t="s">
        <v>45</v>
      </c>
      <c r="H192" s="8"/>
      <c r="I192" s="8"/>
      <c r="J192" s="8"/>
      <c r="K192" s="8"/>
      <c r="L192" s="8"/>
      <c r="M192" s="8"/>
      <c r="N192" s="8"/>
      <c r="O192" s="8"/>
      <c r="P192" s="8"/>
      <c r="Q192" s="8"/>
      <c r="R192" s="8"/>
      <c r="S192" s="8"/>
      <c r="T192" s="8"/>
      <c r="U192" s="8"/>
      <c r="V192" s="8"/>
      <c r="W192" s="8"/>
      <c r="X192" s="8"/>
      <c r="Y192" s="8"/>
      <c r="Z192" s="8"/>
    </row>
    <row r="193" spans="1:26" ht="15.75" customHeight="1" x14ac:dyDescent="0.25">
      <c r="A193" s="6" t="s">
        <v>95</v>
      </c>
      <c r="B193" s="8"/>
      <c r="C193" s="8"/>
      <c r="D193" s="6" t="s">
        <v>195</v>
      </c>
      <c r="E193" s="6" t="s">
        <v>206</v>
      </c>
      <c r="F193" s="6" t="s">
        <v>116</v>
      </c>
      <c r="G193" s="6" t="s">
        <v>45</v>
      </c>
      <c r="H193" s="8"/>
      <c r="I193" s="8"/>
      <c r="J193" s="8"/>
      <c r="K193" s="8"/>
      <c r="L193" s="8"/>
      <c r="M193" s="8"/>
      <c r="N193" s="8"/>
      <c r="O193" s="8"/>
      <c r="P193" s="8"/>
      <c r="Q193" s="8"/>
      <c r="R193" s="8"/>
      <c r="S193" s="8"/>
      <c r="T193" s="8"/>
      <c r="U193" s="8"/>
      <c r="V193" s="8"/>
      <c r="W193" s="8"/>
      <c r="X193" s="8"/>
      <c r="Y193" s="8"/>
      <c r="Z193" s="8"/>
    </row>
    <row r="194" spans="1:26" ht="15.75" customHeight="1" x14ac:dyDescent="0.25">
      <c r="A194" s="6" t="s">
        <v>95</v>
      </c>
      <c r="B194" s="8"/>
      <c r="C194" s="8"/>
      <c r="D194" s="6" t="s">
        <v>195</v>
      </c>
      <c r="E194" s="6" t="s">
        <v>206</v>
      </c>
      <c r="F194" s="6" t="s">
        <v>116</v>
      </c>
      <c r="G194" s="6" t="s">
        <v>45</v>
      </c>
      <c r="H194" s="8"/>
      <c r="I194" s="8"/>
      <c r="J194" s="8"/>
      <c r="K194" s="8"/>
      <c r="L194" s="8"/>
      <c r="M194" s="8"/>
      <c r="N194" s="8"/>
      <c r="O194" s="8"/>
      <c r="P194" s="8"/>
      <c r="Q194" s="8"/>
      <c r="R194" s="8"/>
      <c r="S194" s="8"/>
      <c r="T194" s="8"/>
      <c r="U194" s="8"/>
      <c r="V194" s="8"/>
      <c r="W194" s="8"/>
      <c r="X194" s="8"/>
      <c r="Y194" s="8"/>
      <c r="Z194" s="8"/>
    </row>
    <row r="195" spans="1:26" ht="15.75" customHeight="1" x14ac:dyDescent="0.25">
      <c r="A195" s="6" t="s">
        <v>95</v>
      </c>
      <c r="B195" s="8"/>
      <c r="C195" s="8"/>
      <c r="D195" s="6" t="s">
        <v>195</v>
      </c>
      <c r="E195" s="6" t="s">
        <v>206</v>
      </c>
      <c r="F195" s="6" t="s">
        <v>116</v>
      </c>
      <c r="G195" s="6" t="s">
        <v>45</v>
      </c>
      <c r="H195" s="8"/>
      <c r="I195" s="8"/>
      <c r="J195" s="8"/>
      <c r="K195" s="8"/>
      <c r="L195" s="8"/>
      <c r="M195" s="8"/>
      <c r="N195" s="8"/>
      <c r="O195" s="8"/>
      <c r="P195" s="8"/>
      <c r="Q195" s="8"/>
      <c r="R195" s="8"/>
      <c r="S195" s="8"/>
      <c r="T195" s="8"/>
      <c r="U195" s="8"/>
      <c r="V195" s="8"/>
      <c r="W195" s="8"/>
      <c r="X195" s="8"/>
      <c r="Y195" s="8"/>
      <c r="Z195" s="8"/>
    </row>
    <row r="196" spans="1:26" ht="15.75" customHeight="1" x14ac:dyDescent="0.25">
      <c r="A196" s="6" t="s">
        <v>95</v>
      </c>
      <c r="B196" s="8"/>
      <c r="C196" s="8"/>
      <c r="D196" s="6" t="s">
        <v>195</v>
      </c>
      <c r="E196" s="6" t="s">
        <v>206</v>
      </c>
      <c r="F196" s="6" t="s">
        <v>116</v>
      </c>
      <c r="G196" s="6" t="s">
        <v>45</v>
      </c>
      <c r="H196" s="8"/>
      <c r="I196" s="8"/>
      <c r="J196" s="8"/>
      <c r="K196" s="8"/>
      <c r="L196" s="8"/>
      <c r="M196" s="8"/>
      <c r="N196" s="8"/>
      <c r="O196" s="8"/>
      <c r="P196" s="8"/>
      <c r="Q196" s="8"/>
      <c r="R196" s="8"/>
      <c r="S196" s="8"/>
      <c r="T196" s="8"/>
      <c r="U196" s="8"/>
      <c r="V196" s="8"/>
      <c r="W196" s="8"/>
      <c r="X196" s="8"/>
      <c r="Y196" s="8"/>
      <c r="Z196" s="8"/>
    </row>
    <row r="197" spans="1:26" ht="15.75" customHeight="1" x14ac:dyDescent="0.25">
      <c r="A197" s="6" t="s">
        <v>95</v>
      </c>
      <c r="B197" s="8"/>
      <c r="C197" s="8"/>
      <c r="D197" s="6" t="s">
        <v>195</v>
      </c>
      <c r="E197" s="6" t="s">
        <v>206</v>
      </c>
      <c r="F197" s="6" t="s">
        <v>116</v>
      </c>
      <c r="G197" s="6" t="s">
        <v>45</v>
      </c>
      <c r="H197" s="8"/>
      <c r="I197" s="8"/>
      <c r="J197" s="8"/>
      <c r="K197" s="8"/>
      <c r="L197" s="8"/>
      <c r="M197" s="8"/>
      <c r="N197" s="8"/>
      <c r="O197" s="8"/>
      <c r="P197" s="8"/>
      <c r="Q197" s="8"/>
      <c r="R197" s="8"/>
      <c r="S197" s="8"/>
      <c r="T197" s="8"/>
      <c r="U197" s="8"/>
      <c r="V197" s="8"/>
      <c r="W197" s="8"/>
      <c r="X197" s="8"/>
      <c r="Y197" s="8"/>
      <c r="Z197" s="8"/>
    </row>
    <row r="198" spans="1:26" ht="15.75" customHeight="1" x14ac:dyDescent="0.25">
      <c r="A198" s="6" t="s">
        <v>95</v>
      </c>
      <c r="B198" s="8"/>
      <c r="C198" s="8"/>
      <c r="D198" s="6" t="s">
        <v>195</v>
      </c>
      <c r="E198" s="6" t="s">
        <v>206</v>
      </c>
      <c r="F198" s="6" t="s">
        <v>116</v>
      </c>
      <c r="G198" s="6" t="s">
        <v>45</v>
      </c>
      <c r="H198" s="8"/>
      <c r="I198" s="8"/>
      <c r="J198" s="8"/>
      <c r="K198" s="8"/>
      <c r="L198" s="8"/>
      <c r="M198" s="8"/>
      <c r="N198" s="8"/>
      <c r="O198" s="8"/>
      <c r="P198" s="8"/>
      <c r="Q198" s="8"/>
      <c r="R198" s="8"/>
      <c r="S198" s="8"/>
      <c r="T198" s="8"/>
      <c r="U198" s="8"/>
      <c r="V198" s="8"/>
      <c r="W198" s="8"/>
      <c r="X198" s="8"/>
      <c r="Y198" s="8"/>
      <c r="Z198" s="8"/>
    </row>
    <row r="199" spans="1:26" ht="15.75" customHeight="1" x14ac:dyDescent="0.25">
      <c r="A199" s="6" t="s">
        <v>95</v>
      </c>
      <c r="B199" s="8"/>
      <c r="C199" s="8"/>
      <c r="D199" s="6" t="s">
        <v>195</v>
      </c>
      <c r="E199" s="6" t="s">
        <v>206</v>
      </c>
      <c r="F199" s="6" t="s">
        <v>116</v>
      </c>
      <c r="G199" s="6" t="s">
        <v>45</v>
      </c>
      <c r="H199" s="8"/>
      <c r="I199" s="8"/>
      <c r="J199" s="8"/>
      <c r="K199" s="8"/>
      <c r="L199" s="8"/>
      <c r="M199" s="8"/>
      <c r="N199" s="8"/>
      <c r="O199" s="8"/>
      <c r="P199" s="8"/>
      <c r="Q199" s="8"/>
      <c r="R199" s="8"/>
      <c r="S199" s="8"/>
      <c r="T199" s="8"/>
      <c r="U199" s="8"/>
      <c r="V199" s="8"/>
      <c r="W199" s="8"/>
      <c r="X199" s="8"/>
      <c r="Y199" s="8"/>
      <c r="Z199" s="8"/>
    </row>
    <row r="200" spans="1:26" ht="15.75" customHeight="1" x14ac:dyDescent="0.25">
      <c r="A200" s="6" t="s">
        <v>95</v>
      </c>
      <c r="B200" s="8"/>
      <c r="C200" s="8"/>
      <c r="D200" s="6" t="s">
        <v>195</v>
      </c>
      <c r="E200" s="6" t="s">
        <v>206</v>
      </c>
      <c r="F200" s="6" t="s">
        <v>116</v>
      </c>
      <c r="G200" s="6" t="s">
        <v>45</v>
      </c>
      <c r="H200" s="8"/>
      <c r="I200" s="8"/>
      <c r="J200" s="8"/>
      <c r="K200" s="8"/>
      <c r="L200" s="8"/>
      <c r="M200" s="8"/>
      <c r="N200" s="8"/>
      <c r="O200" s="8"/>
      <c r="P200" s="8"/>
      <c r="Q200" s="8"/>
      <c r="R200" s="8"/>
      <c r="S200" s="8"/>
      <c r="T200" s="8"/>
      <c r="U200" s="8"/>
      <c r="V200" s="8"/>
      <c r="W200" s="8"/>
      <c r="X200" s="8"/>
      <c r="Y200" s="8"/>
      <c r="Z200" s="8"/>
    </row>
    <row r="201" spans="1:26" ht="15.75" customHeight="1" x14ac:dyDescent="0.25">
      <c r="A201" s="6" t="s">
        <v>95</v>
      </c>
      <c r="B201" s="8"/>
      <c r="C201" s="8"/>
      <c r="D201" s="6" t="s">
        <v>195</v>
      </c>
      <c r="E201" s="6" t="s">
        <v>206</v>
      </c>
      <c r="F201" s="6" t="s">
        <v>116</v>
      </c>
      <c r="G201" s="6" t="s">
        <v>45</v>
      </c>
      <c r="H201" s="8"/>
      <c r="I201" s="8"/>
      <c r="J201" s="8"/>
      <c r="K201" s="8"/>
      <c r="L201" s="8"/>
      <c r="M201" s="8"/>
      <c r="N201" s="8"/>
      <c r="O201" s="8"/>
      <c r="P201" s="8"/>
      <c r="Q201" s="8"/>
      <c r="R201" s="8"/>
      <c r="S201" s="8"/>
      <c r="T201" s="8"/>
      <c r="U201" s="8"/>
      <c r="V201" s="8"/>
      <c r="W201" s="8"/>
      <c r="X201" s="8"/>
      <c r="Y201" s="8"/>
      <c r="Z201" s="8"/>
    </row>
    <row r="202" spans="1:26" ht="15.75" customHeight="1" x14ac:dyDescent="0.25">
      <c r="A202" s="6" t="s">
        <v>95</v>
      </c>
      <c r="B202" s="8"/>
      <c r="C202" s="8"/>
      <c r="D202" s="6" t="s">
        <v>195</v>
      </c>
      <c r="E202" s="6" t="s">
        <v>206</v>
      </c>
      <c r="F202" s="6" t="s">
        <v>116</v>
      </c>
      <c r="G202" s="6" t="s">
        <v>45</v>
      </c>
      <c r="H202" s="8"/>
      <c r="I202" s="8"/>
      <c r="J202" s="8"/>
      <c r="K202" s="8"/>
      <c r="L202" s="8"/>
      <c r="M202" s="8"/>
      <c r="N202" s="8"/>
      <c r="O202" s="8"/>
      <c r="P202" s="8"/>
      <c r="Q202" s="8"/>
      <c r="R202" s="8"/>
      <c r="S202" s="8"/>
      <c r="T202" s="8"/>
      <c r="U202" s="8"/>
      <c r="V202" s="8"/>
      <c r="W202" s="8"/>
      <c r="X202" s="8"/>
      <c r="Y202" s="8"/>
      <c r="Z202" s="8"/>
    </row>
    <row r="203" spans="1:26" ht="15.75" customHeight="1" x14ac:dyDescent="0.25">
      <c r="A203" s="6" t="s">
        <v>95</v>
      </c>
      <c r="B203" s="8"/>
      <c r="C203" s="8"/>
      <c r="D203" s="6" t="s">
        <v>195</v>
      </c>
      <c r="E203" s="6" t="s">
        <v>206</v>
      </c>
      <c r="F203" s="6" t="s">
        <v>116</v>
      </c>
      <c r="G203" s="6" t="s">
        <v>45</v>
      </c>
      <c r="H203" s="8"/>
      <c r="I203" s="8"/>
      <c r="J203" s="8"/>
      <c r="K203" s="8"/>
      <c r="L203" s="8"/>
      <c r="M203" s="8"/>
      <c r="N203" s="8"/>
      <c r="O203" s="8"/>
      <c r="P203" s="8"/>
      <c r="Q203" s="8"/>
      <c r="R203" s="8"/>
      <c r="S203" s="8"/>
      <c r="T203" s="8"/>
      <c r="U203" s="8"/>
      <c r="V203" s="8"/>
      <c r="W203" s="8"/>
      <c r="X203" s="8"/>
      <c r="Y203" s="8"/>
      <c r="Z203" s="8"/>
    </row>
    <row r="204" spans="1:26" ht="15.75" customHeight="1" x14ac:dyDescent="0.25">
      <c r="A204" s="6" t="s">
        <v>95</v>
      </c>
      <c r="B204" s="8"/>
      <c r="C204" s="8"/>
      <c r="D204" s="6" t="s">
        <v>195</v>
      </c>
      <c r="E204" s="6" t="s">
        <v>206</v>
      </c>
      <c r="F204" s="6" t="s">
        <v>116</v>
      </c>
      <c r="G204" s="6" t="s">
        <v>45</v>
      </c>
      <c r="H204" s="8"/>
      <c r="I204" s="8"/>
      <c r="J204" s="8"/>
      <c r="K204" s="8"/>
      <c r="L204" s="8"/>
      <c r="M204" s="8"/>
      <c r="N204" s="8"/>
      <c r="O204" s="8"/>
      <c r="P204" s="8"/>
      <c r="Q204" s="8"/>
      <c r="R204" s="8"/>
      <c r="S204" s="8"/>
      <c r="T204" s="8"/>
      <c r="U204" s="8"/>
      <c r="V204" s="8"/>
      <c r="W204" s="8"/>
      <c r="X204" s="8"/>
      <c r="Y204" s="8"/>
      <c r="Z204" s="8"/>
    </row>
    <row r="205" spans="1:26" ht="15.75" customHeight="1" x14ac:dyDescent="0.25">
      <c r="A205" s="6" t="s">
        <v>95</v>
      </c>
      <c r="B205" s="8"/>
      <c r="C205" s="8"/>
      <c r="D205" s="6" t="s">
        <v>195</v>
      </c>
      <c r="E205" s="6" t="s">
        <v>206</v>
      </c>
      <c r="F205" s="6" t="s">
        <v>116</v>
      </c>
      <c r="G205" s="6" t="s">
        <v>45</v>
      </c>
      <c r="H205" s="8"/>
      <c r="I205" s="8"/>
      <c r="J205" s="8"/>
      <c r="K205" s="8"/>
      <c r="L205" s="8"/>
      <c r="M205" s="8"/>
      <c r="N205" s="8"/>
      <c r="O205" s="8"/>
      <c r="P205" s="8"/>
      <c r="Q205" s="8"/>
      <c r="R205" s="8"/>
      <c r="S205" s="8"/>
      <c r="T205" s="8"/>
      <c r="U205" s="8"/>
      <c r="V205" s="8"/>
      <c r="W205" s="8"/>
      <c r="X205" s="8"/>
      <c r="Y205" s="8"/>
      <c r="Z205" s="8"/>
    </row>
    <row r="206" spans="1:26" ht="15.75" customHeight="1" x14ac:dyDescent="0.25">
      <c r="A206" s="6" t="s">
        <v>95</v>
      </c>
      <c r="B206" s="8"/>
      <c r="C206" s="8"/>
      <c r="D206" s="6" t="s">
        <v>195</v>
      </c>
      <c r="E206" s="6" t="s">
        <v>206</v>
      </c>
      <c r="F206" s="6" t="s">
        <v>116</v>
      </c>
      <c r="G206" s="6" t="s">
        <v>45</v>
      </c>
      <c r="H206" s="8"/>
      <c r="I206" s="8"/>
      <c r="J206" s="8"/>
      <c r="K206" s="8"/>
      <c r="L206" s="8"/>
      <c r="M206" s="8"/>
      <c r="N206" s="8"/>
      <c r="O206" s="8"/>
      <c r="P206" s="8"/>
      <c r="Q206" s="8"/>
      <c r="R206" s="8"/>
      <c r="S206" s="8"/>
      <c r="T206" s="8"/>
      <c r="U206" s="8"/>
      <c r="V206" s="8"/>
      <c r="W206" s="8"/>
      <c r="X206" s="8"/>
      <c r="Y206" s="8"/>
      <c r="Z206" s="8"/>
    </row>
    <row r="207" spans="1:26" ht="15.75" customHeight="1" x14ac:dyDescent="0.25">
      <c r="A207" s="6" t="s">
        <v>95</v>
      </c>
      <c r="B207" s="8"/>
      <c r="C207" s="8"/>
      <c r="D207" s="6" t="s">
        <v>195</v>
      </c>
      <c r="E207" s="6" t="s">
        <v>206</v>
      </c>
      <c r="F207" s="6" t="s">
        <v>116</v>
      </c>
      <c r="G207" s="6" t="s">
        <v>45</v>
      </c>
      <c r="H207" s="8"/>
      <c r="I207" s="8"/>
      <c r="J207" s="8"/>
      <c r="K207" s="8"/>
      <c r="L207" s="8"/>
      <c r="M207" s="8"/>
      <c r="N207" s="8"/>
      <c r="O207" s="8"/>
      <c r="P207" s="8"/>
      <c r="Q207" s="8"/>
      <c r="R207" s="8"/>
      <c r="S207" s="8"/>
      <c r="T207" s="8"/>
      <c r="U207" s="8"/>
      <c r="V207" s="8"/>
      <c r="W207" s="8"/>
      <c r="X207" s="8"/>
      <c r="Y207" s="8"/>
      <c r="Z207" s="8"/>
    </row>
    <row r="208" spans="1:26" ht="15.75" customHeight="1" x14ac:dyDescent="0.25">
      <c r="A208" s="6" t="s">
        <v>95</v>
      </c>
      <c r="B208" s="8"/>
      <c r="C208" s="8"/>
      <c r="D208" s="6" t="s">
        <v>195</v>
      </c>
      <c r="E208" s="6" t="s">
        <v>206</v>
      </c>
      <c r="F208" s="6" t="s">
        <v>116</v>
      </c>
      <c r="G208" s="6" t="s">
        <v>45</v>
      </c>
      <c r="H208" s="8"/>
      <c r="I208" s="8"/>
      <c r="J208" s="8"/>
      <c r="K208" s="8"/>
      <c r="L208" s="8"/>
      <c r="M208" s="8"/>
      <c r="N208" s="8"/>
      <c r="O208" s="8"/>
      <c r="P208" s="8"/>
      <c r="Q208" s="8"/>
      <c r="R208" s="8"/>
      <c r="S208" s="8"/>
      <c r="T208" s="8"/>
      <c r="U208" s="8"/>
      <c r="V208" s="8"/>
      <c r="W208" s="8"/>
      <c r="X208" s="8"/>
      <c r="Y208" s="8"/>
      <c r="Z208" s="8"/>
    </row>
    <row r="209" spans="1:26" ht="15.75" customHeight="1" x14ac:dyDescent="0.25">
      <c r="A209" s="6" t="s">
        <v>95</v>
      </c>
      <c r="B209" s="8"/>
      <c r="C209" s="8"/>
      <c r="D209" s="6" t="s">
        <v>195</v>
      </c>
      <c r="E209" s="6" t="s">
        <v>206</v>
      </c>
      <c r="F209" s="6" t="s">
        <v>116</v>
      </c>
      <c r="G209" s="6" t="s">
        <v>45</v>
      </c>
      <c r="H209" s="8"/>
      <c r="I209" s="8"/>
      <c r="J209" s="8"/>
      <c r="K209" s="8"/>
      <c r="L209" s="8"/>
      <c r="M209" s="8"/>
      <c r="N209" s="8"/>
      <c r="O209" s="8"/>
      <c r="P209" s="8"/>
      <c r="Q209" s="8"/>
      <c r="R209" s="8"/>
      <c r="S209" s="8"/>
      <c r="T209" s="8"/>
      <c r="U209" s="8"/>
      <c r="V209" s="8"/>
      <c r="W209" s="8"/>
      <c r="X209" s="8"/>
      <c r="Y209" s="8"/>
      <c r="Z209" s="8"/>
    </row>
    <row r="210" spans="1:26" ht="15.75" customHeight="1" x14ac:dyDescent="0.25">
      <c r="A210" s="6" t="s">
        <v>95</v>
      </c>
      <c r="B210" s="8"/>
      <c r="C210" s="8"/>
      <c r="D210" s="6" t="s">
        <v>195</v>
      </c>
      <c r="E210" s="6" t="s">
        <v>206</v>
      </c>
      <c r="F210" s="6" t="s">
        <v>116</v>
      </c>
      <c r="G210" s="6" t="s">
        <v>45</v>
      </c>
      <c r="H210" s="8"/>
      <c r="I210" s="8"/>
      <c r="J210" s="8"/>
      <c r="K210" s="8"/>
      <c r="L210" s="8"/>
      <c r="M210" s="8"/>
      <c r="N210" s="8"/>
      <c r="O210" s="8"/>
      <c r="P210" s="8"/>
      <c r="Q210" s="8"/>
      <c r="R210" s="8"/>
      <c r="S210" s="8"/>
      <c r="T210" s="8"/>
      <c r="U210" s="8"/>
      <c r="V210" s="8"/>
      <c r="W210" s="8"/>
      <c r="X210" s="8"/>
      <c r="Y210" s="8"/>
      <c r="Z210" s="8"/>
    </row>
    <row r="211" spans="1:26" ht="15.75" customHeight="1" x14ac:dyDescent="0.25">
      <c r="A211" s="6" t="s">
        <v>95</v>
      </c>
      <c r="B211" s="8"/>
      <c r="C211" s="8"/>
      <c r="D211" s="6" t="s">
        <v>195</v>
      </c>
      <c r="E211" s="6" t="s">
        <v>206</v>
      </c>
      <c r="F211" s="6" t="s">
        <v>116</v>
      </c>
      <c r="G211" s="6" t="s">
        <v>45</v>
      </c>
      <c r="H211" s="8"/>
      <c r="I211" s="8"/>
      <c r="J211" s="8"/>
      <c r="K211" s="8"/>
      <c r="L211" s="8"/>
      <c r="M211" s="8"/>
      <c r="N211" s="8"/>
      <c r="O211" s="8"/>
      <c r="P211" s="8"/>
      <c r="Q211" s="8"/>
      <c r="R211" s="8"/>
      <c r="S211" s="8"/>
      <c r="T211" s="8"/>
      <c r="U211" s="8"/>
      <c r="V211" s="8"/>
      <c r="W211" s="8"/>
      <c r="X211" s="8"/>
      <c r="Y211" s="8"/>
      <c r="Z211" s="8"/>
    </row>
    <row r="212" spans="1:26" ht="15.75" customHeight="1" x14ac:dyDescent="0.25">
      <c r="A212" s="6" t="s">
        <v>95</v>
      </c>
      <c r="B212" s="8"/>
      <c r="C212" s="8"/>
      <c r="D212" s="6" t="s">
        <v>195</v>
      </c>
      <c r="E212" s="6" t="s">
        <v>206</v>
      </c>
      <c r="F212" s="6" t="s">
        <v>116</v>
      </c>
      <c r="G212" s="6" t="s">
        <v>45</v>
      </c>
      <c r="H212" s="8"/>
      <c r="I212" s="8"/>
      <c r="J212" s="8"/>
      <c r="K212" s="8"/>
      <c r="L212" s="8"/>
      <c r="M212" s="8"/>
      <c r="N212" s="8"/>
      <c r="O212" s="8"/>
      <c r="P212" s="8"/>
      <c r="Q212" s="8"/>
      <c r="R212" s="8"/>
      <c r="S212" s="8"/>
      <c r="T212" s="8"/>
      <c r="U212" s="8"/>
      <c r="V212" s="8"/>
      <c r="W212" s="8"/>
      <c r="X212" s="8"/>
      <c r="Y212" s="8"/>
      <c r="Z212" s="8"/>
    </row>
    <row r="213" spans="1:26" ht="15.75" customHeight="1" x14ac:dyDescent="0.25">
      <c r="A213" s="6" t="s">
        <v>95</v>
      </c>
      <c r="B213" s="8"/>
      <c r="C213" s="8"/>
      <c r="D213" s="6" t="s">
        <v>195</v>
      </c>
      <c r="E213" s="6" t="s">
        <v>206</v>
      </c>
      <c r="F213" s="6" t="s">
        <v>116</v>
      </c>
      <c r="G213" s="6" t="s">
        <v>45</v>
      </c>
      <c r="H213" s="8"/>
      <c r="I213" s="8"/>
      <c r="J213" s="8"/>
      <c r="K213" s="8"/>
      <c r="L213" s="8"/>
      <c r="M213" s="8"/>
      <c r="N213" s="8"/>
      <c r="O213" s="8"/>
      <c r="P213" s="8"/>
      <c r="Q213" s="8"/>
      <c r="R213" s="8"/>
      <c r="S213" s="8"/>
      <c r="T213" s="8"/>
      <c r="U213" s="8"/>
      <c r="V213" s="8"/>
      <c r="W213" s="8"/>
      <c r="X213" s="8"/>
      <c r="Y213" s="8"/>
      <c r="Z213" s="8"/>
    </row>
    <row r="214" spans="1:26" ht="15.75" customHeight="1" x14ac:dyDescent="0.25">
      <c r="A214" s="6" t="s">
        <v>95</v>
      </c>
      <c r="B214" s="8"/>
      <c r="C214" s="8"/>
      <c r="D214" s="6" t="s">
        <v>195</v>
      </c>
      <c r="E214" s="6" t="s">
        <v>206</v>
      </c>
      <c r="F214" s="6" t="s">
        <v>116</v>
      </c>
      <c r="G214" s="6" t="s">
        <v>45</v>
      </c>
      <c r="H214" s="8"/>
      <c r="I214" s="8"/>
      <c r="J214" s="8"/>
      <c r="K214" s="8"/>
      <c r="L214" s="8"/>
      <c r="M214" s="8"/>
      <c r="N214" s="8"/>
      <c r="O214" s="8"/>
      <c r="P214" s="8"/>
      <c r="Q214" s="8"/>
      <c r="R214" s="8"/>
      <c r="S214" s="8"/>
      <c r="T214" s="8"/>
      <c r="U214" s="8"/>
      <c r="V214" s="8"/>
      <c r="W214" s="8"/>
      <c r="X214" s="8"/>
      <c r="Y214" s="8"/>
      <c r="Z214" s="8"/>
    </row>
    <row r="215" spans="1:26" ht="15.75" customHeight="1" x14ac:dyDescent="0.25">
      <c r="A215" s="6" t="s">
        <v>95</v>
      </c>
      <c r="B215" s="8"/>
      <c r="C215" s="8"/>
      <c r="D215" s="6" t="s">
        <v>195</v>
      </c>
      <c r="E215" s="6" t="s">
        <v>206</v>
      </c>
      <c r="F215" s="6" t="s">
        <v>116</v>
      </c>
      <c r="G215" s="6" t="s">
        <v>45</v>
      </c>
      <c r="H215" s="8"/>
      <c r="I215" s="8"/>
      <c r="J215" s="8"/>
      <c r="K215" s="8"/>
      <c r="L215" s="8"/>
      <c r="M215" s="8"/>
      <c r="N215" s="8"/>
      <c r="O215" s="8"/>
      <c r="P215" s="8"/>
      <c r="Q215" s="8"/>
      <c r="R215" s="8"/>
      <c r="S215" s="8"/>
      <c r="T215" s="8"/>
      <c r="U215" s="8"/>
      <c r="V215" s="8"/>
      <c r="W215" s="8"/>
      <c r="X215" s="8"/>
      <c r="Y215" s="8"/>
      <c r="Z215" s="8"/>
    </row>
    <row r="216" spans="1:26" ht="15.75" customHeight="1" x14ac:dyDescent="0.25">
      <c r="A216" s="6" t="s">
        <v>95</v>
      </c>
      <c r="B216" s="8"/>
      <c r="C216" s="8"/>
      <c r="D216" s="6" t="s">
        <v>195</v>
      </c>
      <c r="E216" s="6" t="s">
        <v>206</v>
      </c>
      <c r="F216" s="6" t="s">
        <v>116</v>
      </c>
      <c r="G216" s="6" t="s">
        <v>45</v>
      </c>
      <c r="H216" s="8"/>
      <c r="I216" s="8"/>
      <c r="J216" s="8"/>
      <c r="K216" s="8"/>
      <c r="L216" s="8"/>
      <c r="M216" s="8"/>
      <c r="N216" s="8"/>
      <c r="O216" s="8"/>
      <c r="P216" s="8"/>
      <c r="Q216" s="8"/>
      <c r="R216" s="8"/>
      <c r="S216" s="8"/>
      <c r="T216" s="8"/>
      <c r="U216" s="8"/>
      <c r="V216" s="8"/>
      <c r="W216" s="8"/>
      <c r="X216" s="8"/>
      <c r="Y216" s="8"/>
      <c r="Z216" s="8"/>
    </row>
    <row r="217" spans="1:26" ht="15.75" customHeight="1" x14ac:dyDescent="0.25">
      <c r="A217" s="6" t="s">
        <v>95</v>
      </c>
      <c r="B217" s="8"/>
      <c r="C217" s="8"/>
      <c r="D217" s="6" t="s">
        <v>195</v>
      </c>
      <c r="E217" s="6" t="s">
        <v>206</v>
      </c>
      <c r="F217" s="6" t="s">
        <v>116</v>
      </c>
      <c r="G217" s="6" t="s">
        <v>45</v>
      </c>
      <c r="H217" s="8"/>
      <c r="I217" s="8"/>
      <c r="J217" s="8"/>
      <c r="K217" s="8"/>
      <c r="L217" s="8"/>
      <c r="M217" s="8"/>
      <c r="N217" s="8"/>
      <c r="O217" s="8"/>
      <c r="P217" s="8"/>
      <c r="Q217" s="8"/>
      <c r="R217" s="8"/>
      <c r="S217" s="8"/>
      <c r="T217" s="8"/>
      <c r="U217" s="8"/>
      <c r="V217" s="8"/>
      <c r="W217" s="8"/>
      <c r="X217" s="8"/>
      <c r="Y217" s="8"/>
      <c r="Z217" s="8"/>
    </row>
    <row r="218" spans="1:26" ht="15.75" customHeight="1" x14ac:dyDescent="0.25">
      <c r="A218" s="6" t="s">
        <v>95</v>
      </c>
      <c r="B218" s="8"/>
      <c r="C218" s="8"/>
      <c r="D218" s="6" t="s">
        <v>195</v>
      </c>
      <c r="E218" s="6" t="s">
        <v>206</v>
      </c>
      <c r="F218" s="6" t="s">
        <v>116</v>
      </c>
      <c r="G218" s="6" t="s">
        <v>45</v>
      </c>
      <c r="H218" s="8"/>
      <c r="I218" s="8"/>
      <c r="J218" s="8"/>
      <c r="K218" s="8"/>
      <c r="L218" s="8"/>
      <c r="M218" s="8"/>
      <c r="N218" s="8"/>
      <c r="O218" s="8"/>
      <c r="P218" s="8"/>
      <c r="Q218" s="8"/>
      <c r="R218" s="8"/>
      <c r="S218" s="8"/>
      <c r="T218" s="8"/>
      <c r="U218" s="8"/>
      <c r="V218" s="8"/>
      <c r="W218" s="8"/>
      <c r="X218" s="8"/>
      <c r="Y218" s="8"/>
      <c r="Z218" s="8"/>
    </row>
    <row r="219" spans="1:26" ht="15.75" customHeight="1" x14ac:dyDescent="0.25">
      <c r="A219" s="6" t="s">
        <v>95</v>
      </c>
      <c r="B219" s="8"/>
      <c r="C219" s="8"/>
      <c r="D219" s="6" t="s">
        <v>195</v>
      </c>
      <c r="E219" s="6" t="s">
        <v>206</v>
      </c>
      <c r="F219" s="6" t="s">
        <v>116</v>
      </c>
      <c r="G219" s="6" t="s">
        <v>45</v>
      </c>
      <c r="H219" s="8"/>
      <c r="I219" s="8"/>
      <c r="J219" s="8"/>
      <c r="K219" s="8"/>
      <c r="L219" s="8"/>
      <c r="M219" s="8"/>
      <c r="N219" s="8"/>
      <c r="O219" s="8"/>
      <c r="P219" s="8"/>
      <c r="Q219" s="8"/>
      <c r="R219" s="8"/>
      <c r="S219" s="8"/>
      <c r="T219" s="8"/>
      <c r="U219" s="8"/>
      <c r="V219" s="8"/>
      <c r="W219" s="8"/>
      <c r="X219" s="8"/>
      <c r="Y219" s="8"/>
      <c r="Z219" s="8"/>
    </row>
    <row r="220" spans="1:26" ht="15.75" customHeight="1" x14ac:dyDescent="0.25">
      <c r="A220" s="6" t="s">
        <v>95</v>
      </c>
      <c r="B220" s="8"/>
      <c r="C220" s="8"/>
      <c r="D220" s="6" t="s">
        <v>195</v>
      </c>
      <c r="E220" s="6" t="s">
        <v>206</v>
      </c>
      <c r="F220" s="6" t="s">
        <v>116</v>
      </c>
      <c r="G220" s="6" t="s">
        <v>45</v>
      </c>
      <c r="H220" s="8"/>
      <c r="I220" s="8"/>
      <c r="J220" s="8"/>
      <c r="K220" s="8"/>
      <c r="L220" s="8"/>
      <c r="M220" s="8"/>
      <c r="N220" s="8"/>
      <c r="O220" s="8"/>
      <c r="P220" s="8"/>
      <c r="Q220" s="8"/>
      <c r="R220" s="8"/>
      <c r="S220" s="8"/>
      <c r="T220" s="8"/>
      <c r="U220" s="8"/>
      <c r="V220" s="8"/>
      <c r="W220" s="8"/>
      <c r="X220" s="8"/>
      <c r="Y220" s="8"/>
      <c r="Z220" s="8"/>
    </row>
    <row r="221" spans="1:26" ht="15.75" customHeight="1" x14ac:dyDescent="0.25">
      <c r="A221" s="6" t="s">
        <v>95</v>
      </c>
      <c r="B221" s="8"/>
      <c r="C221" s="8"/>
      <c r="D221" s="6" t="s">
        <v>195</v>
      </c>
      <c r="E221" s="6" t="s">
        <v>206</v>
      </c>
      <c r="F221" s="6" t="s">
        <v>116</v>
      </c>
      <c r="G221" s="6" t="s">
        <v>45</v>
      </c>
      <c r="H221" s="8"/>
      <c r="I221" s="8"/>
      <c r="J221" s="8"/>
      <c r="K221" s="8"/>
      <c r="L221" s="8"/>
      <c r="M221" s="8"/>
      <c r="N221" s="8"/>
      <c r="O221" s="8"/>
      <c r="P221" s="8"/>
      <c r="Q221" s="8"/>
      <c r="R221" s="8"/>
      <c r="S221" s="8"/>
      <c r="T221" s="8"/>
      <c r="U221" s="8"/>
      <c r="V221" s="8"/>
      <c r="W221" s="8"/>
      <c r="X221" s="8"/>
      <c r="Y221" s="8"/>
      <c r="Z221" s="8"/>
    </row>
    <row r="222" spans="1:26" ht="15.75" customHeight="1" x14ac:dyDescent="0.25">
      <c r="A222" s="6" t="s">
        <v>95</v>
      </c>
      <c r="B222" s="8"/>
      <c r="C222" s="8"/>
      <c r="D222" s="6" t="s">
        <v>195</v>
      </c>
      <c r="E222" s="6" t="s">
        <v>206</v>
      </c>
      <c r="F222" s="6" t="s">
        <v>116</v>
      </c>
      <c r="G222" s="6" t="s">
        <v>45</v>
      </c>
      <c r="H222" s="8"/>
      <c r="I222" s="8"/>
      <c r="J222" s="8"/>
      <c r="K222" s="8"/>
      <c r="L222" s="8"/>
      <c r="M222" s="8"/>
      <c r="N222" s="8"/>
      <c r="O222" s="8"/>
      <c r="P222" s="8"/>
      <c r="Q222" s="8"/>
      <c r="R222" s="8"/>
      <c r="S222" s="8"/>
      <c r="T222" s="8"/>
      <c r="U222" s="8"/>
      <c r="V222" s="8"/>
      <c r="W222" s="8"/>
      <c r="X222" s="8"/>
      <c r="Y222" s="8"/>
      <c r="Z222" s="8"/>
    </row>
    <row r="223" spans="1:26" ht="15.75" customHeight="1" x14ac:dyDescent="0.25">
      <c r="A223" s="6" t="s">
        <v>95</v>
      </c>
      <c r="B223" s="8"/>
      <c r="C223" s="8"/>
      <c r="D223" s="6" t="s">
        <v>195</v>
      </c>
      <c r="E223" s="6" t="s">
        <v>206</v>
      </c>
      <c r="F223" s="6" t="s">
        <v>116</v>
      </c>
      <c r="G223" s="6" t="s">
        <v>45</v>
      </c>
      <c r="H223" s="8"/>
      <c r="I223" s="8"/>
      <c r="J223" s="8"/>
      <c r="K223" s="8"/>
      <c r="L223" s="8"/>
      <c r="M223" s="8"/>
      <c r="N223" s="8"/>
      <c r="O223" s="8"/>
      <c r="P223" s="8"/>
      <c r="Q223" s="8"/>
      <c r="R223" s="8"/>
      <c r="S223" s="8"/>
      <c r="T223" s="8"/>
      <c r="U223" s="8"/>
      <c r="V223" s="8"/>
      <c r="W223" s="8"/>
      <c r="X223" s="8"/>
      <c r="Y223" s="8"/>
      <c r="Z223" s="8"/>
    </row>
    <row r="224" spans="1:26" ht="15.75" customHeight="1" x14ac:dyDescent="0.25">
      <c r="A224" s="6" t="s">
        <v>95</v>
      </c>
      <c r="B224" s="8"/>
      <c r="C224" s="8"/>
      <c r="D224" s="6" t="s">
        <v>195</v>
      </c>
      <c r="E224" s="6" t="s">
        <v>206</v>
      </c>
      <c r="F224" s="6" t="s">
        <v>116</v>
      </c>
      <c r="G224" s="6" t="s">
        <v>45</v>
      </c>
      <c r="H224" s="8"/>
      <c r="I224" s="8"/>
      <c r="J224" s="8"/>
      <c r="K224" s="8"/>
      <c r="L224" s="8"/>
      <c r="M224" s="8"/>
      <c r="N224" s="8"/>
      <c r="O224" s="8"/>
      <c r="P224" s="8"/>
      <c r="Q224" s="8"/>
      <c r="R224" s="8"/>
      <c r="S224" s="8"/>
      <c r="T224" s="8"/>
      <c r="U224" s="8"/>
      <c r="V224" s="8"/>
      <c r="W224" s="8"/>
      <c r="X224" s="8"/>
      <c r="Y224" s="8"/>
      <c r="Z224" s="8"/>
    </row>
    <row r="225" spans="1:26" ht="15.75" customHeight="1" x14ac:dyDescent="0.25">
      <c r="A225" s="6" t="s">
        <v>95</v>
      </c>
      <c r="B225" s="8"/>
      <c r="C225" s="8"/>
      <c r="D225" s="6" t="s">
        <v>195</v>
      </c>
      <c r="E225" s="6" t="s">
        <v>206</v>
      </c>
      <c r="F225" s="6" t="s">
        <v>116</v>
      </c>
      <c r="G225" s="6" t="s">
        <v>45</v>
      </c>
      <c r="H225" s="8"/>
      <c r="I225" s="8"/>
      <c r="J225" s="8"/>
      <c r="K225" s="8"/>
      <c r="L225" s="8"/>
      <c r="M225" s="8"/>
      <c r="N225" s="8"/>
      <c r="O225" s="8"/>
      <c r="P225" s="8"/>
      <c r="Q225" s="8"/>
      <c r="R225" s="8"/>
      <c r="S225" s="8"/>
      <c r="T225" s="8"/>
      <c r="U225" s="8"/>
      <c r="V225" s="8"/>
      <c r="W225" s="8"/>
      <c r="X225" s="8"/>
      <c r="Y225" s="8"/>
      <c r="Z225" s="8"/>
    </row>
    <row r="226" spans="1:26" ht="15.75" customHeight="1" x14ac:dyDescent="0.25">
      <c r="A226" s="6" t="s">
        <v>95</v>
      </c>
      <c r="B226" s="8"/>
      <c r="C226" s="8"/>
      <c r="D226" s="6" t="s">
        <v>195</v>
      </c>
      <c r="E226" s="6" t="s">
        <v>206</v>
      </c>
      <c r="F226" s="6" t="s">
        <v>116</v>
      </c>
      <c r="G226" s="6" t="s">
        <v>45</v>
      </c>
      <c r="H226" s="8"/>
      <c r="I226" s="8"/>
      <c r="J226" s="8"/>
      <c r="K226" s="8"/>
      <c r="L226" s="8"/>
      <c r="M226" s="8"/>
      <c r="N226" s="8"/>
      <c r="O226" s="8"/>
      <c r="P226" s="8"/>
      <c r="Q226" s="8"/>
      <c r="R226" s="8"/>
      <c r="S226" s="8"/>
      <c r="T226" s="8"/>
      <c r="U226" s="8"/>
      <c r="V226" s="8"/>
      <c r="W226" s="8"/>
      <c r="X226" s="8"/>
      <c r="Y226" s="8"/>
      <c r="Z226" s="8"/>
    </row>
    <row r="227" spans="1:26" ht="15.75" customHeight="1" x14ac:dyDescent="0.25">
      <c r="A227" s="6" t="s">
        <v>95</v>
      </c>
      <c r="B227" s="8"/>
      <c r="C227" s="8"/>
      <c r="D227" s="6" t="s">
        <v>195</v>
      </c>
      <c r="E227" s="6" t="s">
        <v>206</v>
      </c>
      <c r="F227" s="6" t="s">
        <v>116</v>
      </c>
      <c r="G227" s="6" t="s">
        <v>45</v>
      </c>
      <c r="H227" s="8"/>
      <c r="I227" s="8"/>
      <c r="J227" s="8"/>
      <c r="K227" s="8"/>
      <c r="L227" s="8"/>
      <c r="M227" s="8"/>
      <c r="N227" s="8"/>
      <c r="O227" s="8"/>
      <c r="P227" s="8"/>
      <c r="Q227" s="8"/>
      <c r="R227" s="8"/>
      <c r="S227" s="8"/>
      <c r="T227" s="8"/>
      <c r="U227" s="8"/>
      <c r="V227" s="8"/>
      <c r="W227" s="8"/>
      <c r="X227" s="8"/>
      <c r="Y227" s="8"/>
      <c r="Z227" s="8"/>
    </row>
    <row r="228" spans="1:26" ht="15.75" customHeight="1" x14ac:dyDescent="0.25">
      <c r="A228" s="6" t="s">
        <v>95</v>
      </c>
      <c r="B228" s="8"/>
      <c r="C228" s="8"/>
      <c r="D228" s="6" t="s">
        <v>195</v>
      </c>
      <c r="E228" s="6" t="s">
        <v>206</v>
      </c>
      <c r="F228" s="6" t="s">
        <v>116</v>
      </c>
      <c r="G228" s="6" t="s">
        <v>45</v>
      </c>
      <c r="H228" s="8"/>
      <c r="I228" s="8"/>
      <c r="J228" s="8"/>
      <c r="K228" s="8"/>
      <c r="L228" s="8"/>
      <c r="M228" s="8"/>
      <c r="N228" s="8"/>
      <c r="O228" s="8"/>
      <c r="P228" s="8"/>
      <c r="Q228" s="8"/>
      <c r="R228" s="8"/>
      <c r="S228" s="8"/>
      <c r="T228" s="8"/>
      <c r="U228" s="8"/>
      <c r="V228" s="8"/>
      <c r="W228" s="8"/>
      <c r="X228" s="8"/>
      <c r="Y228" s="8"/>
      <c r="Z228" s="8"/>
    </row>
    <row r="229" spans="1:26" ht="15.75" customHeight="1" x14ac:dyDescent="0.25">
      <c r="A229" s="6" t="s">
        <v>95</v>
      </c>
      <c r="B229" s="8"/>
      <c r="C229" s="8"/>
      <c r="D229" s="6" t="s">
        <v>195</v>
      </c>
      <c r="E229" s="6" t="s">
        <v>206</v>
      </c>
      <c r="F229" s="6" t="s">
        <v>116</v>
      </c>
      <c r="G229" s="6" t="s">
        <v>45</v>
      </c>
      <c r="H229" s="8"/>
      <c r="I229" s="8"/>
      <c r="J229" s="8"/>
      <c r="K229" s="8"/>
      <c r="L229" s="8"/>
      <c r="M229" s="8"/>
      <c r="N229" s="8"/>
      <c r="O229" s="8"/>
      <c r="P229" s="8"/>
      <c r="Q229" s="8"/>
      <c r="R229" s="8"/>
      <c r="S229" s="8"/>
      <c r="T229" s="8"/>
      <c r="U229" s="8"/>
      <c r="V229" s="8"/>
      <c r="W229" s="8"/>
      <c r="X229" s="8"/>
      <c r="Y229" s="8"/>
      <c r="Z229" s="8"/>
    </row>
    <row r="230" spans="1:26" ht="15.75" customHeight="1" x14ac:dyDescent="0.25">
      <c r="A230" s="6" t="s">
        <v>95</v>
      </c>
      <c r="B230" s="8"/>
      <c r="C230" s="8"/>
      <c r="D230" s="6" t="s">
        <v>195</v>
      </c>
      <c r="E230" s="6" t="s">
        <v>206</v>
      </c>
      <c r="F230" s="6" t="s">
        <v>116</v>
      </c>
      <c r="G230" s="6" t="s">
        <v>45</v>
      </c>
      <c r="H230" s="8"/>
      <c r="I230" s="8"/>
      <c r="J230" s="8"/>
      <c r="K230" s="8"/>
      <c r="L230" s="8"/>
      <c r="M230" s="8"/>
      <c r="N230" s="8"/>
      <c r="O230" s="8"/>
      <c r="P230" s="8"/>
      <c r="Q230" s="8"/>
      <c r="R230" s="8"/>
      <c r="S230" s="8"/>
      <c r="T230" s="8"/>
      <c r="U230" s="8"/>
      <c r="V230" s="8"/>
      <c r="W230" s="8"/>
      <c r="X230" s="8"/>
      <c r="Y230" s="8"/>
      <c r="Z230" s="8"/>
    </row>
    <row r="231" spans="1:26" ht="15.75" customHeight="1" x14ac:dyDescent="0.25">
      <c r="A231" s="6" t="s">
        <v>95</v>
      </c>
      <c r="B231" s="8"/>
      <c r="C231" s="8"/>
      <c r="D231" s="6" t="s">
        <v>195</v>
      </c>
      <c r="E231" s="6" t="s">
        <v>206</v>
      </c>
      <c r="F231" s="6" t="s">
        <v>116</v>
      </c>
      <c r="G231" s="6" t="s">
        <v>45</v>
      </c>
      <c r="H231" s="8"/>
      <c r="I231" s="8"/>
      <c r="J231" s="8"/>
      <c r="K231" s="8"/>
      <c r="L231" s="8"/>
      <c r="M231" s="8"/>
      <c r="N231" s="8"/>
      <c r="O231" s="8"/>
      <c r="P231" s="8"/>
      <c r="Q231" s="8"/>
      <c r="R231" s="8"/>
      <c r="S231" s="8"/>
      <c r="T231" s="8"/>
      <c r="U231" s="8"/>
      <c r="V231" s="8"/>
      <c r="W231" s="8"/>
      <c r="X231" s="8"/>
      <c r="Y231" s="8"/>
      <c r="Z231" s="8"/>
    </row>
    <row r="232" spans="1:26" ht="15.75" customHeight="1" x14ac:dyDescent="0.25">
      <c r="A232" s="6" t="s">
        <v>95</v>
      </c>
      <c r="B232" s="8"/>
      <c r="C232" s="8"/>
      <c r="D232" s="6" t="s">
        <v>195</v>
      </c>
      <c r="E232" s="6" t="s">
        <v>206</v>
      </c>
      <c r="F232" s="6" t="s">
        <v>116</v>
      </c>
      <c r="G232" s="6" t="s">
        <v>45</v>
      </c>
      <c r="H232" s="8"/>
      <c r="I232" s="8"/>
      <c r="J232" s="8"/>
      <c r="K232" s="8"/>
      <c r="L232" s="8"/>
      <c r="M232" s="8"/>
      <c r="N232" s="8"/>
      <c r="O232" s="8"/>
      <c r="P232" s="8"/>
      <c r="Q232" s="8"/>
      <c r="R232" s="8"/>
      <c r="S232" s="8"/>
      <c r="T232" s="8"/>
      <c r="U232" s="8"/>
      <c r="V232" s="8"/>
      <c r="W232" s="8"/>
      <c r="X232" s="8"/>
      <c r="Y232" s="8"/>
      <c r="Z232" s="8"/>
    </row>
    <row r="233" spans="1:26" ht="15.75" customHeight="1" x14ac:dyDescent="0.25">
      <c r="A233" s="6" t="s">
        <v>95</v>
      </c>
      <c r="B233" s="8"/>
      <c r="C233" s="8"/>
      <c r="D233" s="6" t="s">
        <v>195</v>
      </c>
      <c r="E233" s="6" t="s">
        <v>206</v>
      </c>
      <c r="F233" s="6" t="s">
        <v>116</v>
      </c>
      <c r="G233" s="6" t="s">
        <v>45</v>
      </c>
      <c r="H233" s="8"/>
      <c r="I233" s="8"/>
      <c r="J233" s="8"/>
      <c r="K233" s="8"/>
      <c r="L233" s="8"/>
      <c r="M233" s="8"/>
      <c r="N233" s="8"/>
      <c r="O233" s="8"/>
      <c r="P233" s="8"/>
      <c r="Q233" s="8"/>
      <c r="R233" s="8"/>
      <c r="S233" s="8"/>
      <c r="T233" s="8"/>
      <c r="U233" s="8"/>
      <c r="V233" s="8"/>
      <c r="W233" s="8"/>
      <c r="X233" s="8"/>
      <c r="Y233" s="8"/>
      <c r="Z233" s="8"/>
    </row>
    <row r="234" spans="1:26" ht="15.75" customHeight="1" x14ac:dyDescent="0.25">
      <c r="A234" s="6" t="s">
        <v>95</v>
      </c>
      <c r="B234" s="8"/>
      <c r="C234" s="8"/>
      <c r="D234" s="6" t="s">
        <v>195</v>
      </c>
      <c r="E234" s="6" t="s">
        <v>206</v>
      </c>
      <c r="F234" s="6" t="s">
        <v>116</v>
      </c>
      <c r="G234" s="6" t="s">
        <v>45</v>
      </c>
      <c r="H234" s="8"/>
      <c r="I234" s="8"/>
      <c r="J234" s="8"/>
      <c r="K234" s="8"/>
      <c r="L234" s="8"/>
      <c r="M234" s="8"/>
      <c r="N234" s="8"/>
      <c r="O234" s="8"/>
      <c r="P234" s="8"/>
      <c r="Q234" s="8"/>
      <c r="R234" s="8"/>
      <c r="S234" s="8"/>
      <c r="T234" s="8"/>
      <c r="U234" s="8"/>
      <c r="V234" s="8"/>
      <c r="W234" s="8"/>
      <c r="X234" s="8"/>
      <c r="Y234" s="8"/>
      <c r="Z234" s="8"/>
    </row>
    <row r="235" spans="1:26" ht="15.75" customHeight="1" x14ac:dyDescent="0.25">
      <c r="A235" s="6" t="s">
        <v>95</v>
      </c>
      <c r="B235" s="8"/>
      <c r="C235" s="8"/>
      <c r="D235" s="6" t="s">
        <v>195</v>
      </c>
      <c r="E235" s="6" t="s">
        <v>206</v>
      </c>
      <c r="F235" s="6" t="s">
        <v>116</v>
      </c>
      <c r="G235" s="6" t="s">
        <v>45</v>
      </c>
      <c r="H235" s="8"/>
      <c r="I235" s="8"/>
      <c r="J235" s="8"/>
      <c r="K235" s="8"/>
      <c r="L235" s="8"/>
      <c r="M235" s="8"/>
      <c r="N235" s="8"/>
      <c r="O235" s="8"/>
      <c r="P235" s="8"/>
      <c r="Q235" s="8"/>
      <c r="R235" s="8"/>
      <c r="S235" s="8"/>
      <c r="T235" s="8"/>
      <c r="U235" s="8"/>
      <c r="V235" s="8"/>
      <c r="W235" s="8"/>
      <c r="X235" s="8"/>
      <c r="Y235" s="8"/>
      <c r="Z235" s="8"/>
    </row>
    <row r="236" spans="1:26" ht="15.75" customHeight="1" x14ac:dyDescent="0.25">
      <c r="A236" s="6" t="s">
        <v>95</v>
      </c>
      <c r="B236" s="8"/>
      <c r="C236" s="8"/>
      <c r="D236" s="6" t="s">
        <v>195</v>
      </c>
      <c r="E236" s="6" t="s">
        <v>206</v>
      </c>
      <c r="F236" s="6" t="s">
        <v>116</v>
      </c>
      <c r="G236" s="6" t="s">
        <v>45</v>
      </c>
      <c r="H236" s="8"/>
      <c r="I236" s="8"/>
      <c r="J236" s="8"/>
      <c r="K236" s="8"/>
      <c r="L236" s="8"/>
      <c r="M236" s="8"/>
      <c r="N236" s="8"/>
      <c r="O236" s="8"/>
      <c r="P236" s="8"/>
      <c r="Q236" s="8"/>
      <c r="R236" s="8"/>
      <c r="S236" s="8"/>
      <c r="T236" s="8"/>
      <c r="U236" s="8"/>
      <c r="V236" s="8"/>
      <c r="W236" s="8"/>
      <c r="X236" s="8"/>
      <c r="Y236" s="8"/>
      <c r="Z236" s="8"/>
    </row>
    <row r="237" spans="1:26" ht="15.75" customHeight="1" x14ac:dyDescent="0.25">
      <c r="A237" s="6" t="s">
        <v>95</v>
      </c>
      <c r="B237" s="8"/>
      <c r="C237" s="8"/>
      <c r="D237" s="6" t="s">
        <v>195</v>
      </c>
      <c r="E237" s="6" t="s">
        <v>206</v>
      </c>
      <c r="F237" s="6" t="s">
        <v>116</v>
      </c>
      <c r="G237" s="6" t="s">
        <v>45</v>
      </c>
      <c r="H237" s="8"/>
      <c r="I237" s="8"/>
      <c r="J237" s="8"/>
      <c r="K237" s="8"/>
      <c r="L237" s="8"/>
      <c r="M237" s="8"/>
      <c r="N237" s="8"/>
      <c r="O237" s="8"/>
      <c r="P237" s="8"/>
      <c r="Q237" s="8"/>
      <c r="R237" s="8"/>
      <c r="S237" s="8"/>
      <c r="T237" s="8"/>
      <c r="U237" s="8"/>
      <c r="V237" s="8"/>
      <c r="W237" s="8"/>
      <c r="X237" s="8"/>
      <c r="Y237" s="8"/>
      <c r="Z237" s="8"/>
    </row>
    <row r="238" spans="1:26" ht="15.75" customHeight="1" x14ac:dyDescent="0.25">
      <c r="A238" s="6" t="s">
        <v>95</v>
      </c>
      <c r="B238" s="8"/>
      <c r="C238" s="8"/>
      <c r="D238" s="6" t="s">
        <v>195</v>
      </c>
      <c r="E238" s="8"/>
      <c r="F238" s="6" t="s">
        <v>116</v>
      </c>
      <c r="G238" s="6" t="s">
        <v>45</v>
      </c>
      <c r="H238" s="8"/>
      <c r="I238" s="8"/>
      <c r="J238" s="8"/>
      <c r="K238" s="8"/>
      <c r="L238" s="8"/>
      <c r="M238" s="8"/>
      <c r="N238" s="8"/>
      <c r="O238" s="8"/>
      <c r="P238" s="8"/>
      <c r="Q238" s="8"/>
      <c r="R238" s="8"/>
      <c r="S238" s="8"/>
      <c r="T238" s="8"/>
      <c r="U238" s="8"/>
      <c r="V238" s="8"/>
      <c r="W238" s="8"/>
      <c r="X238" s="8"/>
      <c r="Y238" s="8"/>
      <c r="Z238" s="8"/>
    </row>
    <row r="239" spans="1:26" ht="15.75" customHeight="1" x14ac:dyDescent="0.25">
      <c r="A239" s="6" t="s">
        <v>95</v>
      </c>
      <c r="B239" s="8"/>
      <c r="C239" s="8"/>
      <c r="D239" s="6" t="s">
        <v>195</v>
      </c>
      <c r="E239" s="8"/>
      <c r="F239" s="6" t="s">
        <v>116</v>
      </c>
      <c r="G239" s="6" t="s">
        <v>45</v>
      </c>
      <c r="H239" s="8"/>
      <c r="I239" s="8"/>
      <c r="J239" s="8"/>
      <c r="K239" s="8"/>
      <c r="L239" s="8"/>
      <c r="M239" s="8"/>
      <c r="N239" s="8"/>
      <c r="O239" s="8"/>
      <c r="P239" s="8"/>
      <c r="Q239" s="8"/>
      <c r="R239" s="8"/>
      <c r="S239" s="8"/>
      <c r="T239" s="8"/>
      <c r="U239" s="8"/>
      <c r="V239" s="8"/>
      <c r="W239" s="8"/>
      <c r="X239" s="8"/>
      <c r="Y239" s="8"/>
      <c r="Z239" s="8"/>
    </row>
    <row r="240" spans="1:26" ht="15.75" customHeight="1" x14ac:dyDescent="0.25">
      <c r="A240" s="6" t="s">
        <v>95</v>
      </c>
      <c r="B240" s="8"/>
      <c r="C240" s="8"/>
      <c r="D240" s="6" t="s">
        <v>195</v>
      </c>
      <c r="E240" s="8"/>
      <c r="F240" s="6" t="s">
        <v>116</v>
      </c>
      <c r="G240" s="6" t="s">
        <v>45</v>
      </c>
      <c r="H240" s="8"/>
      <c r="I240" s="8"/>
      <c r="J240" s="8"/>
      <c r="K240" s="8"/>
      <c r="L240" s="8"/>
      <c r="M240" s="8"/>
      <c r="N240" s="8"/>
      <c r="O240" s="8"/>
      <c r="P240" s="8"/>
      <c r="Q240" s="8"/>
      <c r="R240" s="8"/>
      <c r="S240" s="8"/>
      <c r="T240" s="8"/>
      <c r="U240" s="8"/>
      <c r="V240" s="8"/>
      <c r="W240" s="8"/>
      <c r="X240" s="8"/>
      <c r="Y240" s="8"/>
      <c r="Z240" s="8"/>
    </row>
    <row r="241" spans="1:26" ht="15.75" customHeight="1" x14ac:dyDescent="0.25">
      <c r="A241" s="6" t="s">
        <v>95</v>
      </c>
      <c r="B241" s="8"/>
      <c r="C241" s="8"/>
      <c r="D241" s="6" t="s">
        <v>195</v>
      </c>
      <c r="E241" s="8"/>
      <c r="F241" s="6" t="s">
        <v>116</v>
      </c>
      <c r="G241" s="6" t="s">
        <v>45</v>
      </c>
      <c r="H241" s="8"/>
      <c r="I241" s="8"/>
      <c r="J241" s="8"/>
      <c r="K241" s="8"/>
      <c r="L241" s="8"/>
      <c r="M241" s="8"/>
      <c r="N241" s="8"/>
      <c r="O241" s="8"/>
      <c r="P241" s="8"/>
      <c r="Q241" s="8"/>
      <c r="R241" s="8"/>
      <c r="S241" s="8"/>
      <c r="T241" s="8"/>
      <c r="U241" s="8"/>
      <c r="V241" s="8"/>
      <c r="W241" s="8"/>
      <c r="X241" s="8"/>
      <c r="Y241" s="8"/>
      <c r="Z241" s="8"/>
    </row>
    <row r="242" spans="1:26" ht="15.75" customHeight="1" x14ac:dyDescent="0.25">
      <c r="A242" s="6" t="s">
        <v>95</v>
      </c>
      <c r="B242" s="8"/>
      <c r="C242" s="8"/>
      <c r="D242" s="6" t="s">
        <v>195</v>
      </c>
      <c r="E242" s="8"/>
      <c r="F242" s="6" t="s">
        <v>116</v>
      </c>
      <c r="G242" s="6" t="s">
        <v>45</v>
      </c>
      <c r="H242" s="8"/>
      <c r="I242" s="8"/>
      <c r="J242" s="8"/>
      <c r="K242" s="8"/>
      <c r="L242" s="8"/>
      <c r="M242" s="8"/>
      <c r="N242" s="8"/>
      <c r="O242" s="8"/>
      <c r="P242" s="8"/>
      <c r="Q242" s="8"/>
      <c r="R242" s="8"/>
      <c r="S242" s="8"/>
      <c r="T242" s="8"/>
      <c r="U242" s="8"/>
      <c r="V242" s="8"/>
      <c r="W242" s="8"/>
      <c r="X242" s="8"/>
      <c r="Y242" s="8"/>
      <c r="Z242" s="8"/>
    </row>
    <row r="243" spans="1:26" ht="15.75" customHeight="1" x14ac:dyDescent="0.25">
      <c r="A243" s="6" t="s">
        <v>95</v>
      </c>
      <c r="B243" s="8"/>
      <c r="C243" s="8"/>
      <c r="D243" s="6" t="s">
        <v>195</v>
      </c>
      <c r="E243" s="8"/>
      <c r="F243" s="6" t="s">
        <v>116</v>
      </c>
      <c r="G243" s="6" t="s">
        <v>45</v>
      </c>
      <c r="H243" s="8"/>
      <c r="I243" s="8"/>
      <c r="J243" s="8"/>
      <c r="K243" s="8"/>
      <c r="L243" s="8"/>
      <c r="M243" s="8"/>
      <c r="N243" s="8"/>
      <c r="O243" s="8"/>
      <c r="P243" s="8"/>
      <c r="Q243" s="8"/>
      <c r="R243" s="8"/>
      <c r="S243" s="8"/>
      <c r="T243" s="8"/>
      <c r="U243" s="8"/>
      <c r="V243" s="8"/>
      <c r="W243" s="8"/>
      <c r="X243" s="8"/>
      <c r="Y243" s="8"/>
      <c r="Z243" s="8"/>
    </row>
    <row r="244" spans="1:26" ht="15.75" customHeight="1" x14ac:dyDescent="0.25">
      <c r="A244" s="6" t="s">
        <v>95</v>
      </c>
      <c r="B244" s="8"/>
      <c r="C244" s="8"/>
      <c r="D244" s="6" t="s">
        <v>195</v>
      </c>
      <c r="E244" s="8"/>
      <c r="F244" s="6" t="s">
        <v>116</v>
      </c>
      <c r="G244" s="6" t="s">
        <v>45</v>
      </c>
      <c r="H244" s="8"/>
      <c r="I244" s="8"/>
      <c r="J244" s="8"/>
      <c r="K244" s="8"/>
      <c r="L244" s="8"/>
      <c r="M244" s="8"/>
      <c r="N244" s="8"/>
      <c r="O244" s="8"/>
      <c r="P244" s="8"/>
      <c r="Q244" s="8"/>
      <c r="R244" s="8"/>
      <c r="S244" s="8"/>
      <c r="T244" s="8"/>
      <c r="U244" s="8"/>
      <c r="V244" s="8"/>
      <c r="W244" s="8"/>
      <c r="X244" s="8"/>
      <c r="Y244" s="8"/>
      <c r="Z244" s="8"/>
    </row>
    <row r="245" spans="1:26" ht="15.75" customHeight="1" x14ac:dyDescent="0.25">
      <c r="A245" s="6" t="s">
        <v>95</v>
      </c>
      <c r="B245" s="8"/>
      <c r="C245" s="8"/>
      <c r="D245" s="6" t="s">
        <v>195</v>
      </c>
      <c r="E245" s="8"/>
      <c r="F245" s="6" t="s">
        <v>116</v>
      </c>
      <c r="G245" s="6" t="s">
        <v>45</v>
      </c>
      <c r="H245" s="8"/>
      <c r="I245" s="8"/>
      <c r="J245" s="8"/>
      <c r="K245" s="8"/>
      <c r="L245" s="8"/>
      <c r="M245" s="8"/>
      <c r="N245" s="8"/>
      <c r="O245" s="8"/>
      <c r="P245" s="8"/>
      <c r="Q245" s="8"/>
      <c r="R245" s="8"/>
      <c r="S245" s="8"/>
      <c r="T245" s="8"/>
      <c r="U245" s="8"/>
      <c r="V245" s="8"/>
      <c r="W245" s="8"/>
      <c r="X245" s="8"/>
      <c r="Y245" s="8"/>
      <c r="Z245" s="8"/>
    </row>
    <row r="246" spans="1:26" ht="15.75" customHeight="1" x14ac:dyDescent="0.25">
      <c r="A246" s="6" t="s">
        <v>95</v>
      </c>
      <c r="B246" s="8"/>
      <c r="C246" s="8"/>
      <c r="D246" s="6" t="s">
        <v>195</v>
      </c>
      <c r="E246" s="8"/>
      <c r="F246" s="6" t="s">
        <v>116</v>
      </c>
      <c r="G246" s="6" t="s">
        <v>45</v>
      </c>
      <c r="H246" s="8"/>
      <c r="I246" s="8"/>
      <c r="J246" s="8"/>
      <c r="K246" s="8"/>
      <c r="L246" s="8"/>
      <c r="M246" s="8"/>
      <c r="N246" s="8"/>
      <c r="O246" s="8"/>
      <c r="P246" s="8"/>
      <c r="Q246" s="8"/>
      <c r="R246" s="8"/>
      <c r="S246" s="8"/>
      <c r="T246" s="8"/>
      <c r="U246" s="8"/>
      <c r="V246" s="8"/>
      <c r="W246" s="8"/>
      <c r="X246" s="8"/>
      <c r="Y246" s="8"/>
      <c r="Z246" s="8"/>
    </row>
    <row r="247" spans="1:26" ht="15.75" customHeight="1" x14ac:dyDescent="0.25">
      <c r="A247" s="6" t="s">
        <v>95</v>
      </c>
      <c r="B247" s="8"/>
      <c r="C247" s="8"/>
      <c r="D247" s="6" t="s">
        <v>195</v>
      </c>
      <c r="E247" s="8"/>
      <c r="F247" s="6" t="s">
        <v>116</v>
      </c>
      <c r="G247" s="6" t="s">
        <v>45</v>
      </c>
      <c r="H247" s="8"/>
      <c r="I247" s="8"/>
      <c r="J247" s="8"/>
      <c r="K247" s="8"/>
      <c r="L247" s="8"/>
      <c r="M247" s="8"/>
      <c r="N247" s="8"/>
      <c r="O247" s="8"/>
      <c r="P247" s="8"/>
      <c r="Q247" s="8"/>
      <c r="R247" s="8"/>
      <c r="S247" s="8"/>
      <c r="T247" s="8"/>
      <c r="U247" s="8"/>
      <c r="V247" s="8"/>
      <c r="W247" s="8"/>
      <c r="X247" s="8"/>
      <c r="Y247" s="8"/>
      <c r="Z247" s="8"/>
    </row>
    <row r="248" spans="1:26" ht="15.75" customHeight="1" x14ac:dyDescent="0.25">
      <c r="A248" s="6" t="s">
        <v>95</v>
      </c>
      <c r="B248" s="8"/>
      <c r="C248" s="8"/>
      <c r="D248" s="6" t="s">
        <v>195</v>
      </c>
      <c r="E248" s="8"/>
      <c r="F248" s="6" t="s">
        <v>116</v>
      </c>
      <c r="G248" s="6" t="s">
        <v>45</v>
      </c>
      <c r="H248" s="8"/>
      <c r="I248" s="8"/>
      <c r="J248" s="8"/>
      <c r="K248" s="8"/>
      <c r="L248" s="8"/>
      <c r="M248" s="8"/>
      <c r="N248" s="8"/>
      <c r="O248" s="8"/>
      <c r="P248" s="8"/>
      <c r="Q248" s="8"/>
      <c r="R248" s="8"/>
      <c r="S248" s="8"/>
      <c r="T248" s="8"/>
      <c r="U248" s="8"/>
      <c r="V248" s="8"/>
      <c r="W248" s="8"/>
      <c r="X248" s="8"/>
      <c r="Y248" s="8"/>
      <c r="Z248" s="8"/>
    </row>
    <row r="249" spans="1:26" ht="15.75" customHeight="1" x14ac:dyDescent="0.25">
      <c r="A249" s="6" t="s">
        <v>95</v>
      </c>
      <c r="B249" s="8"/>
      <c r="C249" s="8"/>
      <c r="D249" s="6" t="s">
        <v>195</v>
      </c>
      <c r="E249" s="8"/>
      <c r="F249" s="6" t="s">
        <v>116</v>
      </c>
      <c r="G249" s="6" t="s">
        <v>45</v>
      </c>
      <c r="H249" s="8"/>
      <c r="I249" s="8"/>
      <c r="J249" s="8"/>
      <c r="K249" s="8"/>
      <c r="L249" s="8"/>
      <c r="M249" s="8"/>
      <c r="N249" s="8"/>
      <c r="O249" s="8"/>
      <c r="P249" s="8"/>
      <c r="Q249" s="8"/>
      <c r="R249" s="8"/>
      <c r="S249" s="8"/>
      <c r="T249" s="8"/>
      <c r="U249" s="8"/>
      <c r="V249" s="8"/>
      <c r="W249" s="8"/>
      <c r="X249" s="8"/>
      <c r="Y249" s="8"/>
      <c r="Z249" s="8"/>
    </row>
    <row r="250" spans="1:26" ht="15.75" customHeight="1" x14ac:dyDescent="0.25">
      <c r="A250" s="6" t="s">
        <v>95</v>
      </c>
      <c r="B250" s="8"/>
      <c r="C250" s="8"/>
      <c r="D250" s="6" t="s">
        <v>195</v>
      </c>
      <c r="E250" s="8"/>
      <c r="F250" s="6" t="s">
        <v>116</v>
      </c>
      <c r="G250" s="6" t="s">
        <v>45</v>
      </c>
      <c r="H250" s="8"/>
      <c r="I250" s="8"/>
      <c r="J250" s="8"/>
      <c r="K250" s="8"/>
      <c r="L250" s="8"/>
      <c r="M250" s="8"/>
      <c r="N250" s="8"/>
      <c r="O250" s="8"/>
      <c r="P250" s="8"/>
      <c r="Q250" s="8"/>
      <c r="R250" s="8"/>
      <c r="S250" s="8"/>
      <c r="T250" s="8"/>
      <c r="U250" s="8"/>
      <c r="V250" s="8"/>
      <c r="W250" s="8"/>
      <c r="X250" s="8"/>
      <c r="Y250" s="8"/>
      <c r="Z250" s="8"/>
    </row>
    <row r="251" spans="1:26" ht="15.75" customHeight="1" x14ac:dyDescent="0.25">
      <c r="A251" s="6" t="s">
        <v>95</v>
      </c>
      <c r="B251" s="8"/>
      <c r="C251" s="8"/>
      <c r="D251" s="6" t="s">
        <v>195</v>
      </c>
      <c r="E251" s="8"/>
      <c r="F251" s="6" t="s">
        <v>116</v>
      </c>
      <c r="G251" s="6" t="s">
        <v>45</v>
      </c>
      <c r="H251" s="8"/>
      <c r="I251" s="8"/>
      <c r="J251" s="8"/>
      <c r="K251" s="8"/>
      <c r="L251" s="8"/>
      <c r="M251" s="8"/>
      <c r="N251" s="8"/>
      <c r="O251" s="8"/>
      <c r="P251" s="8"/>
      <c r="Q251" s="8"/>
      <c r="R251" s="8"/>
      <c r="S251" s="8"/>
      <c r="T251" s="8"/>
      <c r="U251" s="8"/>
      <c r="V251" s="8"/>
      <c r="W251" s="8"/>
      <c r="X251" s="8"/>
      <c r="Y251" s="8"/>
      <c r="Z251" s="8"/>
    </row>
    <row r="252" spans="1:26" ht="15.75" customHeight="1" x14ac:dyDescent="0.25">
      <c r="A252" s="6" t="s">
        <v>95</v>
      </c>
      <c r="B252" s="8"/>
      <c r="C252" s="8"/>
      <c r="D252" s="6" t="s">
        <v>195</v>
      </c>
      <c r="E252" s="8"/>
      <c r="F252" s="6" t="s">
        <v>116</v>
      </c>
      <c r="G252" s="6" t="s">
        <v>45</v>
      </c>
      <c r="H252" s="8"/>
      <c r="I252" s="8"/>
      <c r="J252" s="8"/>
      <c r="K252" s="8"/>
      <c r="L252" s="8"/>
      <c r="M252" s="8"/>
      <c r="N252" s="8"/>
      <c r="O252" s="8"/>
      <c r="P252" s="8"/>
      <c r="Q252" s="8"/>
      <c r="R252" s="8"/>
      <c r="S252" s="8"/>
      <c r="T252" s="8"/>
      <c r="U252" s="8"/>
      <c r="V252" s="8"/>
      <c r="W252" s="8"/>
      <c r="X252" s="8"/>
      <c r="Y252" s="8"/>
      <c r="Z252" s="8"/>
    </row>
    <row r="253" spans="1:26" ht="15.75" customHeight="1" x14ac:dyDescent="0.25">
      <c r="A253" s="6" t="s">
        <v>95</v>
      </c>
      <c r="B253" s="8"/>
      <c r="C253" s="8"/>
      <c r="D253" s="6" t="s">
        <v>195</v>
      </c>
      <c r="E253" s="8"/>
      <c r="F253" s="6" t="s">
        <v>116</v>
      </c>
      <c r="G253" s="6" t="s">
        <v>45</v>
      </c>
      <c r="H253" s="8"/>
      <c r="I253" s="8"/>
      <c r="J253" s="8"/>
      <c r="K253" s="8"/>
      <c r="L253" s="8"/>
      <c r="M253" s="8"/>
      <c r="N253" s="8"/>
      <c r="O253" s="8"/>
      <c r="P253" s="8"/>
      <c r="Q253" s="8"/>
      <c r="R253" s="8"/>
      <c r="S253" s="8"/>
      <c r="T253" s="8"/>
      <c r="U253" s="8"/>
      <c r="V253" s="8"/>
      <c r="W253" s="8"/>
      <c r="X253" s="8"/>
      <c r="Y253" s="8"/>
      <c r="Z253" s="8"/>
    </row>
    <row r="254" spans="1:26" ht="15.75" customHeight="1" x14ac:dyDescent="0.25">
      <c r="A254" s="6" t="s">
        <v>95</v>
      </c>
      <c r="B254" s="8"/>
      <c r="C254" s="8"/>
      <c r="D254" s="6" t="s">
        <v>195</v>
      </c>
      <c r="E254" s="8"/>
      <c r="F254" s="6" t="s">
        <v>116</v>
      </c>
      <c r="G254" s="6" t="s">
        <v>45</v>
      </c>
      <c r="H254" s="8"/>
      <c r="I254" s="8"/>
      <c r="J254" s="8"/>
      <c r="K254" s="8"/>
      <c r="L254" s="8"/>
      <c r="M254" s="8"/>
      <c r="N254" s="8"/>
      <c r="O254" s="8"/>
      <c r="P254" s="8"/>
      <c r="Q254" s="8"/>
      <c r="R254" s="8"/>
      <c r="S254" s="8"/>
      <c r="T254" s="8"/>
      <c r="U254" s="8"/>
      <c r="V254" s="8"/>
      <c r="W254" s="8"/>
      <c r="X254" s="8"/>
      <c r="Y254" s="8"/>
      <c r="Z254" s="8"/>
    </row>
    <row r="255" spans="1:26" ht="15.75" customHeight="1" x14ac:dyDescent="0.25">
      <c r="A255" s="6" t="s">
        <v>95</v>
      </c>
      <c r="B255" s="8"/>
      <c r="C255" s="8"/>
      <c r="D255" s="6" t="s">
        <v>195</v>
      </c>
      <c r="E255" s="8"/>
      <c r="F255" s="6" t="s">
        <v>116</v>
      </c>
      <c r="G255" s="6" t="s">
        <v>45</v>
      </c>
      <c r="H255" s="8"/>
      <c r="I255" s="8"/>
      <c r="J255" s="8"/>
      <c r="K255" s="8"/>
      <c r="L255" s="8"/>
      <c r="M255" s="8"/>
      <c r="N255" s="8"/>
      <c r="O255" s="8"/>
      <c r="P255" s="8"/>
      <c r="Q255" s="8"/>
      <c r="R255" s="8"/>
      <c r="S255" s="8"/>
      <c r="T255" s="8"/>
      <c r="U255" s="8"/>
      <c r="V255" s="8"/>
      <c r="W255" s="8"/>
      <c r="X255" s="8"/>
      <c r="Y255" s="8"/>
      <c r="Z255" s="8"/>
    </row>
    <row r="256" spans="1:26" ht="15.75" customHeight="1" x14ac:dyDescent="0.25">
      <c r="A256" s="6" t="s">
        <v>95</v>
      </c>
      <c r="B256" s="8"/>
      <c r="C256" s="8"/>
      <c r="D256" s="6" t="s">
        <v>195</v>
      </c>
      <c r="E256" s="8"/>
      <c r="F256" s="6" t="s">
        <v>116</v>
      </c>
      <c r="G256" s="6" t="s">
        <v>45</v>
      </c>
      <c r="H256" s="8"/>
      <c r="I256" s="8"/>
      <c r="J256" s="8"/>
      <c r="K256" s="8"/>
      <c r="L256" s="8"/>
      <c r="M256" s="8"/>
      <c r="N256" s="8"/>
      <c r="O256" s="8"/>
      <c r="P256" s="8"/>
      <c r="Q256" s="8"/>
      <c r="R256" s="8"/>
      <c r="S256" s="8"/>
      <c r="T256" s="8"/>
      <c r="U256" s="8"/>
      <c r="V256" s="8"/>
      <c r="W256" s="8"/>
      <c r="X256" s="8"/>
      <c r="Y256" s="8"/>
      <c r="Z256" s="8"/>
    </row>
    <row r="257" spans="1:26" ht="15.75" customHeight="1" x14ac:dyDescent="0.25">
      <c r="A257" s="6" t="s">
        <v>95</v>
      </c>
      <c r="B257" s="8"/>
      <c r="C257" s="8"/>
      <c r="D257" s="6" t="s">
        <v>195</v>
      </c>
      <c r="E257" s="8"/>
      <c r="F257" s="6" t="s">
        <v>116</v>
      </c>
      <c r="G257" s="6" t="s">
        <v>45</v>
      </c>
      <c r="H257" s="8"/>
      <c r="I257" s="8"/>
      <c r="J257" s="8"/>
      <c r="K257" s="8"/>
      <c r="L257" s="8"/>
      <c r="M257" s="8"/>
      <c r="N257" s="8"/>
      <c r="O257" s="8"/>
      <c r="P257" s="8"/>
      <c r="Q257" s="8"/>
      <c r="R257" s="8"/>
      <c r="S257" s="8"/>
      <c r="T257" s="8"/>
      <c r="U257" s="8"/>
      <c r="V257" s="8"/>
      <c r="W257" s="8"/>
      <c r="X257" s="8"/>
      <c r="Y257" s="8"/>
      <c r="Z257" s="8"/>
    </row>
    <row r="258" spans="1:26" ht="15.75" customHeight="1" x14ac:dyDescent="0.25">
      <c r="A258" s="6" t="s">
        <v>95</v>
      </c>
      <c r="B258" s="8"/>
      <c r="C258" s="8"/>
      <c r="D258" s="6" t="s">
        <v>195</v>
      </c>
      <c r="E258" s="8"/>
      <c r="F258" s="6" t="s">
        <v>116</v>
      </c>
      <c r="G258" s="6" t="s">
        <v>45</v>
      </c>
      <c r="H258" s="8"/>
      <c r="I258" s="8"/>
      <c r="J258" s="8"/>
      <c r="K258" s="8"/>
      <c r="L258" s="8"/>
      <c r="M258" s="8"/>
      <c r="N258" s="8"/>
      <c r="O258" s="8"/>
      <c r="P258" s="8"/>
      <c r="Q258" s="8"/>
      <c r="R258" s="8"/>
      <c r="S258" s="8"/>
      <c r="T258" s="8"/>
      <c r="U258" s="8"/>
      <c r="V258" s="8"/>
      <c r="W258" s="8"/>
      <c r="X258" s="8"/>
      <c r="Y258" s="8"/>
      <c r="Z258" s="8"/>
    </row>
    <row r="259" spans="1:26" ht="15.75" customHeight="1" x14ac:dyDescent="0.25">
      <c r="A259" s="6" t="s">
        <v>95</v>
      </c>
      <c r="B259" s="8"/>
      <c r="C259" s="8"/>
      <c r="D259" s="6" t="s">
        <v>195</v>
      </c>
      <c r="E259" s="8"/>
      <c r="F259" s="6" t="s">
        <v>116</v>
      </c>
      <c r="G259" s="6" t="s">
        <v>45</v>
      </c>
      <c r="H259" s="8"/>
      <c r="I259" s="8"/>
      <c r="J259" s="8"/>
      <c r="K259" s="8"/>
      <c r="L259" s="8"/>
      <c r="M259" s="8"/>
      <c r="N259" s="8"/>
      <c r="O259" s="8"/>
      <c r="P259" s="8"/>
      <c r="Q259" s="8"/>
      <c r="R259" s="8"/>
      <c r="S259" s="8"/>
      <c r="T259" s="8"/>
      <c r="U259" s="8"/>
      <c r="V259" s="8"/>
      <c r="W259" s="8"/>
      <c r="X259" s="8"/>
      <c r="Y259" s="8"/>
      <c r="Z259" s="8"/>
    </row>
    <row r="260" spans="1:26" ht="15.75" customHeight="1" x14ac:dyDescent="0.25">
      <c r="A260" s="6" t="s">
        <v>95</v>
      </c>
      <c r="B260" s="8"/>
      <c r="C260" s="8"/>
      <c r="D260" s="6" t="s">
        <v>195</v>
      </c>
      <c r="E260" s="8"/>
      <c r="F260" s="6" t="s">
        <v>116</v>
      </c>
      <c r="G260" s="6" t="s">
        <v>45</v>
      </c>
      <c r="H260" s="8"/>
      <c r="I260" s="8"/>
      <c r="J260" s="8"/>
      <c r="K260" s="8"/>
      <c r="L260" s="8"/>
      <c r="M260" s="8"/>
      <c r="N260" s="8"/>
      <c r="O260" s="8"/>
      <c r="P260" s="8"/>
      <c r="Q260" s="8"/>
      <c r="R260" s="8"/>
      <c r="S260" s="8"/>
      <c r="T260" s="8"/>
      <c r="U260" s="8"/>
      <c r="V260" s="8"/>
      <c r="W260" s="8"/>
      <c r="X260" s="8"/>
      <c r="Y260" s="8"/>
      <c r="Z260" s="8"/>
    </row>
    <row r="261" spans="1:26" ht="15.75" customHeight="1" x14ac:dyDescent="0.25">
      <c r="A261" s="6" t="s">
        <v>95</v>
      </c>
      <c r="B261" s="8"/>
      <c r="C261" s="8"/>
      <c r="D261" s="6" t="s">
        <v>195</v>
      </c>
      <c r="E261" s="8"/>
      <c r="F261" s="6" t="s">
        <v>116</v>
      </c>
      <c r="G261" s="6" t="s">
        <v>45</v>
      </c>
      <c r="H261" s="8"/>
      <c r="I261" s="8"/>
      <c r="J261" s="8"/>
      <c r="K261" s="8"/>
      <c r="L261" s="8"/>
      <c r="M261" s="8"/>
      <c r="N261" s="8"/>
      <c r="O261" s="8"/>
      <c r="P261" s="8"/>
      <c r="Q261" s="8"/>
      <c r="R261" s="8"/>
      <c r="S261" s="8"/>
      <c r="T261" s="8"/>
      <c r="U261" s="8"/>
      <c r="V261" s="8"/>
      <c r="W261" s="8"/>
      <c r="X261" s="8"/>
      <c r="Y261" s="8"/>
      <c r="Z261" s="8"/>
    </row>
    <row r="262" spans="1:26" ht="15.75" customHeight="1" x14ac:dyDescent="0.25">
      <c r="A262" s="6" t="s">
        <v>95</v>
      </c>
      <c r="B262" s="8"/>
      <c r="C262" s="8"/>
      <c r="D262" s="6" t="s">
        <v>195</v>
      </c>
      <c r="E262" s="8"/>
      <c r="F262" s="6" t="s">
        <v>116</v>
      </c>
      <c r="G262" s="6" t="s">
        <v>45</v>
      </c>
      <c r="H262" s="8"/>
      <c r="I262" s="8"/>
      <c r="J262" s="8"/>
      <c r="K262" s="8"/>
      <c r="L262" s="8"/>
      <c r="M262" s="8"/>
      <c r="N262" s="8"/>
      <c r="O262" s="8"/>
      <c r="P262" s="8"/>
      <c r="Q262" s="8"/>
      <c r="R262" s="8"/>
      <c r="S262" s="8"/>
      <c r="T262" s="8"/>
      <c r="U262" s="8"/>
      <c r="V262" s="8"/>
      <c r="W262" s="8"/>
      <c r="X262" s="8"/>
      <c r="Y262" s="8"/>
      <c r="Z262" s="8"/>
    </row>
    <row r="263" spans="1:26" ht="15.75" customHeight="1" x14ac:dyDescent="0.25">
      <c r="A263" s="6" t="s">
        <v>95</v>
      </c>
      <c r="B263" s="8"/>
      <c r="C263" s="8"/>
      <c r="D263" s="6" t="s">
        <v>195</v>
      </c>
      <c r="E263" s="8"/>
      <c r="F263" s="6" t="s">
        <v>116</v>
      </c>
      <c r="G263" s="6" t="s">
        <v>45</v>
      </c>
      <c r="H263" s="8"/>
      <c r="I263" s="8"/>
      <c r="J263" s="8"/>
      <c r="K263" s="8"/>
      <c r="L263" s="8"/>
      <c r="M263" s="8"/>
      <c r="N263" s="8"/>
      <c r="O263" s="8"/>
      <c r="P263" s="8"/>
      <c r="Q263" s="8"/>
      <c r="R263" s="8"/>
      <c r="S263" s="8"/>
      <c r="T263" s="8"/>
      <c r="U263" s="8"/>
      <c r="V263" s="8"/>
      <c r="W263" s="8"/>
      <c r="X263" s="8"/>
      <c r="Y263" s="8"/>
      <c r="Z263" s="8"/>
    </row>
    <row r="264" spans="1:26" ht="15.75" customHeight="1" x14ac:dyDescent="0.25">
      <c r="A264" s="6" t="s">
        <v>95</v>
      </c>
      <c r="B264" s="8"/>
      <c r="C264" s="8"/>
      <c r="D264" s="6" t="s">
        <v>195</v>
      </c>
      <c r="E264" s="8"/>
      <c r="F264" s="6" t="s">
        <v>116</v>
      </c>
      <c r="G264" s="6" t="s">
        <v>45</v>
      </c>
      <c r="H264" s="8"/>
      <c r="I264" s="8"/>
      <c r="J264" s="8"/>
      <c r="K264" s="8"/>
      <c r="L264" s="8"/>
      <c r="M264" s="8"/>
      <c r="N264" s="8"/>
      <c r="O264" s="8"/>
      <c r="P264" s="8"/>
      <c r="Q264" s="8"/>
      <c r="R264" s="8"/>
      <c r="S264" s="8"/>
      <c r="T264" s="8"/>
      <c r="U264" s="8"/>
      <c r="V264" s="8"/>
      <c r="W264" s="8"/>
      <c r="X264" s="8"/>
      <c r="Y264" s="8"/>
      <c r="Z264" s="8"/>
    </row>
    <row r="265" spans="1:26" ht="15.75" customHeight="1" x14ac:dyDescent="0.25">
      <c r="A265" s="6" t="s">
        <v>95</v>
      </c>
      <c r="B265" s="8"/>
      <c r="C265" s="8"/>
      <c r="D265" s="6" t="s">
        <v>195</v>
      </c>
      <c r="E265" s="8"/>
      <c r="F265" s="6" t="s">
        <v>116</v>
      </c>
      <c r="G265" s="6" t="s">
        <v>45</v>
      </c>
      <c r="H265" s="8"/>
      <c r="I265" s="8"/>
      <c r="J265" s="8"/>
      <c r="K265" s="8"/>
      <c r="L265" s="8"/>
      <c r="M265" s="8"/>
      <c r="N265" s="8"/>
      <c r="O265" s="8"/>
      <c r="P265" s="8"/>
      <c r="Q265" s="8"/>
      <c r="R265" s="8"/>
      <c r="S265" s="8"/>
      <c r="T265" s="8"/>
      <c r="U265" s="8"/>
      <c r="V265" s="8"/>
      <c r="W265" s="8"/>
      <c r="X265" s="8"/>
      <c r="Y265" s="8"/>
      <c r="Z265" s="8"/>
    </row>
    <row r="266" spans="1:26" ht="15.75" customHeight="1" x14ac:dyDescent="0.25">
      <c r="A266" s="6" t="s">
        <v>95</v>
      </c>
      <c r="B266" s="8"/>
      <c r="C266" s="8"/>
      <c r="D266" s="6" t="s">
        <v>195</v>
      </c>
      <c r="E266" s="8"/>
      <c r="F266" s="6" t="s">
        <v>116</v>
      </c>
      <c r="G266" s="6" t="s">
        <v>45</v>
      </c>
      <c r="H266" s="8"/>
      <c r="I266" s="8"/>
      <c r="J266" s="8"/>
      <c r="K266" s="8"/>
      <c r="L266" s="8"/>
      <c r="M266" s="8"/>
      <c r="N266" s="8"/>
      <c r="O266" s="8"/>
      <c r="P266" s="8"/>
      <c r="Q266" s="8"/>
      <c r="R266" s="8"/>
      <c r="S266" s="8"/>
      <c r="T266" s="8"/>
      <c r="U266" s="8"/>
      <c r="V266" s="8"/>
      <c r="W266" s="8"/>
      <c r="X266" s="8"/>
      <c r="Y266" s="8"/>
      <c r="Z266" s="8"/>
    </row>
    <row r="267" spans="1:26" ht="15.75" customHeight="1" x14ac:dyDescent="0.25">
      <c r="A267" s="6" t="s">
        <v>95</v>
      </c>
      <c r="B267" s="8"/>
      <c r="C267" s="8"/>
      <c r="D267" s="6" t="s">
        <v>195</v>
      </c>
      <c r="E267" s="8"/>
      <c r="F267" s="6" t="s">
        <v>116</v>
      </c>
      <c r="G267" s="6" t="s">
        <v>45</v>
      </c>
      <c r="H267" s="8"/>
      <c r="I267" s="8"/>
      <c r="J267" s="8"/>
      <c r="K267" s="8"/>
      <c r="L267" s="8"/>
      <c r="M267" s="8"/>
      <c r="N267" s="8"/>
      <c r="O267" s="8"/>
      <c r="P267" s="8"/>
      <c r="Q267" s="8"/>
      <c r="R267" s="8"/>
      <c r="S267" s="8"/>
      <c r="T267" s="8"/>
      <c r="U267" s="8"/>
      <c r="V267" s="8"/>
      <c r="W267" s="8"/>
      <c r="X267" s="8"/>
      <c r="Y267" s="8"/>
      <c r="Z267" s="8"/>
    </row>
    <row r="268" spans="1:26" ht="15.75" customHeight="1" x14ac:dyDescent="0.25">
      <c r="A268" s="6" t="s">
        <v>95</v>
      </c>
      <c r="B268" s="8"/>
      <c r="C268" s="8"/>
      <c r="D268" s="6" t="s">
        <v>195</v>
      </c>
      <c r="E268" s="8"/>
      <c r="F268" s="6" t="s">
        <v>116</v>
      </c>
      <c r="G268" s="6" t="s">
        <v>45</v>
      </c>
      <c r="H268" s="8"/>
      <c r="I268" s="8"/>
      <c r="J268" s="8"/>
      <c r="K268" s="8"/>
      <c r="L268" s="8"/>
      <c r="M268" s="8"/>
      <c r="N268" s="8"/>
      <c r="O268" s="8"/>
      <c r="P268" s="8"/>
      <c r="Q268" s="8"/>
      <c r="R268" s="8"/>
      <c r="S268" s="8"/>
      <c r="T268" s="8"/>
      <c r="U268" s="8"/>
      <c r="V268" s="8"/>
      <c r="W268" s="8"/>
      <c r="X268" s="8"/>
      <c r="Y268" s="8"/>
      <c r="Z268" s="8"/>
    </row>
    <row r="269" spans="1:26" ht="15.75" customHeight="1" x14ac:dyDescent="0.25">
      <c r="A269" s="6" t="s">
        <v>95</v>
      </c>
      <c r="B269" s="8"/>
      <c r="C269" s="8"/>
      <c r="D269" s="6" t="s">
        <v>195</v>
      </c>
      <c r="E269" s="8"/>
      <c r="F269" s="6" t="s">
        <v>116</v>
      </c>
      <c r="G269" s="6" t="s">
        <v>45</v>
      </c>
      <c r="H269" s="8"/>
      <c r="I269" s="8"/>
      <c r="J269" s="8"/>
      <c r="K269" s="8"/>
      <c r="L269" s="8"/>
      <c r="M269" s="8"/>
      <c r="N269" s="8"/>
      <c r="O269" s="8"/>
      <c r="P269" s="8"/>
      <c r="Q269" s="8"/>
      <c r="R269" s="8"/>
      <c r="S269" s="8"/>
      <c r="T269" s="8"/>
      <c r="U269" s="8"/>
      <c r="V269" s="8"/>
      <c r="W269" s="8"/>
      <c r="X269" s="8"/>
      <c r="Y269" s="8"/>
      <c r="Z269" s="8"/>
    </row>
    <row r="270" spans="1:26" ht="15.75" customHeight="1" x14ac:dyDescent="0.25">
      <c r="A270" s="6" t="s">
        <v>95</v>
      </c>
      <c r="B270" s="8"/>
      <c r="C270" s="8"/>
      <c r="D270" s="6" t="s">
        <v>195</v>
      </c>
      <c r="E270" s="8"/>
      <c r="F270" s="6" t="s">
        <v>116</v>
      </c>
      <c r="G270" s="6" t="s">
        <v>45</v>
      </c>
      <c r="H270" s="8"/>
      <c r="I270" s="8"/>
      <c r="J270" s="8"/>
      <c r="K270" s="8"/>
      <c r="L270" s="8"/>
      <c r="M270" s="8"/>
      <c r="N270" s="8"/>
      <c r="O270" s="8"/>
      <c r="P270" s="8"/>
      <c r="Q270" s="8"/>
      <c r="R270" s="8"/>
      <c r="S270" s="8"/>
      <c r="T270" s="8"/>
      <c r="U270" s="8"/>
      <c r="V270" s="8"/>
      <c r="W270" s="8"/>
      <c r="X270" s="8"/>
      <c r="Y270" s="8"/>
      <c r="Z270" s="8"/>
    </row>
    <row r="271" spans="1:26" ht="15.75" customHeight="1" x14ac:dyDescent="0.25">
      <c r="A271" s="6" t="s">
        <v>95</v>
      </c>
      <c r="B271" s="8"/>
      <c r="C271" s="8"/>
      <c r="D271" s="6" t="s">
        <v>195</v>
      </c>
      <c r="E271" s="8"/>
      <c r="F271" s="6" t="s">
        <v>116</v>
      </c>
      <c r="G271" s="6" t="s">
        <v>45</v>
      </c>
      <c r="H271" s="8"/>
      <c r="I271" s="8"/>
      <c r="J271" s="8"/>
      <c r="K271" s="8"/>
      <c r="L271" s="8"/>
      <c r="M271" s="8"/>
      <c r="N271" s="8"/>
      <c r="O271" s="8"/>
      <c r="P271" s="8"/>
      <c r="Q271" s="8"/>
      <c r="R271" s="8"/>
      <c r="S271" s="8"/>
      <c r="T271" s="8"/>
      <c r="U271" s="8"/>
      <c r="V271" s="8"/>
      <c r="W271" s="8"/>
      <c r="X271" s="8"/>
      <c r="Y271" s="8"/>
      <c r="Z271" s="8"/>
    </row>
    <row r="272" spans="1:26" ht="15.75" customHeight="1" x14ac:dyDescent="0.25">
      <c r="A272" s="6" t="s">
        <v>95</v>
      </c>
      <c r="B272" s="8"/>
      <c r="C272" s="8"/>
      <c r="D272" s="6" t="s">
        <v>195</v>
      </c>
      <c r="E272" s="8"/>
      <c r="F272" s="6" t="s">
        <v>116</v>
      </c>
      <c r="G272" s="6" t="s">
        <v>45</v>
      </c>
      <c r="H272" s="8"/>
      <c r="I272" s="8"/>
      <c r="J272" s="8"/>
      <c r="K272" s="8"/>
      <c r="L272" s="8"/>
      <c r="M272" s="8"/>
      <c r="N272" s="8"/>
      <c r="O272" s="8"/>
      <c r="P272" s="8"/>
      <c r="Q272" s="8"/>
      <c r="R272" s="8"/>
      <c r="S272" s="8"/>
      <c r="T272" s="8"/>
      <c r="U272" s="8"/>
      <c r="V272" s="8"/>
      <c r="W272" s="8"/>
      <c r="X272" s="8"/>
      <c r="Y272" s="8"/>
      <c r="Z272" s="8"/>
    </row>
    <row r="273" spans="1:26" ht="15.75" customHeight="1" x14ac:dyDescent="0.25">
      <c r="A273" s="6" t="s">
        <v>95</v>
      </c>
      <c r="B273" s="8"/>
      <c r="C273" s="8"/>
      <c r="D273" s="6" t="s">
        <v>195</v>
      </c>
      <c r="E273" s="8"/>
      <c r="F273" s="6" t="s">
        <v>116</v>
      </c>
      <c r="G273" s="6" t="s">
        <v>45</v>
      </c>
      <c r="H273" s="8"/>
      <c r="I273" s="8"/>
      <c r="J273" s="8"/>
      <c r="K273" s="8"/>
      <c r="L273" s="8"/>
      <c r="M273" s="8"/>
      <c r="N273" s="8"/>
      <c r="O273" s="8"/>
      <c r="P273" s="8"/>
      <c r="Q273" s="8"/>
      <c r="R273" s="8"/>
      <c r="S273" s="8"/>
      <c r="T273" s="8"/>
      <c r="U273" s="8"/>
      <c r="V273" s="8"/>
      <c r="W273" s="8"/>
      <c r="X273" s="8"/>
      <c r="Y273" s="8"/>
      <c r="Z273" s="8"/>
    </row>
    <row r="274" spans="1:26" ht="15.75" customHeight="1" x14ac:dyDescent="0.25">
      <c r="A274" s="6" t="s">
        <v>95</v>
      </c>
      <c r="B274" s="8"/>
      <c r="C274" s="8"/>
      <c r="D274" s="6" t="s">
        <v>195</v>
      </c>
      <c r="E274" s="8"/>
      <c r="F274" s="6" t="s">
        <v>116</v>
      </c>
      <c r="G274" s="6" t="s">
        <v>45</v>
      </c>
      <c r="H274" s="8"/>
      <c r="I274" s="8"/>
      <c r="J274" s="8"/>
      <c r="K274" s="8"/>
      <c r="L274" s="8"/>
      <c r="M274" s="8"/>
      <c r="N274" s="8"/>
      <c r="O274" s="8"/>
      <c r="P274" s="8"/>
      <c r="Q274" s="8"/>
      <c r="R274" s="8"/>
      <c r="S274" s="8"/>
      <c r="T274" s="8"/>
      <c r="U274" s="8"/>
      <c r="V274" s="8"/>
      <c r="W274" s="8"/>
      <c r="X274" s="8"/>
      <c r="Y274" s="8"/>
      <c r="Z274" s="8"/>
    </row>
    <row r="275" spans="1:26" ht="15.75" customHeight="1" x14ac:dyDescent="0.25">
      <c r="A275" s="6" t="s">
        <v>95</v>
      </c>
      <c r="B275" s="8"/>
      <c r="C275" s="8"/>
      <c r="D275" s="6" t="s">
        <v>195</v>
      </c>
      <c r="E275" s="8"/>
      <c r="F275" s="6" t="s">
        <v>116</v>
      </c>
      <c r="G275" s="6" t="s">
        <v>45</v>
      </c>
      <c r="H275" s="8"/>
      <c r="I275" s="8"/>
      <c r="J275" s="8"/>
      <c r="K275" s="8"/>
      <c r="L275" s="8"/>
      <c r="M275" s="8"/>
      <c r="N275" s="8"/>
      <c r="O275" s="8"/>
      <c r="P275" s="8"/>
      <c r="Q275" s="8"/>
      <c r="R275" s="8"/>
      <c r="S275" s="8"/>
      <c r="T275" s="8"/>
      <c r="U275" s="8"/>
      <c r="V275" s="8"/>
      <c r="W275" s="8"/>
      <c r="X275" s="8"/>
      <c r="Y275" s="8"/>
      <c r="Z275" s="8"/>
    </row>
    <row r="276" spans="1:26" ht="15.75" customHeight="1" x14ac:dyDescent="0.25">
      <c r="A276" s="6" t="s">
        <v>95</v>
      </c>
      <c r="B276" s="8"/>
      <c r="C276" s="8"/>
      <c r="D276" s="6" t="s">
        <v>195</v>
      </c>
      <c r="E276" s="8"/>
      <c r="F276" s="6" t="s">
        <v>116</v>
      </c>
      <c r="G276" s="6" t="s">
        <v>45</v>
      </c>
      <c r="H276" s="8"/>
      <c r="I276" s="8"/>
      <c r="J276" s="8"/>
      <c r="K276" s="8"/>
      <c r="L276" s="8"/>
      <c r="M276" s="8"/>
      <c r="N276" s="8"/>
      <c r="O276" s="8"/>
      <c r="P276" s="8"/>
      <c r="Q276" s="8"/>
      <c r="R276" s="8"/>
      <c r="S276" s="8"/>
      <c r="T276" s="8"/>
      <c r="U276" s="8"/>
      <c r="V276" s="8"/>
      <c r="W276" s="8"/>
      <c r="X276" s="8"/>
      <c r="Y276" s="8"/>
      <c r="Z276" s="8"/>
    </row>
    <row r="277" spans="1:26" ht="15.75" customHeight="1" x14ac:dyDescent="0.25">
      <c r="A277" s="6" t="s">
        <v>95</v>
      </c>
      <c r="B277" s="8"/>
      <c r="C277" s="8"/>
      <c r="D277" s="6" t="s">
        <v>195</v>
      </c>
      <c r="E277" s="8"/>
      <c r="F277" s="6" t="s">
        <v>116</v>
      </c>
      <c r="G277" s="6" t="s">
        <v>45</v>
      </c>
      <c r="H277" s="8"/>
      <c r="I277" s="8"/>
      <c r="J277" s="8"/>
      <c r="K277" s="8"/>
      <c r="L277" s="8"/>
      <c r="M277" s="8"/>
      <c r="N277" s="8"/>
      <c r="O277" s="8"/>
      <c r="P277" s="8"/>
      <c r="Q277" s="8"/>
      <c r="R277" s="8"/>
      <c r="S277" s="8"/>
      <c r="T277" s="8"/>
      <c r="U277" s="8"/>
      <c r="V277" s="8"/>
      <c r="W277" s="8"/>
      <c r="X277" s="8"/>
      <c r="Y277" s="8"/>
      <c r="Z277" s="8"/>
    </row>
    <row r="278" spans="1:26" ht="15.75" customHeight="1" x14ac:dyDescent="0.25">
      <c r="A278" s="6" t="s">
        <v>95</v>
      </c>
      <c r="B278" s="8"/>
      <c r="C278" s="8"/>
      <c r="D278" s="6" t="s">
        <v>195</v>
      </c>
      <c r="E278" s="8"/>
      <c r="F278" s="6" t="s">
        <v>116</v>
      </c>
      <c r="G278" s="6" t="s">
        <v>45</v>
      </c>
      <c r="H278" s="8"/>
      <c r="I278" s="8"/>
      <c r="J278" s="8"/>
      <c r="K278" s="8"/>
      <c r="L278" s="8"/>
      <c r="M278" s="8"/>
      <c r="N278" s="8"/>
      <c r="O278" s="8"/>
      <c r="P278" s="8"/>
      <c r="Q278" s="8"/>
      <c r="R278" s="8"/>
      <c r="S278" s="8"/>
      <c r="T278" s="8"/>
      <c r="U278" s="8"/>
      <c r="V278" s="8"/>
      <c r="W278" s="8"/>
      <c r="X278" s="8"/>
      <c r="Y278" s="8"/>
      <c r="Z278" s="8"/>
    </row>
    <row r="279" spans="1:26" ht="15.75" customHeight="1" x14ac:dyDescent="0.25">
      <c r="A279" s="6" t="s">
        <v>95</v>
      </c>
      <c r="B279" s="8"/>
      <c r="C279" s="8"/>
      <c r="D279" s="6" t="s">
        <v>195</v>
      </c>
      <c r="E279" s="8"/>
      <c r="F279" s="6" t="s">
        <v>116</v>
      </c>
      <c r="G279" s="6" t="s">
        <v>45</v>
      </c>
      <c r="H279" s="8"/>
      <c r="I279" s="8"/>
      <c r="J279" s="8"/>
      <c r="K279" s="8"/>
      <c r="L279" s="8"/>
      <c r="M279" s="8"/>
      <c r="N279" s="8"/>
      <c r="O279" s="8"/>
      <c r="P279" s="8"/>
      <c r="Q279" s="8"/>
      <c r="R279" s="8"/>
      <c r="S279" s="8"/>
      <c r="T279" s="8"/>
      <c r="U279" s="8"/>
      <c r="V279" s="8"/>
      <c r="W279" s="8"/>
      <c r="X279" s="8"/>
      <c r="Y279" s="8"/>
      <c r="Z279" s="8"/>
    </row>
    <row r="280" spans="1:26" ht="15.75" customHeight="1" x14ac:dyDescent="0.25">
      <c r="A280" s="6" t="s">
        <v>95</v>
      </c>
      <c r="B280" s="8"/>
      <c r="C280" s="8"/>
      <c r="D280" s="6" t="s">
        <v>195</v>
      </c>
      <c r="E280" s="8"/>
      <c r="F280" s="6" t="s">
        <v>116</v>
      </c>
      <c r="G280" s="6" t="s">
        <v>45</v>
      </c>
      <c r="H280" s="8"/>
      <c r="I280" s="8"/>
      <c r="J280" s="8"/>
      <c r="K280" s="8"/>
      <c r="L280" s="8"/>
      <c r="M280" s="8"/>
      <c r="N280" s="8"/>
      <c r="O280" s="8"/>
      <c r="P280" s="8"/>
      <c r="Q280" s="8"/>
      <c r="R280" s="8"/>
      <c r="S280" s="8"/>
      <c r="T280" s="8"/>
      <c r="U280" s="8"/>
      <c r="V280" s="8"/>
      <c r="W280" s="8"/>
      <c r="X280" s="8"/>
      <c r="Y280" s="8"/>
      <c r="Z280" s="8"/>
    </row>
    <row r="281" spans="1:26" ht="15.75" customHeight="1" x14ac:dyDescent="0.25">
      <c r="A281" s="6" t="s">
        <v>95</v>
      </c>
      <c r="B281" s="8"/>
      <c r="C281" s="8"/>
      <c r="D281" s="8"/>
      <c r="E281" s="8"/>
      <c r="F281" s="6" t="s">
        <v>116</v>
      </c>
      <c r="G281" s="6" t="s">
        <v>45</v>
      </c>
      <c r="H281" s="8"/>
      <c r="I281" s="8"/>
      <c r="J281" s="8"/>
      <c r="K281" s="8"/>
      <c r="L281" s="8"/>
      <c r="M281" s="8"/>
      <c r="N281" s="8"/>
      <c r="O281" s="8"/>
      <c r="P281" s="8"/>
      <c r="Q281" s="8"/>
      <c r="R281" s="8"/>
      <c r="S281" s="8"/>
      <c r="T281" s="8"/>
      <c r="U281" s="8"/>
      <c r="V281" s="8"/>
      <c r="W281" s="8"/>
      <c r="X281" s="8"/>
      <c r="Y281" s="8"/>
      <c r="Z281" s="8"/>
    </row>
    <row r="282" spans="1:26" ht="15.75" customHeight="1" x14ac:dyDescent="0.25">
      <c r="A282" s="6" t="s">
        <v>95</v>
      </c>
      <c r="B282" s="8"/>
      <c r="C282" s="8"/>
      <c r="D282" s="8"/>
      <c r="E282" s="8"/>
      <c r="F282" s="6" t="s">
        <v>116</v>
      </c>
      <c r="G282" s="6" t="s">
        <v>45</v>
      </c>
      <c r="H282" s="8"/>
      <c r="I282" s="8"/>
      <c r="J282" s="8"/>
      <c r="K282" s="8"/>
      <c r="L282" s="8"/>
      <c r="M282" s="8"/>
      <c r="N282" s="8"/>
      <c r="O282" s="8"/>
      <c r="P282" s="8"/>
      <c r="Q282" s="8"/>
      <c r="R282" s="8"/>
      <c r="S282" s="8"/>
      <c r="T282" s="8"/>
      <c r="U282" s="8"/>
      <c r="V282" s="8"/>
      <c r="W282" s="8"/>
      <c r="X282" s="8"/>
      <c r="Y282" s="8"/>
      <c r="Z282" s="8"/>
    </row>
    <row r="283" spans="1:26" ht="15.75" customHeight="1" x14ac:dyDescent="0.25">
      <c r="A283" s="6" t="s">
        <v>95</v>
      </c>
      <c r="B283" s="8"/>
      <c r="C283" s="8"/>
      <c r="D283" s="8"/>
      <c r="E283" s="8"/>
      <c r="F283" s="6" t="s">
        <v>116</v>
      </c>
      <c r="G283" s="6" t="s">
        <v>45</v>
      </c>
      <c r="H283" s="8"/>
      <c r="I283" s="8"/>
      <c r="J283" s="8"/>
      <c r="K283" s="8"/>
      <c r="L283" s="8"/>
      <c r="M283" s="8"/>
      <c r="N283" s="8"/>
      <c r="O283" s="8"/>
      <c r="P283" s="8"/>
      <c r="Q283" s="8"/>
      <c r="R283" s="8"/>
      <c r="S283" s="8"/>
      <c r="T283" s="8"/>
      <c r="U283" s="8"/>
      <c r="V283" s="8"/>
      <c r="W283" s="8"/>
      <c r="X283" s="8"/>
      <c r="Y283" s="8"/>
      <c r="Z283" s="8"/>
    </row>
    <row r="284" spans="1:26" ht="15.75" customHeight="1" x14ac:dyDescent="0.25">
      <c r="A284" s="6" t="s">
        <v>95</v>
      </c>
      <c r="B284" s="8"/>
      <c r="C284" s="8"/>
      <c r="D284" s="8"/>
      <c r="E284" s="8"/>
      <c r="F284" s="6" t="s">
        <v>116</v>
      </c>
      <c r="G284" s="6" t="s">
        <v>45</v>
      </c>
      <c r="H284" s="8"/>
      <c r="I284" s="8"/>
      <c r="J284" s="8"/>
      <c r="K284" s="8"/>
      <c r="L284" s="8"/>
      <c r="M284" s="8"/>
      <c r="N284" s="8"/>
      <c r="O284" s="8"/>
      <c r="P284" s="8"/>
      <c r="Q284" s="8"/>
      <c r="R284" s="8"/>
      <c r="S284" s="8"/>
      <c r="T284" s="8"/>
      <c r="U284" s="8"/>
      <c r="V284" s="8"/>
      <c r="W284" s="8"/>
      <c r="X284" s="8"/>
      <c r="Y284" s="8"/>
      <c r="Z284" s="8"/>
    </row>
    <row r="285" spans="1:26" ht="15.75" customHeight="1" x14ac:dyDescent="0.25">
      <c r="A285" s="6" t="s">
        <v>95</v>
      </c>
      <c r="B285" s="8"/>
      <c r="C285" s="8"/>
      <c r="D285" s="8"/>
      <c r="E285" s="8"/>
      <c r="F285" s="6" t="s">
        <v>116</v>
      </c>
      <c r="G285" s="6" t="s">
        <v>45</v>
      </c>
      <c r="H285" s="8"/>
      <c r="I285" s="8"/>
      <c r="J285" s="8"/>
      <c r="K285" s="8"/>
      <c r="L285" s="8"/>
      <c r="M285" s="8"/>
      <c r="N285" s="8"/>
      <c r="O285" s="8"/>
      <c r="P285" s="8"/>
      <c r="Q285" s="8"/>
      <c r="R285" s="8"/>
      <c r="S285" s="8"/>
      <c r="T285" s="8"/>
      <c r="U285" s="8"/>
      <c r="V285" s="8"/>
      <c r="W285" s="8"/>
      <c r="X285" s="8"/>
      <c r="Y285" s="8"/>
      <c r="Z285" s="8"/>
    </row>
    <row r="286" spans="1:26" ht="15.75" customHeight="1" x14ac:dyDescent="0.25">
      <c r="A286" s="6" t="s">
        <v>95</v>
      </c>
      <c r="B286" s="8"/>
      <c r="C286" s="8"/>
      <c r="D286" s="8"/>
      <c r="E286" s="8"/>
      <c r="F286" s="6" t="s">
        <v>116</v>
      </c>
      <c r="G286" s="6" t="s">
        <v>45</v>
      </c>
      <c r="H286" s="8"/>
      <c r="I286" s="8"/>
      <c r="J286" s="8"/>
      <c r="K286" s="8"/>
      <c r="L286" s="8"/>
      <c r="M286" s="8"/>
      <c r="N286" s="8"/>
      <c r="O286" s="8"/>
      <c r="P286" s="8"/>
      <c r="Q286" s="8"/>
      <c r="R286" s="8"/>
      <c r="S286" s="8"/>
      <c r="T286" s="8"/>
      <c r="U286" s="8"/>
      <c r="V286" s="8"/>
      <c r="W286" s="8"/>
      <c r="X286" s="8"/>
      <c r="Y286" s="8"/>
      <c r="Z286" s="8"/>
    </row>
    <row r="287" spans="1:26" ht="15.75" customHeight="1" x14ac:dyDescent="0.25">
      <c r="A287" s="6" t="s">
        <v>95</v>
      </c>
      <c r="B287" s="8"/>
      <c r="C287" s="8"/>
      <c r="D287" s="8"/>
      <c r="E287" s="8"/>
      <c r="F287" s="6" t="s">
        <v>116</v>
      </c>
      <c r="G287" s="6" t="s">
        <v>45</v>
      </c>
      <c r="H287" s="8"/>
      <c r="I287" s="8"/>
      <c r="J287" s="8"/>
      <c r="K287" s="8"/>
      <c r="L287" s="8"/>
      <c r="M287" s="8"/>
      <c r="N287" s="8"/>
      <c r="O287" s="8"/>
      <c r="P287" s="8"/>
      <c r="Q287" s="8"/>
      <c r="R287" s="8"/>
      <c r="S287" s="8"/>
      <c r="T287" s="8"/>
      <c r="U287" s="8"/>
      <c r="V287" s="8"/>
      <c r="W287" s="8"/>
      <c r="X287" s="8"/>
      <c r="Y287" s="8"/>
      <c r="Z287" s="8"/>
    </row>
    <row r="288" spans="1:26" ht="15.75" customHeight="1" x14ac:dyDescent="0.25">
      <c r="A288" s="6" t="s">
        <v>95</v>
      </c>
      <c r="B288" s="8"/>
      <c r="C288" s="8"/>
      <c r="D288" s="8"/>
      <c r="E288" s="8"/>
      <c r="F288" s="6" t="s">
        <v>116</v>
      </c>
      <c r="G288" s="6" t="s">
        <v>45</v>
      </c>
      <c r="H288" s="8"/>
      <c r="I288" s="8"/>
      <c r="J288" s="8"/>
      <c r="K288" s="8"/>
      <c r="L288" s="8"/>
      <c r="M288" s="8"/>
      <c r="N288" s="8"/>
      <c r="O288" s="8"/>
      <c r="P288" s="8"/>
      <c r="Q288" s="8"/>
      <c r="R288" s="8"/>
      <c r="S288" s="8"/>
      <c r="T288" s="8"/>
      <c r="U288" s="8"/>
      <c r="V288" s="8"/>
      <c r="W288" s="8"/>
      <c r="X288" s="8"/>
      <c r="Y288" s="8"/>
      <c r="Z288" s="8"/>
    </row>
    <row r="289" spans="1:26" ht="15.75" customHeight="1" x14ac:dyDescent="0.25">
      <c r="A289" s="6" t="s">
        <v>95</v>
      </c>
      <c r="B289" s="8"/>
      <c r="C289" s="8"/>
      <c r="D289" s="8"/>
      <c r="E289" s="8"/>
      <c r="F289" s="6" t="s">
        <v>116</v>
      </c>
      <c r="G289" s="6" t="s">
        <v>45</v>
      </c>
      <c r="H289" s="8"/>
      <c r="I289" s="8"/>
      <c r="J289" s="8"/>
      <c r="K289" s="8"/>
      <c r="L289" s="8"/>
      <c r="M289" s="8"/>
      <c r="N289" s="8"/>
      <c r="O289" s="8"/>
      <c r="P289" s="8"/>
      <c r="Q289" s="8"/>
      <c r="R289" s="8"/>
      <c r="S289" s="8"/>
      <c r="T289" s="8"/>
      <c r="U289" s="8"/>
      <c r="V289" s="8"/>
      <c r="W289" s="8"/>
      <c r="X289" s="8"/>
      <c r="Y289" s="8"/>
      <c r="Z289" s="8"/>
    </row>
    <row r="290" spans="1:26" ht="15.75" customHeight="1" x14ac:dyDescent="0.25">
      <c r="A290" s="6" t="s">
        <v>95</v>
      </c>
      <c r="B290" s="8"/>
      <c r="C290" s="8"/>
      <c r="D290" s="8"/>
      <c r="E290" s="8"/>
      <c r="F290" s="6" t="s">
        <v>116</v>
      </c>
      <c r="G290" s="6" t="s">
        <v>45</v>
      </c>
      <c r="H290" s="8"/>
      <c r="I290" s="8"/>
      <c r="J290" s="8"/>
      <c r="K290" s="8"/>
      <c r="L290" s="8"/>
      <c r="M290" s="8"/>
      <c r="N290" s="8"/>
      <c r="O290" s="8"/>
      <c r="P290" s="8"/>
      <c r="Q290" s="8"/>
      <c r="R290" s="8"/>
      <c r="S290" s="8"/>
      <c r="T290" s="8"/>
      <c r="U290" s="8"/>
      <c r="V290" s="8"/>
      <c r="W290" s="8"/>
      <c r="X290" s="8"/>
      <c r="Y290" s="8"/>
      <c r="Z290" s="8"/>
    </row>
    <row r="291" spans="1:26" ht="15.75" customHeight="1" x14ac:dyDescent="0.25">
      <c r="A291" s="6" t="s">
        <v>95</v>
      </c>
      <c r="B291" s="8"/>
      <c r="C291" s="8"/>
      <c r="D291" s="8"/>
      <c r="E291" s="8"/>
      <c r="F291" s="6" t="s">
        <v>116</v>
      </c>
      <c r="G291" s="6" t="s">
        <v>45</v>
      </c>
      <c r="H291" s="8"/>
      <c r="I291" s="8"/>
      <c r="J291" s="8"/>
      <c r="K291" s="8"/>
      <c r="L291" s="8"/>
      <c r="M291" s="8"/>
      <c r="N291" s="8"/>
      <c r="O291" s="8"/>
      <c r="P291" s="8"/>
      <c r="Q291" s="8"/>
      <c r="R291" s="8"/>
      <c r="S291" s="8"/>
      <c r="T291" s="8"/>
      <c r="U291" s="8"/>
      <c r="V291" s="8"/>
      <c r="W291" s="8"/>
      <c r="X291" s="8"/>
      <c r="Y291" s="8"/>
      <c r="Z291" s="8"/>
    </row>
    <row r="292" spans="1:26" ht="15.75" customHeight="1" x14ac:dyDescent="0.25">
      <c r="A292" s="6" t="s">
        <v>95</v>
      </c>
      <c r="B292" s="8"/>
      <c r="C292" s="8"/>
      <c r="D292" s="8"/>
      <c r="E292" s="8"/>
      <c r="F292" s="6" t="s">
        <v>116</v>
      </c>
      <c r="G292" s="6" t="s">
        <v>45</v>
      </c>
      <c r="H292" s="8"/>
      <c r="I292" s="8"/>
      <c r="J292" s="8"/>
      <c r="K292" s="8"/>
      <c r="L292" s="8"/>
      <c r="M292" s="8"/>
      <c r="N292" s="8"/>
      <c r="O292" s="8"/>
      <c r="P292" s="8"/>
      <c r="Q292" s="8"/>
      <c r="R292" s="8"/>
      <c r="S292" s="8"/>
      <c r="T292" s="8"/>
      <c r="U292" s="8"/>
      <c r="V292" s="8"/>
      <c r="W292" s="8"/>
      <c r="X292" s="8"/>
      <c r="Y292" s="8"/>
      <c r="Z292" s="8"/>
    </row>
    <row r="293" spans="1:26" ht="15.75" customHeight="1" x14ac:dyDescent="0.25">
      <c r="A293" s="6" t="s">
        <v>95</v>
      </c>
      <c r="B293" s="8"/>
      <c r="C293" s="8"/>
      <c r="D293" s="8"/>
      <c r="E293" s="8"/>
      <c r="F293" s="6" t="s">
        <v>116</v>
      </c>
      <c r="G293" s="6" t="s">
        <v>45</v>
      </c>
      <c r="H293" s="8"/>
      <c r="I293" s="8"/>
      <c r="J293" s="8"/>
      <c r="K293" s="8"/>
      <c r="L293" s="8"/>
      <c r="M293" s="8"/>
      <c r="N293" s="8"/>
      <c r="O293" s="8"/>
      <c r="P293" s="8"/>
      <c r="Q293" s="8"/>
      <c r="R293" s="8"/>
      <c r="S293" s="8"/>
      <c r="T293" s="8"/>
      <c r="U293" s="8"/>
      <c r="V293" s="8"/>
      <c r="W293" s="8"/>
      <c r="X293" s="8"/>
      <c r="Y293" s="8"/>
      <c r="Z293" s="8"/>
    </row>
    <row r="294" spans="1:26" ht="15.75" customHeight="1" x14ac:dyDescent="0.25">
      <c r="A294" s="6" t="s">
        <v>95</v>
      </c>
      <c r="B294" s="8"/>
      <c r="C294" s="8"/>
      <c r="D294" s="8"/>
      <c r="E294" s="8"/>
      <c r="F294" s="6" t="s">
        <v>116</v>
      </c>
      <c r="G294" s="6" t="s">
        <v>45</v>
      </c>
      <c r="H294" s="8"/>
      <c r="I294" s="8"/>
      <c r="J294" s="8"/>
      <c r="K294" s="8"/>
      <c r="L294" s="8"/>
      <c r="M294" s="8"/>
      <c r="N294" s="8"/>
      <c r="O294" s="8"/>
      <c r="P294" s="8"/>
      <c r="Q294" s="8"/>
      <c r="R294" s="8"/>
      <c r="S294" s="8"/>
      <c r="T294" s="8"/>
      <c r="U294" s="8"/>
      <c r="V294" s="8"/>
      <c r="W294" s="8"/>
      <c r="X294" s="8"/>
      <c r="Y294" s="8"/>
      <c r="Z294" s="8"/>
    </row>
    <row r="295" spans="1:26" ht="15.75" customHeight="1" x14ac:dyDescent="0.25">
      <c r="A295" s="6" t="s">
        <v>95</v>
      </c>
      <c r="B295" s="8"/>
      <c r="C295" s="8"/>
      <c r="D295" s="8"/>
      <c r="E295" s="8"/>
      <c r="F295" s="6" t="s">
        <v>116</v>
      </c>
      <c r="G295" s="6" t="s">
        <v>45</v>
      </c>
      <c r="H295" s="8"/>
      <c r="I295" s="8"/>
      <c r="J295" s="8"/>
      <c r="K295" s="8"/>
      <c r="L295" s="8"/>
      <c r="M295" s="8"/>
      <c r="N295" s="8"/>
      <c r="O295" s="8"/>
      <c r="P295" s="8"/>
      <c r="Q295" s="8"/>
      <c r="R295" s="8"/>
      <c r="S295" s="8"/>
      <c r="T295" s="8"/>
      <c r="U295" s="8"/>
      <c r="V295" s="8"/>
      <c r="W295" s="8"/>
      <c r="X295" s="8"/>
      <c r="Y295" s="8"/>
      <c r="Z295" s="8"/>
    </row>
    <row r="296" spans="1:26" ht="15.75" customHeight="1" x14ac:dyDescent="0.25">
      <c r="A296" s="6" t="s">
        <v>95</v>
      </c>
      <c r="B296" s="8"/>
      <c r="C296" s="8"/>
      <c r="D296" s="8"/>
      <c r="E296" s="8"/>
      <c r="F296" s="6" t="s">
        <v>116</v>
      </c>
      <c r="G296" s="6" t="s">
        <v>45</v>
      </c>
      <c r="H296" s="8"/>
      <c r="I296" s="8"/>
      <c r="J296" s="8"/>
      <c r="K296" s="8"/>
      <c r="L296" s="8"/>
      <c r="M296" s="8"/>
      <c r="N296" s="8"/>
      <c r="O296" s="8"/>
      <c r="P296" s="8"/>
      <c r="Q296" s="8"/>
      <c r="R296" s="8"/>
      <c r="S296" s="8"/>
      <c r="T296" s="8"/>
      <c r="U296" s="8"/>
      <c r="V296" s="8"/>
      <c r="W296" s="8"/>
      <c r="X296" s="8"/>
      <c r="Y296" s="8"/>
      <c r="Z296" s="8"/>
    </row>
    <row r="297" spans="1:26" ht="15.75" customHeight="1" x14ac:dyDescent="0.25">
      <c r="A297" s="6" t="s">
        <v>95</v>
      </c>
      <c r="B297" s="8"/>
      <c r="C297" s="8"/>
      <c r="D297" s="8"/>
      <c r="E297" s="8"/>
      <c r="F297" s="6" t="s">
        <v>116</v>
      </c>
      <c r="G297" s="6" t="s">
        <v>45</v>
      </c>
      <c r="H297" s="8"/>
      <c r="I297" s="8"/>
      <c r="J297" s="8"/>
      <c r="K297" s="8"/>
      <c r="L297" s="8"/>
      <c r="M297" s="8"/>
      <c r="N297" s="8"/>
      <c r="O297" s="8"/>
      <c r="P297" s="8"/>
      <c r="Q297" s="8"/>
      <c r="R297" s="8"/>
      <c r="S297" s="8"/>
      <c r="T297" s="8"/>
      <c r="U297" s="8"/>
      <c r="V297" s="8"/>
      <c r="W297" s="8"/>
      <c r="X297" s="8"/>
      <c r="Y297" s="8"/>
      <c r="Z297" s="8"/>
    </row>
    <row r="298" spans="1:26" ht="15.75" customHeight="1" x14ac:dyDescent="0.25">
      <c r="A298" s="6" t="s">
        <v>95</v>
      </c>
      <c r="B298" s="8"/>
      <c r="C298" s="8"/>
      <c r="D298" s="8"/>
      <c r="E298" s="8"/>
      <c r="F298" s="6" t="s">
        <v>116</v>
      </c>
      <c r="G298" s="6" t="s">
        <v>45</v>
      </c>
      <c r="H298" s="8"/>
      <c r="I298" s="8"/>
      <c r="J298" s="8"/>
      <c r="K298" s="8"/>
      <c r="L298" s="8"/>
      <c r="M298" s="8"/>
      <c r="N298" s="8"/>
      <c r="O298" s="8"/>
      <c r="P298" s="8"/>
      <c r="Q298" s="8"/>
      <c r="R298" s="8"/>
      <c r="S298" s="8"/>
      <c r="T298" s="8"/>
      <c r="U298" s="8"/>
      <c r="V298" s="8"/>
      <c r="W298" s="8"/>
      <c r="X298" s="8"/>
      <c r="Y298" s="8"/>
      <c r="Z298" s="8"/>
    </row>
    <row r="299" spans="1:26" ht="15.75" customHeight="1" x14ac:dyDescent="0.25">
      <c r="A299" s="6" t="s">
        <v>95</v>
      </c>
      <c r="B299" s="8"/>
      <c r="C299" s="8"/>
      <c r="D299" s="8"/>
      <c r="E299" s="8"/>
      <c r="F299" s="6" t="s">
        <v>116</v>
      </c>
      <c r="G299" s="6" t="s">
        <v>45</v>
      </c>
      <c r="H299" s="8"/>
      <c r="I299" s="8"/>
      <c r="J299" s="8"/>
      <c r="K299" s="8"/>
      <c r="L299" s="8"/>
      <c r="M299" s="8"/>
      <c r="N299" s="8"/>
      <c r="O299" s="8"/>
      <c r="P299" s="8"/>
      <c r="Q299" s="8"/>
      <c r="R299" s="8"/>
      <c r="S299" s="8"/>
      <c r="T299" s="8"/>
      <c r="U299" s="8"/>
      <c r="V299" s="8"/>
      <c r="W299" s="8"/>
      <c r="X299" s="8"/>
      <c r="Y299" s="8"/>
      <c r="Z299" s="8"/>
    </row>
    <row r="300" spans="1:26" ht="15.75" customHeight="1" x14ac:dyDescent="0.25">
      <c r="A300" s="6" t="s">
        <v>95</v>
      </c>
      <c r="B300" s="8"/>
      <c r="C300" s="8"/>
      <c r="D300" s="8"/>
      <c r="E300" s="8"/>
      <c r="F300" s="6" t="s">
        <v>116</v>
      </c>
      <c r="G300" s="6" t="s">
        <v>45</v>
      </c>
      <c r="H300" s="8"/>
      <c r="I300" s="8"/>
      <c r="J300" s="8"/>
      <c r="K300" s="8"/>
      <c r="L300" s="8"/>
      <c r="M300" s="8"/>
      <c r="N300" s="8"/>
      <c r="O300" s="8"/>
      <c r="P300" s="8"/>
      <c r="Q300" s="8"/>
      <c r="R300" s="8"/>
      <c r="S300" s="8"/>
      <c r="T300" s="8"/>
      <c r="U300" s="8"/>
      <c r="V300" s="8"/>
      <c r="W300" s="8"/>
      <c r="X300" s="8"/>
      <c r="Y300" s="8"/>
      <c r="Z300" s="8"/>
    </row>
    <row r="301" spans="1:26" ht="15.75" customHeight="1" x14ac:dyDescent="0.25">
      <c r="A301" s="6" t="s">
        <v>95</v>
      </c>
      <c r="B301" s="8"/>
      <c r="C301" s="8"/>
      <c r="D301" s="8"/>
      <c r="E301" s="8"/>
      <c r="F301" s="6" t="s">
        <v>116</v>
      </c>
      <c r="G301" s="6" t="s">
        <v>45</v>
      </c>
      <c r="H301" s="8"/>
      <c r="I301" s="8"/>
      <c r="J301" s="8"/>
      <c r="K301" s="8"/>
      <c r="L301" s="8"/>
      <c r="M301" s="8"/>
      <c r="N301" s="8"/>
      <c r="O301" s="8"/>
      <c r="P301" s="8"/>
      <c r="Q301" s="8"/>
      <c r="R301" s="8"/>
      <c r="S301" s="8"/>
      <c r="T301" s="8"/>
      <c r="U301" s="8"/>
      <c r="V301" s="8"/>
      <c r="W301" s="8"/>
      <c r="X301" s="8"/>
      <c r="Y301" s="8"/>
      <c r="Z301" s="8"/>
    </row>
    <row r="302" spans="1:26" ht="15.75" customHeight="1" x14ac:dyDescent="0.25">
      <c r="A302" s="6" t="s">
        <v>95</v>
      </c>
      <c r="B302" s="8"/>
      <c r="C302" s="8"/>
      <c r="D302" s="8"/>
      <c r="E302" s="8"/>
      <c r="F302" s="6" t="s">
        <v>116</v>
      </c>
      <c r="G302" s="6" t="s">
        <v>45</v>
      </c>
      <c r="H302" s="8"/>
      <c r="I302" s="8"/>
      <c r="J302" s="8"/>
      <c r="K302" s="8"/>
      <c r="L302" s="8"/>
      <c r="M302" s="8"/>
      <c r="N302" s="8"/>
      <c r="O302" s="8"/>
      <c r="P302" s="8"/>
      <c r="Q302" s="8"/>
      <c r="R302" s="8"/>
      <c r="S302" s="8"/>
      <c r="T302" s="8"/>
      <c r="U302" s="8"/>
      <c r="V302" s="8"/>
      <c r="W302" s="8"/>
      <c r="X302" s="8"/>
      <c r="Y302" s="8"/>
      <c r="Z302" s="8"/>
    </row>
    <row r="303" spans="1:26" ht="15.75" customHeight="1" x14ac:dyDescent="0.25">
      <c r="A303" s="6" t="s">
        <v>95</v>
      </c>
      <c r="B303" s="8"/>
      <c r="C303" s="8"/>
      <c r="D303" s="8"/>
      <c r="E303" s="8"/>
      <c r="F303" s="6" t="s">
        <v>116</v>
      </c>
      <c r="G303" s="6" t="s">
        <v>45</v>
      </c>
      <c r="H303" s="8"/>
      <c r="I303" s="8"/>
      <c r="J303" s="8"/>
      <c r="K303" s="8"/>
      <c r="L303" s="8"/>
      <c r="M303" s="8"/>
      <c r="N303" s="8"/>
      <c r="O303" s="8"/>
      <c r="P303" s="8"/>
      <c r="Q303" s="8"/>
      <c r="R303" s="8"/>
      <c r="S303" s="8"/>
      <c r="T303" s="8"/>
      <c r="U303" s="8"/>
      <c r="V303" s="8"/>
      <c r="W303" s="8"/>
      <c r="X303" s="8"/>
      <c r="Y303" s="8"/>
      <c r="Z303" s="8"/>
    </row>
    <row r="304" spans="1:26" ht="15.75" customHeight="1" x14ac:dyDescent="0.25">
      <c r="A304" s="6" t="s">
        <v>95</v>
      </c>
      <c r="B304" s="8"/>
      <c r="C304" s="8"/>
      <c r="D304" s="8"/>
      <c r="E304" s="8"/>
      <c r="F304" s="6" t="s">
        <v>116</v>
      </c>
      <c r="G304" s="6" t="s">
        <v>45</v>
      </c>
      <c r="H304" s="8"/>
      <c r="I304" s="8"/>
      <c r="J304" s="8"/>
      <c r="K304" s="8"/>
      <c r="L304" s="8"/>
      <c r="M304" s="8"/>
      <c r="N304" s="8"/>
      <c r="O304" s="8"/>
      <c r="P304" s="8"/>
      <c r="Q304" s="8"/>
      <c r="R304" s="8"/>
      <c r="S304" s="8"/>
      <c r="T304" s="8"/>
      <c r="U304" s="8"/>
      <c r="V304" s="8"/>
      <c r="W304" s="8"/>
      <c r="X304" s="8"/>
      <c r="Y304" s="8"/>
      <c r="Z304" s="8"/>
    </row>
    <row r="305" spans="1:26" ht="15.75" customHeight="1" x14ac:dyDescent="0.25">
      <c r="A305" s="6" t="s">
        <v>95</v>
      </c>
      <c r="B305" s="8"/>
      <c r="C305" s="8"/>
      <c r="D305" s="8"/>
      <c r="E305" s="8"/>
      <c r="F305" s="6" t="s">
        <v>116</v>
      </c>
      <c r="G305" s="6" t="s">
        <v>45</v>
      </c>
      <c r="H305" s="8"/>
      <c r="I305" s="8"/>
      <c r="J305" s="8"/>
      <c r="K305" s="8"/>
      <c r="L305" s="8"/>
      <c r="M305" s="8"/>
      <c r="N305" s="8"/>
      <c r="O305" s="8"/>
      <c r="P305" s="8"/>
      <c r="Q305" s="8"/>
      <c r="R305" s="8"/>
      <c r="S305" s="8"/>
      <c r="T305" s="8"/>
      <c r="U305" s="8"/>
      <c r="V305" s="8"/>
      <c r="W305" s="8"/>
      <c r="X305" s="8"/>
      <c r="Y305" s="8"/>
      <c r="Z305" s="8"/>
    </row>
    <row r="306" spans="1:26" ht="15.75" customHeight="1" x14ac:dyDescent="0.25">
      <c r="A306" s="6" t="s">
        <v>95</v>
      </c>
      <c r="B306" s="8"/>
      <c r="C306" s="8"/>
      <c r="D306" s="8"/>
      <c r="E306" s="8"/>
      <c r="F306" s="6" t="s">
        <v>116</v>
      </c>
      <c r="G306" s="6" t="s">
        <v>45</v>
      </c>
      <c r="H306" s="8"/>
      <c r="I306" s="8"/>
      <c r="J306" s="8"/>
      <c r="K306" s="8"/>
      <c r="L306" s="8"/>
      <c r="M306" s="8"/>
      <c r="N306" s="8"/>
      <c r="O306" s="8"/>
      <c r="P306" s="8"/>
      <c r="Q306" s="8"/>
      <c r="R306" s="8"/>
      <c r="S306" s="8"/>
      <c r="T306" s="8"/>
      <c r="U306" s="8"/>
      <c r="V306" s="8"/>
      <c r="W306" s="8"/>
      <c r="X306" s="8"/>
      <c r="Y306" s="8"/>
      <c r="Z306" s="8"/>
    </row>
    <row r="307" spans="1:26" ht="15.75" customHeight="1" x14ac:dyDescent="0.25">
      <c r="A307" s="6" t="s">
        <v>95</v>
      </c>
      <c r="B307" s="8"/>
      <c r="C307" s="8"/>
      <c r="D307" s="8"/>
      <c r="E307" s="8"/>
      <c r="F307" s="6" t="s">
        <v>116</v>
      </c>
      <c r="G307" s="6" t="s">
        <v>45</v>
      </c>
      <c r="H307" s="8"/>
      <c r="I307" s="8"/>
      <c r="J307" s="8"/>
      <c r="K307" s="8"/>
      <c r="L307" s="8"/>
      <c r="M307" s="8"/>
      <c r="N307" s="8"/>
      <c r="O307" s="8"/>
      <c r="P307" s="8"/>
      <c r="Q307" s="8"/>
      <c r="R307" s="8"/>
      <c r="S307" s="8"/>
      <c r="T307" s="8"/>
      <c r="U307" s="8"/>
      <c r="V307" s="8"/>
      <c r="W307" s="8"/>
      <c r="X307" s="8"/>
      <c r="Y307" s="8"/>
      <c r="Z307" s="8"/>
    </row>
    <row r="308" spans="1:26" ht="15.75" customHeight="1" x14ac:dyDescent="0.25">
      <c r="A308" s="6" t="s">
        <v>95</v>
      </c>
      <c r="B308" s="8"/>
      <c r="C308" s="8"/>
      <c r="D308" s="8"/>
      <c r="E308" s="8"/>
      <c r="F308" s="6" t="s">
        <v>116</v>
      </c>
      <c r="G308" s="6" t="s">
        <v>45</v>
      </c>
      <c r="H308" s="8"/>
      <c r="I308" s="8"/>
      <c r="J308" s="8"/>
      <c r="K308" s="8"/>
      <c r="L308" s="8"/>
      <c r="M308" s="8"/>
      <c r="N308" s="8"/>
      <c r="O308" s="8"/>
      <c r="P308" s="8"/>
      <c r="Q308" s="8"/>
      <c r="R308" s="8"/>
      <c r="S308" s="8"/>
      <c r="T308" s="8"/>
      <c r="U308" s="8"/>
      <c r="V308" s="8"/>
      <c r="W308" s="8"/>
      <c r="X308" s="8"/>
      <c r="Y308" s="8"/>
      <c r="Z308" s="8"/>
    </row>
    <row r="309" spans="1:26" ht="15.75" customHeight="1" x14ac:dyDescent="0.25">
      <c r="A309" s="6" t="s">
        <v>95</v>
      </c>
      <c r="B309" s="8"/>
      <c r="C309" s="8"/>
      <c r="D309" s="8"/>
      <c r="E309" s="8"/>
      <c r="F309" s="6" t="s">
        <v>116</v>
      </c>
      <c r="G309" s="6" t="s">
        <v>45</v>
      </c>
      <c r="H309" s="8"/>
      <c r="I309" s="8"/>
      <c r="J309" s="8"/>
      <c r="K309" s="8"/>
      <c r="L309" s="8"/>
      <c r="M309" s="8"/>
      <c r="N309" s="8"/>
      <c r="O309" s="8"/>
      <c r="P309" s="8"/>
      <c r="Q309" s="8"/>
      <c r="R309" s="8"/>
      <c r="S309" s="8"/>
      <c r="T309" s="8"/>
      <c r="U309" s="8"/>
      <c r="V309" s="8"/>
      <c r="W309" s="8"/>
      <c r="X309" s="8"/>
      <c r="Y309" s="8"/>
      <c r="Z309" s="8"/>
    </row>
    <row r="310" spans="1:26" ht="15.75" customHeight="1" x14ac:dyDescent="0.25">
      <c r="A310" s="6" t="s">
        <v>95</v>
      </c>
      <c r="B310" s="8"/>
      <c r="C310" s="8"/>
      <c r="D310" s="8"/>
      <c r="E310" s="8"/>
      <c r="F310" s="6" t="s">
        <v>116</v>
      </c>
      <c r="G310" s="6" t="s">
        <v>45</v>
      </c>
      <c r="H310" s="8"/>
      <c r="I310" s="8"/>
      <c r="J310" s="8"/>
      <c r="K310" s="8"/>
      <c r="L310" s="8"/>
      <c r="M310" s="8"/>
      <c r="N310" s="8"/>
      <c r="O310" s="8"/>
      <c r="P310" s="8"/>
      <c r="Q310" s="8"/>
      <c r="R310" s="8"/>
      <c r="S310" s="8"/>
      <c r="T310" s="8"/>
      <c r="U310" s="8"/>
      <c r="V310" s="8"/>
      <c r="W310" s="8"/>
      <c r="X310" s="8"/>
      <c r="Y310" s="8"/>
      <c r="Z310" s="8"/>
    </row>
    <row r="311" spans="1:26" ht="15.75" customHeight="1" x14ac:dyDescent="0.25">
      <c r="A311" s="6" t="s">
        <v>95</v>
      </c>
      <c r="B311" s="8"/>
      <c r="C311" s="8"/>
      <c r="D311" s="8"/>
      <c r="E311" s="8"/>
      <c r="F311" s="6" t="s">
        <v>116</v>
      </c>
      <c r="G311" s="6" t="s">
        <v>45</v>
      </c>
      <c r="H311" s="8"/>
      <c r="I311" s="8"/>
      <c r="J311" s="8"/>
      <c r="K311" s="8"/>
      <c r="L311" s="8"/>
      <c r="M311" s="8"/>
      <c r="N311" s="8"/>
      <c r="O311" s="8"/>
      <c r="P311" s="8"/>
      <c r="Q311" s="8"/>
      <c r="R311" s="8"/>
      <c r="S311" s="8"/>
      <c r="T311" s="8"/>
      <c r="U311" s="8"/>
      <c r="V311" s="8"/>
      <c r="W311" s="8"/>
      <c r="X311" s="8"/>
      <c r="Y311" s="8"/>
      <c r="Z311" s="8"/>
    </row>
    <row r="312" spans="1:26" ht="15.75" customHeight="1" x14ac:dyDescent="0.25">
      <c r="A312" s="6" t="s">
        <v>95</v>
      </c>
      <c r="B312" s="8"/>
      <c r="C312" s="8"/>
      <c r="D312" s="8"/>
      <c r="E312" s="8"/>
      <c r="F312" s="6" t="s">
        <v>116</v>
      </c>
      <c r="G312" s="6" t="s">
        <v>45</v>
      </c>
      <c r="H312" s="8"/>
      <c r="I312" s="8"/>
      <c r="J312" s="8"/>
      <c r="K312" s="8"/>
      <c r="L312" s="8"/>
      <c r="M312" s="8"/>
      <c r="N312" s="8"/>
      <c r="O312" s="8"/>
      <c r="P312" s="8"/>
      <c r="Q312" s="8"/>
      <c r="R312" s="8"/>
      <c r="S312" s="8"/>
      <c r="T312" s="8"/>
      <c r="U312" s="8"/>
      <c r="V312" s="8"/>
      <c r="W312" s="8"/>
      <c r="X312" s="8"/>
      <c r="Y312" s="8"/>
      <c r="Z312" s="8"/>
    </row>
    <row r="313" spans="1:26" ht="15.75" customHeight="1" x14ac:dyDescent="0.25">
      <c r="A313" s="6" t="s">
        <v>95</v>
      </c>
      <c r="B313" s="8"/>
      <c r="C313" s="8"/>
      <c r="D313" s="8"/>
      <c r="E313" s="8"/>
      <c r="F313" s="6" t="s">
        <v>116</v>
      </c>
      <c r="G313" s="6" t="s">
        <v>45</v>
      </c>
      <c r="H313" s="8"/>
      <c r="I313" s="8"/>
      <c r="J313" s="8"/>
      <c r="K313" s="8"/>
      <c r="L313" s="8"/>
      <c r="M313" s="8"/>
      <c r="N313" s="8"/>
      <c r="O313" s="8"/>
      <c r="P313" s="8"/>
      <c r="Q313" s="8"/>
      <c r="R313" s="8"/>
      <c r="S313" s="8"/>
      <c r="T313" s="8"/>
      <c r="U313" s="8"/>
      <c r="V313" s="8"/>
      <c r="W313" s="8"/>
      <c r="X313" s="8"/>
      <c r="Y313" s="8"/>
      <c r="Z313" s="8"/>
    </row>
    <row r="314" spans="1:26" ht="15.75" customHeight="1" x14ac:dyDescent="0.25">
      <c r="A314" s="6" t="s">
        <v>95</v>
      </c>
      <c r="B314" s="8"/>
      <c r="C314" s="8"/>
      <c r="D314" s="8"/>
      <c r="E314" s="8"/>
      <c r="F314" s="6" t="s">
        <v>116</v>
      </c>
      <c r="G314" s="6" t="s">
        <v>45</v>
      </c>
      <c r="H314" s="8"/>
      <c r="I314" s="8"/>
      <c r="J314" s="8"/>
      <c r="K314" s="8"/>
      <c r="L314" s="8"/>
      <c r="M314" s="8"/>
      <c r="N314" s="8"/>
      <c r="O314" s="8"/>
      <c r="P314" s="8"/>
      <c r="Q314" s="8"/>
      <c r="R314" s="8"/>
      <c r="S314" s="8"/>
      <c r="T314" s="8"/>
      <c r="U314" s="8"/>
      <c r="V314" s="8"/>
      <c r="W314" s="8"/>
      <c r="X314" s="8"/>
      <c r="Y314" s="8"/>
      <c r="Z314" s="8"/>
    </row>
    <row r="315" spans="1:26" ht="15.75" customHeight="1" x14ac:dyDescent="0.25">
      <c r="A315" s="6" t="s">
        <v>95</v>
      </c>
      <c r="B315" s="8"/>
      <c r="C315" s="8"/>
      <c r="D315" s="8"/>
      <c r="E315" s="8"/>
      <c r="F315" s="6" t="s">
        <v>116</v>
      </c>
      <c r="G315" s="6" t="s">
        <v>45</v>
      </c>
      <c r="H315" s="8"/>
      <c r="I315" s="8"/>
      <c r="J315" s="8"/>
      <c r="K315" s="8"/>
      <c r="L315" s="8"/>
      <c r="M315" s="8"/>
      <c r="N315" s="8"/>
      <c r="O315" s="8"/>
      <c r="P315" s="8"/>
      <c r="Q315" s="8"/>
      <c r="R315" s="8"/>
      <c r="S315" s="8"/>
      <c r="T315" s="8"/>
      <c r="U315" s="8"/>
      <c r="V315" s="8"/>
      <c r="W315" s="8"/>
      <c r="X315" s="8"/>
      <c r="Y315" s="8"/>
      <c r="Z315" s="8"/>
    </row>
    <row r="316" spans="1:26" ht="15.75" customHeight="1" x14ac:dyDescent="0.25">
      <c r="A316" s="6" t="s">
        <v>95</v>
      </c>
      <c r="B316" s="8"/>
      <c r="C316" s="8"/>
      <c r="D316" s="8"/>
      <c r="E316" s="8"/>
      <c r="F316" s="6" t="s">
        <v>116</v>
      </c>
      <c r="G316" s="6" t="s">
        <v>45</v>
      </c>
      <c r="H316" s="8"/>
      <c r="I316" s="8"/>
      <c r="J316" s="8"/>
      <c r="K316" s="8"/>
      <c r="L316" s="8"/>
      <c r="M316" s="8"/>
      <c r="N316" s="8"/>
      <c r="O316" s="8"/>
      <c r="P316" s="8"/>
      <c r="Q316" s="8"/>
      <c r="R316" s="8"/>
      <c r="S316" s="8"/>
      <c r="T316" s="8"/>
      <c r="U316" s="8"/>
      <c r="V316" s="8"/>
      <c r="W316" s="8"/>
      <c r="X316" s="8"/>
      <c r="Y316" s="8"/>
      <c r="Z316" s="8"/>
    </row>
    <row r="317" spans="1:26" ht="15.75" customHeight="1" x14ac:dyDescent="0.25">
      <c r="A317" s="6" t="s">
        <v>95</v>
      </c>
      <c r="B317" s="8"/>
      <c r="C317" s="8"/>
      <c r="D317" s="8"/>
      <c r="E317" s="8"/>
      <c r="F317" s="6" t="s">
        <v>116</v>
      </c>
      <c r="G317" s="6" t="s">
        <v>45</v>
      </c>
      <c r="H317" s="8"/>
      <c r="I317" s="8"/>
      <c r="J317" s="8"/>
      <c r="K317" s="8"/>
      <c r="L317" s="8"/>
      <c r="M317" s="8"/>
      <c r="N317" s="8"/>
      <c r="O317" s="8"/>
      <c r="P317" s="8"/>
      <c r="Q317" s="8"/>
      <c r="R317" s="8"/>
      <c r="S317" s="8"/>
      <c r="T317" s="8"/>
      <c r="U317" s="8"/>
      <c r="V317" s="8"/>
      <c r="W317" s="8"/>
      <c r="X317" s="8"/>
      <c r="Y317" s="8"/>
      <c r="Z317" s="8"/>
    </row>
    <row r="318" spans="1:26" ht="15.75" customHeight="1" x14ac:dyDescent="0.25">
      <c r="A318" s="6" t="s">
        <v>95</v>
      </c>
      <c r="B318" s="8"/>
      <c r="C318" s="8"/>
      <c r="D318" s="8"/>
      <c r="E318" s="8"/>
      <c r="F318" s="6" t="s">
        <v>116</v>
      </c>
      <c r="G318" s="6" t="s">
        <v>45</v>
      </c>
      <c r="H318" s="8"/>
      <c r="I318" s="8"/>
      <c r="J318" s="8"/>
      <c r="K318" s="8"/>
      <c r="L318" s="8"/>
      <c r="M318" s="8"/>
      <c r="N318" s="8"/>
      <c r="O318" s="8"/>
      <c r="P318" s="8"/>
      <c r="Q318" s="8"/>
      <c r="R318" s="8"/>
      <c r="S318" s="8"/>
      <c r="T318" s="8"/>
      <c r="U318" s="8"/>
      <c r="V318" s="8"/>
      <c r="W318" s="8"/>
      <c r="X318" s="8"/>
      <c r="Y318" s="8"/>
      <c r="Z318" s="8"/>
    </row>
    <row r="319" spans="1:26" ht="15.75" customHeight="1" x14ac:dyDescent="0.25">
      <c r="A319" s="6" t="s">
        <v>95</v>
      </c>
      <c r="B319" s="8"/>
      <c r="C319" s="8"/>
      <c r="D319" s="8"/>
      <c r="E319" s="8"/>
      <c r="F319" s="6" t="s">
        <v>116</v>
      </c>
      <c r="G319" s="6" t="s">
        <v>45</v>
      </c>
      <c r="H319" s="8"/>
      <c r="I319" s="8"/>
      <c r="J319" s="8"/>
      <c r="K319" s="8"/>
      <c r="L319" s="8"/>
      <c r="M319" s="8"/>
      <c r="N319" s="8"/>
      <c r="O319" s="8"/>
      <c r="P319" s="8"/>
      <c r="Q319" s="8"/>
      <c r="R319" s="8"/>
      <c r="S319" s="8"/>
      <c r="T319" s="8"/>
      <c r="U319" s="8"/>
      <c r="V319" s="8"/>
      <c r="W319" s="8"/>
      <c r="X319" s="8"/>
      <c r="Y319" s="8"/>
      <c r="Z319" s="8"/>
    </row>
    <row r="320" spans="1:26" ht="15.75" customHeight="1" x14ac:dyDescent="0.25">
      <c r="A320" s="6" t="s">
        <v>95</v>
      </c>
      <c r="B320" s="8"/>
      <c r="C320" s="8"/>
      <c r="D320" s="8"/>
      <c r="E320" s="8"/>
      <c r="F320" s="6" t="s">
        <v>116</v>
      </c>
      <c r="G320" s="6" t="s">
        <v>45</v>
      </c>
      <c r="H320" s="8"/>
      <c r="I320" s="8"/>
      <c r="J320" s="8"/>
      <c r="K320" s="8"/>
      <c r="L320" s="8"/>
      <c r="M320" s="8"/>
      <c r="N320" s="8"/>
      <c r="O320" s="8"/>
      <c r="P320" s="8"/>
      <c r="Q320" s="8"/>
      <c r="R320" s="8"/>
      <c r="S320" s="8"/>
      <c r="T320" s="8"/>
      <c r="U320" s="8"/>
      <c r="V320" s="8"/>
      <c r="W320" s="8"/>
      <c r="X320" s="8"/>
      <c r="Y320" s="8"/>
      <c r="Z320" s="8"/>
    </row>
    <row r="321" spans="1:26" ht="15.75" customHeight="1" x14ac:dyDescent="0.25">
      <c r="A321" s="6" t="s">
        <v>95</v>
      </c>
      <c r="B321" s="8"/>
      <c r="C321" s="8"/>
      <c r="D321" s="8"/>
      <c r="E321" s="8"/>
      <c r="F321" s="6" t="s">
        <v>116</v>
      </c>
      <c r="G321" s="6" t="s">
        <v>45</v>
      </c>
      <c r="H321" s="8"/>
      <c r="I321" s="8"/>
      <c r="J321" s="8"/>
      <c r="K321" s="8"/>
      <c r="L321" s="8"/>
      <c r="M321" s="8"/>
      <c r="N321" s="8"/>
      <c r="O321" s="8"/>
      <c r="P321" s="8"/>
      <c r="Q321" s="8"/>
      <c r="R321" s="8"/>
      <c r="S321" s="8"/>
      <c r="T321" s="8"/>
      <c r="U321" s="8"/>
      <c r="V321" s="8"/>
      <c r="W321" s="8"/>
      <c r="X321" s="8"/>
      <c r="Y321" s="8"/>
      <c r="Z321" s="8"/>
    </row>
    <row r="322" spans="1:26" ht="15.75" customHeight="1" x14ac:dyDescent="0.25">
      <c r="A322" s="6" t="s">
        <v>95</v>
      </c>
      <c r="B322" s="8"/>
      <c r="C322" s="8"/>
      <c r="D322" s="8"/>
      <c r="E322" s="8"/>
      <c r="F322" s="6" t="s">
        <v>116</v>
      </c>
      <c r="G322" s="6" t="s">
        <v>45</v>
      </c>
      <c r="H322" s="8"/>
      <c r="I322" s="8"/>
      <c r="J322" s="8"/>
      <c r="K322" s="8"/>
      <c r="L322" s="8"/>
      <c r="M322" s="8"/>
      <c r="N322" s="8"/>
      <c r="O322" s="8"/>
      <c r="P322" s="8"/>
      <c r="Q322" s="8"/>
      <c r="R322" s="8"/>
      <c r="S322" s="8"/>
      <c r="T322" s="8"/>
      <c r="U322" s="8"/>
      <c r="V322" s="8"/>
      <c r="W322" s="8"/>
      <c r="X322" s="8"/>
      <c r="Y322" s="8"/>
      <c r="Z322" s="8"/>
    </row>
    <row r="323" spans="1:26" ht="15.75" customHeight="1" x14ac:dyDescent="0.25">
      <c r="A323" s="6" t="s">
        <v>95</v>
      </c>
      <c r="B323" s="8"/>
      <c r="C323" s="8"/>
      <c r="D323" s="8"/>
      <c r="E323" s="8"/>
      <c r="F323" s="6" t="s">
        <v>116</v>
      </c>
      <c r="G323" s="6" t="s">
        <v>45</v>
      </c>
      <c r="H323" s="8"/>
      <c r="I323" s="8"/>
      <c r="J323" s="8"/>
      <c r="K323" s="8"/>
      <c r="L323" s="8"/>
      <c r="M323" s="8"/>
      <c r="N323" s="8"/>
      <c r="O323" s="8"/>
      <c r="P323" s="8"/>
      <c r="Q323" s="8"/>
      <c r="R323" s="8"/>
      <c r="S323" s="8"/>
      <c r="T323" s="8"/>
      <c r="U323" s="8"/>
      <c r="V323" s="8"/>
      <c r="W323" s="8"/>
      <c r="X323" s="8"/>
      <c r="Y323" s="8"/>
      <c r="Z323" s="8"/>
    </row>
    <row r="324" spans="1:26" ht="15.75" customHeight="1" x14ac:dyDescent="0.25">
      <c r="A324" s="6" t="s">
        <v>95</v>
      </c>
      <c r="B324" s="8"/>
      <c r="C324" s="8"/>
      <c r="D324" s="8"/>
      <c r="E324" s="8"/>
      <c r="F324" s="6" t="s">
        <v>116</v>
      </c>
      <c r="G324" s="6" t="s">
        <v>45</v>
      </c>
      <c r="H324" s="8"/>
      <c r="I324" s="8"/>
      <c r="J324" s="8"/>
      <c r="K324" s="8"/>
      <c r="L324" s="8"/>
      <c r="M324" s="8"/>
      <c r="N324" s="8"/>
      <c r="O324" s="8"/>
      <c r="P324" s="8"/>
      <c r="Q324" s="8"/>
      <c r="R324" s="8"/>
      <c r="S324" s="8"/>
      <c r="T324" s="8"/>
      <c r="U324" s="8"/>
      <c r="V324" s="8"/>
      <c r="W324" s="8"/>
      <c r="X324" s="8"/>
      <c r="Y324" s="8"/>
      <c r="Z324" s="8"/>
    </row>
    <row r="325" spans="1:26" ht="15.75" customHeight="1" x14ac:dyDescent="0.25">
      <c r="A325" s="6" t="s">
        <v>95</v>
      </c>
      <c r="B325" s="8"/>
      <c r="C325" s="8"/>
      <c r="D325" s="8"/>
      <c r="E325" s="8"/>
      <c r="F325" s="6" t="s">
        <v>116</v>
      </c>
      <c r="G325" s="6" t="s">
        <v>45</v>
      </c>
      <c r="H325" s="8"/>
      <c r="I325" s="8"/>
      <c r="J325" s="8"/>
      <c r="K325" s="8"/>
      <c r="L325" s="8"/>
      <c r="M325" s="8"/>
      <c r="N325" s="8"/>
      <c r="O325" s="8"/>
      <c r="P325" s="8"/>
      <c r="Q325" s="8"/>
      <c r="R325" s="8"/>
      <c r="S325" s="8"/>
      <c r="T325" s="8"/>
      <c r="U325" s="8"/>
      <c r="V325" s="8"/>
      <c r="W325" s="8"/>
      <c r="X325" s="8"/>
      <c r="Y325" s="8"/>
      <c r="Z325" s="8"/>
    </row>
    <row r="326" spans="1:26" ht="15.75" customHeight="1" x14ac:dyDescent="0.25">
      <c r="A326" s="6" t="s">
        <v>95</v>
      </c>
      <c r="B326" s="8"/>
      <c r="C326" s="8"/>
      <c r="D326" s="8"/>
      <c r="E326" s="8"/>
      <c r="F326" s="6" t="s">
        <v>116</v>
      </c>
      <c r="G326" s="6" t="s">
        <v>45</v>
      </c>
      <c r="H326" s="8"/>
      <c r="I326" s="8"/>
      <c r="J326" s="8"/>
      <c r="K326" s="8"/>
      <c r="L326" s="8"/>
      <c r="M326" s="8"/>
      <c r="N326" s="8"/>
      <c r="O326" s="8"/>
      <c r="P326" s="8"/>
      <c r="Q326" s="8"/>
      <c r="R326" s="8"/>
      <c r="S326" s="8"/>
      <c r="T326" s="8"/>
      <c r="U326" s="8"/>
      <c r="V326" s="8"/>
      <c r="W326" s="8"/>
      <c r="X326" s="8"/>
      <c r="Y326" s="8"/>
      <c r="Z326" s="8"/>
    </row>
    <row r="327" spans="1:26" ht="15.75" customHeight="1" x14ac:dyDescent="0.25">
      <c r="A327" s="6" t="s">
        <v>95</v>
      </c>
      <c r="B327" s="8"/>
      <c r="C327" s="8"/>
      <c r="D327" s="8"/>
      <c r="E327" s="8"/>
      <c r="F327" s="6" t="s">
        <v>116</v>
      </c>
      <c r="G327" s="6" t="s">
        <v>45</v>
      </c>
      <c r="H327" s="8"/>
      <c r="I327" s="8"/>
      <c r="J327" s="8"/>
      <c r="K327" s="8"/>
      <c r="L327" s="8"/>
      <c r="M327" s="8"/>
      <c r="N327" s="8"/>
      <c r="O327" s="8"/>
      <c r="P327" s="8"/>
      <c r="Q327" s="8"/>
      <c r="R327" s="8"/>
      <c r="S327" s="8"/>
      <c r="T327" s="8"/>
      <c r="U327" s="8"/>
      <c r="V327" s="8"/>
      <c r="W327" s="8"/>
      <c r="X327" s="8"/>
      <c r="Y327" s="8"/>
      <c r="Z327" s="8"/>
    </row>
    <row r="328" spans="1:26" ht="15.75" customHeight="1" x14ac:dyDescent="0.25">
      <c r="A328" s="6" t="s">
        <v>95</v>
      </c>
      <c r="B328" s="8"/>
      <c r="C328" s="8"/>
      <c r="D328" s="8"/>
      <c r="E328" s="8"/>
      <c r="F328" s="6" t="s">
        <v>116</v>
      </c>
      <c r="G328" s="6" t="s">
        <v>45</v>
      </c>
      <c r="H328" s="8"/>
      <c r="I328" s="8"/>
      <c r="J328" s="8"/>
      <c r="K328" s="8"/>
      <c r="L328" s="8"/>
      <c r="M328" s="8"/>
      <c r="N328" s="8"/>
      <c r="O328" s="8"/>
      <c r="P328" s="8"/>
      <c r="Q328" s="8"/>
      <c r="R328" s="8"/>
      <c r="S328" s="8"/>
      <c r="T328" s="8"/>
      <c r="U328" s="8"/>
      <c r="V328" s="8"/>
      <c r="W328" s="8"/>
      <c r="X328" s="8"/>
      <c r="Y328" s="8"/>
      <c r="Z328" s="8"/>
    </row>
    <row r="329" spans="1:26" ht="15.75" customHeight="1" x14ac:dyDescent="0.25">
      <c r="A329" s="6" t="s">
        <v>95</v>
      </c>
      <c r="B329" s="8"/>
      <c r="C329" s="8"/>
      <c r="D329" s="8"/>
      <c r="E329" s="8"/>
      <c r="F329" s="6" t="s">
        <v>116</v>
      </c>
      <c r="G329" s="6" t="s">
        <v>45</v>
      </c>
      <c r="H329" s="8"/>
      <c r="I329" s="8"/>
      <c r="J329" s="8"/>
      <c r="K329" s="8"/>
      <c r="L329" s="8"/>
      <c r="M329" s="8"/>
      <c r="N329" s="8"/>
      <c r="O329" s="8"/>
      <c r="P329" s="8"/>
      <c r="Q329" s="8"/>
      <c r="R329" s="8"/>
      <c r="S329" s="8"/>
      <c r="T329" s="8"/>
      <c r="U329" s="8"/>
      <c r="V329" s="8"/>
      <c r="W329" s="8"/>
      <c r="X329" s="8"/>
      <c r="Y329" s="8"/>
      <c r="Z329" s="8"/>
    </row>
    <row r="330" spans="1:26" ht="15.75" customHeight="1" x14ac:dyDescent="0.25">
      <c r="A330" s="6" t="s">
        <v>95</v>
      </c>
      <c r="B330" s="8"/>
      <c r="C330" s="8"/>
      <c r="D330" s="8"/>
      <c r="E330" s="8"/>
      <c r="F330" s="6" t="s">
        <v>116</v>
      </c>
      <c r="G330" s="6" t="s">
        <v>45</v>
      </c>
      <c r="H330" s="8"/>
      <c r="I330" s="8"/>
      <c r="J330" s="8"/>
      <c r="K330" s="8"/>
      <c r="L330" s="8"/>
      <c r="M330" s="8"/>
      <c r="N330" s="8"/>
      <c r="O330" s="8"/>
      <c r="P330" s="8"/>
      <c r="Q330" s="8"/>
      <c r="R330" s="8"/>
      <c r="S330" s="8"/>
      <c r="T330" s="8"/>
      <c r="U330" s="8"/>
      <c r="V330" s="8"/>
      <c r="W330" s="8"/>
      <c r="X330" s="8"/>
      <c r="Y330" s="8"/>
      <c r="Z330" s="8"/>
    </row>
    <row r="331" spans="1:26" ht="15.75" customHeight="1" x14ac:dyDescent="0.25">
      <c r="A331" s="6" t="s">
        <v>95</v>
      </c>
      <c r="B331" s="8"/>
      <c r="C331" s="8"/>
      <c r="D331" s="8"/>
      <c r="E331" s="8"/>
      <c r="F331" s="6" t="s">
        <v>116</v>
      </c>
      <c r="G331" s="6" t="s">
        <v>45</v>
      </c>
      <c r="H331" s="8"/>
      <c r="I331" s="8"/>
      <c r="J331" s="8"/>
      <c r="K331" s="8"/>
      <c r="L331" s="8"/>
      <c r="M331" s="8"/>
      <c r="N331" s="8"/>
      <c r="O331" s="8"/>
      <c r="P331" s="8"/>
      <c r="Q331" s="8"/>
      <c r="R331" s="8"/>
      <c r="S331" s="8"/>
      <c r="T331" s="8"/>
      <c r="U331" s="8"/>
      <c r="V331" s="8"/>
      <c r="W331" s="8"/>
      <c r="X331" s="8"/>
      <c r="Y331" s="8"/>
      <c r="Z331" s="8"/>
    </row>
    <row r="332" spans="1:26" ht="15.75" customHeight="1" x14ac:dyDescent="0.25">
      <c r="A332" s="6" t="s">
        <v>95</v>
      </c>
      <c r="B332" s="8"/>
      <c r="C332" s="8"/>
      <c r="D332" s="8"/>
      <c r="E332" s="8"/>
      <c r="F332" s="6" t="s">
        <v>116</v>
      </c>
      <c r="G332" s="6" t="s">
        <v>45</v>
      </c>
      <c r="H332" s="8"/>
      <c r="I332" s="8"/>
      <c r="J332" s="8"/>
      <c r="K332" s="8"/>
      <c r="L332" s="8"/>
      <c r="M332" s="8"/>
      <c r="N332" s="8"/>
      <c r="O332" s="8"/>
      <c r="P332" s="8"/>
      <c r="Q332" s="8"/>
      <c r="R332" s="8"/>
      <c r="S332" s="8"/>
      <c r="T332" s="8"/>
      <c r="U332" s="8"/>
      <c r="V332" s="8"/>
      <c r="W332" s="8"/>
      <c r="X332" s="8"/>
      <c r="Y332" s="8"/>
      <c r="Z332" s="8"/>
    </row>
    <row r="333" spans="1:26" ht="15.75" customHeight="1" x14ac:dyDescent="0.25">
      <c r="A333" s="6" t="s">
        <v>95</v>
      </c>
      <c r="B333" s="8"/>
      <c r="C333" s="8"/>
      <c r="D333" s="8"/>
      <c r="E333" s="8"/>
      <c r="F333" s="6" t="s">
        <v>116</v>
      </c>
      <c r="G333" s="6" t="s">
        <v>45</v>
      </c>
      <c r="H333" s="8"/>
      <c r="I333" s="8"/>
      <c r="J333" s="8"/>
      <c r="K333" s="8"/>
      <c r="L333" s="8"/>
      <c r="M333" s="8"/>
      <c r="N333" s="8"/>
      <c r="O333" s="8"/>
      <c r="P333" s="8"/>
      <c r="Q333" s="8"/>
      <c r="R333" s="8"/>
      <c r="S333" s="8"/>
      <c r="T333" s="8"/>
      <c r="U333" s="8"/>
      <c r="V333" s="8"/>
      <c r="W333" s="8"/>
      <c r="X333" s="8"/>
      <c r="Y333" s="8"/>
      <c r="Z333" s="8"/>
    </row>
    <row r="334" spans="1:26" ht="15.75" customHeight="1" x14ac:dyDescent="0.25">
      <c r="A334" s="6" t="s">
        <v>95</v>
      </c>
      <c r="B334" s="8"/>
      <c r="C334" s="8"/>
      <c r="D334" s="8"/>
      <c r="E334" s="8"/>
      <c r="F334" s="6" t="s">
        <v>116</v>
      </c>
      <c r="G334" s="6" t="s">
        <v>45</v>
      </c>
      <c r="H334" s="8"/>
      <c r="I334" s="8"/>
      <c r="J334" s="8"/>
      <c r="K334" s="8"/>
      <c r="L334" s="8"/>
      <c r="M334" s="8"/>
      <c r="N334" s="8"/>
      <c r="O334" s="8"/>
      <c r="P334" s="8"/>
      <c r="Q334" s="8"/>
      <c r="R334" s="8"/>
      <c r="S334" s="8"/>
      <c r="T334" s="8"/>
      <c r="U334" s="8"/>
      <c r="V334" s="8"/>
      <c r="W334" s="8"/>
      <c r="X334" s="8"/>
      <c r="Y334" s="8"/>
      <c r="Z334" s="8"/>
    </row>
    <row r="335" spans="1:26" ht="15.75" customHeight="1" x14ac:dyDescent="0.25">
      <c r="A335" s="6" t="s">
        <v>95</v>
      </c>
      <c r="B335" s="8"/>
      <c r="C335" s="8"/>
      <c r="D335" s="8"/>
      <c r="E335" s="8"/>
      <c r="F335" s="6" t="s">
        <v>116</v>
      </c>
      <c r="G335" s="6" t="s">
        <v>45</v>
      </c>
      <c r="H335" s="8"/>
      <c r="I335" s="8"/>
      <c r="J335" s="8"/>
      <c r="K335" s="8"/>
      <c r="L335" s="8"/>
      <c r="M335" s="8"/>
      <c r="N335" s="8"/>
      <c r="O335" s="8"/>
      <c r="P335" s="8"/>
      <c r="Q335" s="8"/>
      <c r="R335" s="8"/>
      <c r="S335" s="8"/>
      <c r="T335" s="8"/>
      <c r="U335" s="8"/>
      <c r="V335" s="8"/>
      <c r="W335" s="8"/>
      <c r="X335" s="8"/>
      <c r="Y335" s="8"/>
      <c r="Z335" s="8"/>
    </row>
    <row r="336" spans="1:26" ht="15.75" customHeight="1" x14ac:dyDescent="0.25">
      <c r="A336" s="6" t="s">
        <v>95</v>
      </c>
      <c r="B336" s="8"/>
      <c r="C336" s="8"/>
      <c r="D336" s="8"/>
      <c r="E336" s="8"/>
      <c r="F336" s="6" t="s">
        <v>116</v>
      </c>
      <c r="G336" s="6" t="s">
        <v>45</v>
      </c>
      <c r="H336" s="8"/>
      <c r="I336" s="8"/>
      <c r="J336" s="8"/>
      <c r="K336" s="8"/>
      <c r="L336" s="8"/>
      <c r="M336" s="8"/>
      <c r="N336" s="8"/>
      <c r="O336" s="8"/>
      <c r="P336" s="8"/>
      <c r="Q336" s="8"/>
      <c r="R336" s="8"/>
      <c r="S336" s="8"/>
      <c r="T336" s="8"/>
      <c r="U336" s="8"/>
      <c r="V336" s="8"/>
      <c r="W336" s="8"/>
      <c r="X336" s="8"/>
      <c r="Y336" s="8"/>
      <c r="Z336" s="8"/>
    </row>
    <row r="337" spans="1:26" ht="15.75" customHeight="1" x14ac:dyDescent="0.25">
      <c r="A337" s="6" t="s">
        <v>95</v>
      </c>
      <c r="B337" s="8"/>
      <c r="C337" s="8"/>
      <c r="D337" s="8"/>
      <c r="E337" s="8"/>
      <c r="F337" s="6" t="s">
        <v>116</v>
      </c>
      <c r="G337" s="6" t="s">
        <v>45</v>
      </c>
      <c r="H337" s="8"/>
      <c r="I337" s="8"/>
      <c r="J337" s="8"/>
      <c r="K337" s="8"/>
      <c r="L337" s="8"/>
      <c r="M337" s="8"/>
      <c r="N337" s="8"/>
      <c r="O337" s="8"/>
      <c r="P337" s="8"/>
      <c r="Q337" s="8"/>
      <c r="R337" s="8"/>
      <c r="S337" s="8"/>
      <c r="T337" s="8"/>
      <c r="U337" s="8"/>
      <c r="V337" s="8"/>
      <c r="W337" s="8"/>
      <c r="X337" s="8"/>
      <c r="Y337" s="8"/>
      <c r="Z337" s="8"/>
    </row>
    <row r="338" spans="1:26" ht="15.75" customHeight="1" x14ac:dyDescent="0.25">
      <c r="A338" s="6" t="s">
        <v>95</v>
      </c>
      <c r="B338" s="8"/>
      <c r="C338" s="8"/>
      <c r="D338" s="8"/>
      <c r="E338" s="8"/>
      <c r="F338" s="6" t="s">
        <v>116</v>
      </c>
      <c r="G338" s="6" t="s">
        <v>45</v>
      </c>
      <c r="H338" s="8"/>
      <c r="I338" s="8"/>
      <c r="J338" s="8"/>
      <c r="K338" s="8"/>
      <c r="L338" s="8"/>
      <c r="M338" s="8"/>
      <c r="N338" s="8"/>
      <c r="O338" s="8"/>
      <c r="P338" s="8"/>
      <c r="Q338" s="8"/>
      <c r="R338" s="8"/>
      <c r="S338" s="8"/>
      <c r="T338" s="8"/>
      <c r="U338" s="8"/>
      <c r="V338" s="8"/>
      <c r="W338" s="8"/>
      <c r="X338" s="8"/>
      <c r="Y338" s="8"/>
      <c r="Z338" s="8"/>
    </row>
    <row r="339" spans="1:26" ht="15.75" customHeight="1" x14ac:dyDescent="0.25">
      <c r="A339" s="6" t="s">
        <v>95</v>
      </c>
      <c r="B339" s="8"/>
      <c r="C339" s="8"/>
      <c r="D339" s="8"/>
      <c r="E339" s="8"/>
      <c r="F339" s="6" t="s">
        <v>116</v>
      </c>
      <c r="G339" s="6" t="s">
        <v>45</v>
      </c>
      <c r="H339" s="8"/>
      <c r="I339" s="8"/>
      <c r="J339" s="8"/>
      <c r="K339" s="8"/>
      <c r="L339" s="8"/>
      <c r="M339" s="8"/>
      <c r="N339" s="8"/>
      <c r="O339" s="8"/>
      <c r="P339" s="8"/>
      <c r="Q339" s="8"/>
      <c r="R339" s="8"/>
      <c r="S339" s="8"/>
      <c r="T339" s="8"/>
      <c r="U339" s="8"/>
      <c r="V339" s="8"/>
      <c r="W339" s="8"/>
      <c r="X339" s="8"/>
      <c r="Y339" s="8"/>
      <c r="Z339" s="8"/>
    </row>
    <row r="340" spans="1:26" ht="15.75" customHeight="1" x14ac:dyDescent="0.25">
      <c r="A340" s="6" t="s">
        <v>95</v>
      </c>
      <c r="B340" s="8"/>
      <c r="C340" s="8"/>
      <c r="D340" s="8"/>
      <c r="E340" s="8"/>
      <c r="F340" s="6" t="s">
        <v>116</v>
      </c>
      <c r="G340" s="6" t="s">
        <v>45</v>
      </c>
      <c r="H340" s="8"/>
      <c r="I340" s="8"/>
      <c r="J340" s="8"/>
      <c r="K340" s="8"/>
      <c r="L340" s="8"/>
      <c r="M340" s="8"/>
      <c r="N340" s="8"/>
      <c r="O340" s="8"/>
      <c r="P340" s="8"/>
      <c r="Q340" s="8"/>
      <c r="R340" s="8"/>
      <c r="S340" s="8"/>
      <c r="T340" s="8"/>
      <c r="U340" s="8"/>
      <c r="V340" s="8"/>
      <c r="W340" s="8"/>
      <c r="X340" s="8"/>
      <c r="Y340" s="8"/>
      <c r="Z340" s="8"/>
    </row>
    <row r="341" spans="1:26" ht="15.75" customHeight="1" x14ac:dyDescent="0.25">
      <c r="A341" s="6" t="s">
        <v>95</v>
      </c>
      <c r="B341" s="8"/>
      <c r="C341" s="8"/>
      <c r="D341" s="8"/>
      <c r="E341" s="8"/>
      <c r="F341" s="6" t="s">
        <v>116</v>
      </c>
      <c r="G341" s="6" t="s">
        <v>45</v>
      </c>
      <c r="H341" s="8"/>
      <c r="I341" s="8"/>
      <c r="J341" s="8"/>
      <c r="K341" s="8"/>
      <c r="L341" s="8"/>
      <c r="M341" s="8"/>
      <c r="N341" s="8"/>
      <c r="O341" s="8"/>
      <c r="P341" s="8"/>
      <c r="Q341" s="8"/>
      <c r="R341" s="8"/>
      <c r="S341" s="8"/>
      <c r="T341" s="8"/>
      <c r="U341" s="8"/>
      <c r="V341" s="8"/>
      <c r="W341" s="8"/>
      <c r="X341" s="8"/>
      <c r="Y341" s="8"/>
      <c r="Z341" s="8"/>
    </row>
    <row r="342" spans="1:26" ht="15.75" customHeight="1" x14ac:dyDescent="0.25">
      <c r="A342" s="6" t="s">
        <v>95</v>
      </c>
      <c r="B342" s="8"/>
      <c r="C342" s="8"/>
      <c r="D342" s="8"/>
      <c r="E342" s="8"/>
      <c r="F342" s="6" t="s">
        <v>116</v>
      </c>
      <c r="G342" s="6" t="s">
        <v>45</v>
      </c>
      <c r="H342" s="8"/>
      <c r="I342" s="8"/>
      <c r="J342" s="8"/>
      <c r="K342" s="8"/>
      <c r="L342" s="8"/>
      <c r="M342" s="8"/>
      <c r="N342" s="8"/>
      <c r="O342" s="8"/>
      <c r="P342" s="8"/>
      <c r="Q342" s="8"/>
      <c r="R342" s="8"/>
      <c r="S342" s="8"/>
      <c r="T342" s="8"/>
      <c r="U342" s="8"/>
      <c r="V342" s="8"/>
      <c r="W342" s="8"/>
      <c r="X342" s="8"/>
      <c r="Y342" s="8"/>
      <c r="Z342" s="8"/>
    </row>
    <row r="343" spans="1:26" ht="15.75" customHeight="1" x14ac:dyDescent="0.25">
      <c r="A343" s="6" t="s">
        <v>95</v>
      </c>
      <c r="B343" s="8"/>
      <c r="C343" s="8"/>
      <c r="D343" s="8"/>
      <c r="E343" s="8"/>
      <c r="F343" s="6" t="s">
        <v>116</v>
      </c>
      <c r="G343" s="6" t="s">
        <v>45</v>
      </c>
      <c r="H343" s="8"/>
      <c r="I343" s="8"/>
      <c r="J343" s="8"/>
      <c r="K343" s="8"/>
      <c r="L343" s="8"/>
      <c r="M343" s="8"/>
      <c r="N343" s="8"/>
      <c r="O343" s="8"/>
      <c r="P343" s="8"/>
      <c r="Q343" s="8"/>
      <c r="R343" s="8"/>
      <c r="S343" s="8"/>
      <c r="T343" s="8"/>
      <c r="U343" s="8"/>
      <c r="V343" s="8"/>
      <c r="W343" s="8"/>
      <c r="X343" s="8"/>
      <c r="Y343" s="8"/>
      <c r="Z343" s="8"/>
    </row>
    <row r="344" spans="1:26" ht="15.75" customHeight="1" x14ac:dyDescent="0.25">
      <c r="A344" s="6" t="s">
        <v>95</v>
      </c>
      <c r="B344" s="8"/>
      <c r="C344" s="8"/>
      <c r="D344" s="8"/>
      <c r="E344" s="8"/>
      <c r="F344" s="6" t="s">
        <v>116</v>
      </c>
      <c r="G344" s="6" t="s">
        <v>45</v>
      </c>
      <c r="H344" s="8"/>
      <c r="I344" s="8"/>
      <c r="J344" s="8"/>
      <c r="K344" s="8"/>
      <c r="L344" s="8"/>
      <c r="M344" s="8"/>
      <c r="N344" s="8"/>
      <c r="O344" s="8"/>
      <c r="P344" s="8"/>
      <c r="Q344" s="8"/>
      <c r="R344" s="8"/>
      <c r="S344" s="8"/>
      <c r="T344" s="8"/>
      <c r="U344" s="8"/>
      <c r="V344" s="8"/>
      <c r="W344" s="8"/>
      <c r="X344" s="8"/>
      <c r="Y344" s="8"/>
      <c r="Z344" s="8"/>
    </row>
    <row r="345" spans="1:26" ht="15.75" customHeight="1" x14ac:dyDescent="0.25">
      <c r="A345" s="6" t="s">
        <v>95</v>
      </c>
      <c r="B345" s="8"/>
      <c r="C345" s="8"/>
      <c r="D345" s="8"/>
      <c r="E345" s="8"/>
      <c r="F345" s="6" t="s">
        <v>116</v>
      </c>
      <c r="G345" s="6" t="s">
        <v>45</v>
      </c>
      <c r="H345" s="8"/>
      <c r="I345" s="8"/>
      <c r="J345" s="8"/>
      <c r="K345" s="8"/>
      <c r="L345" s="8"/>
      <c r="M345" s="8"/>
      <c r="N345" s="8"/>
      <c r="O345" s="8"/>
      <c r="P345" s="8"/>
      <c r="Q345" s="8"/>
      <c r="R345" s="8"/>
      <c r="S345" s="8"/>
      <c r="T345" s="8"/>
      <c r="U345" s="8"/>
      <c r="V345" s="8"/>
      <c r="W345" s="8"/>
      <c r="X345" s="8"/>
      <c r="Y345" s="8"/>
      <c r="Z345" s="8"/>
    </row>
    <row r="346" spans="1:26" ht="15.75" customHeight="1" x14ac:dyDescent="0.25">
      <c r="A346" s="6" t="s">
        <v>95</v>
      </c>
      <c r="B346" s="8"/>
      <c r="C346" s="8"/>
      <c r="D346" s="8"/>
      <c r="E346" s="8"/>
      <c r="F346" s="6" t="s">
        <v>116</v>
      </c>
      <c r="G346" s="6" t="s">
        <v>45</v>
      </c>
      <c r="H346" s="8"/>
      <c r="I346" s="8"/>
      <c r="J346" s="8"/>
      <c r="K346" s="8"/>
      <c r="L346" s="8"/>
      <c r="M346" s="8"/>
      <c r="N346" s="8"/>
      <c r="O346" s="8"/>
      <c r="P346" s="8"/>
      <c r="Q346" s="8"/>
      <c r="R346" s="8"/>
      <c r="S346" s="8"/>
      <c r="T346" s="8"/>
      <c r="U346" s="8"/>
      <c r="V346" s="8"/>
      <c r="W346" s="8"/>
      <c r="X346" s="8"/>
      <c r="Y346" s="8"/>
      <c r="Z346" s="8"/>
    </row>
    <row r="347" spans="1:26" ht="15.75" customHeight="1" x14ac:dyDescent="0.25">
      <c r="A347" s="6" t="s">
        <v>95</v>
      </c>
      <c r="B347" s="8"/>
      <c r="C347" s="8"/>
      <c r="D347" s="8"/>
      <c r="E347" s="8"/>
      <c r="F347" s="6" t="s">
        <v>116</v>
      </c>
      <c r="G347" s="6" t="s">
        <v>45</v>
      </c>
      <c r="H347" s="8"/>
      <c r="I347" s="8"/>
      <c r="J347" s="8"/>
      <c r="K347" s="8"/>
      <c r="L347" s="8"/>
      <c r="M347" s="8"/>
      <c r="N347" s="8"/>
      <c r="O347" s="8"/>
      <c r="P347" s="8"/>
      <c r="Q347" s="8"/>
      <c r="R347" s="8"/>
      <c r="S347" s="8"/>
      <c r="T347" s="8"/>
      <c r="U347" s="8"/>
      <c r="V347" s="8"/>
      <c r="W347" s="8"/>
      <c r="X347" s="8"/>
      <c r="Y347" s="8"/>
      <c r="Z347" s="8"/>
    </row>
    <row r="348" spans="1:26" ht="15.75" customHeight="1" x14ac:dyDescent="0.25">
      <c r="A348" s="6" t="s">
        <v>95</v>
      </c>
      <c r="B348" s="8"/>
      <c r="C348" s="8"/>
      <c r="D348" s="8"/>
      <c r="E348" s="8"/>
      <c r="F348" s="6" t="s">
        <v>116</v>
      </c>
      <c r="G348" s="6" t="s">
        <v>45</v>
      </c>
      <c r="H348" s="8"/>
      <c r="I348" s="8"/>
      <c r="J348" s="8"/>
      <c r="K348" s="8"/>
      <c r="L348" s="8"/>
      <c r="M348" s="8"/>
      <c r="N348" s="8"/>
      <c r="O348" s="8"/>
      <c r="P348" s="8"/>
      <c r="Q348" s="8"/>
      <c r="R348" s="8"/>
      <c r="S348" s="8"/>
      <c r="T348" s="8"/>
      <c r="U348" s="8"/>
      <c r="V348" s="8"/>
      <c r="W348" s="8"/>
      <c r="X348" s="8"/>
      <c r="Y348" s="8"/>
      <c r="Z348" s="8"/>
    </row>
    <row r="349" spans="1:26" ht="15.75" customHeight="1" x14ac:dyDescent="0.25">
      <c r="A349" s="6" t="s">
        <v>95</v>
      </c>
      <c r="B349" s="8"/>
      <c r="C349" s="8"/>
      <c r="D349" s="8"/>
      <c r="E349" s="8"/>
      <c r="F349" s="6" t="s">
        <v>116</v>
      </c>
      <c r="G349" s="6" t="s">
        <v>45</v>
      </c>
      <c r="H349" s="8"/>
      <c r="I349" s="8"/>
      <c r="J349" s="8"/>
      <c r="K349" s="8"/>
      <c r="L349" s="8"/>
      <c r="M349" s="8"/>
      <c r="N349" s="8"/>
      <c r="O349" s="8"/>
      <c r="P349" s="8"/>
      <c r="Q349" s="8"/>
      <c r="R349" s="8"/>
      <c r="S349" s="8"/>
      <c r="T349" s="8"/>
      <c r="U349" s="8"/>
      <c r="V349" s="8"/>
      <c r="W349" s="8"/>
      <c r="X349" s="8"/>
      <c r="Y349" s="8"/>
      <c r="Z349" s="8"/>
    </row>
    <row r="350" spans="1:26" ht="15.75" customHeight="1" x14ac:dyDescent="0.25">
      <c r="A350" s="6" t="s">
        <v>95</v>
      </c>
      <c r="B350" s="8"/>
      <c r="C350" s="8"/>
      <c r="D350" s="8"/>
      <c r="E350" s="8"/>
      <c r="F350" s="6" t="s">
        <v>116</v>
      </c>
      <c r="G350" s="6" t="s">
        <v>45</v>
      </c>
      <c r="H350" s="8"/>
      <c r="I350" s="8"/>
      <c r="J350" s="8"/>
      <c r="K350" s="8"/>
      <c r="L350" s="8"/>
      <c r="M350" s="8"/>
      <c r="N350" s="8"/>
      <c r="O350" s="8"/>
      <c r="P350" s="8"/>
      <c r="Q350" s="8"/>
      <c r="R350" s="8"/>
      <c r="S350" s="8"/>
      <c r="T350" s="8"/>
      <c r="U350" s="8"/>
      <c r="V350" s="8"/>
      <c r="W350" s="8"/>
      <c r="X350" s="8"/>
      <c r="Y350" s="8"/>
      <c r="Z350" s="8"/>
    </row>
    <row r="351" spans="1:26" ht="15.75" customHeight="1" x14ac:dyDescent="0.25">
      <c r="A351" s="6" t="s">
        <v>95</v>
      </c>
      <c r="B351" s="8"/>
      <c r="C351" s="8"/>
      <c r="D351" s="8"/>
      <c r="E351" s="8"/>
      <c r="F351" s="6" t="s">
        <v>116</v>
      </c>
      <c r="G351" s="6" t="s">
        <v>45</v>
      </c>
      <c r="H351" s="8"/>
      <c r="I351" s="8"/>
      <c r="J351" s="8"/>
      <c r="K351" s="8"/>
      <c r="L351" s="8"/>
      <c r="M351" s="8"/>
      <c r="N351" s="8"/>
      <c r="O351" s="8"/>
      <c r="P351" s="8"/>
      <c r="Q351" s="8"/>
      <c r="R351" s="8"/>
      <c r="S351" s="8"/>
      <c r="T351" s="8"/>
      <c r="U351" s="8"/>
      <c r="V351" s="8"/>
      <c r="W351" s="8"/>
      <c r="X351" s="8"/>
      <c r="Y351" s="8"/>
      <c r="Z351" s="8"/>
    </row>
    <row r="352" spans="1:26" ht="15.75" customHeight="1" x14ac:dyDescent="0.25">
      <c r="A352" s="6" t="s">
        <v>95</v>
      </c>
      <c r="B352" s="8"/>
      <c r="C352" s="8"/>
      <c r="D352" s="8"/>
      <c r="E352" s="8"/>
      <c r="F352" s="6" t="s">
        <v>116</v>
      </c>
      <c r="G352" s="6" t="s">
        <v>45</v>
      </c>
      <c r="H352" s="8"/>
      <c r="I352" s="8"/>
      <c r="J352" s="8"/>
      <c r="K352" s="8"/>
      <c r="L352" s="8"/>
      <c r="M352" s="8"/>
      <c r="N352" s="8"/>
      <c r="O352" s="8"/>
      <c r="P352" s="8"/>
      <c r="Q352" s="8"/>
      <c r="R352" s="8"/>
      <c r="S352" s="8"/>
      <c r="T352" s="8"/>
      <c r="U352" s="8"/>
      <c r="V352" s="8"/>
      <c r="W352" s="8"/>
      <c r="X352" s="8"/>
      <c r="Y352" s="8"/>
      <c r="Z352" s="8"/>
    </row>
    <row r="353" spans="1:26" ht="15.75" customHeight="1" x14ac:dyDescent="0.25">
      <c r="A353" s="6" t="s">
        <v>95</v>
      </c>
      <c r="B353" s="8"/>
      <c r="C353" s="8"/>
      <c r="D353" s="8"/>
      <c r="E353" s="8"/>
      <c r="F353" s="6" t="s">
        <v>116</v>
      </c>
      <c r="G353" s="6" t="s">
        <v>45</v>
      </c>
      <c r="H353" s="8"/>
      <c r="I353" s="8"/>
      <c r="J353" s="8"/>
      <c r="K353" s="8"/>
      <c r="L353" s="8"/>
      <c r="M353" s="8"/>
      <c r="N353" s="8"/>
      <c r="O353" s="8"/>
      <c r="P353" s="8"/>
      <c r="Q353" s="8"/>
      <c r="R353" s="8"/>
      <c r="S353" s="8"/>
      <c r="T353" s="8"/>
      <c r="U353" s="8"/>
      <c r="V353" s="8"/>
      <c r="W353" s="8"/>
      <c r="X353" s="8"/>
      <c r="Y353" s="8"/>
      <c r="Z353" s="8"/>
    </row>
    <row r="354" spans="1:26" ht="15.75" customHeight="1" x14ac:dyDescent="0.25">
      <c r="A354" s="6" t="s">
        <v>95</v>
      </c>
      <c r="B354" s="8"/>
      <c r="C354" s="8"/>
      <c r="D354" s="8"/>
      <c r="E354" s="8"/>
      <c r="F354" s="6" t="s">
        <v>116</v>
      </c>
      <c r="G354" s="6" t="s">
        <v>45</v>
      </c>
      <c r="H354" s="8"/>
      <c r="I354" s="8"/>
      <c r="J354" s="8"/>
      <c r="K354" s="8"/>
      <c r="L354" s="8"/>
      <c r="M354" s="8"/>
      <c r="N354" s="8"/>
      <c r="O354" s="8"/>
      <c r="P354" s="8"/>
      <c r="Q354" s="8"/>
      <c r="R354" s="8"/>
      <c r="S354" s="8"/>
      <c r="T354" s="8"/>
      <c r="U354" s="8"/>
      <c r="V354" s="8"/>
      <c r="W354" s="8"/>
      <c r="X354" s="8"/>
      <c r="Y354" s="8"/>
      <c r="Z354" s="8"/>
    </row>
    <row r="355" spans="1:26" ht="15.75" customHeight="1" x14ac:dyDescent="0.25">
      <c r="A355" s="6" t="s">
        <v>95</v>
      </c>
      <c r="B355" s="8"/>
      <c r="C355" s="8"/>
      <c r="D355" s="8"/>
      <c r="E355" s="8"/>
      <c r="F355" s="6" t="s">
        <v>116</v>
      </c>
      <c r="G355" s="6" t="s">
        <v>45</v>
      </c>
      <c r="H355" s="8"/>
      <c r="I355" s="8"/>
      <c r="J355" s="8"/>
      <c r="K355" s="8"/>
      <c r="L355" s="8"/>
      <c r="M355" s="8"/>
      <c r="N355" s="8"/>
      <c r="O355" s="8"/>
      <c r="P355" s="8"/>
      <c r="Q355" s="8"/>
      <c r="R355" s="8"/>
      <c r="S355" s="8"/>
      <c r="T355" s="8"/>
      <c r="U355" s="8"/>
      <c r="V355" s="8"/>
      <c r="W355" s="8"/>
      <c r="X355" s="8"/>
      <c r="Y355" s="8"/>
      <c r="Z355" s="8"/>
    </row>
    <row r="356" spans="1:26" ht="15.75" customHeight="1" x14ac:dyDescent="0.25">
      <c r="A356" s="6" t="s">
        <v>95</v>
      </c>
      <c r="B356" s="8"/>
      <c r="C356" s="8"/>
      <c r="D356" s="8"/>
      <c r="E356" s="8"/>
      <c r="F356" s="6" t="s">
        <v>116</v>
      </c>
      <c r="G356" s="6" t="s">
        <v>45</v>
      </c>
      <c r="H356" s="8"/>
      <c r="I356" s="8"/>
      <c r="J356" s="8"/>
      <c r="K356" s="8"/>
      <c r="L356" s="8"/>
      <c r="M356" s="8"/>
      <c r="N356" s="8"/>
      <c r="O356" s="8"/>
      <c r="P356" s="8"/>
      <c r="Q356" s="8"/>
      <c r="R356" s="8"/>
      <c r="S356" s="8"/>
      <c r="T356" s="8"/>
      <c r="U356" s="8"/>
      <c r="V356" s="8"/>
      <c r="W356" s="8"/>
      <c r="X356" s="8"/>
      <c r="Y356" s="8"/>
      <c r="Z356" s="8"/>
    </row>
    <row r="357" spans="1:26" ht="15.75" customHeight="1" x14ac:dyDescent="0.25">
      <c r="A357" s="6" t="s">
        <v>95</v>
      </c>
      <c r="B357" s="8"/>
      <c r="C357" s="8"/>
      <c r="D357" s="8"/>
      <c r="E357" s="8"/>
      <c r="F357" s="6" t="s">
        <v>116</v>
      </c>
      <c r="G357" s="6" t="s">
        <v>45</v>
      </c>
      <c r="H357" s="8"/>
      <c r="I357" s="8"/>
      <c r="J357" s="8"/>
      <c r="K357" s="8"/>
      <c r="L357" s="8"/>
      <c r="M357" s="8"/>
      <c r="N357" s="8"/>
      <c r="O357" s="8"/>
      <c r="P357" s="8"/>
      <c r="Q357" s="8"/>
      <c r="R357" s="8"/>
      <c r="S357" s="8"/>
      <c r="T357" s="8"/>
      <c r="U357" s="8"/>
      <c r="V357" s="8"/>
      <c r="W357" s="8"/>
      <c r="X357" s="8"/>
      <c r="Y357" s="8"/>
      <c r="Z357" s="8"/>
    </row>
    <row r="358" spans="1:26" ht="15.75" customHeight="1" x14ac:dyDescent="0.25">
      <c r="A358" s="6" t="s">
        <v>95</v>
      </c>
      <c r="B358" s="8"/>
      <c r="C358" s="8"/>
      <c r="D358" s="8"/>
      <c r="E358" s="8"/>
      <c r="F358" s="6" t="s">
        <v>116</v>
      </c>
      <c r="G358" s="6" t="s">
        <v>45</v>
      </c>
      <c r="H358" s="8"/>
      <c r="I358" s="8"/>
      <c r="J358" s="8"/>
      <c r="K358" s="8"/>
      <c r="L358" s="8"/>
      <c r="M358" s="8"/>
      <c r="N358" s="8"/>
      <c r="O358" s="8"/>
      <c r="P358" s="8"/>
      <c r="Q358" s="8"/>
      <c r="R358" s="8"/>
      <c r="S358" s="8"/>
      <c r="T358" s="8"/>
      <c r="U358" s="8"/>
      <c r="V358" s="8"/>
      <c r="W358" s="8"/>
      <c r="X358" s="8"/>
      <c r="Y358" s="8"/>
      <c r="Z358" s="8"/>
    </row>
    <row r="359" spans="1:26" ht="15.75" customHeight="1" x14ac:dyDescent="0.25">
      <c r="A359" s="6" t="s">
        <v>95</v>
      </c>
      <c r="B359" s="8"/>
      <c r="C359" s="8"/>
      <c r="D359" s="8"/>
      <c r="E359" s="8"/>
      <c r="F359" s="6" t="s">
        <v>116</v>
      </c>
      <c r="G359" s="6" t="s">
        <v>45</v>
      </c>
      <c r="H359" s="8"/>
      <c r="I359" s="8"/>
      <c r="J359" s="8"/>
      <c r="K359" s="8"/>
      <c r="L359" s="8"/>
      <c r="M359" s="8"/>
      <c r="N359" s="8"/>
      <c r="O359" s="8"/>
      <c r="P359" s="8"/>
      <c r="Q359" s="8"/>
      <c r="R359" s="8"/>
      <c r="S359" s="8"/>
      <c r="T359" s="8"/>
      <c r="U359" s="8"/>
      <c r="V359" s="8"/>
      <c r="W359" s="8"/>
      <c r="X359" s="8"/>
      <c r="Y359" s="8"/>
      <c r="Z359" s="8"/>
    </row>
    <row r="360" spans="1:26" ht="15.75" customHeight="1" x14ac:dyDescent="0.25">
      <c r="A360" s="6" t="s">
        <v>95</v>
      </c>
      <c r="B360" s="8"/>
      <c r="C360" s="8"/>
      <c r="D360" s="8"/>
      <c r="E360" s="8"/>
      <c r="F360" s="6" t="s">
        <v>116</v>
      </c>
      <c r="G360" s="6" t="s">
        <v>45</v>
      </c>
      <c r="H360" s="8"/>
      <c r="I360" s="8"/>
      <c r="J360" s="8"/>
      <c r="K360" s="8"/>
      <c r="L360" s="8"/>
      <c r="M360" s="8"/>
      <c r="N360" s="8"/>
      <c r="O360" s="8"/>
      <c r="P360" s="8"/>
      <c r="Q360" s="8"/>
      <c r="R360" s="8"/>
      <c r="S360" s="8"/>
      <c r="T360" s="8"/>
      <c r="U360" s="8"/>
      <c r="V360" s="8"/>
      <c r="W360" s="8"/>
      <c r="X360" s="8"/>
      <c r="Y360" s="8"/>
      <c r="Z360" s="8"/>
    </row>
    <row r="361" spans="1:26" ht="15.75" customHeight="1" x14ac:dyDescent="0.25">
      <c r="A361" s="6" t="s">
        <v>95</v>
      </c>
      <c r="B361" s="8"/>
      <c r="C361" s="8"/>
      <c r="D361" s="8"/>
      <c r="E361" s="8"/>
      <c r="F361" s="6" t="s">
        <v>116</v>
      </c>
      <c r="G361" s="6" t="s">
        <v>45</v>
      </c>
      <c r="H361" s="8"/>
      <c r="I361" s="8"/>
      <c r="J361" s="8"/>
      <c r="K361" s="8"/>
      <c r="L361" s="8"/>
      <c r="M361" s="8"/>
      <c r="N361" s="8"/>
      <c r="O361" s="8"/>
      <c r="P361" s="8"/>
      <c r="Q361" s="8"/>
      <c r="R361" s="8"/>
      <c r="S361" s="8"/>
      <c r="T361" s="8"/>
      <c r="U361" s="8"/>
      <c r="V361" s="8"/>
      <c r="W361" s="8"/>
      <c r="X361" s="8"/>
      <c r="Y361" s="8"/>
      <c r="Z361" s="8"/>
    </row>
    <row r="362" spans="1:26" ht="15.75" customHeight="1" x14ac:dyDescent="0.25">
      <c r="A362" s="6" t="s">
        <v>95</v>
      </c>
      <c r="B362" s="8"/>
      <c r="C362" s="8"/>
      <c r="D362" s="8"/>
      <c r="E362" s="8"/>
      <c r="F362" s="6" t="s">
        <v>116</v>
      </c>
      <c r="G362" s="6" t="s">
        <v>45</v>
      </c>
      <c r="H362" s="8"/>
      <c r="I362" s="8"/>
      <c r="J362" s="8"/>
      <c r="K362" s="8"/>
      <c r="L362" s="8"/>
      <c r="M362" s="8"/>
      <c r="N362" s="8"/>
      <c r="O362" s="8"/>
      <c r="P362" s="8"/>
      <c r="Q362" s="8"/>
      <c r="R362" s="8"/>
      <c r="S362" s="8"/>
      <c r="T362" s="8"/>
      <c r="U362" s="8"/>
      <c r="V362" s="8"/>
      <c r="W362" s="8"/>
      <c r="X362" s="8"/>
      <c r="Y362" s="8"/>
      <c r="Z362" s="8"/>
    </row>
    <row r="363" spans="1:26" ht="15.75" customHeight="1" x14ac:dyDescent="0.25">
      <c r="A363" s="6" t="s">
        <v>95</v>
      </c>
      <c r="B363" s="8"/>
      <c r="C363" s="8"/>
      <c r="D363" s="8"/>
      <c r="E363" s="8"/>
      <c r="F363" s="6" t="s">
        <v>116</v>
      </c>
      <c r="G363" s="6" t="s">
        <v>45</v>
      </c>
      <c r="H363" s="8"/>
      <c r="I363" s="8"/>
      <c r="J363" s="8"/>
      <c r="K363" s="8"/>
      <c r="L363" s="8"/>
      <c r="M363" s="8"/>
      <c r="N363" s="8"/>
      <c r="O363" s="8"/>
      <c r="P363" s="8"/>
      <c r="Q363" s="8"/>
      <c r="R363" s="8"/>
      <c r="S363" s="8"/>
      <c r="T363" s="8"/>
      <c r="U363" s="8"/>
      <c r="V363" s="8"/>
      <c r="W363" s="8"/>
      <c r="X363" s="8"/>
      <c r="Y363" s="8"/>
      <c r="Z363" s="8"/>
    </row>
    <row r="364" spans="1:26" ht="15.75" customHeight="1" x14ac:dyDescent="0.25">
      <c r="A364" s="6" t="s">
        <v>95</v>
      </c>
      <c r="B364" s="8"/>
      <c r="C364" s="8"/>
      <c r="D364" s="8"/>
      <c r="E364" s="8"/>
      <c r="F364" s="6" t="s">
        <v>116</v>
      </c>
      <c r="G364" s="6" t="s">
        <v>45</v>
      </c>
      <c r="H364" s="8"/>
      <c r="I364" s="8"/>
      <c r="J364" s="8"/>
      <c r="K364" s="8"/>
      <c r="L364" s="8"/>
      <c r="M364" s="8"/>
      <c r="N364" s="8"/>
      <c r="O364" s="8"/>
      <c r="P364" s="8"/>
      <c r="Q364" s="8"/>
      <c r="R364" s="8"/>
      <c r="S364" s="8"/>
      <c r="T364" s="8"/>
      <c r="U364" s="8"/>
      <c r="V364" s="8"/>
      <c r="W364" s="8"/>
      <c r="X364" s="8"/>
      <c r="Y364" s="8"/>
      <c r="Z364" s="8"/>
    </row>
    <row r="365" spans="1:26" ht="15.75" customHeight="1" x14ac:dyDescent="0.25">
      <c r="A365" s="6" t="s">
        <v>95</v>
      </c>
      <c r="B365" s="8"/>
      <c r="C365" s="8"/>
      <c r="D365" s="8"/>
      <c r="E365" s="8"/>
      <c r="F365" s="6" t="s">
        <v>116</v>
      </c>
      <c r="G365" s="6" t="s">
        <v>45</v>
      </c>
      <c r="H365" s="8"/>
      <c r="I365" s="8"/>
      <c r="J365" s="8"/>
      <c r="K365" s="8"/>
      <c r="L365" s="8"/>
      <c r="M365" s="8"/>
      <c r="N365" s="8"/>
      <c r="O365" s="8"/>
      <c r="P365" s="8"/>
      <c r="Q365" s="8"/>
      <c r="R365" s="8"/>
      <c r="S365" s="8"/>
      <c r="T365" s="8"/>
      <c r="U365" s="8"/>
      <c r="V365" s="8"/>
      <c r="W365" s="8"/>
      <c r="X365" s="8"/>
      <c r="Y365" s="8"/>
      <c r="Z365" s="8"/>
    </row>
    <row r="366" spans="1:26" ht="15.75" customHeight="1" x14ac:dyDescent="0.25">
      <c r="A366" s="6" t="s">
        <v>95</v>
      </c>
      <c r="B366" s="8"/>
      <c r="C366" s="8"/>
      <c r="D366" s="8"/>
      <c r="E366" s="8"/>
      <c r="F366" s="6" t="s">
        <v>116</v>
      </c>
      <c r="G366" s="6" t="s">
        <v>45</v>
      </c>
      <c r="H366" s="8"/>
      <c r="I366" s="8"/>
      <c r="J366" s="8"/>
      <c r="K366" s="8"/>
      <c r="L366" s="8"/>
      <c r="M366" s="8"/>
      <c r="N366" s="8"/>
      <c r="O366" s="8"/>
      <c r="P366" s="8"/>
      <c r="Q366" s="8"/>
      <c r="R366" s="8"/>
      <c r="S366" s="8"/>
      <c r="T366" s="8"/>
      <c r="U366" s="8"/>
      <c r="V366" s="8"/>
      <c r="W366" s="8"/>
      <c r="X366" s="8"/>
      <c r="Y366" s="8"/>
      <c r="Z366" s="8"/>
    </row>
    <row r="367" spans="1:26" ht="15.75" customHeight="1" x14ac:dyDescent="0.25">
      <c r="A367" s="6" t="s">
        <v>95</v>
      </c>
      <c r="B367" s="8"/>
      <c r="C367" s="8"/>
      <c r="D367" s="8"/>
      <c r="E367" s="8"/>
      <c r="F367" s="6" t="s">
        <v>116</v>
      </c>
      <c r="G367" s="6" t="s">
        <v>45</v>
      </c>
      <c r="H367" s="8"/>
      <c r="I367" s="8"/>
      <c r="J367" s="8"/>
      <c r="K367" s="8"/>
      <c r="L367" s="8"/>
      <c r="M367" s="8"/>
      <c r="N367" s="8"/>
      <c r="O367" s="8"/>
      <c r="P367" s="8"/>
      <c r="Q367" s="8"/>
      <c r="R367" s="8"/>
      <c r="S367" s="8"/>
      <c r="T367" s="8"/>
      <c r="U367" s="8"/>
      <c r="V367" s="8"/>
      <c r="W367" s="8"/>
      <c r="X367" s="8"/>
      <c r="Y367" s="8"/>
      <c r="Z367" s="8"/>
    </row>
    <row r="368" spans="1:26" ht="15.75" customHeight="1" x14ac:dyDescent="0.25">
      <c r="A368" s="6" t="s">
        <v>95</v>
      </c>
      <c r="B368" s="8"/>
      <c r="C368" s="8"/>
      <c r="D368" s="8"/>
      <c r="E368" s="8"/>
      <c r="F368" s="6" t="s">
        <v>116</v>
      </c>
      <c r="G368" s="6" t="s">
        <v>45</v>
      </c>
      <c r="H368" s="8"/>
      <c r="I368" s="8"/>
      <c r="J368" s="8"/>
      <c r="K368" s="8"/>
      <c r="L368" s="8"/>
      <c r="M368" s="8"/>
      <c r="N368" s="8"/>
      <c r="O368" s="8"/>
      <c r="P368" s="8"/>
      <c r="Q368" s="8"/>
      <c r="R368" s="8"/>
      <c r="S368" s="8"/>
      <c r="T368" s="8"/>
      <c r="U368" s="8"/>
      <c r="V368" s="8"/>
      <c r="W368" s="8"/>
      <c r="X368" s="8"/>
      <c r="Y368" s="8"/>
      <c r="Z368" s="8"/>
    </row>
    <row r="369" spans="1:26" ht="15.75" customHeight="1" x14ac:dyDescent="0.25">
      <c r="A369" s="6" t="s">
        <v>95</v>
      </c>
      <c r="B369" s="8"/>
      <c r="C369" s="8"/>
      <c r="D369" s="8"/>
      <c r="E369" s="8"/>
      <c r="F369" s="6" t="s">
        <v>116</v>
      </c>
      <c r="G369" s="6" t="s">
        <v>45</v>
      </c>
      <c r="H369" s="8"/>
      <c r="I369" s="8"/>
      <c r="J369" s="8"/>
      <c r="K369" s="8"/>
      <c r="L369" s="8"/>
      <c r="M369" s="8"/>
      <c r="N369" s="8"/>
      <c r="O369" s="8"/>
      <c r="P369" s="8"/>
      <c r="Q369" s="8"/>
      <c r="R369" s="8"/>
      <c r="S369" s="8"/>
      <c r="T369" s="8"/>
      <c r="U369" s="8"/>
      <c r="V369" s="8"/>
      <c r="W369" s="8"/>
      <c r="X369" s="8"/>
      <c r="Y369" s="8"/>
      <c r="Z369" s="8"/>
    </row>
    <row r="370" spans="1:26" ht="15.75" customHeight="1" x14ac:dyDescent="0.25">
      <c r="A370" s="6" t="s">
        <v>95</v>
      </c>
      <c r="B370" s="8"/>
      <c r="C370" s="8"/>
      <c r="D370" s="8"/>
      <c r="E370" s="8"/>
      <c r="F370" s="6" t="s">
        <v>116</v>
      </c>
      <c r="G370" s="6" t="s">
        <v>45</v>
      </c>
      <c r="H370" s="8"/>
      <c r="I370" s="8"/>
      <c r="J370" s="8"/>
      <c r="K370" s="8"/>
      <c r="L370" s="8"/>
      <c r="M370" s="8"/>
      <c r="N370" s="8"/>
      <c r="O370" s="8"/>
      <c r="P370" s="8"/>
      <c r="Q370" s="8"/>
      <c r="R370" s="8"/>
      <c r="S370" s="8"/>
      <c r="T370" s="8"/>
      <c r="U370" s="8"/>
      <c r="V370" s="8"/>
      <c r="W370" s="8"/>
      <c r="X370" s="8"/>
      <c r="Y370" s="8"/>
      <c r="Z370" s="8"/>
    </row>
    <row r="371" spans="1:26" ht="15.75" customHeight="1" x14ac:dyDescent="0.25">
      <c r="A371" s="6" t="s">
        <v>95</v>
      </c>
      <c r="B371" s="8"/>
      <c r="C371" s="8"/>
      <c r="D371" s="8"/>
      <c r="E371" s="8"/>
      <c r="F371" s="6" t="s">
        <v>116</v>
      </c>
      <c r="G371" s="6" t="s">
        <v>45</v>
      </c>
      <c r="H371" s="8"/>
      <c r="I371" s="8"/>
      <c r="J371" s="8"/>
      <c r="K371" s="8"/>
      <c r="L371" s="8"/>
      <c r="M371" s="8"/>
      <c r="N371" s="8"/>
      <c r="O371" s="8"/>
      <c r="P371" s="8"/>
      <c r="Q371" s="8"/>
      <c r="R371" s="8"/>
      <c r="S371" s="8"/>
      <c r="T371" s="8"/>
      <c r="U371" s="8"/>
      <c r="V371" s="8"/>
      <c r="W371" s="8"/>
      <c r="X371" s="8"/>
      <c r="Y371" s="8"/>
      <c r="Z371" s="8"/>
    </row>
    <row r="372" spans="1:26" ht="15.75" customHeight="1" x14ac:dyDescent="0.25">
      <c r="A372" s="6" t="s">
        <v>95</v>
      </c>
      <c r="B372" s="8"/>
      <c r="C372" s="8"/>
      <c r="D372" s="8"/>
      <c r="E372" s="8"/>
      <c r="F372" s="6" t="s">
        <v>116</v>
      </c>
      <c r="G372" s="6" t="s">
        <v>45</v>
      </c>
      <c r="H372" s="8"/>
      <c r="I372" s="8"/>
      <c r="J372" s="8"/>
      <c r="K372" s="8"/>
      <c r="L372" s="8"/>
      <c r="M372" s="8"/>
      <c r="N372" s="8"/>
      <c r="O372" s="8"/>
      <c r="P372" s="8"/>
      <c r="Q372" s="8"/>
      <c r="R372" s="8"/>
      <c r="S372" s="8"/>
      <c r="T372" s="8"/>
      <c r="U372" s="8"/>
      <c r="V372" s="8"/>
      <c r="W372" s="8"/>
      <c r="X372" s="8"/>
      <c r="Y372" s="8"/>
      <c r="Z372" s="8"/>
    </row>
    <row r="373" spans="1:26" ht="15.75" customHeight="1" x14ac:dyDescent="0.25">
      <c r="A373" s="6" t="s">
        <v>95</v>
      </c>
      <c r="B373" s="8"/>
      <c r="C373" s="8"/>
      <c r="D373" s="8"/>
      <c r="E373" s="8"/>
      <c r="F373" s="6" t="s">
        <v>116</v>
      </c>
      <c r="G373" s="6" t="s">
        <v>45</v>
      </c>
      <c r="H373" s="8"/>
      <c r="I373" s="8"/>
      <c r="J373" s="8"/>
      <c r="K373" s="8"/>
      <c r="L373" s="8"/>
      <c r="M373" s="8"/>
      <c r="N373" s="8"/>
      <c r="O373" s="8"/>
      <c r="P373" s="8"/>
      <c r="Q373" s="8"/>
      <c r="R373" s="8"/>
      <c r="S373" s="8"/>
      <c r="T373" s="8"/>
      <c r="U373" s="8"/>
      <c r="V373" s="8"/>
      <c r="W373" s="8"/>
      <c r="X373" s="8"/>
      <c r="Y373" s="8"/>
      <c r="Z373" s="8"/>
    </row>
    <row r="374" spans="1:26" ht="15.75" customHeight="1" x14ac:dyDescent="0.25">
      <c r="A374" s="6" t="s">
        <v>95</v>
      </c>
      <c r="B374" s="8"/>
      <c r="C374" s="8"/>
      <c r="D374" s="8"/>
      <c r="E374" s="8"/>
      <c r="F374" s="6" t="s">
        <v>116</v>
      </c>
      <c r="G374" s="6" t="s">
        <v>45</v>
      </c>
      <c r="H374" s="8"/>
      <c r="I374" s="8"/>
      <c r="J374" s="8"/>
      <c r="K374" s="8"/>
      <c r="L374" s="8"/>
      <c r="M374" s="8"/>
      <c r="N374" s="8"/>
      <c r="O374" s="8"/>
      <c r="P374" s="8"/>
      <c r="Q374" s="8"/>
      <c r="R374" s="8"/>
      <c r="S374" s="8"/>
      <c r="T374" s="8"/>
      <c r="U374" s="8"/>
      <c r="V374" s="8"/>
      <c r="W374" s="8"/>
      <c r="X374" s="8"/>
      <c r="Y374" s="8"/>
      <c r="Z374" s="8"/>
    </row>
    <row r="375" spans="1:26" ht="15.75" customHeight="1" x14ac:dyDescent="0.25">
      <c r="A375" s="6" t="s">
        <v>95</v>
      </c>
      <c r="B375" s="8"/>
      <c r="C375" s="8"/>
      <c r="D375" s="8"/>
      <c r="E375" s="8"/>
      <c r="F375" s="6" t="s">
        <v>116</v>
      </c>
      <c r="G375" s="6" t="s">
        <v>45</v>
      </c>
      <c r="H375" s="8"/>
      <c r="I375" s="8"/>
      <c r="J375" s="8"/>
      <c r="K375" s="8"/>
      <c r="L375" s="8"/>
      <c r="M375" s="8"/>
      <c r="N375" s="8"/>
      <c r="O375" s="8"/>
      <c r="P375" s="8"/>
      <c r="Q375" s="8"/>
      <c r="R375" s="8"/>
      <c r="S375" s="8"/>
      <c r="T375" s="8"/>
      <c r="U375" s="8"/>
      <c r="V375" s="8"/>
      <c r="W375" s="8"/>
      <c r="X375" s="8"/>
      <c r="Y375" s="8"/>
      <c r="Z375" s="8"/>
    </row>
    <row r="376" spans="1:26" ht="15.75" customHeight="1" x14ac:dyDescent="0.25">
      <c r="A376" s="6" t="s">
        <v>95</v>
      </c>
      <c r="B376" s="8"/>
      <c r="C376" s="8"/>
      <c r="D376" s="8"/>
      <c r="E376" s="8"/>
      <c r="F376" s="6" t="s">
        <v>116</v>
      </c>
      <c r="G376" s="6" t="s">
        <v>45</v>
      </c>
      <c r="H376" s="8"/>
      <c r="I376" s="8"/>
      <c r="J376" s="8"/>
      <c r="K376" s="8"/>
      <c r="L376" s="8"/>
      <c r="M376" s="8"/>
      <c r="N376" s="8"/>
      <c r="O376" s="8"/>
      <c r="P376" s="8"/>
      <c r="Q376" s="8"/>
      <c r="R376" s="8"/>
      <c r="S376" s="8"/>
      <c r="T376" s="8"/>
      <c r="U376" s="8"/>
      <c r="V376" s="8"/>
      <c r="W376" s="8"/>
      <c r="X376" s="8"/>
      <c r="Y376" s="8"/>
      <c r="Z376" s="8"/>
    </row>
    <row r="377" spans="1:26" ht="15.75" customHeight="1" x14ac:dyDescent="0.25">
      <c r="A377" s="6" t="s">
        <v>95</v>
      </c>
      <c r="B377" s="8"/>
      <c r="C377" s="8"/>
      <c r="D377" s="8"/>
      <c r="E377" s="8"/>
      <c r="F377" s="6" t="s">
        <v>116</v>
      </c>
      <c r="G377" s="6" t="s">
        <v>45</v>
      </c>
      <c r="H377" s="8"/>
      <c r="I377" s="8"/>
      <c r="J377" s="8"/>
      <c r="K377" s="8"/>
      <c r="L377" s="8"/>
      <c r="M377" s="8"/>
      <c r="N377" s="8"/>
      <c r="O377" s="8"/>
      <c r="P377" s="8"/>
      <c r="Q377" s="8"/>
      <c r="R377" s="8"/>
      <c r="S377" s="8"/>
      <c r="T377" s="8"/>
      <c r="U377" s="8"/>
      <c r="V377" s="8"/>
      <c r="W377" s="8"/>
      <c r="X377" s="8"/>
      <c r="Y377" s="8"/>
      <c r="Z377" s="8"/>
    </row>
    <row r="378" spans="1:26" ht="15.75" customHeight="1" x14ac:dyDescent="0.25">
      <c r="A378" s="6" t="s">
        <v>95</v>
      </c>
      <c r="B378" s="8"/>
      <c r="C378" s="8"/>
      <c r="D378" s="8"/>
      <c r="E378" s="8"/>
      <c r="F378" s="6" t="s">
        <v>116</v>
      </c>
      <c r="G378" s="6" t="s">
        <v>45</v>
      </c>
      <c r="H378" s="8"/>
      <c r="I378" s="8"/>
      <c r="J378" s="8"/>
      <c r="K378" s="8"/>
      <c r="L378" s="8"/>
      <c r="M378" s="8"/>
      <c r="N378" s="8"/>
      <c r="O378" s="8"/>
      <c r="P378" s="8"/>
      <c r="Q378" s="8"/>
      <c r="R378" s="8"/>
      <c r="S378" s="8"/>
      <c r="T378" s="8"/>
      <c r="U378" s="8"/>
      <c r="V378" s="8"/>
      <c r="W378" s="8"/>
      <c r="X378" s="8"/>
      <c r="Y378" s="8"/>
      <c r="Z378" s="8"/>
    </row>
    <row r="379" spans="1:26" ht="15.75" customHeight="1" x14ac:dyDescent="0.25">
      <c r="A379" s="6" t="s">
        <v>95</v>
      </c>
      <c r="B379" s="8"/>
      <c r="C379" s="8"/>
      <c r="D379" s="8"/>
      <c r="E379" s="8"/>
      <c r="F379" s="6" t="s">
        <v>116</v>
      </c>
      <c r="G379" s="6" t="s">
        <v>45</v>
      </c>
      <c r="H379" s="8"/>
      <c r="I379" s="8"/>
      <c r="J379" s="8"/>
      <c r="K379" s="8"/>
      <c r="L379" s="8"/>
      <c r="M379" s="8"/>
      <c r="N379" s="8"/>
      <c r="O379" s="8"/>
      <c r="P379" s="8"/>
      <c r="Q379" s="8"/>
      <c r="R379" s="8"/>
      <c r="S379" s="8"/>
      <c r="T379" s="8"/>
      <c r="U379" s="8"/>
      <c r="V379" s="8"/>
      <c r="W379" s="8"/>
      <c r="X379" s="8"/>
      <c r="Y379" s="8"/>
      <c r="Z379" s="8"/>
    </row>
    <row r="380" spans="1:26" ht="15.75" customHeight="1" x14ac:dyDescent="0.25">
      <c r="A380" s="6" t="s">
        <v>95</v>
      </c>
      <c r="B380" s="8"/>
      <c r="C380" s="8"/>
      <c r="D380" s="8"/>
      <c r="E380" s="8"/>
      <c r="F380" s="6" t="s">
        <v>116</v>
      </c>
      <c r="G380" s="6" t="s">
        <v>45</v>
      </c>
      <c r="H380" s="8"/>
      <c r="I380" s="8"/>
      <c r="J380" s="8"/>
      <c r="K380" s="8"/>
      <c r="L380" s="8"/>
      <c r="M380" s="8"/>
      <c r="N380" s="8"/>
      <c r="O380" s="8"/>
      <c r="P380" s="8"/>
      <c r="Q380" s="8"/>
      <c r="R380" s="8"/>
      <c r="S380" s="8"/>
      <c r="T380" s="8"/>
      <c r="U380" s="8"/>
      <c r="V380" s="8"/>
      <c r="W380" s="8"/>
      <c r="X380" s="8"/>
      <c r="Y380" s="8"/>
      <c r="Z380" s="8"/>
    </row>
    <row r="381" spans="1:26" ht="15.75" customHeight="1" x14ac:dyDescent="0.25">
      <c r="A381" s="6" t="s">
        <v>95</v>
      </c>
      <c r="B381" s="8"/>
      <c r="C381" s="8"/>
      <c r="D381" s="8"/>
      <c r="E381" s="8"/>
      <c r="F381" s="6" t="s">
        <v>116</v>
      </c>
      <c r="G381" s="6" t="s">
        <v>45</v>
      </c>
      <c r="H381" s="8"/>
      <c r="I381" s="8"/>
      <c r="J381" s="8"/>
      <c r="K381" s="8"/>
      <c r="L381" s="8"/>
      <c r="M381" s="8"/>
      <c r="N381" s="8"/>
      <c r="O381" s="8"/>
      <c r="P381" s="8"/>
      <c r="Q381" s="8"/>
      <c r="R381" s="8"/>
      <c r="S381" s="8"/>
      <c r="T381" s="8"/>
      <c r="U381" s="8"/>
      <c r="V381" s="8"/>
      <c r="W381" s="8"/>
      <c r="X381" s="8"/>
      <c r="Y381" s="8"/>
      <c r="Z381" s="8"/>
    </row>
    <row r="382" spans="1:26" ht="15.75" customHeight="1" x14ac:dyDescent="0.25">
      <c r="A382" s="6" t="s">
        <v>95</v>
      </c>
      <c r="B382" s="8"/>
      <c r="C382" s="8"/>
      <c r="D382" s="8"/>
      <c r="E382" s="8"/>
      <c r="F382" s="6" t="s">
        <v>116</v>
      </c>
      <c r="G382" s="6" t="s">
        <v>45</v>
      </c>
      <c r="H382" s="8"/>
      <c r="I382" s="8"/>
      <c r="J382" s="8"/>
      <c r="K382" s="8"/>
      <c r="L382" s="8"/>
      <c r="M382" s="8"/>
      <c r="N382" s="8"/>
      <c r="O382" s="8"/>
      <c r="P382" s="8"/>
      <c r="Q382" s="8"/>
      <c r="R382" s="8"/>
      <c r="S382" s="8"/>
      <c r="T382" s="8"/>
      <c r="U382" s="8"/>
      <c r="V382" s="8"/>
      <c r="W382" s="8"/>
      <c r="X382" s="8"/>
      <c r="Y382" s="8"/>
      <c r="Z382" s="8"/>
    </row>
    <row r="383" spans="1:26" ht="15.75" customHeight="1" x14ac:dyDescent="0.25">
      <c r="A383" s="6" t="s">
        <v>95</v>
      </c>
      <c r="B383" s="8"/>
      <c r="C383" s="8"/>
      <c r="D383" s="8"/>
      <c r="E383" s="8"/>
      <c r="F383" s="6" t="s">
        <v>116</v>
      </c>
      <c r="G383" s="6" t="s">
        <v>45</v>
      </c>
      <c r="H383" s="8"/>
      <c r="I383" s="8"/>
      <c r="J383" s="8"/>
      <c r="K383" s="8"/>
      <c r="L383" s="8"/>
      <c r="M383" s="8"/>
      <c r="N383" s="8"/>
      <c r="O383" s="8"/>
      <c r="P383" s="8"/>
      <c r="Q383" s="8"/>
      <c r="R383" s="8"/>
      <c r="S383" s="8"/>
      <c r="T383" s="8"/>
      <c r="U383" s="8"/>
      <c r="V383" s="8"/>
      <c r="W383" s="8"/>
      <c r="X383" s="8"/>
      <c r="Y383" s="8"/>
      <c r="Z383" s="8"/>
    </row>
    <row r="384" spans="1:26" ht="15.75" customHeight="1" x14ac:dyDescent="0.25">
      <c r="A384" s="6" t="s">
        <v>95</v>
      </c>
      <c r="B384" s="8"/>
      <c r="C384" s="8"/>
      <c r="D384" s="8"/>
      <c r="E384" s="8"/>
      <c r="F384" s="6" t="s">
        <v>116</v>
      </c>
      <c r="G384" s="6" t="s">
        <v>45</v>
      </c>
      <c r="H384" s="8"/>
      <c r="I384" s="8"/>
      <c r="J384" s="8"/>
      <c r="K384" s="8"/>
      <c r="L384" s="8"/>
      <c r="M384" s="8"/>
      <c r="N384" s="8"/>
      <c r="O384" s="8"/>
      <c r="P384" s="8"/>
      <c r="Q384" s="8"/>
      <c r="R384" s="8"/>
      <c r="S384" s="8"/>
      <c r="T384" s="8"/>
      <c r="U384" s="8"/>
      <c r="V384" s="8"/>
      <c r="W384" s="8"/>
      <c r="X384" s="8"/>
      <c r="Y384" s="8"/>
      <c r="Z384" s="8"/>
    </row>
    <row r="385" spans="1:26" ht="15.75" customHeight="1" x14ac:dyDescent="0.25">
      <c r="A385" s="6" t="s">
        <v>95</v>
      </c>
      <c r="B385" s="8"/>
      <c r="C385" s="8"/>
      <c r="D385" s="8"/>
      <c r="E385" s="8"/>
      <c r="F385" s="6" t="s">
        <v>116</v>
      </c>
      <c r="G385" s="6" t="s">
        <v>45</v>
      </c>
      <c r="H385" s="8"/>
      <c r="I385" s="8"/>
      <c r="J385" s="8"/>
      <c r="K385" s="8"/>
      <c r="L385" s="8"/>
      <c r="M385" s="8"/>
      <c r="N385" s="8"/>
      <c r="O385" s="8"/>
      <c r="P385" s="8"/>
      <c r="Q385" s="8"/>
      <c r="R385" s="8"/>
      <c r="S385" s="8"/>
      <c r="T385" s="8"/>
      <c r="U385" s="8"/>
      <c r="V385" s="8"/>
      <c r="W385" s="8"/>
      <c r="X385" s="8"/>
      <c r="Y385" s="8"/>
      <c r="Z385" s="8"/>
    </row>
    <row r="386" spans="1:26" ht="15.75" customHeight="1" x14ac:dyDescent="0.25">
      <c r="A386" s="6" t="s">
        <v>95</v>
      </c>
      <c r="B386" s="8"/>
      <c r="C386" s="8"/>
      <c r="D386" s="8"/>
      <c r="E386" s="8"/>
      <c r="F386" s="6" t="s">
        <v>116</v>
      </c>
      <c r="G386" s="6" t="s">
        <v>45</v>
      </c>
      <c r="H386" s="8"/>
      <c r="I386" s="8"/>
      <c r="J386" s="8"/>
      <c r="K386" s="8"/>
      <c r="L386" s="8"/>
      <c r="M386" s="8"/>
      <c r="N386" s="8"/>
      <c r="O386" s="8"/>
      <c r="P386" s="8"/>
      <c r="Q386" s="8"/>
      <c r="R386" s="8"/>
      <c r="S386" s="8"/>
      <c r="T386" s="8"/>
      <c r="U386" s="8"/>
      <c r="V386" s="8"/>
      <c r="W386" s="8"/>
      <c r="X386" s="8"/>
      <c r="Y386" s="8"/>
      <c r="Z386" s="8"/>
    </row>
    <row r="387" spans="1:26" ht="15.75" customHeight="1" x14ac:dyDescent="0.25">
      <c r="A387" s="6" t="s">
        <v>95</v>
      </c>
      <c r="B387" s="8"/>
      <c r="C387" s="8"/>
      <c r="D387" s="8"/>
      <c r="E387" s="8"/>
      <c r="F387" s="6" t="s">
        <v>116</v>
      </c>
      <c r="G387" s="6" t="s">
        <v>45</v>
      </c>
      <c r="H387" s="8"/>
      <c r="I387" s="8"/>
      <c r="J387" s="8"/>
      <c r="K387" s="8"/>
      <c r="L387" s="8"/>
      <c r="M387" s="8"/>
      <c r="N387" s="8"/>
      <c r="O387" s="8"/>
      <c r="P387" s="8"/>
      <c r="Q387" s="8"/>
      <c r="R387" s="8"/>
      <c r="S387" s="8"/>
      <c r="T387" s="8"/>
      <c r="U387" s="8"/>
      <c r="V387" s="8"/>
      <c r="W387" s="8"/>
      <c r="X387" s="8"/>
      <c r="Y387" s="8"/>
      <c r="Z387" s="8"/>
    </row>
    <row r="388" spans="1:26" ht="15.75" customHeight="1" x14ac:dyDescent="0.25">
      <c r="A388" s="6" t="s">
        <v>95</v>
      </c>
      <c r="B388" s="8"/>
      <c r="C388" s="8"/>
      <c r="D388" s="8"/>
      <c r="E388" s="8"/>
      <c r="F388" s="6" t="s">
        <v>116</v>
      </c>
      <c r="G388" s="6" t="s">
        <v>45</v>
      </c>
      <c r="H388" s="8"/>
      <c r="I388" s="8"/>
      <c r="J388" s="8"/>
      <c r="K388" s="8"/>
      <c r="L388" s="8"/>
      <c r="M388" s="8"/>
      <c r="N388" s="8"/>
      <c r="O388" s="8"/>
      <c r="P388" s="8"/>
      <c r="Q388" s="8"/>
      <c r="R388" s="8"/>
      <c r="S388" s="8"/>
      <c r="T388" s="8"/>
      <c r="U388" s="8"/>
      <c r="V388" s="8"/>
      <c r="W388" s="8"/>
      <c r="X388" s="8"/>
      <c r="Y388" s="8"/>
      <c r="Z388" s="8"/>
    </row>
    <row r="389" spans="1:26" ht="15.75" customHeight="1" x14ac:dyDescent="0.25">
      <c r="A389" s="6" t="s">
        <v>95</v>
      </c>
      <c r="B389" s="8"/>
      <c r="C389" s="8"/>
      <c r="D389" s="8"/>
      <c r="E389" s="8"/>
      <c r="F389" s="6" t="s">
        <v>116</v>
      </c>
      <c r="G389" s="6" t="s">
        <v>45</v>
      </c>
      <c r="H389" s="8"/>
      <c r="I389" s="8"/>
      <c r="J389" s="8"/>
      <c r="K389" s="8"/>
      <c r="L389" s="8"/>
      <c r="M389" s="8"/>
      <c r="N389" s="8"/>
      <c r="O389" s="8"/>
      <c r="P389" s="8"/>
      <c r="Q389" s="8"/>
      <c r="R389" s="8"/>
      <c r="S389" s="8"/>
      <c r="T389" s="8"/>
      <c r="U389" s="8"/>
      <c r="V389" s="8"/>
      <c r="W389" s="8"/>
      <c r="X389" s="8"/>
      <c r="Y389" s="8"/>
      <c r="Z389" s="8"/>
    </row>
    <row r="390" spans="1:26" ht="15.75" customHeight="1" x14ac:dyDescent="0.25">
      <c r="A390" s="6" t="s">
        <v>95</v>
      </c>
      <c r="B390" s="8"/>
      <c r="C390" s="8"/>
      <c r="D390" s="8"/>
      <c r="E390" s="8"/>
      <c r="F390" s="6" t="s">
        <v>116</v>
      </c>
      <c r="G390" s="6" t="s">
        <v>45</v>
      </c>
      <c r="H390" s="8"/>
      <c r="I390" s="8"/>
      <c r="J390" s="8"/>
      <c r="K390" s="8"/>
      <c r="L390" s="8"/>
      <c r="M390" s="8"/>
      <c r="N390" s="8"/>
      <c r="O390" s="8"/>
      <c r="P390" s="8"/>
      <c r="Q390" s="8"/>
      <c r="R390" s="8"/>
      <c r="S390" s="8"/>
      <c r="T390" s="8"/>
      <c r="U390" s="8"/>
      <c r="V390" s="8"/>
      <c r="W390" s="8"/>
      <c r="X390" s="8"/>
      <c r="Y390" s="8"/>
      <c r="Z390" s="8"/>
    </row>
    <row r="391" spans="1:26" ht="15.75" customHeight="1" x14ac:dyDescent="0.25">
      <c r="A391" s="6" t="s">
        <v>95</v>
      </c>
      <c r="B391" s="8"/>
      <c r="C391" s="8"/>
      <c r="D391" s="8"/>
      <c r="E391" s="8"/>
      <c r="F391" s="6" t="s">
        <v>116</v>
      </c>
      <c r="G391" s="6" t="s">
        <v>45</v>
      </c>
      <c r="H391" s="8"/>
      <c r="I391" s="8"/>
      <c r="J391" s="8"/>
      <c r="K391" s="8"/>
      <c r="L391" s="8"/>
      <c r="M391" s="8"/>
      <c r="N391" s="8"/>
      <c r="O391" s="8"/>
      <c r="P391" s="8"/>
      <c r="Q391" s="8"/>
      <c r="R391" s="8"/>
      <c r="S391" s="8"/>
      <c r="T391" s="8"/>
      <c r="U391" s="8"/>
      <c r="V391" s="8"/>
      <c r="W391" s="8"/>
      <c r="X391" s="8"/>
      <c r="Y391" s="8"/>
      <c r="Z391" s="8"/>
    </row>
    <row r="392" spans="1:26" ht="15.75" customHeight="1" x14ac:dyDescent="0.25">
      <c r="A392" s="6" t="s">
        <v>95</v>
      </c>
      <c r="B392" s="8"/>
      <c r="C392" s="8"/>
      <c r="D392" s="8"/>
      <c r="E392" s="8"/>
      <c r="F392" s="6" t="s">
        <v>116</v>
      </c>
      <c r="G392" s="6" t="s">
        <v>45</v>
      </c>
      <c r="H392" s="8"/>
      <c r="I392" s="8"/>
      <c r="J392" s="8"/>
      <c r="K392" s="8"/>
      <c r="L392" s="8"/>
      <c r="M392" s="8"/>
      <c r="N392" s="8"/>
      <c r="O392" s="8"/>
      <c r="P392" s="8"/>
      <c r="Q392" s="8"/>
      <c r="R392" s="8"/>
      <c r="S392" s="8"/>
      <c r="T392" s="8"/>
      <c r="U392" s="8"/>
      <c r="V392" s="8"/>
      <c r="W392" s="8"/>
      <c r="X392" s="8"/>
      <c r="Y392" s="8"/>
      <c r="Z392" s="8"/>
    </row>
    <row r="393" spans="1:26" ht="15.75" customHeight="1" x14ac:dyDescent="0.25">
      <c r="A393" s="6" t="s">
        <v>95</v>
      </c>
      <c r="B393" s="8"/>
      <c r="C393" s="8"/>
      <c r="D393" s="8"/>
      <c r="E393" s="8"/>
      <c r="F393" s="6" t="s">
        <v>116</v>
      </c>
      <c r="G393" s="6" t="s">
        <v>45</v>
      </c>
      <c r="H393" s="8"/>
      <c r="I393" s="8"/>
      <c r="J393" s="8"/>
      <c r="K393" s="8"/>
      <c r="L393" s="8"/>
      <c r="M393" s="8"/>
      <c r="N393" s="8"/>
      <c r="O393" s="8"/>
      <c r="P393" s="8"/>
      <c r="Q393" s="8"/>
      <c r="R393" s="8"/>
      <c r="S393" s="8"/>
      <c r="T393" s="8"/>
      <c r="U393" s="8"/>
      <c r="V393" s="8"/>
      <c r="W393" s="8"/>
      <c r="X393" s="8"/>
      <c r="Y393" s="8"/>
      <c r="Z393" s="8"/>
    </row>
    <row r="394" spans="1:26" ht="15.75" customHeight="1" x14ac:dyDescent="0.25">
      <c r="A394" s="6" t="s">
        <v>95</v>
      </c>
      <c r="B394" s="8"/>
      <c r="C394" s="8"/>
      <c r="D394" s="8"/>
      <c r="E394" s="8"/>
      <c r="F394" s="6" t="s">
        <v>116</v>
      </c>
      <c r="G394" s="6" t="s">
        <v>45</v>
      </c>
      <c r="H394" s="8"/>
      <c r="I394" s="8"/>
      <c r="J394" s="8"/>
      <c r="K394" s="8"/>
      <c r="L394" s="8"/>
      <c r="M394" s="8"/>
      <c r="N394" s="8"/>
      <c r="O394" s="8"/>
      <c r="P394" s="8"/>
      <c r="Q394" s="8"/>
      <c r="R394" s="8"/>
      <c r="S394" s="8"/>
      <c r="T394" s="8"/>
      <c r="U394" s="8"/>
      <c r="V394" s="8"/>
      <c r="W394" s="8"/>
      <c r="X394" s="8"/>
      <c r="Y394" s="8"/>
      <c r="Z394" s="8"/>
    </row>
    <row r="395" spans="1:26" ht="15.75" customHeight="1" x14ac:dyDescent="0.25">
      <c r="A395" s="6" t="s">
        <v>95</v>
      </c>
      <c r="B395" s="8"/>
      <c r="C395" s="8"/>
      <c r="D395" s="8"/>
      <c r="E395" s="8"/>
      <c r="F395" s="6" t="s">
        <v>116</v>
      </c>
      <c r="G395" s="6" t="s">
        <v>45</v>
      </c>
      <c r="H395" s="8"/>
      <c r="I395" s="8"/>
      <c r="J395" s="8"/>
      <c r="K395" s="8"/>
      <c r="L395" s="8"/>
      <c r="M395" s="8"/>
      <c r="N395" s="8"/>
      <c r="O395" s="8"/>
      <c r="P395" s="8"/>
      <c r="Q395" s="8"/>
      <c r="R395" s="8"/>
      <c r="S395" s="8"/>
      <c r="T395" s="8"/>
      <c r="U395" s="8"/>
      <c r="V395" s="8"/>
      <c r="W395" s="8"/>
      <c r="X395" s="8"/>
      <c r="Y395" s="8"/>
      <c r="Z395" s="8"/>
    </row>
    <row r="396" spans="1:26" ht="15.75" customHeight="1" x14ac:dyDescent="0.25">
      <c r="A396" s="6" t="s">
        <v>95</v>
      </c>
      <c r="B396" s="8"/>
      <c r="C396" s="8"/>
      <c r="D396" s="8"/>
      <c r="E396" s="8"/>
      <c r="F396" s="6" t="s">
        <v>116</v>
      </c>
      <c r="G396" s="6" t="s">
        <v>45</v>
      </c>
      <c r="H396" s="8"/>
      <c r="I396" s="8"/>
      <c r="J396" s="8"/>
      <c r="K396" s="8"/>
      <c r="L396" s="8"/>
      <c r="M396" s="8"/>
      <c r="N396" s="8"/>
      <c r="O396" s="8"/>
      <c r="P396" s="8"/>
      <c r="Q396" s="8"/>
      <c r="R396" s="8"/>
      <c r="S396" s="8"/>
      <c r="T396" s="8"/>
      <c r="U396" s="8"/>
      <c r="V396" s="8"/>
      <c r="W396" s="8"/>
      <c r="X396" s="8"/>
      <c r="Y396" s="8"/>
      <c r="Z396" s="8"/>
    </row>
    <row r="397" spans="1:26" ht="15.75" customHeight="1" x14ac:dyDescent="0.25">
      <c r="A397" s="6" t="s">
        <v>95</v>
      </c>
      <c r="B397" s="8"/>
      <c r="C397" s="8"/>
      <c r="D397" s="8"/>
      <c r="E397" s="8"/>
      <c r="F397" s="6" t="s">
        <v>116</v>
      </c>
      <c r="G397" s="6" t="s">
        <v>45</v>
      </c>
      <c r="H397" s="8"/>
      <c r="I397" s="8"/>
      <c r="J397" s="8"/>
      <c r="K397" s="8"/>
      <c r="L397" s="8"/>
      <c r="M397" s="8"/>
      <c r="N397" s="8"/>
      <c r="O397" s="8"/>
      <c r="P397" s="8"/>
      <c r="Q397" s="8"/>
      <c r="R397" s="8"/>
      <c r="S397" s="8"/>
      <c r="T397" s="8"/>
      <c r="U397" s="8"/>
      <c r="V397" s="8"/>
      <c r="W397" s="8"/>
      <c r="X397" s="8"/>
      <c r="Y397" s="8"/>
      <c r="Z397" s="8"/>
    </row>
    <row r="398" spans="1:26" ht="15.75" customHeight="1" x14ac:dyDescent="0.25">
      <c r="A398" s="6" t="s">
        <v>95</v>
      </c>
      <c r="B398" s="8"/>
      <c r="C398" s="8"/>
      <c r="D398" s="8"/>
      <c r="E398" s="8"/>
      <c r="F398" s="6" t="s">
        <v>116</v>
      </c>
      <c r="G398" s="6" t="s">
        <v>45</v>
      </c>
      <c r="H398" s="8"/>
      <c r="I398" s="8"/>
      <c r="J398" s="8"/>
      <c r="K398" s="8"/>
      <c r="L398" s="8"/>
      <c r="M398" s="8"/>
      <c r="N398" s="8"/>
      <c r="O398" s="8"/>
      <c r="P398" s="8"/>
      <c r="Q398" s="8"/>
      <c r="R398" s="8"/>
      <c r="S398" s="8"/>
      <c r="T398" s="8"/>
      <c r="U398" s="8"/>
      <c r="V398" s="8"/>
      <c r="W398" s="8"/>
      <c r="X398" s="8"/>
      <c r="Y398" s="8"/>
      <c r="Z398" s="8"/>
    </row>
    <row r="399" spans="1:26" ht="15.75" customHeight="1" x14ac:dyDescent="0.25">
      <c r="A399" s="6" t="s">
        <v>95</v>
      </c>
      <c r="B399" s="8"/>
      <c r="C399" s="8"/>
      <c r="D399" s="8"/>
      <c r="E399" s="8"/>
      <c r="F399" s="6" t="s">
        <v>116</v>
      </c>
      <c r="G399" s="6" t="s">
        <v>45</v>
      </c>
      <c r="H399" s="8"/>
      <c r="I399" s="8"/>
      <c r="J399" s="8"/>
      <c r="K399" s="8"/>
      <c r="L399" s="8"/>
      <c r="M399" s="8"/>
      <c r="N399" s="8"/>
      <c r="O399" s="8"/>
      <c r="P399" s="8"/>
      <c r="Q399" s="8"/>
      <c r="R399" s="8"/>
      <c r="S399" s="8"/>
      <c r="T399" s="8"/>
      <c r="U399" s="8"/>
      <c r="V399" s="8"/>
      <c r="W399" s="8"/>
      <c r="X399" s="8"/>
      <c r="Y399" s="8"/>
      <c r="Z399" s="8"/>
    </row>
    <row r="400" spans="1:26" ht="15.75" customHeight="1" x14ac:dyDescent="0.25">
      <c r="A400" s="6" t="s">
        <v>95</v>
      </c>
      <c r="B400" s="8"/>
      <c r="C400" s="8"/>
      <c r="D400" s="8"/>
      <c r="E400" s="8"/>
      <c r="F400" s="6" t="s">
        <v>116</v>
      </c>
      <c r="G400" s="6" t="s">
        <v>45</v>
      </c>
      <c r="H400" s="8"/>
      <c r="I400" s="8"/>
      <c r="J400" s="8"/>
      <c r="K400" s="8"/>
      <c r="L400" s="8"/>
      <c r="M400" s="8"/>
      <c r="N400" s="8"/>
      <c r="O400" s="8"/>
      <c r="P400" s="8"/>
      <c r="Q400" s="8"/>
      <c r="R400" s="8"/>
      <c r="S400" s="8"/>
      <c r="T400" s="8"/>
      <c r="U400" s="8"/>
      <c r="V400" s="8"/>
      <c r="W400" s="8"/>
      <c r="X400" s="8"/>
      <c r="Y400" s="8"/>
      <c r="Z400" s="8"/>
    </row>
    <row r="401" spans="1:26" ht="15.75" customHeight="1" x14ac:dyDescent="0.25">
      <c r="A401" s="6" t="s">
        <v>95</v>
      </c>
      <c r="B401" s="8"/>
      <c r="C401" s="8"/>
      <c r="D401" s="8"/>
      <c r="E401" s="8"/>
      <c r="F401" s="6" t="s">
        <v>116</v>
      </c>
      <c r="G401" s="6" t="s">
        <v>45</v>
      </c>
      <c r="H401" s="8"/>
      <c r="I401" s="8"/>
      <c r="J401" s="8"/>
      <c r="K401" s="8"/>
      <c r="L401" s="8"/>
      <c r="M401" s="8"/>
      <c r="N401" s="8"/>
      <c r="O401" s="8"/>
      <c r="P401" s="8"/>
      <c r="Q401" s="8"/>
      <c r="R401" s="8"/>
      <c r="S401" s="8"/>
      <c r="T401" s="8"/>
      <c r="U401" s="8"/>
      <c r="V401" s="8"/>
      <c r="W401" s="8"/>
      <c r="X401" s="8"/>
      <c r="Y401" s="8"/>
      <c r="Z401" s="8"/>
    </row>
    <row r="402" spans="1:26" ht="15.75" customHeight="1" x14ac:dyDescent="0.25">
      <c r="A402" s="6" t="s">
        <v>95</v>
      </c>
      <c r="B402" s="8"/>
      <c r="C402" s="8"/>
      <c r="D402" s="8"/>
      <c r="E402" s="8"/>
      <c r="F402" s="6" t="s">
        <v>116</v>
      </c>
      <c r="G402" s="6" t="s">
        <v>45</v>
      </c>
      <c r="H402" s="8"/>
      <c r="I402" s="8"/>
      <c r="J402" s="8"/>
      <c r="K402" s="8"/>
      <c r="L402" s="8"/>
      <c r="M402" s="8"/>
      <c r="N402" s="8"/>
      <c r="O402" s="8"/>
      <c r="P402" s="8"/>
      <c r="Q402" s="8"/>
      <c r="R402" s="8"/>
      <c r="S402" s="8"/>
      <c r="T402" s="8"/>
      <c r="U402" s="8"/>
      <c r="V402" s="8"/>
      <c r="W402" s="8"/>
      <c r="X402" s="8"/>
      <c r="Y402" s="8"/>
      <c r="Z402" s="8"/>
    </row>
    <row r="403" spans="1:26" ht="15.75" customHeight="1" x14ac:dyDescent="0.25">
      <c r="A403" s="6" t="s">
        <v>95</v>
      </c>
      <c r="B403" s="8"/>
      <c r="C403" s="8"/>
      <c r="D403" s="8"/>
      <c r="E403" s="8"/>
      <c r="F403" s="6" t="s">
        <v>116</v>
      </c>
      <c r="G403" s="6" t="s">
        <v>45</v>
      </c>
      <c r="H403" s="8"/>
      <c r="I403" s="8"/>
      <c r="J403" s="8"/>
      <c r="K403" s="8"/>
      <c r="L403" s="8"/>
      <c r="M403" s="8"/>
      <c r="N403" s="8"/>
      <c r="O403" s="8"/>
      <c r="P403" s="8"/>
      <c r="Q403" s="8"/>
      <c r="R403" s="8"/>
      <c r="S403" s="8"/>
      <c r="T403" s="8"/>
      <c r="U403" s="8"/>
      <c r="V403" s="8"/>
      <c r="W403" s="8"/>
      <c r="X403" s="8"/>
      <c r="Y403" s="8"/>
      <c r="Z403" s="8"/>
    </row>
    <row r="404" spans="1:26" ht="15.75" customHeight="1" x14ac:dyDescent="0.25">
      <c r="A404" s="6" t="s">
        <v>95</v>
      </c>
      <c r="B404" s="8"/>
      <c r="C404" s="8"/>
      <c r="D404" s="8"/>
      <c r="E404" s="8"/>
      <c r="F404" s="6" t="s">
        <v>116</v>
      </c>
      <c r="G404" s="6" t="s">
        <v>45</v>
      </c>
      <c r="H404" s="8"/>
      <c r="I404" s="8"/>
      <c r="J404" s="8"/>
      <c r="K404" s="8"/>
      <c r="L404" s="8"/>
      <c r="M404" s="8"/>
      <c r="N404" s="8"/>
      <c r="O404" s="8"/>
      <c r="P404" s="8"/>
      <c r="Q404" s="8"/>
      <c r="R404" s="8"/>
      <c r="S404" s="8"/>
      <c r="T404" s="8"/>
      <c r="U404" s="8"/>
      <c r="V404" s="8"/>
      <c r="W404" s="8"/>
      <c r="X404" s="8"/>
      <c r="Y404" s="8"/>
      <c r="Z404" s="8"/>
    </row>
    <row r="405" spans="1:26" ht="15.75" customHeight="1" x14ac:dyDescent="0.25">
      <c r="A405" s="6" t="s">
        <v>95</v>
      </c>
      <c r="B405" s="8"/>
      <c r="C405" s="8"/>
      <c r="D405" s="8"/>
      <c r="E405" s="8"/>
      <c r="F405" s="6" t="s">
        <v>116</v>
      </c>
      <c r="G405" s="6" t="s">
        <v>45</v>
      </c>
      <c r="H405" s="8"/>
      <c r="I405" s="8"/>
      <c r="J405" s="8"/>
      <c r="K405" s="8"/>
      <c r="L405" s="8"/>
      <c r="M405" s="8"/>
      <c r="N405" s="8"/>
      <c r="O405" s="8"/>
      <c r="P405" s="8"/>
      <c r="Q405" s="8"/>
      <c r="R405" s="8"/>
      <c r="S405" s="8"/>
      <c r="T405" s="8"/>
      <c r="U405" s="8"/>
      <c r="V405" s="8"/>
      <c r="W405" s="8"/>
      <c r="X405" s="8"/>
      <c r="Y405" s="8"/>
      <c r="Z405" s="8"/>
    </row>
    <row r="406" spans="1:26" ht="15.75" customHeight="1" x14ac:dyDescent="0.25">
      <c r="A406" s="6" t="s">
        <v>95</v>
      </c>
      <c r="B406" s="8"/>
      <c r="C406" s="8"/>
      <c r="D406" s="8"/>
      <c r="E406" s="8"/>
      <c r="F406" s="6" t="s">
        <v>116</v>
      </c>
      <c r="G406" s="6" t="s">
        <v>45</v>
      </c>
      <c r="H406" s="8"/>
      <c r="I406" s="8"/>
      <c r="J406" s="8"/>
      <c r="K406" s="8"/>
      <c r="L406" s="8"/>
      <c r="M406" s="8"/>
      <c r="N406" s="8"/>
      <c r="O406" s="8"/>
      <c r="P406" s="8"/>
      <c r="Q406" s="8"/>
      <c r="R406" s="8"/>
      <c r="S406" s="8"/>
      <c r="T406" s="8"/>
      <c r="U406" s="8"/>
      <c r="V406" s="8"/>
      <c r="W406" s="8"/>
      <c r="X406" s="8"/>
      <c r="Y406" s="8"/>
      <c r="Z406" s="8"/>
    </row>
    <row r="407" spans="1:26" ht="15.75" customHeight="1" x14ac:dyDescent="0.25">
      <c r="A407" s="6" t="s">
        <v>95</v>
      </c>
      <c r="B407" s="8"/>
      <c r="C407" s="8"/>
      <c r="D407" s="8"/>
      <c r="E407" s="8"/>
      <c r="F407" s="6" t="s">
        <v>116</v>
      </c>
      <c r="G407" s="6" t="s">
        <v>45</v>
      </c>
      <c r="H407" s="8"/>
      <c r="I407" s="8"/>
      <c r="J407" s="8"/>
      <c r="K407" s="8"/>
      <c r="L407" s="8"/>
      <c r="M407" s="8"/>
      <c r="N407" s="8"/>
      <c r="O407" s="8"/>
      <c r="P407" s="8"/>
      <c r="Q407" s="8"/>
      <c r="R407" s="8"/>
      <c r="S407" s="8"/>
      <c r="T407" s="8"/>
      <c r="U407" s="8"/>
      <c r="V407" s="8"/>
      <c r="W407" s="8"/>
      <c r="X407" s="8"/>
      <c r="Y407" s="8"/>
      <c r="Z407" s="8"/>
    </row>
    <row r="408" spans="1:26" ht="15.75" customHeight="1" x14ac:dyDescent="0.25">
      <c r="A408" s="6" t="s">
        <v>95</v>
      </c>
      <c r="B408" s="8"/>
      <c r="C408" s="8"/>
      <c r="D408" s="8"/>
      <c r="E408" s="8"/>
      <c r="F408" s="6" t="s">
        <v>116</v>
      </c>
      <c r="G408" s="6" t="s">
        <v>45</v>
      </c>
      <c r="H408" s="8"/>
      <c r="I408" s="8"/>
      <c r="J408" s="8"/>
      <c r="K408" s="8"/>
      <c r="L408" s="8"/>
      <c r="M408" s="8"/>
      <c r="N408" s="8"/>
      <c r="O408" s="8"/>
      <c r="P408" s="8"/>
      <c r="Q408" s="8"/>
      <c r="R408" s="8"/>
      <c r="S408" s="8"/>
      <c r="T408" s="8"/>
      <c r="U408" s="8"/>
      <c r="V408" s="8"/>
      <c r="W408" s="8"/>
      <c r="X408" s="8"/>
      <c r="Y408" s="8"/>
      <c r="Z408" s="8"/>
    </row>
    <row r="409" spans="1:26" ht="15.75" customHeight="1" x14ac:dyDescent="0.25">
      <c r="A409" s="6" t="s">
        <v>95</v>
      </c>
      <c r="B409" s="8"/>
      <c r="C409" s="8"/>
      <c r="D409" s="8"/>
      <c r="E409" s="8"/>
      <c r="F409" s="6" t="s">
        <v>116</v>
      </c>
      <c r="G409" s="6" t="s">
        <v>45</v>
      </c>
      <c r="H409" s="8"/>
      <c r="I409" s="8"/>
      <c r="J409" s="8"/>
      <c r="K409" s="8"/>
      <c r="L409" s="8"/>
      <c r="M409" s="8"/>
      <c r="N409" s="8"/>
      <c r="O409" s="8"/>
      <c r="P409" s="8"/>
      <c r="Q409" s="8"/>
      <c r="R409" s="8"/>
      <c r="S409" s="8"/>
      <c r="T409" s="8"/>
      <c r="U409" s="8"/>
      <c r="V409" s="8"/>
      <c r="W409" s="8"/>
      <c r="X409" s="8"/>
      <c r="Y409" s="8"/>
      <c r="Z409" s="8"/>
    </row>
    <row r="410" spans="1:26" ht="15.75" customHeight="1" x14ac:dyDescent="0.25">
      <c r="A410" s="6" t="s">
        <v>95</v>
      </c>
      <c r="B410" s="8"/>
      <c r="C410" s="8"/>
      <c r="D410" s="8"/>
      <c r="E410" s="8"/>
      <c r="F410" s="6" t="s">
        <v>116</v>
      </c>
      <c r="G410" s="6" t="s">
        <v>45</v>
      </c>
      <c r="H410" s="8"/>
      <c r="I410" s="8"/>
      <c r="J410" s="8"/>
      <c r="K410" s="8"/>
      <c r="L410" s="8"/>
      <c r="M410" s="8"/>
      <c r="N410" s="8"/>
      <c r="O410" s="8"/>
      <c r="P410" s="8"/>
      <c r="Q410" s="8"/>
      <c r="R410" s="8"/>
      <c r="S410" s="8"/>
      <c r="T410" s="8"/>
      <c r="U410" s="8"/>
      <c r="V410" s="8"/>
      <c r="W410" s="8"/>
      <c r="X410" s="8"/>
      <c r="Y410" s="8"/>
      <c r="Z410" s="8"/>
    </row>
    <row r="411" spans="1:26" ht="15.75" customHeight="1" x14ac:dyDescent="0.25">
      <c r="A411" s="6" t="s">
        <v>95</v>
      </c>
      <c r="B411" s="8"/>
      <c r="C411" s="8"/>
      <c r="D411" s="8"/>
      <c r="E411" s="8"/>
      <c r="F411" s="6" t="s">
        <v>116</v>
      </c>
      <c r="G411" s="6" t="s">
        <v>45</v>
      </c>
      <c r="H411" s="8"/>
      <c r="I411" s="8"/>
      <c r="J411" s="8"/>
      <c r="K411" s="8"/>
      <c r="L411" s="8"/>
      <c r="M411" s="8"/>
      <c r="N411" s="8"/>
      <c r="O411" s="8"/>
      <c r="P411" s="8"/>
      <c r="Q411" s="8"/>
      <c r="R411" s="8"/>
      <c r="S411" s="8"/>
      <c r="T411" s="8"/>
      <c r="U411" s="8"/>
      <c r="V411" s="8"/>
      <c r="W411" s="8"/>
      <c r="X411" s="8"/>
      <c r="Y411" s="8"/>
      <c r="Z411" s="8"/>
    </row>
    <row r="412" spans="1:26" ht="15.75" customHeight="1" x14ac:dyDescent="0.25">
      <c r="A412" s="6" t="s">
        <v>95</v>
      </c>
      <c r="B412" s="8"/>
      <c r="C412" s="8"/>
      <c r="D412" s="8"/>
      <c r="E412" s="8"/>
      <c r="F412" s="6" t="s">
        <v>116</v>
      </c>
      <c r="G412" s="6" t="s">
        <v>45</v>
      </c>
      <c r="H412" s="8"/>
      <c r="I412" s="8"/>
      <c r="J412" s="8"/>
      <c r="K412" s="8"/>
      <c r="L412" s="8"/>
      <c r="M412" s="8"/>
      <c r="N412" s="8"/>
      <c r="O412" s="8"/>
      <c r="P412" s="8"/>
      <c r="Q412" s="8"/>
      <c r="R412" s="8"/>
      <c r="S412" s="8"/>
      <c r="T412" s="8"/>
      <c r="U412" s="8"/>
      <c r="V412" s="8"/>
      <c r="W412" s="8"/>
      <c r="X412" s="8"/>
      <c r="Y412" s="8"/>
      <c r="Z412" s="8"/>
    </row>
    <row r="413" spans="1:26" ht="15.75" customHeight="1" x14ac:dyDescent="0.25">
      <c r="A413" s="6" t="s">
        <v>95</v>
      </c>
      <c r="B413" s="8"/>
      <c r="C413" s="8"/>
      <c r="D413" s="8"/>
      <c r="E413" s="8"/>
      <c r="F413" s="6" t="s">
        <v>116</v>
      </c>
      <c r="G413" s="6" t="s">
        <v>45</v>
      </c>
      <c r="H413" s="8"/>
      <c r="I413" s="8"/>
      <c r="J413" s="8"/>
      <c r="K413" s="8"/>
      <c r="L413" s="8"/>
      <c r="M413" s="8"/>
      <c r="N413" s="8"/>
      <c r="O413" s="8"/>
      <c r="P413" s="8"/>
      <c r="Q413" s="8"/>
      <c r="R413" s="8"/>
      <c r="S413" s="8"/>
      <c r="T413" s="8"/>
      <c r="U413" s="8"/>
      <c r="V413" s="8"/>
      <c r="W413" s="8"/>
      <c r="X413" s="8"/>
      <c r="Y413" s="8"/>
      <c r="Z413" s="8"/>
    </row>
    <row r="414" spans="1:26" ht="15.75" customHeight="1" x14ac:dyDescent="0.25">
      <c r="A414" s="6" t="s">
        <v>95</v>
      </c>
      <c r="B414" s="8"/>
      <c r="C414" s="8"/>
      <c r="D414" s="8"/>
      <c r="E414" s="8"/>
      <c r="F414" s="6" t="s">
        <v>116</v>
      </c>
      <c r="G414" s="6" t="s">
        <v>45</v>
      </c>
      <c r="H414" s="8"/>
      <c r="I414" s="8"/>
      <c r="J414" s="8"/>
      <c r="K414" s="8"/>
      <c r="L414" s="8"/>
      <c r="M414" s="8"/>
      <c r="N414" s="8"/>
      <c r="O414" s="8"/>
      <c r="P414" s="8"/>
      <c r="Q414" s="8"/>
      <c r="R414" s="8"/>
      <c r="S414" s="8"/>
      <c r="T414" s="8"/>
      <c r="U414" s="8"/>
      <c r="V414" s="8"/>
      <c r="W414" s="8"/>
      <c r="X414" s="8"/>
      <c r="Y414" s="8"/>
      <c r="Z414" s="8"/>
    </row>
    <row r="415" spans="1:26" ht="15.75" customHeight="1" x14ac:dyDescent="0.25">
      <c r="A415" s="6" t="s">
        <v>95</v>
      </c>
      <c r="B415" s="8"/>
      <c r="C415" s="8"/>
      <c r="D415" s="8"/>
      <c r="E415" s="8"/>
      <c r="F415" s="6" t="s">
        <v>116</v>
      </c>
      <c r="G415" s="6" t="s">
        <v>45</v>
      </c>
      <c r="H415" s="8"/>
      <c r="I415" s="8"/>
      <c r="J415" s="8"/>
      <c r="K415" s="8"/>
      <c r="L415" s="8"/>
      <c r="M415" s="8"/>
      <c r="N415" s="8"/>
      <c r="O415" s="8"/>
      <c r="P415" s="8"/>
      <c r="Q415" s="8"/>
      <c r="R415" s="8"/>
      <c r="S415" s="8"/>
      <c r="T415" s="8"/>
      <c r="U415" s="8"/>
      <c r="V415" s="8"/>
      <c r="W415" s="8"/>
      <c r="X415" s="8"/>
      <c r="Y415" s="8"/>
      <c r="Z415" s="8"/>
    </row>
    <row r="416" spans="1:26" ht="15.75" customHeight="1" x14ac:dyDescent="0.25">
      <c r="A416" s="6" t="s">
        <v>95</v>
      </c>
      <c r="B416" s="8"/>
      <c r="C416" s="8"/>
      <c r="D416" s="8"/>
      <c r="E416" s="8"/>
      <c r="F416" s="6" t="s">
        <v>116</v>
      </c>
      <c r="G416" s="6" t="s">
        <v>45</v>
      </c>
      <c r="H416" s="8"/>
      <c r="I416" s="8"/>
      <c r="J416" s="8"/>
      <c r="K416" s="8"/>
      <c r="L416" s="8"/>
      <c r="M416" s="8"/>
      <c r="N416" s="8"/>
      <c r="O416" s="8"/>
      <c r="P416" s="8"/>
      <c r="Q416" s="8"/>
      <c r="R416" s="8"/>
      <c r="S416" s="8"/>
      <c r="T416" s="8"/>
      <c r="U416" s="8"/>
      <c r="V416" s="8"/>
      <c r="W416" s="8"/>
      <c r="X416" s="8"/>
      <c r="Y416" s="8"/>
      <c r="Z416" s="8"/>
    </row>
    <row r="417" spans="1:26" ht="15.75" customHeight="1" x14ac:dyDescent="0.25">
      <c r="A417" s="6" t="s">
        <v>95</v>
      </c>
      <c r="B417" s="8"/>
      <c r="C417" s="8"/>
      <c r="D417" s="8"/>
      <c r="E417" s="8"/>
      <c r="F417" s="6" t="s">
        <v>116</v>
      </c>
      <c r="G417" s="6" t="s">
        <v>45</v>
      </c>
      <c r="H417" s="8"/>
      <c r="I417" s="8"/>
      <c r="J417" s="8"/>
      <c r="K417" s="8"/>
      <c r="L417" s="8"/>
      <c r="M417" s="8"/>
      <c r="N417" s="8"/>
      <c r="O417" s="8"/>
      <c r="P417" s="8"/>
      <c r="Q417" s="8"/>
      <c r="R417" s="8"/>
      <c r="S417" s="8"/>
      <c r="T417" s="8"/>
      <c r="U417" s="8"/>
      <c r="V417" s="8"/>
      <c r="W417" s="8"/>
      <c r="X417" s="8"/>
      <c r="Y417" s="8"/>
      <c r="Z417" s="8"/>
    </row>
    <row r="418" spans="1:26" ht="15.75" customHeight="1" x14ac:dyDescent="0.25">
      <c r="A418" s="6" t="s">
        <v>95</v>
      </c>
      <c r="B418" s="8"/>
      <c r="C418" s="8"/>
      <c r="D418" s="8"/>
      <c r="E418" s="8"/>
      <c r="F418" s="6" t="s">
        <v>116</v>
      </c>
      <c r="G418" s="6" t="s">
        <v>45</v>
      </c>
      <c r="H418" s="8"/>
      <c r="I418" s="8"/>
      <c r="J418" s="8"/>
      <c r="K418" s="8"/>
      <c r="L418" s="8"/>
      <c r="M418" s="8"/>
      <c r="N418" s="8"/>
      <c r="O418" s="8"/>
      <c r="P418" s="8"/>
      <c r="Q418" s="8"/>
      <c r="R418" s="8"/>
      <c r="S418" s="8"/>
      <c r="T418" s="8"/>
      <c r="U418" s="8"/>
      <c r="V418" s="8"/>
      <c r="W418" s="8"/>
      <c r="X418" s="8"/>
      <c r="Y418" s="8"/>
      <c r="Z418" s="8"/>
    </row>
    <row r="419" spans="1:26" ht="15.75" customHeight="1" x14ac:dyDescent="0.25">
      <c r="A419" s="6" t="s">
        <v>95</v>
      </c>
      <c r="B419" s="8"/>
      <c r="C419" s="8"/>
      <c r="D419" s="8"/>
      <c r="E419" s="8"/>
      <c r="F419" s="6" t="s">
        <v>116</v>
      </c>
      <c r="G419" s="6" t="s">
        <v>45</v>
      </c>
      <c r="H419" s="8"/>
      <c r="I419" s="8"/>
      <c r="J419" s="8"/>
      <c r="K419" s="8"/>
      <c r="L419" s="8"/>
      <c r="M419" s="8"/>
      <c r="N419" s="8"/>
      <c r="O419" s="8"/>
      <c r="P419" s="8"/>
      <c r="Q419" s="8"/>
      <c r="R419" s="8"/>
      <c r="S419" s="8"/>
      <c r="T419" s="8"/>
      <c r="U419" s="8"/>
      <c r="V419" s="8"/>
      <c r="W419" s="8"/>
      <c r="X419" s="8"/>
      <c r="Y419" s="8"/>
      <c r="Z419" s="8"/>
    </row>
    <row r="420" spans="1:26" ht="15.75" customHeight="1" x14ac:dyDescent="0.25">
      <c r="A420" s="6" t="s">
        <v>95</v>
      </c>
      <c r="B420" s="8"/>
      <c r="C420" s="8"/>
      <c r="D420" s="8"/>
      <c r="E420" s="8"/>
      <c r="F420" s="6" t="s">
        <v>116</v>
      </c>
      <c r="G420" s="6" t="s">
        <v>45</v>
      </c>
      <c r="H420" s="8"/>
      <c r="I420" s="8"/>
      <c r="J420" s="8"/>
      <c r="K420" s="8"/>
      <c r="L420" s="8"/>
      <c r="M420" s="8"/>
      <c r="N420" s="8"/>
      <c r="O420" s="8"/>
      <c r="P420" s="8"/>
      <c r="Q420" s="8"/>
      <c r="R420" s="8"/>
      <c r="S420" s="8"/>
      <c r="T420" s="8"/>
      <c r="U420" s="8"/>
      <c r="V420" s="8"/>
      <c r="W420" s="8"/>
      <c r="X420" s="8"/>
      <c r="Y420" s="8"/>
      <c r="Z420" s="8"/>
    </row>
    <row r="421" spans="1:26" ht="15.75" customHeight="1" x14ac:dyDescent="0.25">
      <c r="A421" s="6" t="s">
        <v>95</v>
      </c>
      <c r="B421" s="8"/>
      <c r="C421" s="8"/>
      <c r="D421" s="8"/>
      <c r="E421" s="8"/>
      <c r="F421" s="6" t="s">
        <v>116</v>
      </c>
      <c r="G421" s="6" t="s">
        <v>45</v>
      </c>
      <c r="H421" s="8"/>
      <c r="I421" s="8"/>
      <c r="J421" s="8"/>
      <c r="K421" s="8"/>
      <c r="L421" s="8"/>
      <c r="M421" s="8"/>
      <c r="N421" s="8"/>
      <c r="O421" s="8"/>
      <c r="P421" s="8"/>
      <c r="Q421" s="8"/>
      <c r="R421" s="8"/>
      <c r="S421" s="8"/>
      <c r="T421" s="8"/>
      <c r="U421" s="8"/>
      <c r="V421" s="8"/>
      <c r="W421" s="8"/>
      <c r="X421" s="8"/>
      <c r="Y421" s="8"/>
      <c r="Z421" s="8"/>
    </row>
    <row r="422" spans="1:26" ht="15.75" customHeight="1" x14ac:dyDescent="0.25">
      <c r="A422" s="6" t="s">
        <v>95</v>
      </c>
      <c r="B422" s="8"/>
      <c r="C422" s="8"/>
      <c r="D422" s="8"/>
      <c r="E422" s="8"/>
      <c r="F422" s="6" t="s">
        <v>116</v>
      </c>
      <c r="G422" s="6" t="s">
        <v>45</v>
      </c>
      <c r="H422" s="8"/>
      <c r="I422" s="8"/>
      <c r="J422" s="8"/>
      <c r="K422" s="8"/>
      <c r="L422" s="8"/>
      <c r="M422" s="8"/>
      <c r="N422" s="8"/>
      <c r="O422" s="8"/>
      <c r="P422" s="8"/>
      <c r="Q422" s="8"/>
      <c r="R422" s="8"/>
      <c r="S422" s="8"/>
      <c r="T422" s="8"/>
      <c r="U422" s="8"/>
      <c r="V422" s="8"/>
      <c r="W422" s="8"/>
      <c r="X422" s="8"/>
      <c r="Y422" s="8"/>
      <c r="Z422" s="8"/>
    </row>
    <row r="423" spans="1:26" ht="15.75" customHeight="1" x14ac:dyDescent="0.25">
      <c r="A423" s="6" t="s">
        <v>95</v>
      </c>
      <c r="B423" s="8"/>
      <c r="C423" s="8"/>
      <c r="D423" s="8"/>
      <c r="E423" s="8"/>
      <c r="F423" s="6" t="s">
        <v>116</v>
      </c>
      <c r="G423" s="6" t="s">
        <v>45</v>
      </c>
      <c r="H423" s="8"/>
      <c r="I423" s="8"/>
      <c r="J423" s="8"/>
      <c r="K423" s="8"/>
      <c r="L423" s="8"/>
      <c r="M423" s="8"/>
      <c r="N423" s="8"/>
      <c r="O423" s="8"/>
      <c r="P423" s="8"/>
      <c r="Q423" s="8"/>
      <c r="R423" s="8"/>
      <c r="S423" s="8"/>
      <c r="T423" s="8"/>
      <c r="U423" s="8"/>
      <c r="V423" s="8"/>
      <c r="W423" s="8"/>
      <c r="X423" s="8"/>
      <c r="Y423" s="8"/>
      <c r="Z423" s="8"/>
    </row>
    <row r="424" spans="1:26" ht="15.75" customHeight="1" x14ac:dyDescent="0.25">
      <c r="A424" s="6" t="s">
        <v>95</v>
      </c>
      <c r="B424" s="8"/>
      <c r="C424" s="8"/>
      <c r="D424" s="8"/>
      <c r="E424" s="8"/>
      <c r="F424" s="6" t="s">
        <v>116</v>
      </c>
      <c r="G424" s="6" t="s">
        <v>45</v>
      </c>
      <c r="H424" s="8"/>
      <c r="I424" s="8"/>
      <c r="J424" s="8"/>
      <c r="K424" s="8"/>
      <c r="L424" s="8"/>
      <c r="M424" s="8"/>
      <c r="N424" s="8"/>
      <c r="O424" s="8"/>
      <c r="P424" s="8"/>
      <c r="Q424" s="8"/>
      <c r="R424" s="8"/>
      <c r="S424" s="8"/>
      <c r="T424" s="8"/>
      <c r="U424" s="8"/>
      <c r="V424" s="8"/>
      <c r="W424" s="8"/>
      <c r="X424" s="8"/>
      <c r="Y424" s="8"/>
      <c r="Z424" s="8"/>
    </row>
    <row r="425" spans="1:26" ht="15.75" customHeight="1" x14ac:dyDescent="0.25">
      <c r="A425" s="6" t="s">
        <v>95</v>
      </c>
      <c r="B425" s="8"/>
      <c r="C425" s="8"/>
      <c r="D425" s="8"/>
      <c r="E425" s="8"/>
      <c r="F425" s="6" t="s">
        <v>116</v>
      </c>
      <c r="G425" s="6" t="s">
        <v>45</v>
      </c>
      <c r="H425" s="8"/>
      <c r="I425" s="8"/>
      <c r="J425" s="8"/>
      <c r="K425" s="8"/>
      <c r="L425" s="8"/>
      <c r="M425" s="8"/>
      <c r="N425" s="8"/>
      <c r="O425" s="8"/>
      <c r="P425" s="8"/>
      <c r="Q425" s="8"/>
      <c r="R425" s="8"/>
      <c r="S425" s="8"/>
      <c r="T425" s="8"/>
      <c r="U425" s="8"/>
      <c r="V425" s="8"/>
      <c r="W425" s="8"/>
      <c r="X425" s="8"/>
      <c r="Y425" s="8"/>
      <c r="Z425" s="8"/>
    </row>
    <row r="426" spans="1:26" ht="15.75" customHeight="1" x14ac:dyDescent="0.25">
      <c r="A426" s="6" t="s">
        <v>95</v>
      </c>
      <c r="B426" s="8"/>
      <c r="C426" s="8"/>
      <c r="D426" s="8"/>
      <c r="E426" s="8"/>
      <c r="F426" s="6" t="s">
        <v>116</v>
      </c>
      <c r="G426" s="6" t="s">
        <v>45</v>
      </c>
      <c r="H426" s="8"/>
      <c r="I426" s="8"/>
      <c r="J426" s="8"/>
      <c r="K426" s="8"/>
      <c r="L426" s="8"/>
      <c r="M426" s="8"/>
      <c r="N426" s="8"/>
      <c r="O426" s="8"/>
      <c r="P426" s="8"/>
      <c r="Q426" s="8"/>
      <c r="R426" s="8"/>
      <c r="S426" s="8"/>
      <c r="T426" s="8"/>
      <c r="U426" s="8"/>
      <c r="V426" s="8"/>
      <c r="W426" s="8"/>
      <c r="X426" s="8"/>
      <c r="Y426" s="8"/>
      <c r="Z426" s="8"/>
    </row>
    <row r="427" spans="1:26" ht="15.75" customHeight="1" x14ac:dyDescent="0.25">
      <c r="A427" s="6" t="s">
        <v>95</v>
      </c>
      <c r="B427" s="8"/>
      <c r="C427" s="8"/>
      <c r="D427" s="8"/>
      <c r="E427" s="8"/>
      <c r="F427" s="6" t="s">
        <v>116</v>
      </c>
      <c r="G427" s="6" t="s">
        <v>45</v>
      </c>
      <c r="H427" s="8"/>
      <c r="I427" s="8"/>
      <c r="J427" s="8"/>
      <c r="K427" s="8"/>
      <c r="L427" s="8"/>
      <c r="M427" s="8"/>
      <c r="N427" s="8"/>
      <c r="O427" s="8"/>
      <c r="P427" s="8"/>
      <c r="Q427" s="8"/>
      <c r="R427" s="8"/>
      <c r="S427" s="8"/>
      <c r="T427" s="8"/>
      <c r="U427" s="8"/>
      <c r="V427" s="8"/>
      <c r="W427" s="8"/>
      <c r="X427" s="8"/>
      <c r="Y427" s="8"/>
      <c r="Z427" s="8"/>
    </row>
    <row r="428" spans="1:26" ht="15.75" customHeight="1" x14ac:dyDescent="0.25">
      <c r="A428" s="6" t="s">
        <v>95</v>
      </c>
      <c r="B428" s="8"/>
      <c r="C428" s="8"/>
      <c r="D428" s="8"/>
      <c r="E428" s="8"/>
      <c r="F428" s="6" t="s">
        <v>116</v>
      </c>
      <c r="G428" s="6" t="s">
        <v>45</v>
      </c>
      <c r="H428" s="8"/>
      <c r="I428" s="8"/>
      <c r="J428" s="8"/>
      <c r="K428" s="8"/>
      <c r="L428" s="8"/>
      <c r="M428" s="8"/>
      <c r="N428" s="8"/>
      <c r="O428" s="8"/>
      <c r="P428" s="8"/>
      <c r="Q428" s="8"/>
      <c r="R428" s="8"/>
      <c r="S428" s="8"/>
      <c r="T428" s="8"/>
      <c r="U428" s="8"/>
      <c r="V428" s="8"/>
      <c r="W428" s="8"/>
      <c r="X428" s="8"/>
      <c r="Y428" s="8"/>
      <c r="Z428" s="8"/>
    </row>
    <row r="429" spans="1:26" ht="15.75" customHeight="1" x14ac:dyDescent="0.25">
      <c r="A429" s="6" t="s">
        <v>95</v>
      </c>
      <c r="B429" s="8"/>
      <c r="C429" s="8"/>
      <c r="D429" s="8"/>
      <c r="E429" s="8"/>
      <c r="F429" s="6" t="s">
        <v>116</v>
      </c>
      <c r="G429" s="6" t="s">
        <v>45</v>
      </c>
      <c r="H429" s="8"/>
      <c r="I429" s="8"/>
      <c r="J429" s="8"/>
      <c r="K429" s="8"/>
      <c r="L429" s="8"/>
      <c r="M429" s="8"/>
      <c r="N429" s="8"/>
      <c r="O429" s="8"/>
      <c r="P429" s="8"/>
      <c r="Q429" s="8"/>
      <c r="R429" s="8"/>
      <c r="S429" s="8"/>
      <c r="T429" s="8"/>
      <c r="U429" s="8"/>
      <c r="V429" s="8"/>
      <c r="W429" s="8"/>
      <c r="X429" s="8"/>
      <c r="Y429" s="8"/>
      <c r="Z429" s="8"/>
    </row>
    <row r="430" spans="1:26" ht="15.75" customHeight="1" x14ac:dyDescent="0.25">
      <c r="A430" s="6" t="s">
        <v>95</v>
      </c>
      <c r="B430" s="8"/>
      <c r="C430" s="8"/>
      <c r="D430" s="8"/>
      <c r="E430" s="8"/>
      <c r="F430" s="6" t="s">
        <v>116</v>
      </c>
      <c r="G430" s="6" t="s">
        <v>45</v>
      </c>
      <c r="H430" s="8"/>
      <c r="I430" s="8"/>
      <c r="J430" s="8"/>
      <c r="K430" s="8"/>
      <c r="L430" s="8"/>
      <c r="M430" s="8"/>
      <c r="N430" s="8"/>
      <c r="O430" s="8"/>
      <c r="P430" s="8"/>
      <c r="Q430" s="8"/>
      <c r="R430" s="8"/>
      <c r="S430" s="8"/>
      <c r="T430" s="8"/>
      <c r="U430" s="8"/>
      <c r="V430" s="8"/>
      <c r="W430" s="8"/>
      <c r="X430" s="8"/>
      <c r="Y430" s="8"/>
      <c r="Z430" s="8"/>
    </row>
    <row r="431" spans="1:26" ht="15.75" customHeight="1" x14ac:dyDescent="0.25">
      <c r="A431" s="6" t="s">
        <v>95</v>
      </c>
      <c r="B431" s="8"/>
      <c r="C431" s="8"/>
      <c r="D431" s="8"/>
      <c r="E431" s="8"/>
      <c r="F431" s="6" t="s">
        <v>116</v>
      </c>
      <c r="G431" s="6" t="s">
        <v>45</v>
      </c>
      <c r="H431" s="8"/>
      <c r="I431" s="8"/>
      <c r="J431" s="8"/>
      <c r="K431" s="8"/>
      <c r="L431" s="8"/>
      <c r="M431" s="8"/>
      <c r="N431" s="8"/>
      <c r="O431" s="8"/>
      <c r="P431" s="8"/>
      <c r="Q431" s="8"/>
      <c r="R431" s="8"/>
      <c r="S431" s="8"/>
      <c r="T431" s="8"/>
      <c r="U431" s="8"/>
      <c r="V431" s="8"/>
      <c r="W431" s="8"/>
      <c r="X431" s="8"/>
      <c r="Y431" s="8"/>
      <c r="Z431" s="8"/>
    </row>
    <row r="432" spans="1:26" ht="15.75" customHeight="1" x14ac:dyDescent="0.25">
      <c r="A432" s="6" t="s">
        <v>95</v>
      </c>
      <c r="B432" s="8"/>
      <c r="C432" s="8"/>
      <c r="D432" s="8"/>
      <c r="E432" s="8"/>
      <c r="F432" s="6" t="s">
        <v>116</v>
      </c>
      <c r="G432" s="6" t="s">
        <v>45</v>
      </c>
      <c r="H432" s="8"/>
      <c r="I432" s="8"/>
      <c r="J432" s="8"/>
      <c r="K432" s="8"/>
      <c r="L432" s="8"/>
      <c r="M432" s="8"/>
      <c r="N432" s="8"/>
      <c r="O432" s="8"/>
      <c r="P432" s="8"/>
      <c r="Q432" s="8"/>
      <c r="R432" s="8"/>
      <c r="S432" s="8"/>
      <c r="T432" s="8"/>
      <c r="U432" s="8"/>
      <c r="V432" s="8"/>
      <c r="W432" s="8"/>
      <c r="X432" s="8"/>
      <c r="Y432" s="8"/>
      <c r="Z432" s="8"/>
    </row>
    <row r="433" spans="1:26" ht="15.75" customHeight="1" x14ac:dyDescent="0.25">
      <c r="A433" s="6" t="s">
        <v>95</v>
      </c>
      <c r="B433" s="8"/>
      <c r="C433" s="8"/>
      <c r="D433" s="8"/>
      <c r="E433" s="8"/>
      <c r="F433" s="6" t="s">
        <v>116</v>
      </c>
      <c r="G433" s="6" t="s">
        <v>45</v>
      </c>
      <c r="H433" s="8"/>
      <c r="I433" s="8"/>
      <c r="J433" s="8"/>
      <c r="K433" s="8"/>
      <c r="L433" s="8"/>
      <c r="M433" s="8"/>
      <c r="N433" s="8"/>
      <c r="O433" s="8"/>
      <c r="P433" s="8"/>
      <c r="Q433" s="8"/>
      <c r="R433" s="8"/>
      <c r="S433" s="8"/>
      <c r="T433" s="8"/>
      <c r="U433" s="8"/>
      <c r="V433" s="8"/>
      <c r="W433" s="8"/>
      <c r="X433" s="8"/>
      <c r="Y433" s="8"/>
      <c r="Z433" s="8"/>
    </row>
    <row r="434" spans="1:26" ht="15.75" customHeight="1" x14ac:dyDescent="0.25">
      <c r="A434" s="6" t="s">
        <v>95</v>
      </c>
      <c r="B434" s="8"/>
      <c r="C434" s="8"/>
      <c r="D434" s="8"/>
      <c r="E434" s="8"/>
      <c r="F434" s="6" t="s">
        <v>116</v>
      </c>
      <c r="G434" s="6" t="s">
        <v>45</v>
      </c>
      <c r="H434" s="8"/>
      <c r="I434" s="8"/>
      <c r="J434" s="8"/>
      <c r="K434" s="8"/>
      <c r="L434" s="8"/>
      <c r="M434" s="8"/>
      <c r="N434" s="8"/>
      <c r="O434" s="8"/>
      <c r="P434" s="8"/>
      <c r="Q434" s="8"/>
      <c r="R434" s="8"/>
      <c r="S434" s="8"/>
      <c r="T434" s="8"/>
      <c r="U434" s="8"/>
      <c r="V434" s="8"/>
      <c r="W434" s="8"/>
      <c r="X434" s="8"/>
      <c r="Y434" s="8"/>
      <c r="Z434" s="8"/>
    </row>
    <row r="435" spans="1:26" ht="15.75" customHeight="1" x14ac:dyDescent="0.25">
      <c r="A435" s="6" t="s">
        <v>95</v>
      </c>
      <c r="B435" s="8"/>
      <c r="C435" s="8"/>
      <c r="D435" s="8"/>
      <c r="E435" s="8"/>
      <c r="F435" s="6" t="s">
        <v>116</v>
      </c>
      <c r="G435" s="6" t="s">
        <v>45</v>
      </c>
      <c r="H435" s="8"/>
      <c r="I435" s="8"/>
      <c r="J435" s="8"/>
      <c r="K435" s="8"/>
      <c r="L435" s="8"/>
      <c r="M435" s="8"/>
      <c r="N435" s="8"/>
      <c r="O435" s="8"/>
      <c r="P435" s="8"/>
      <c r="Q435" s="8"/>
      <c r="R435" s="8"/>
      <c r="S435" s="8"/>
      <c r="T435" s="8"/>
      <c r="U435" s="8"/>
      <c r="V435" s="8"/>
      <c r="W435" s="8"/>
      <c r="X435" s="8"/>
      <c r="Y435" s="8"/>
      <c r="Z435" s="8"/>
    </row>
    <row r="436" spans="1:26" ht="15.75" customHeight="1" x14ac:dyDescent="0.25">
      <c r="A436" s="6" t="s">
        <v>95</v>
      </c>
      <c r="B436" s="8"/>
      <c r="C436" s="8"/>
      <c r="D436" s="8"/>
      <c r="E436" s="8"/>
      <c r="F436" s="6" t="s">
        <v>116</v>
      </c>
      <c r="G436" s="6" t="s">
        <v>45</v>
      </c>
      <c r="H436" s="8"/>
      <c r="I436" s="8"/>
      <c r="J436" s="8"/>
      <c r="K436" s="8"/>
      <c r="L436" s="8"/>
      <c r="M436" s="8"/>
      <c r="N436" s="8"/>
      <c r="O436" s="8"/>
      <c r="P436" s="8"/>
      <c r="Q436" s="8"/>
      <c r="R436" s="8"/>
      <c r="S436" s="8"/>
      <c r="T436" s="8"/>
      <c r="U436" s="8"/>
      <c r="V436" s="8"/>
      <c r="W436" s="8"/>
      <c r="X436" s="8"/>
      <c r="Y436" s="8"/>
      <c r="Z436" s="8"/>
    </row>
    <row r="437" spans="1:26" ht="15.75" customHeight="1" x14ac:dyDescent="0.25">
      <c r="A437" s="6" t="s">
        <v>95</v>
      </c>
      <c r="B437" s="8"/>
      <c r="C437" s="8"/>
      <c r="D437" s="8"/>
      <c r="E437" s="8"/>
      <c r="F437" s="6" t="s">
        <v>116</v>
      </c>
      <c r="G437" s="6" t="s">
        <v>45</v>
      </c>
      <c r="H437" s="8"/>
      <c r="I437" s="8"/>
      <c r="J437" s="8"/>
      <c r="K437" s="8"/>
      <c r="L437" s="8"/>
      <c r="M437" s="8"/>
      <c r="N437" s="8"/>
      <c r="O437" s="8"/>
      <c r="P437" s="8"/>
      <c r="Q437" s="8"/>
      <c r="R437" s="8"/>
      <c r="S437" s="8"/>
      <c r="T437" s="8"/>
      <c r="U437" s="8"/>
      <c r="V437" s="8"/>
      <c r="W437" s="8"/>
      <c r="X437" s="8"/>
      <c r="Y437" s="8"/>
      <c r="Z437" s="8"/>
    </row>
    <row r="438" spans="1:26" ht="15.75" customHeight="1" x14ac:dyDescent="0.25">
      <c r="A438" s="6" t="s">
        <v>95</v>
      </c>
      <c r="B438" s="8"/>
      <c r="C438" s="8"/>
      <c r="D438" s="8"/>
      <c r="E438" s="8"/>
      <c r="F438" s="6" t="s">
        <v>116</v>
      </c>
      <c r="G438" s="6" t="s">
        <v>45</v>
      </c>
      <c r="H438" s="8"/>
      <c r="I438" s="8"/>
      <c r="J438" s="8"/>
      <c r="K438" s="8"/>
      <c r="L438" s="8"/>
      <c r="M438" s="8"/>
      <c r="N438" s="8"/>
      <c r="O438" s="8"/>
      <c r="P438" s="8"/>
      <c r="Q438" s="8"/>
      <c r="R438" s="8"/>
      <c r="S438" s="8"/>
      <c r="T438" s="8"/>
      <c r="U438" s="8"/>
      <c r="V438" s="8"/>
      <c r="W438" s="8"/>
      <c r="X438" s="8"/>
      <c r="Y438" s="8"/>
      <c r="Z438" s="8"/>
    </row>
    <row r="439" spans="1:26" ht="15.75" customHeight="1" x14ac:dyDescent="0.25">
      <c r="A439" s="6" t="s">
        <v>95</v>
      </c>
      <c r="B439" s="8"/>
      <c r="C439" s="8"/>
      <c r="D439" s="8"/>
      <c r="E439" s="8"/>
      <c r="F439" s="6" t="s">
        <v>116</v>
      </c>
      <c r="G439" s="6" t="s">
        <v>45</v>
      </c>
      <c r="H439" s="8"/>
      <c r="I439" s="8"/>
      <c r="J439" s="8"/>
      <c r="K439" s="8"/>
      <c r="L439" s="8"/>
      <c r="M439" s="8"/>
      <c r="N439" s="8"/>
      <c r="O439" s="8"/>
      <c r="P439" s="8"/>
      <c r="Q439" s="8"/>
      <c r="R439" s="8"/>
      <c r="S439" s="8"/>
      <c r="T439" s="8"/>
      <c r="U439" s="8"/>
      <c r="V439" s="8"/>
      <c r="W439" s="8"/>
      <c r="X439" s="8"/>
      <c r="Y439" s="8"/>
      <c r="Z439" s="8"/>
    </row>
    <row r="440" spans="1:26" ht="15.75" customHeight="1" x14ac:dyDescent="0.25">
      <c r="A440" s="6" t="s">
        <v>95</v>
      </c>
      <c r="B440" s="8"/>
      <c r="C440" s="8"/>
      <c r="D440" s="8"/>
      <c r="E440" s="8"/>
      <c r="F440" s="6" t="s">
        <v>116</v>
      </c>
      <c r="G440" s="6" t="s">
        <v>45</v>
      </c>
      <c r="H440" s="8"/>
      <c r="I440" s="8"/>
      <c r="J440" s="8"/>
      <c r="K440" s="8"/>
      <c r="L440" s="8"/>
      <c r="M440" s="8"/>
      <c r="N440" s="8"/>
      <c r="O440" s="8"/>
      <c r="P440" s="8"/>
      <c r="Q440" s="8"/>
      <c r="R440" s="8"/>
      <c r="S440" s="8"/>
      <c r="T440" s="8"/>
      <c r="U440" s="8"/>
      <c r="V440" s="8"/>
      <c r="W440" s="8"/>
      <c r="X440" s="8"/>
      <c r="Y440" s="8"/>
      <c r="Z440" s="8"/>
    </row>
    <row r="441" spans="1:26" ht="15.75" customHeight="1" x14ac:dyDescent="0.25">
      <c r="A441" s="6" t="s">
        <v>95</v>
      </c>
      <c r="B441" s="8"/>
      <c r="C441" s="8"/>
      <c r="D441" s="8"/>
      <c r="E441" s="8"/>
      <c r="F441" s="6" t="s">
        <v>116</v>
      </c>
      <c r="G441" s="6" t="s">
        <v>45</v>
      </c>
      <c r="H441" s="8"/>
      <c r="I441" s="8"/>
      <c r="J441" s="8"/>
      <c r="K441" s="8"/>
      <c r="L441" s="8"/>
      <c r="M441" s="8"/>
      <c r="N441" s="8"/>
      <c r="O441" s="8"/>
      <c r="P441" s="8"/>
      <c r="Q441" s="8"/>
      <c r="R441" s="8"/>
      <c r="S441" s="8"/>
      <c r="T441" s="8"/>
      <c r="U441" s="8"/>
      <c r="V441" s="8"/>
      <c r="W441" s="8"/>
      <c r="X441" s="8"/>
      <c r="Y441" s="8"/>
      <c r="Z441" s="8"/>
    </row>
    <row r="442" spans="1:26" ht="15.75" customHeight="1" x14ac:dyDescent="0.25">
      <c r="A442" s="6" t="s">
        <v>95</v>
      </c>
      <c r="B442" s="8"/>
      <c r="C442" s="8"/>
      <c r="D442" s="8"/>
      <c r="E442" s="8"/>
      <c r="F442" s="6" t="s">
        <v>116</v>
      </c>
      <c r="G442" s="6" t="s">
        <v>45</v>
      </c>
      <c r="H442" s="8"/>
      <c r="I442" s="8"/>
      <c r="J442" s="8"/>
      <c r="K442" s="8"/>
      <c r="L442" s="8"/>
      <c r="M442" s="8"/>
      <c r="N442" s="8"/>
      <c r="O442" s="8"/>
      <c r="P442" s="8"/>
      <c r="Q442" s="8"/>
      <c r="R442" s="8"/>
      <c r="S442" s="8"/>
      <c r="T442" s="8"/>
      <c r="U442" s="8"/>
      <c r="V442" s="8"/>
      <c r="W442" s="8"/>
      <c r="X442" s="8"/>
      <c r="Y442" s="8"/>
      <c r="Z442" s="8"/>
    </row>
    <row r="443" spans="1:26" ht="15.75" customHeight="1" x14ac:dyDescent="0.25">
      <c r="A443" s="6" t="s">
        <v>95</v>
      </c>
      <c r="B443" s="8"/>
      <c r="C443" s="8"/>
      <c r="D443" s="8"/>
      <c r="E443" s="8"/>
      <c r="F443" s="6" t="s">
        <v>116</v>
      </c>
      <c r="G443" s="6" t="s">
        <v>45</v>
      </c>
      <c r="H443" s="8"/>
      <c r="I443" s="8"/>
      <c r="J443" s="8"/>
      <c r="K443" s="8"/>
      <c r="L443" s="8"/>
      <c r="M443" s="8"/>
      <c r="N443" s="8"/>
      <c r="O443" s="8"/>
      <c r="P443" s="8"/>
      <c r="Q443" s="8"/>
      <c r="R443" s="8"/>
      <c r="S443" s="8"/>
      <c r="T443" s="8"/>
      <c r="U443" s="8"/>
      <c r="V443" s="8"/>
      <c r="W443" s="8"/>
      <c r="X443" s="8"/>
      <c r="Y443" s="8"/>
      <c r="Z443" s="8"/>
    </row>
    <row r="444" spans="1:26" ht="15.75" customHeight="1" x14ac:dyDescent="0.25">
      <c r="A444" s="6" t="s">
        <v>95</v>
      </c>
      <c r="B444" s="8"/>
      <c r="C444" s="8"/>
      <c r="D444" s="8"/>
      <c r="E444" s="8"/>
      <c r="F444" s="6" t="s">
        <v>116</v>
      </c>
      <c r="G444" s="6" t="s">
        <v>45</v>
      </c>
      <c r="H444" s="8"/>
      <c r="I444" s="8"/>
      <c r="J444" s="8"/>
      <c r="K444" s="8"/>
      <c r="L444" s="8"/>
      <c r="M444" s="8"/>
      <c r="N444" s="8"/>
      <c r="O444" s="8"/>
      <c r="P444" s="8"/>
      <c r="Q444" s="8"/>
      <c r="R444" s="8"/>
      <c r="S444" s="8"/>
      <c r="T444" s="8"/>
      <c r="U444" s="8"/>
      <c r="V444" s="8"/>
      <c r="W444" s="8"/>
      <c r="X444" s="8"/>
      <c r="Y444" s="8"/>
      <c r="Z444" s="8"/>
    </row>
    <row r="445" spans="1:26" ht="15.75" customHeight="1" x14ac:dyDescent="0.25">
      <c r="A445" s="6" t="s">
        <v>95</v>
      </c>
      <c r="B445" s="8"/>
      <c r="C445" s="8"/>
      <c r="D445" s="8"/>
      <c r="E445" s="8"/>
      <c r="F445" s="6" t="s">
        <v>116</v>
      </c>
      <c r="G445" s="6" t="s">
        <v>45</v>
      </c>
      <c r="H445" s="8"/>
      <c r="I445" s="8"/>
      <c r="J445" s="8"/>
      <c r="K445" s="8"/>
      <c r="L445" s="8"/>
      <c r="M445" s="8"/>
      <c r="N445" s="8"/>
      <c r="O445" s="8"/>
      <c r="P445" s="8"/>
      <c r="Q445" s="8"/>
      <c r="R445" s="8"/>
      <c r="S445" s="8"/>
      <c r="T445" s="8"/>
      <c r="U445" s="8"/>
      <c r="V445" s="8"/>
      <c r="W445" s="8"/>
      <c r="X445" s="8"/>
      <c r="Y445" s="8"/>
      <c r="Z445" s="8"/>
    </row>
    <row r="446" spans="1:26" ht="15.75" customHeight="1" x14ac:dyDescent="0.25">
      <c r="A446" s="6" t="s">
        <v>95</v>
      </c>
      <c r="B446" s="8"/>
      <c r="C446" s="8"/>
      <c r="D446" s="8"/>
      <c r="E446" s="8"/>
      <c r="F446" s="6" t="s">
        <v>116</v>
      </c>
      <c r="G446" s="6" t="s">
        <v>45</v>
      </c>
      <c r="H446" s="8"/>
      <c r="I446" s="8"/>
      <c r="J446" s="8"/>
      <c r="K446" s="8"/>
      <c r="L446" s="8"/>
      <c r="M446" s="8"/>
      <c r="N446" s="8"/>
      <c r="O446" s="8"/>
      <c r="P446" s="8"/>
      <c r="Q446" s="8"/>
      <c r="R446" s="8"/>
      <c r="S446" s="8"/>
      <c r="T446" s="8"/>
      <c r="U446" s="8"/>
      <c r="V446" s="8"/>
      <c r="W446" s="8"/>
      <c r="X446" s="8"/>
      <c r="Y446" s="8"/>
      <c r="Z446" s="8"/>
    </row>
    <row r="447" spans="1:26" ht="15.75" customHeight="1" x14ac:dyDescent="0.25">
      <c r="A447" s="6" t="s">
        <v>95</v>
      </c>
      <c r="B447" s="8"/>
      <c r="C447" s="8"/>
      <c r="D447" s="8"/>
      <c r="E447" s="8"/>
      <c r="F447" s="6" t="s">
        <v>116</v>
      </c>
      <c r="G447" s="6" t="s">
        <v>45</v>
      </c>
      <c r="H447" s="8"/>
      <c r="I447" s="8"/>
      <c r="J447" s="8"/>
      <c r="K447" s="8"/>
      <c r="L447" s="8"/>
      <c r="M447" s="8"/>
      <c r="N447" s="8"/>
      <c r="O447" s="8"/>
      <c r="P447" s="8"/>
      <c r="Q447" s="8"/>
      <c r="R447" s="8"/>
      <c r="S447" s="8"/>
      <c r="T447" s="8"/>
      <c r="U447" s="8"/>
      <c r="V447" s="8"/>
      <c r="W447" s="8"/>
      <c r="X447" s="8"/>
      <c r="Y447" s="8"/>
      <c r="Z447" s="8"/>
    </row>
    <row r="448" spans="1:26" ht="15.75" customHeight="1" x14ac:dyDescent="0.25">
      <c r="A448" s="6" t="s">
        <v>95</v>
      </c>
      <c r="B448" s="8"/>
      <c r="C448" s="8"/>
      <c r="D448" s="8"/>
      <c r="E448" s="8"/>
      <c r="F448" s="6" t="s">
        <v>116</v>
      </c>
      <c r="G448" s="6" t="s">
        <v>45</v>
      </c>
      <c r="H448" s="8"/>
      <c r="I448" s="8"/>
      <c r="J448" s="8"/>
      <c r="K448" s="8"/>
      <c r="L448" s="8"/>
      <c r="M448" s="8"/>
      <c r="N448" s="8"/>
      <c r="O448" s="8"/>
      <c r="P448" s="8"/>
      <c r="Q448" s="8"/>
      <c r="R448" s="8"/>
      <c r="S448" s="8"/>
      <c r="T448" s="8"/>
      <c r="U448" s="8"/>
      <c r="V448" s="8"/>
      <c r="W448" s="8"/>
      <c r="X448" s="8"/>
      <c r="Y448" s="8"/>
      <c r="Z448" s="8"/>
    </row>
    <row r="449" spans="1:26" ht="15.75" customHeight="1" x14ac:dyDescent="0.25">
      <c r="A449" s="6" t="s">
        <v>95</v>
      </c>
      <c r="B449" s="8"/>
      <c r="C449" s="8"/>
      <c r="D449" s="8"/>
      <c r="E449" s="8"/>
      <c r="F449" s="6" t="s">
        <v>116</v>
      </c>
      <c r="G449" s="6" t="s">
        <v>45</v>
      </c>
      <c r="H449" s="8"/>
      <c r="I449" s="8"/>
      <c r="J449" s="8"/>
      <c r="K449" s="8"/>
      <c r="L449" s="8"/>
      <c r="M449" s="8"/>
      <c r="N449" s="8"/>
      <c r="O449" s="8"/>
      <c r="P449" s="8"/>
      <c r="Q449" s="8"/>
      <c r="R449" s="8"/>
      <c r="S449" s="8"/>
      <c r="T449" s="8"/>
      <c r="U449" s="8"/>
      <c r="V449" s="8"/>
      <c r="W449" s="8"/>
      <c r="X449" s="8"/>
      <c r="Y449" s="8"/>
      <c r="Z449" s="8"/>
    </row>
    <row r="450" spans="1:26" ht="15.75" customHeight="1" x14ac:dyDescent="0.25">
      <c r="A450" s="6" t="s">
        <v>95</v>
      </c>
      <c r="B450" s="8"/>
      <c r="C450" s="8"/>
      <c r="D450" s="8"/>
      <c r="E450" s="8"/>
      <c r="F450" s="6" t="s">
        <v>116</v>
      </c>
      <c r="G450" s="6" t="s">
        <v>45</v>
      </c>
      <c r="H450" s="8"/>
      <c r="I450" s="8"/>
      <c r="J450" s="8"/>
      <c r="K450" s="8"/>
      <c r="L450" s="8"/>
      <c r="M450" s="8"/>
      <c r="N450" s="8"/>
      <c r="O450" s="8"/>
      <c r="P450" s="8"/>
      <c r="Q450" s="8"/>
      <c r="R450" s="8"/>
      <c r="S450" s="8"/>
      <c r="T450" s="8"/>
      <c r="U450" s="8"/>
      <c r="V450" s="8"/>
      <c r="W450" s="8"/>
      <c r="X450" s="8"/>
      <c r="Y450" s="8"/>
      <c r="Z450" s="8"/>
    </row>
    <row r="451" spans="1:26" ht="15.75" customHeight="1" x14ac:dyDescent="0.25">
      <c r="A451" s="6" t="s">
        <v>95</v>
      </c>
      <c r="B451" s="8"/>
      <c r="C451" s="8"/>
      <c r="D451" s="8"/>
      <c r="E451" s="8"/>
      <c r="F451" s="6" t="s">
        <v>116</v>
      </c>
      <c r="G451" s="6" t="s">
        <v>45</v>
      </c>
      <c r="H451" s="8"/>
      <c r="I451" s="8"/>
      <c r="J451" s="8"/>
      <c r="K451" s="8"/>
      <c r="L451" s="8"/>
      <c r="M451" s="8"/>
      <c r="N451" s="8"/>
      <c r="O451" s="8"/>
      <c r="P451" s="8"/>
      <c r="Q451" s="8"/>
      <c r="R451" s="8"/>
      <c r="S451" s="8"/>
      <c r="T451" s="8"/>
      <c r="U451" s="8"/>
      <c r="V451" s="8"/>
      <c r="W451" s="8"/>
      <c r="X451" s="8"/>
      <c r="Y451" s="8"/>
      <c r="Z451" s="8"/>
    </row>
    <row r="452" spans="1:26" ht="15.75" customHeight="1" x14ac:dyDescent="0.25">
      <c r="A452" s="6" t="s">
        <v>95</v>
      </c>
      <c r="B452" s="8"/>
      <c r="C452" s="8"/>
      <c r="D452" s="8"/>
      <c r="E452" s="8"/>
      <c r="F452" s="6" t="s">
        <v>116</v>
      </c>
      <c r="G452" s="6" t="s">
        <v>45</v>
      </c>
      <c r="H452" s="8"/>
      <c r="I452" s="8"/>
      <c r="J452" s="8"/>
      <c r="K452" s="8"/>
      <c r="L452" s="8"/>
      <c r="M452" s="8"/>
      <c r="N452" s="8"/>
      <c r="O452" s="8"/>
      <c r="P452" s="8"/>
      <c r="Q452" s="8"/>
      <c r="R452" s="8"/>
      <c r="S452" s="8"/>
      <c r="T452" s="8"/>
      <c r="U452" s="8"/>
      <c r="V452" s="8"/>
      <c r="W452" s="8"/>
      <c r="X452" s="8"/>
      <c r="Y452" s="8"/>
      <c r="Z452" s="8"/>
    </row>
    <row r="453" spans="1:26" ht="15.75" customHeight="1" x14ac:dyDescent="0.25">
      <c r="A453" s="6" t="s">
        <v>95</v>
      </c>
      <c r="B453" s="8"/>
      <c r="C453" s="8"/>
      <c r="D453" s="8"/>
      <c r="E453" s="8"/>
      <c r="F453" s="6" t="s">
        <v>116</v>
      </c>
      <c r="G453" s="6" t="s">
        <v>45</v>
      </c>
      <c r="H453" s="8"/>
      <c r="I453" s="8"/>
      <c r="J453" s="8"/>
      <c r="K453" s="8"/>
      <c r="L453" s="8"/>
      <c r="M453" s="8"/>
      <c r="N453" s="8"/>
      <c r="O453" s="8"/>
      <c r="P453" s="8"/>
      <c r="Q453" s="8"/>
      <c r="R453" s="8"/>
      <c r="S453" s="8"/>
      <c r="T453" s="8"/>
      <c r="U453" s="8"/>
      <c r="V453" s="8"/>
      <c r="W453" s="8"/>
      <c r="X453" s="8"/>
      <c r="Y453" s="8"/>
      <c r="Z453" s="8"/>
    </row>
    <row r="454" spans="1:26" ht="15.75" customHeight="1" x14ac:dyDescent="0.25">
      <c r="A454" s="6" t="s">
        <v>95</v>
      </c>
      <c r="B454" s="8"/>
      <c r="C454" s="8"/>
      <c r="D454" s="8"/>
      <c r="E454" s="8"/>
      <c r="F454" s="6" t="s">
        <v>116</v>
      </c>
      <c r="G454" s="6" t="s">
        <v>45</v>
      </c>
      <c r="H454" s="8"/>
      <c r="I454" s="8"/>
      <c r="J454" s="8"/>
      <c r="K454" s="8"/>
      <c r="L454" s="8"/>
      <c r="M454" s="8"/>
      <c r="N454" s="8"/>
      <c r="O454" s="8"/>
      <c r="P454" s="8"/>
      <c r="Q454" s="8"/>
      <c r="R454" s="8"/>
      <c r="S454" s="8"/>
      <c r="T454" s="8"/>
      <c r="U454" s="8"/>
      <c r="V454" s="8"/>
      <c r="W454" s="8"/>
      <c r="X454" s="8"/>
      <c r="Y454" s="8"/>
      <c r="Z454" s="8"/>
    </row>
    <row r="455" spans="1:26" ht="15.75" customHeight="1" x14ac:dyDescent="0.25">
      <c r="A455" s="6" t="s">
        <v>95</v>
      </c>
      <c r="B455" s="8"/>
      <c r="C455" s="8"/>
      <c r="D455" s="8"/>
      <c r="E455" s="8"/>
      <c r="F455" s="6" t="s">
        <v>116</v>
      </c>
      <c r="G455" s="6" t="s">
        <v>45</v>
      </c>
      <c r="H455" s="8"/>
      <c r="I455" s="8"/>
      <c r="J455" s="8"/>
      <c r="K455" s="8"/>
      <c r="L455" s="8"/>
      <c r="M455" s="8"/>
      <c r="N455" s="8"/>
      <c r="O455" s="8"/>
      <c r="P455" s="8"/>
      <c r="Q455" s="8"/>
      <c r="R455" s="8"/>
      <c r="S455" s="8"/>
      <c r="T455" s="8"/>
      <c r="U455" s="8"/>
      <c r="V455" s="8"/>
      <c r="W455" s="8"/>
      <c r="X455" s="8"/>
      <c r="Y455" s="8"/>
      <c r="Z455" s="8"/>
    </row>
    <row r="456" spans="1:26" ht="15.75" customHeight="1" x14ac:dyDescent="0.25">
      <c r="A456" s="6" t="s">
        <v>95</v>
      </c>
      <c r="B456" s="8"/>
      <c r="C456" s="8"/>
      <c r="D456" s="8"/>
      <c r="E456" s="8"/>
      <c r="F456" s="6" t="s">
        <v>116</v>
      </c>
      <c r="G456" s="6" t="s">
        <v>45</v>
      </c>
      <c r="H456" s="8"/>
      <c r="I456" s="8"/>
      <c r="J456" s="8"/>
      <c r="K456" s="8"/>
      <c r="L456" s="8"/>
      <c r="M456" s="8"/>
      <c r="N456" s="8"/>
      <c r="O456" s="8"/>
      <c r="P456" s="8"/>
      <c r="Q456" s="8"/>
      <c r="R456" s="8"/>
      <c r="S456" s="8"/>
      <c r="T456" s="8"/>
      <c r="U456" s="8"/>
      <c r="V456" s="8"/>
      <c r="W456" s="8"/>
      <c r="X456" s="8"/>
      <c r="Y456" s="8"/>
      <c r="Z456" s="8"/>
    </row>
    <row r="457" spans="1:26" ht="15.75" customHeight="1" x14ac:dyDescent="0.25">
      <c r="A457" s="6" t="s">
        <v>95</v>
      </c>
      <c r="B457" s="8"/>
      <c r="C457" s="8"/>
      <c r="D457" s="8"/>
      <c r="E457" s="8"/>
      <c r="F457" s="6" t="s">
        <v>116</v>
      </c>
      <c r="G457" s="6" t="s">
        <v>45</v>
      </c>
      <c r="H457" s="8"/>
      <c r="I457" s="8"/>
      <c r="J457" s="8"/>
      <c r="K457" s="8"/>
      <c r="L457" s="8"/>
      <c r="M457" s="8"/>
      <c r="N457" s="8"/>
      <c r="O457" s="8"/>
      <c r="P457" s="8"/>
      <c r="Q457" s="8"/>
      <c r="R457" s="8"/>
      <c r="S457" s="8"/>
      <c r="T457" s="8"/>
      <c r="U457" s="8"/>
      <c r="V457" s="8"/>
      <c r="W457" s="8"/>
      <c r="X457" s="8"/>
      <c r="Y457" s="8"/>
      <c r="Z457" s="8"/>
    </row>
    <row r="458" spans="1:26" ht="15.75" customHeight="1" x14ac:dyDescent="0.25">
      <c r="A458" s="6" t="s">
        <v>95</v>
      </c>
      <c r="B458" s="8"/>
      <c r="C458" s="8"/>
      <c r="D458" s="8"/>
      <c r="E458" s="8"/>
      <c r="F458" s="6" t="s">
        <v>116</v>
      </c>
      <c r="G458" s="6" t="s">
        <v>45</v>
      </c>
      <c r="H458" s="8"/>
      <c r="I458" s="8"/>
      <c r="J458" s="8"/>
      <c r="K458" s="8"/>
      <c r="L458" s="8"/>
      <c r="M458" s="8"/>
      <c r="N458" s="8"/>
      <c r="O458" s="8"/>
      <c r="P458" s="8"/>
      <c r="Q458" s="8"/>
      <c r="R458" s="8"/>
      <c r="S458" s="8"/>
      <c r="T458" s="8"/>
      <c r="U458" s="8"/>
      <c r="V458" s="8"/>
      <c r="W458" s="8"/>
      <c r="X458" s="8"/>
      <c r="Y458" s="8"/>
      <c r="Z458" s="8"/>
    </row>
    <row r="459" spans="1:26" ht="15.75" customHeight="1" x14ac:dyDescent="0.25">
      <c r="A459" s="6" t="s">
        <v>95</v>
      </c>
      <c r="B459" s="8"/>
      <c r="C459" s="8"/>
      <c r="D459" s="8"/>
      <c r="E459" s="8"/>
      <c r="F459" s="6" t="s">
        <v>116</v>
      </c>
      <c r="G459" s="6" t="s">
        <v>45</v>
      </c>
      <c r="H459" s="8"/>
      <c r="I459" s="8"/>
      <c r="J459" s="8"/>
      <c r="K459" s="8"/>
      <c r="L459" s="8"/>
      <c r="M459" s="8"/>
      <c r="N459" s="8"/>
      <c r="O459" s="8"/>
      <c r="P459" s="8"/>
      <c r="Q459" s="8"/>
      <c r="R459" s="8"/>
      <c r="S459" s="8"/>
      <c r="T459" s="8"/>
      <c r="U459" s="8"/>
      <c r="V459" s="8"/>
      <c r="W459" s="8"/>
      <c r="X459" s="8"/>
      <c r="Y459" s="8"/>
      <c r="Z459" s="8"/>
    </row>
    <row r="460" spans="1:26" ht="15.75" customHeight="1" x14ac:dyDescent="0.25">
      <c r="A460" s="6" t="s">
        <v>95</v>
      </c>
      <c r="B460" s="8"/>
      <c r="C460" s="8"/>
      <c r="D460" s="8"/>
      <c r="E460" s="8"/>
      <c r="F460" s="6" t="s">
        <v>116</v>
      </c>
      <c r="G460" s="6" t="s">
        <v>45</v>
      </c>
      <c r="H460" s="8"/>
      <c r="I460" s="8"/>
      <c r="J460" s="8"/>
      <c r="K460" s="8"/>
      <c r="L460" s="8"/>
      <c r="M460" s="8"/>
      <c r="N460" s="8"/>
      <c r="O460" s="8"/>
      <c r="P460" s="8"/>
      <c r="Q460" s="8"/>
      <c r="R460" s="8"/>
      <c r="S460" s="8"/>
      <c r="T460" s="8"/>
      <c r="U460" s="8"/>
      <c r="V460" s="8"/>
      <c r="W460" s="8"/>
      <c r="X460" s="8"/>
      <c r="Y460" s="8"/>
      <c r="Z460" s="8"/>
    </row>
    <row r="461" spans="1:26" ht="15.75" customHeight="1" x14ac:dyDescent="0.25">
      <c r="A461" s="6" t="s">
        <v>95</v>
      </c>
      <c r="B461" s="8"/>
      <c r="C461" s="8"/>
      <c r="D461" s="8"/>
      <c r="E461" s="8"/>
      <c r="F461" s="6" t="s">
        <v>116</v>
      </c>
      <c r="G461" s="6" t="s">
        <v>45</v>
      </c>
      <c r="H461" s="8"/>
      <c r="I461" s="8"/>
      <c r="J461" s="8"/>
      <c r="K461" s="8"/>
      <c r="L461" s="8"/>
      <c r="M461" s="8"/>
      <c r="N461" s="8"/>
      <c r="O461" s="8"/>
      <c r="P461" s="8"/>
      <c r="Q461" s="8"/>
      <c r="R461" s="8"/>
      <c r="S461" s="8"/>
      <c r="T461" s="8"/>
      <c r="U461" s="8"/>
      <c r="V461" s="8"/>
      <c r="W461" s="8"/>
      <c r="X461" s="8"/>
      <c r="Y461" s="8"/>
      <c r="Z461" s="8"/>
    </row>
    <row r="462" spans="1:26" ht="15.75" customHeight="1" x14ac:dyDescent="0.25">
      <c r="A462" s="6" t="s">
        <v>95</v>
      </c>
      <c r="B462" s="8"/>
      <c r="C462" s="8"/>
      <c r="D462" s="8"/>
      <c r="E462" s="8"/>
      <c r="F462" s="6" t="s">
        <v>116</v>
      </c>
      <c r="G462" s="6" t="s">
        <v>45</v>
      </c>
      <c r="H462" s="8"/>
      <c r="I462" s="8"/>
      <c r="J462" s="8"/>
      <c r="K462" s="8"/>
      <c r="L462" s="8"/>
      <c r="M462" s="8"/>
      <c r="N462" s="8"/>
      <c r="O462" s="8"/>
      <c r="P462" s="8"/>
      <c r="Q462" s="8"/>
      <c r="R462" s="8"/>
      <c r="S462" s="8"/>
      <c r="T462" s="8"/>
      <c r="U462" s="8"/>
      <c r="V462" s="8"/>
      <c r="W462" s="8"/>
      <c r="X462" s="8"/>
      <c r="Y462" s="8"/>
      <c r="Z462" s="8"/>
    </row>
    <row r="463" spans="1:26" ht="15.75" customHeight="1" x14ac:dyDescent="0.25">
      <c r="A463" s="6" t="s">
        <v>95</v>
      </c>
      <c r="B463" s="8"/>
      <c r="C463" s="8"/>
      <c r="D463" s="8"/>
      <c r="E463" s="8"/>
      <c r="F463" s="6" t="s">
        <v>116</v>
      </c>
      <c r="G463" s="6" t="s">
        <v>45</v>
      </c>
      <c r="H463" s="8"/>
      <c r="I463" s="8"/>
      <c r="J463" s="8"/>
      <c r="K463" s="8"/>
      <c r="L463" s="8"/>
      <c r="M463" s="8"/>
      <c r="N463" s="8"/>
      <c r="O463" s="8"/>
      <c r="P463" s="8"/>
      <c r="Q463" s="8"/>
      <c r="R463" s="8"/>
      <c r="S463" s="8"/>
      <c r="T463" s="8"/>
      <c r="U463" s="8"/>
      <c r="V463" s="8"/>
      <c r="W463" s="8"/>
      <c r="X463" s="8"/>
      <c r="Y463" s="8"/>
      <c r="Z463" s="8"/>
    </row>
    <row r="464" spans="1:26" ht="15.75" customHeight="1" x14ac:dyDescent="0.25">
      <c r="A464" s="6" t="s">
        <v>95</v>
      </c>
      <c r="B464" s="8"/>
      <c r="C464" s="8"/>
      <c r="D464" s="8"/>
      <c r="E464" s="8"/>
      <c r="F464" s="6" t="s">
        <v>116</v>
      </c>
      <c r="G464" s="6" t="s">
        <v>45</v>
      </c>
      <c r="H464" s="8"/>
      <c r="I464" s="8"/>
      <c r="J464" s="8"/>
      <c r="K464" s="8"/>
      <c r="L464" s="8"/>
      <c r="M464" s="8"/>
      <c r="N464" s="8"/>
      <c r="O464" s="8"/>
      <c r="P464" s="8"/>
      <c r="Q464" s="8"/>
      <c r="R464" s="8"/>
      <c r="S464" s="8"/>
      <c r="T464" s="8"/>
      <c r="U464" s="8"/>
      <c r="V464" s="8"/>
      <c r="W464" s="8"/>
      <c r="X464" s="8"/>
      <c r="Y464" s="8"/>
      <c r="Z464" s="8"/>
    </row>
    <row r="465" spans="1:26" ht="15.75" customHeight="1" x14ac:dyDescent="0.25">
      <c r="A465" s="6" t="s">
        <v>95</v>
      </c>
      <c r="B465" s="8"/>
      <c r="C465" s="8"/>
      <c r="D465" s="8"/>
      <c r="E465" s="8"/>
      <c r="F465" s="6" t="s">
        <v>116</v>
      </c>
      <c r="G465" s="6" t="s">
        <v>45</v>
      </c>
      <c r="H465" s="8"/>
      <c r="I465" s="8"/>
      <c r="J465" s="8"/>
      <c r="K465" s="8"/>
      <c r="L465" s="8"/>
      <c r="M465" s="8"/>
      <c r="N465" s="8"/>
      <c r="O465" s="8"/>
      <c r="P465" s="8"/>
      <c r="Q465" s="8"/>
      <c r="R465" s="8"/>
      <c r="S465" s="8"/>
      <c r="T465" s="8"/>
      <c r="U465" s="8"/>
      <c r="V465" s="8"/>
      <c r="W465" s="8"/>
      <c r="X465" s="8"/>
      <c r="Y465" s="8"/>
      <c r="Z465" s="8"/>
    </row>
    <row r="466" spans="1:26" ht="15.75" customHeight="1" x14ac:dyDescent="0.25">
      <c r="A466" s="6" t="s">
        <v>95</v>
      </c>
      <c r="B466" s="8"/>
      <c r="C466" s="8"/>
      <c r="D466" s="8"/>
      <c r="E466" s="8"/>
      <c r="F466" s="6" t="s">
        <v>116</v>
      </c>
      <c r="G466" s="6" t="s">
        <v>45</v>
      </c>
      <c r="H466" s="8"/>
      <c r="I466" s="8"/>
      <c r="J466" s="8"/>
      <c r="K466" s="8"/>
      <c r="L466" s="8"/>
      <c r="M466" s="8"/>
      <c r="N466" s="8"/>
      <c r="O466" s="8"/>
      <c r="P466" s="8"/>
      <c r="Q466" s="8"/>
      <c r="R466" s="8"/>
      <c r="S466" s="8"/>
      <c r="T466" s="8"/>
      <c r="U466" s="8"/>
      <c r="V466" s="8"/>
      <c r="W466" s="8"/>
      <c r="X466" s="8"/>
      <c r="Y466" s="8"/>
      <c r="Z466" s="8"/>
    </row>
    <row r="467" spans="1:26" ht="15.75" customHeight="1" x14ac:dyDescent="0.25">
      <c r="A467" s="6" t="s">
        <v>95</v>
      </c>
      <c r="B467" s="8"/>
      <c r="C467" s="8"/>
      <c r="D467" s="8"/>
      <c r="E467" s="8"/>
      <c r="F467" s="6" t="s">
        <v>116</v>
      </c>
      <c r="G467" s="6" t="s">
        <v>45</v>
      </c>
      <c r="H467" s="8"/>
      <c r="I467" s="8"/>
      <c r="J467" s="8"/>
      <c r="K467" s="8"/>
      <c r="L467" s="8"/>
      <c r="M467" s="8"/>
      <c r="N467" s="8"/>
      <c r="O467" s="8"/>
      <c r="P467" s="8"/>
      <c r="Q467" s="8"/>
      <c r="R467" s="8"/>
      <c r="S467" s="8"/>
      <c r="T467" s="8"/>
      <c r="U467" s="8"/>
      <c r="V467" s="8"/>
      <c r="W467" s="8"/>
      <c r="X467" s="8"/>
      <c r="Y467" s="8"/>
      <c r="Z467" s="8"/>
    </row>
    <row r="468" spans="1:26" ht="15.75" customHeight="1" x14ac:dyDescent="0.25">
      <c r="A468" s="6" t="s">
        <v>95</v>
      </c>
      <c r="B468" s="8"/>
      <c r="C468" s="8"/>
      <c r="D468" s="8"/>
      <c r="E468" s="8"/>
      <c r="F468" s="6" t="s">
        <v>116</v>
      </c>
      <c r="G468" s="6" t="s">
        <v>45</v>
      </c>
      <c r="H468" s="8"/>
      <c r="I468" s="8"/>
      <c r="J468" s="8"/>
      <c r="K468" s="8"/>
      <c r="L468" s="8"/>
      <c r="M468" s="8"/>
      <c r="N468" s="8"/>
      <c r="O468" s="8"/>
      <c r="P468" s="8"/>
      <c r="Q468" s="8"/>
      <c r="R468" s="8"/>
      <c r="S468" s="8"/>
      <c r="T468" s="8"/>
      <c r="U468" s="8"/>
      <c r="V468" s="8"/>
      <c r="W468" s="8"/>
      <c r="X468" s="8"/>
      <c r="Y468" s="8"/>
      <c r="Z468" s="8"/>
    </row>
    <row r="469" spans="1:26" ht="15.75" customHeight="1" x14ac:dyDescent="0.25">
      <c r="A469" s="6" t="s">
        <v>95</v>
      </c>
      <c r="B469" s="8"/>
      <c r="C469" s="8"/>
      <c r="D469" s="8"/>
      <c r="E469" s="8"/>
      <c r="F469" s="6" t="s">
        <v>116</v>
      </c>
      <c r="G469" s="6" t="s">
        <v>45</v>
      </c>
      <c r="H469" s="8"/>
      <c r="I469" s="8"/>
      <c r="J469" s="8"/>
      <c r="K469" s="8"/>
      <c r="L469" s="8"/>
      <c r="M469" s="8"/>
      <c r="N469" s="8"/>
      <c r="O469" s="8"/>
      <c r="P469" s="8"/>
      <c r="Q469" s="8"/>
      <c r="R469" s="8"/>
      <c r="S469" s="8"/>
      <c r="T469" s="8"/>
      <c r="U469" s="8"/>
      <c r="V469" s="8"/>
      <c r="W469" s="8"/>
      <c r="X469" s="8"/>
      <c r="Y469" s="8"/>
      <c r="Z469" s="8"/>
    </row>
    <row r="470" spans="1:26" ht="15.75" customHeight="1" x14ac:dyDescent="0.25">
      <c r="A470" s="6" t="s">
        <v>95</v>
      </c>
      <c r="B470" s="8"/>
      <c r="C470" s="8"/>
      <c r="D470" s="8"/>
      <c r="E470" s="8"/>
      <c r="F470" s="6" t="s">
        <v>116</v>
      </c>
      <c r="G470" s="6" t="s">
        <v>45</v>
      </c>
      <c r="H470" s="8"/>
      <c r="I470" s="8"/>
      <c r="J470" s="8"/>
      <c r="K470" s="8"/>
      <c r="L470" s="8"/>
      <c r="M470" s="8"/>
      <c r="N470" s="8"/>
      <c r="O470" s="8"/>
      <c r="P470" s="8"/>
      <c r="Q470" s="8"/>
      <c r="R470" s="8"/>
      <c r="S470" s="8"/>
      <c r="T470" s="8"/>
      <c r="U470" s="8"/>
      <c r="V470" s="8"/>
      <c r="W470" s="8"/>
      <c r="X470" s="8"/>
      <c r="Y470" s="8"/>
      <c r="Z470" s="8"/>
    </row>
    <row r="471" spans="1:26" ht="15.75" customHeight="1" x14ac:dyDescent="0.25">
      <c r="A471" s="6" t="s">
        <v>95</v>
      </c>
      <c r="B471" s="8"/>
      <c r="C471" s="8"/>
      <c r="D471" s="8"/>
      <c r="E471" s="8"/>
      <c r="F471" s="6" t="s">
        <v>116</v>
      </c>
      <c r="G471" s="6" t="s">
        <v>45</v>
      </c>
      <c r="H471" s="8"/>
      <c r="I471" s="8"/>
      <c r="J471" s="8"/>
      <c r="K471" s="8"/>
      <c r="L471" s="8"/>
      <c r="M471" s="8"/>
      <c r="N471" s="8"/>
      <c r="O471" s="8"/>
      <c r="P471" s="8"/>
      <c r="Q471" s="8"/>
      <c r="R471" s="8"/>
      <c r="S471" s="8"/>
      <c r="T471" s="8"/>
      <c r="U471" s="8"/>
      <c r="V471" s="8"/>
      <c r="W471" s="8"/>
      <c r="X471" s="8"/>
      <c r="Y471" s="8"/>
      <c r="Z471" s="8"/>
    </row>
    <row r="472" spans="1:26" ht="15.75" customHeight="1" x14ac:dyDescent="0.25">
      <c r="A472" s="6" t="s">
        <v>95</v>
      </c>
      <c r="B472" s="8"/>
      <c r="C472" s="8"/>
      <c r="D472" s="8"/>
      <c r="E472" s="8"/>
      <c r="F472" s="6" t="s">
        <v>116</v>
      </c>
      <c r="G472" s="6" t="s">
        <v>45</v>
      </c>
      <c r="H472" s="8"/>
      <c r="I472" s="8"/>
      <c r="J472" s="8"/>
      <c r="K472" s="8"/>
      <c r="L472" s="8"/>
      <c r="M472" s="8"/>
      <c r="N472" s="8"/>
      <c r="O472" s="8"/>
      <c r="P472" s="8"/>
      <c r="Q472" s="8"/>
      <c r="R472" s="8"/>
      <c r="S472" s="8"/>
      <c r="T472" s="8"/>
      <c r="U472" s="8"/>
      <c r="V472" s="8"/>
      <c r="W472" s="8"/>
      <c r="X472" s="8"/>
      <c r="Y472" s="8"/>
      <c r="Z472" s="8"/>
    </row>
    <row r="473" spans="1:26" ht="15.75" customHeight="1" x14ac:dyDescent="0.25">
      <c r="A473" s="6" t="s">
        <v>95</v>
      </c>
      <c r="B473" s="8"/>
      <c r="C473" s="8"/>
      <c r="D473" s="8"/>
      <c r="E473" s="8"/>
      <c r="F473" s="6" t="s">
        <v>116</v>
      </c>
      <c r="G473" s="6" t="s">
        <v>45</v>
      </c>
      <c r="H473" s="8"/>
      <c r="I473" s="8"/>
      <c r="J473" s="8"/>
      <c r="K473" s="8"/>
      <c r="L473" s="8"/>
      <c r="M473" s="8"/>
      <c r="N473" s="8"/>
      <c r="O473" s="8"/>
      <c r="P473" s="8"/>
      <c r="Q473" s="8"/>
      <c r="R473" s="8"/>
      <c r="S473" s="8"/>
      <c r="T473" s="8"/>
      <c r="U473" s="8"/>
      <c r="V473" s="8"/>
      <c r="W473" s="8"/>
      <c r="X473" s="8"/>
      <c r="Y473" s="8"/>
      <c r="Z473" s="8"/>
    </row>
    <row r="474" spans="1:26" ht="15.75" customHeight="1" x14ac:dyDescent="0.25">
      <c r="A474" s="6" t="s">
        <v>95</v>
      </c>
      <c r="B474" s="8"/>
      <c r="C474" s="8"/>
      <c r="D474" s="8"/>
      <c r="E474" s="8"/>
      <c r="F474" s="6" t="s">
        <v>116</v>
      </c>
      <c r="G474" s="6" t="s">
        <v>45</v>
      </c>
      <c r="H474" s="8"/>
      <c r="I474" s="8"/>
      <c r="J474" s="8"/>
      <c r="K474" s="8"/>
      <c r="L474" s="8"/>
      <c r="M474" s="8"/>
      <c r="N474" s="8"/>
      <c r="O474" s="8"/>
      <c r="P474" s="8"/>
      <c r="Q474" s="8"/>
      <c r="R474" s="8"/>
      <c r="S474" s="8"/>
      <c r="T474" s="8"/>
      <c r="U474" s="8"/>
      <c r="V474" s="8"/>
      <c r="W474" s="8"/>
      <c r="X474" s="8"/>
      <c r="Y474" s="8"/>
      <c r="Z474" s="8"/>
    </row>
    <row r="475" spans="1:26" ht="15.75" customHeight="1" x14ac:dyDescent="0.25">
      <c r="A475" s="6" t="s">
        <v>95</v>
      </c>
      <c r="B475" s="8"/>
      <c r="C475" s="8"/>
      <c r="D475" s="8"/>
      <c r="E475" s="8"/>
      <c r="F475" s="6" t="s">
        <v>116</v>
      </c>
      <c r="G475" s="6" t="s">
        <v>45</v>
      </c>
      <c r="H475" s="8"/>
      <c r="I475" s="8"/>
      <c r="J475" s="8"/>
      <c r="K475" s="8"/>
      <c r="L475" s="8"/>
      <c r="M475" s="8"/>
      <c r="N475" s="8"/>
      <c r="O475" s="8"/>
      <c r="P475" s="8"/>
      <c r="Q475" s="8"/>
      <c r="R475" s="8"/>
      <c r="S475" s="8"/>
      <c r="T475" s="8"/>
      <c r="U475" s="8"/>
      <c r="V475" s="8"/>
      <c r="W475" s="8"/>
      <c r="X475" s="8"/>
      <c r="Y475" s="8"/>
      <c r="Z475" s="8"/>
    </row>
    <row r="476" spans="1:26" ht="15.75" customHeight="1" x14ac:dyDescent="0.25">
      <c r="A476" s="6" t="s">
        <v>95</v>
      </c>
      <c r="B476" s="8"/>
      <c r="C476" s="8"/>
      <c r="D476" s="8"/>
      <c r="E476" s="8"/>
      <c r="F476" s="6" t="s">
        <v>116</v>
      </c>
      <c r="G476" s="6" t="s">
        <v>45</v>
      </c>
      <c r="H476" s="8"/>
      <c r="I476" s="8"/>
      <c r="J476" s="8"/>
      <c r="K476" s="8"/>
      <c r="L476" s="8"/>
      <c r="M476" s="8"/>
      <c r="N476" s="8"/>
      <c r="O476" s="8"/>
      <c r="P476" s="8"/>
      <c r="Q476" s="8"/>
      <c r="R476" s="8"/>
      <c r="S476" s="8"/>
      <c r="T476" s="8"/>
      <c r="U476" s="8"/>
      <c r="V476" s="8"/>
      <c r="W476" s="8"/>
      <c r="X476" s="8"/>
      <c r="Y476" s="8"/>
      <c r="Z476" s="8"/>
    </row>
    <row r="477" spans="1:26" ht="15.75" customHeight="1" x14ac:dyDescent="0.25">
      <c r="A477" s="6" t="s">
        <v>95</v>
      </c>
      <c r="B477" s="8"/>
      <c r="C477" s="8"/>
      <c r="D477" s="8"/>
      <c r="E477" s="8"/>
      <c r="F477" s="6" t="s">
        <v>116</v>
      </c>
      <c r="G477" s="6" t="s">
        <v>45</v>
      </c>
      <c r="H477" s="8"/>
      <c r="I477" s="8"/>
      <c r="J477" s="8"/>
      <c r="K477" s="8"/>
      <c r="L477" s="8"/>
      <c r="M477" s="8"/>
      <c r="N477" s="8"/>
      <c r="O477" s="8"/>
      <c r="P477" s="8"/>
      <c r="Q477" s="8"/>
      <c r="R477" s="8"/>
      <c r="S477" s="8"/>
      <c r="T477" s="8"/>
      <c r="U477" s="8"/>
      <c r="V477" s="8"/>
      <c r="W477" s="8"/>
      <c r="X477" s="8"/>
      <c r="Y477" s="8"/>
      <c r="Z477" s="8"/>
    </row>
    <row r="478" spans="1:26" ht="15.75" customHeight="1" x14ac:dyDescent="0.25">
      <c r="A478" s="6" t="s">
        <v>95</v>
      </c>
      <c r="B478" s="8"/>
      <c r="C478" s="8"/>
      <c r="D478" s="8"/>
      <c r="E478" s="8"/>
      <c r="F478" s="6" t="s">
        <v>116</v>
      </c>
      <c r="G478" s="6" t="s">
        <v>45</v>
      </c>
      <c r="H478" s="8"/>
      <c r="I478" s="8"/>
      <c r="J478" s="8"/>
      <c r="K478" s="8"/>
      <c r="L478" s="8"/>
      <c r="M478" s="8"/>
      <c r="N478" s="8"/>
      <c r="O478" s="8"/>
      <c r="P478" s="8"/>
      <c r="Q478" s="8"/>
      <c r="R478" s="8"/>
      <c r="S478" s="8"/>
      <c r="T478" s="8"/>
      <c r="U478" s="8"/>
      <c r="V478" s="8"/>
      <c r="W478" s="8"/>
      <c r="X478" s="8"/>
      <c r="Y478" s="8"/>
      <c r="Z478" s="8"/>
    </row>
    <row r="479" spans="1:26" ht="15.75" customHeight="1" x14ac:dyDescent="0.25">
      <c r="A479" s="6" t="s">
        <v>95</v>
      </c>
      <c r="B479" s="8"/>
      <c r="C479" s="8"/>
      <c r="D479" s="8"/>
      <c r="E479" s="8"/>
      <c r="F479" s="6" t="s">
        <v>116</v>
      </c>
      <c r="G479" s="6" t="s">
        <v>45</v>
      </c>
      <c r="H479" s="8"/>
      <c r="I479" s="8"/>
      <c r="J479" s="8"/>
      <c r="K479" s="8"/>
      <c r="L479" s="8"/>
      <c r="M479" s="8"/>
      <c r="N479" s="8"/>
      <c r="O479" s="8"/>
      <c r="P479" s="8"/>
      <c r="Q479" s="8"/>
      <c r="R479" s="8"/>
      <c r="S479" s="8"/>
      <c r="T479" s="8"/>
      <c r="U479" s="8"/>
      <c r="V479" s="8"/>
      <c r="W479" s="8"/>
      <c r="X479" s="8"/>
      <c r="Y479" s="8"/>
      <c r="Z479" s="8"/>
    </row>
    <row r="480" spans="1:26" ht="15.75" customHeight="1" x14ac:dyDescent="0.25">
      <c r="A480" s="6" t="s">
        <v>95</v>
      </c>
      <c r="B480" s="8"/>
      <c r="C480" s="8"/>
      <c r="D480" s="8"/>
      <c r="E480" s="8"/>
      <c r="F480" s="6" t="s">
        <v>116</v>
      </c>
      <c r="G480" s="6" t="s">
        <v>45</v>
      </c>
      <c r="H480" s="8"/>
      <c r="I480" s="8"/>
      <c r="J480" s="8"/>
      <c r="K480" s="8"/>
      <c r="L480" s="8"/>
      <c r="M480" s="8"/>
      <c r="N480" s="8"/>
      <c r="O480" s="8"/>
      <c r="P480" s="8"/>
      <c r="Q480" s="8"/>
      <c r="R480" s="8"/>
      <c r="S480" s="8"/>
      <c r="T480" s="8"/>
      <c r="U480" s="8"/>
      <c r="V480" s="8"/>
      <c r="W480" s="8"/>
      <c r="X480" s="8"/>
      <c r="Y480" s="8"/>
      <c r="Z480" s="8"/>
    </row>
    <row r="481" spans="1:26" ht="15.75" customHeight="1" x14ac:dyDescent="0.25">
      <c r="A481" s="6" t="s">
        <v>95</v>
      </c>
      <c r="B481" s="8"/>
      <c r="C481" s="8"/>
      <c r="D481" s="8"/>
      <c r="E481" s="8"/>
      <c r="F481" s="6" t="s">
        <v>116</v>
      </c>
      <c r="G481" s="6" t="s">
        <v>45</v>
      </c>
      <c r="H481" s="8"/>
      <c r="I481" s="8"/>
      <c r="J481" s="8"/>
      <c r="K481" s="8"/>
      <c r="L481" s="8"/>
      <c r="M481" s="8"/>
      <c r="N481" s="8"/>
      <c r="O481" s="8"/>
      <c r="P481" s="8"/>
      <c r="Q481" s="8"/>
      <c r="R481" s="8"/>
      <c r="S481" s="8"/>
      <c r="T481" s="8"/>
      <c r="U481" s="8"/>
      <c r="V481" s="8"/>
      <c r="W481" s="8"/>
      <c r="X481" s="8"/>
      <c r="Y481" s="8"/>
      <c r="Z481" s="8"/>
    </row>
    <row r="482" spans="1:26" ht="15.75" customHeight="1" x14ac:dyDescent="0.25">
      <c r="A482" s="6" t="s">
        <v>95</v>
      </c>
      <c r="B482" s="8"/>
      <c r="C482" s="8"/>
      <c r="D482" s="8"/>
      <c r="E482" s="8"/>
      <c r="F482" s="6" t="s">
        <v>116</v>
      </c>
      <c r="G482" s="6" t="s">
        <v>45</v>
      </c>
      <c r="H482" s="8"/>
      <c r="I482" s="8"/>
      <c r="J482" s="8"/>
      <c r="K482" s="8"/>
      <c r="L482" s="8"/>
      <c r="M482" s="8"/>
      <c r="N482" s="8"/>
      <c r="O482" s="8"/>
      <c r="P482" s="8"/>
      <c r="Q482" s="8"/>
      <c r="R482" s="8"/>
      <c r="S482" s="8"/>
      <c r="T482" s="8"/>
      <c r="U482" s="8"/>
      <c r="V482" s="8"/>
      <c r="W482" s="8"/>
      <c r="X482" s="8"/>
      <c r="Y482" s="8"/>
      <c r="Z482" s="8"/>
    </row>
    <row r="483" spans="1:26" ht="15.75" customHeight="1" x14ac:dyDescent="0.25">
      <c r="A483" s="6" t="s">
        <v>95</v>
      </c>
      <c r="B483" s="8"/>
      <c r="C483" s="8"/>
      <c r="D483" s="8"/>
      <c r="E483" s="8"/>
      <c r="F483" s="6" t="s">
        <v>116</v>
      </c>
      <c r="G483" s="6" t="s">
        <v>45</v>
      </c>
      <c r="H483" s="8"/>
      <c r="I483" s="8"/>
      <c r="J483" s="8"/>
      <c r="K483" s="8"/>
      <c r="L483" s="8"/>
      <c r="M483" s="8"/>
      <c r="N483" s="8"/>
      <c r="O483" s="8"/>
      <c r="P483" s="8"/>
      <c r="Q483" s="8"/>
      <c r="R483" s="8"/>
      <c r="S483" s="8"/>
      <c r="T483" s="8"/>
      <c r="U483" s="8"/>
      <c r="V483" s="8"/>
      <c r="W483" s="8"/>
      <c r="X483" s="8"/>
      <c r="Y483" s="8"/>
      <c r="Z483" s="8"/>
    </row>
    <row r="484" spans="1:26" ht="15.75" customHeight="1" x14ac:dyDescent="0.25">
      <c r="A484" s="6" t="s">
        <v>95</v>
      </c>
      <c r="B484" s="8"/>
      <c r="C484" s="8"/>
      <c r="D484" s="8"/>
      <c r="E484" s="8"/>
      <c r="F484" s="6" t="s">
        <v>116</v>
      </c>
      <c r="G484" s="6" t="s">
        <v>45</v>
      </c>
      <c r="H484" s="8"/>
      <c r="I484" s="8"/>
      <c r="J484" s="8"/>
      <c r="K484" s="8"/>
      <c r="L484" s="8"/>
      <c r="M484" s="8"/>
      <c r="N484" s="8"/>
      <c r="O484" s="8"/>
      <c r="P484" s="8"/>
      <c r="Q484" s="8"/>
      <c r="R484" s="8"/>
      <c r="S484" s="8"/>
      <c r="T484" s="8"/>
      <c r="U484" s="8"/>
      <c r="V484" s="8"/>
      <c r="W484" s="8"/>
      <c r="X484" s="8"/>
      <c r="Y484" s="8"/>
      <c r="Z484" s="8"/>
    </row>
    <row r="485" spans="1:26" ht="15.75" customHeight="1" x14ac:dyDescent="0.25">
      <c r="A485" s="6" t="s">
        <v>95</v>
      </c>
      <c r="B485" s="8"/>
      <c r="C485" s="8"/>
      <c r="D485" s="8"/>
      <c r="E485" s="8"/>
      <c r="F485" s="6" t="s">
        <v>116</v>
      </c>
      <c r="G485" s="6" t="s">
        <v>45</v>
      </c>
      <c r="H485" s="8"/>
      <c r="I485" s="8"/>
      <c r="J485" s="8"/>
      <c r="K485" s="8"/>
      <c r="L485" s="8"/>
      <c r="M485" s="8"/>
      <c r="N485" s="8"/>
      <c r="O485" s="8"/>
      <c r="P485" s="8"/>
      <c r="Q485" s="8"/>
      <c r="R485" s="8"/>
      <c r="S485" s="8"/>
      <c r="T485" s="8"/>
      <c r="U485" s="8"/>
      <c r="V485" s="8"/>
      <c r="W485" s="8"/>
      <c r="X485" s="8"/>
      <c r="Y485" s="8"/>
      <c r="Z485" s="8"/>
    </row>
    <row r="486" spans="1:26" ht="15.75" customHeight="1" x14ac:dyDescent="0.25">
      <c r="A486" s="6" t="s">
        <v>95</v>
      </c>
      <c r="B486" s="8"/>
      <c r="C486" s="8"/>
      <c r="D486" s="8"/>
      <c r="E486" s="8"/>
      <c r="F486" s="6" t="s">
        <v>116</v>
      </c>
      <c r="G486" s="6" t="s">
        <v>45</v>
      </c>
      <c r="H486" s="8"/>
      <c r="I486" s="8"/>
      <c r="J486" s="8"/>
      <c r="K486" s="8"/>
      <c r="L486" s="8"/>
      <c r="M486" s="8"/>
      <c r="N486" s="8"/>
      <c r="O486" s="8"/>
      <c r="P486" s="8"/>
      <c r="Q486" s="8"/>
      <c r="R486" s="8"/>
      <c r="S486" s="8"/>
      <c r="T486" s="8"/>
      <c r="U486" s="8"/>
      <c r="V486" s="8"/>
      <c r="W486" s="8"/>
      <c r="X486" s="8"/>
      <c r="Y486" s="8"/>
      <c r="Z486" s="8"/>
    </row>
    <row r="487" spans="1:26" ht="15.75" customHeight="1" x14ac:dyDescent="0.25">
      <c r="A487" s="6" t="s">
        <v>95</v>
      </c>
      <c r="B487" s="8"/>
      <c r="C487" s="8"/>
      <c r="D487" s="8"/>
      <c r="E487" s="8"/>
      <c r="F487" s="6" t="s">
        <v>116</v>
      </c>
      <c r="G487" s="6" t="s">
        <v>45</v>
      </c>
      <c r="H487" s="8"/>
      <c r="I487" s="8"/>
      <c r="J487" s="8"/>
      <c r="K487" s="8"/>
      <c r="L487" s="8"/>
      <c r="M487" s="8"/>
      <c r="N487" s="8"/>
      <c r="O487" s="8"/>
      <c r="P487" s="8"/>
      <c r="Q487" s="8"/>
      <c r="R487" s="8"/>
      <c r="S487" s="8"/>
      <c r="T487" s="8"/>
      <c r="U487" s="8"/>
      <c r="V487" s="8"/>
      <c r="W487" s="8"/>
      <c r="X487" s="8"/>
      <c r="Y487" s="8"/>
      <c r="Z487" s="8"/>
    </row>
    <row r="488" spans="1:26" ht="15.75" customHeight="1" x14ac:dyDescent="0.25">
      <c r="A488" s="6" t="s">
        <v>95</v>
      </c>
      <c r="B488" s="8"/>
      <c r="C488" s="8"/>
      <c r="D488" s="8"/>
      <c r="E488" s="8"/>
      <c r="F488" s="6" t="s">
        <v>116</v>
      </c>
      <c r="G488" s="6" t="s">
        <v>45</v>
      </c>
      <c r="H488" s="8"/>
      <c r="I488" s="8"/>
      <c r="J488" s="8"/>
      <c r="K488" s="8"/>
      <c r="L488" s="8"/>
      <c r="M488" s="8"/>
      <c r="N488" s="8"/>
      <c r="O488" s="8"/>
      <c r="P488" s="8"/>
      <c r="Q488" s="8"/>
      <c r="R488" s="8"/>
      <c r="S488" s="8"/>
      <c r="T488" s="8"/>
      <c r="U488" s="8"/>
      <c r="V488" s="8"/>
      <c r="W488" s="8"/>
      <c r="X488" s="8"/>
      <c r="Y488" s="8"/>
      <c r="Z488" s="8"/>
    </row>
    <row r="489" spans="1:26" ht="15.75" customHeight="1" x14ac:dyDescent="0.25">
      <c r="A489" s="6" t="s">
        <v>95</v>
      </c>
      <c r="B489" s="8"/>
      <c r="C489" s="8"/>
      <c r="D489" s="8"/>
      <c r="E489" s="8"/>
      <c r="F489" s="6" t="s">
        <v>116</v>
      </c>
      <c r="G489" s="6" t="s">
        <v>45</v>
      </c>
      <c r="H489" s="8"/>
      <c r="I489" s="8"/>
      <c r="J489" s="8"/>
      <c r="K489" s="8"/>
      <c r="L489" s="8"/>
      <c r="M489" s="8"/>
      <c r="N489" s="8"/>
      <c r="O489" s="8"/>
      <c r="P489" s="8"/>
      <c r="Q489" s="8"/>
      <c r="R489" s="8"/>
      <c r="S489" s="8"/>
      <c r="T489" s="8"/>
      <c r="U489" s="8"/>
      <c r="V489" s="8"/>
      <c r="W489" s="8"/>
      <c r="X489" s="8"/>
      <c r="Y489" s="8"/>
      <c r="Z489" s="8"/>
    </row>
    <row r="490" spans="1:26" ht="15.75" customHeight="1" x14ac:dyDescent="0.25">
      <c r="A490" s="6" t="s">
        <v>95</v>
      </c>
      <c r="B490" s="8"/>
      <c r="C490" s="8"/>
      <c r="D490" s="8"/>
      <c r="E490" s="8"/>
      <c r="F490" s="6" t="s">
        <v>116</v>
      </c>
      <c r="G490" s="6" t="s">
        <v>45</v>
      </c>
      <c r="H490" s="8"/>
      <c r="I490" s="8"/>
      <c r="J490" s="8"/>
      <c r="K490" s="8"/>
      <c r="L490" s="8"/>
      <c r="M490" s="8"/>
      <c r="N490" s="8"/>
      <c r="O490" s="8"/>
      <c r="P490" s="8"/>
      <c r="Q490" s="8"/>
      <c r="R490" s="8"/>
      <c r="S490" s="8"/>
      <c r="T490" s="8"/>
      <c r="U490" s="8"/>
      <c r="V490" s="8"/>
      <c r="W490" s="8"/>
      <c r="X490" s="8"/>
      <c r="Y490" s="8"/>
      <c r="Z490" s="8"/>
    </row>
    <row r="491" spans="1:26" ht="15.75" customHeight="1" x14ac:dyDescent="0.25">
      <c r="A491" s="6" t="s">
        <v>95</v>
      </c>
      <c r="B491" s="8"/>
      <c r="C491" s="8"/>
      <c r="D491" s="8"/>
      <c r="E491" s="8"/>
      <c r="F491" s="6" t="s">
        <v>116</v>
      </c>
      <c r="G491" s="6" t="s">
        <v>45</v>
      </c>
      <c r="H491" s="8"/>
      <c r="I491" s="8"/>
      <c r="J491" s="8"/>
      <c r="K491" s="8"/>
      <c r="L491" s="8"/>
      <c r="M491" s="8"/>
      <c r="N491" s="8"/>
      <c r="O491" s="8"/>
      <c r="P491" s="8"/>
      <c r="Q491" s="8"/>
      <c r="R491" s="8"/>
      <c r="S491" s="8"/>
      <c r="T491" s="8"/>
      <c r="U491" s="8"/>
      <c r="V491" s="8"/>
      <c r="W491" s="8"/>
      <c r="X491" s="8"/>
      <c r="Y491" s="8"/>
      <c r="Z491" s="8"/>
    </row>
    <row r="492" spans="1:26" ht="15.75" customHeight="1" x14ac:dyDescent="0.25">
      <c r="A492" s="6" t="s">
        <v>95</v>
      </c>
      <c r="B492" s="8"/>
      <c r="C492" s="8"/>
      <c r="D492" s="8"/>
      <c r="E492" s="8"/>
      <c r="F492" s="6" t="s">
        <v>116</v>
      </c>
      <c r="G492" s="6" t="s">
        <v>45</v>
      </c>
      <c r="H492" s="8"/>
      <c r="I492" s="8"/>
      <c r="J492" s="8"/>
      <c r="K492" s="8"/>
      <c r="L492" s="8"/>
      <c r="M492" s="8"/>
      <c r="N492" s="8"/>
      <c r="O492" s="8"/>
      <c r="P492" s="8"/>
      <c r="Q492" s="8"/>
      <c r="R492" s="8"/>
      <c r="S492" s="8"/>
      <c r="T492" s="8"/>
      <c r="U492" s="8"/>
      <c r="V492" s="8"/>
      <c r="W492" s="8"/>
      <c r="X492" s="8"/>
      <c r="Y492" s="8"/>
      <c r="Z492" s="8"/>
    </row>
    <row r="493" spans="1:26" ht="15.75" customHeight="1" x14ac:dyDescent="0.25">
      <c r="A493" s="6" t="s">
        <v>95</v>
      </c>
      <c r="B493" s="8"/>
      <c r="C493" s="8"/>
      <c r="D493" s="8"/>
      <c r="E493" s="8"/>
      <c r="F493" s="6" t="s">
        <v>116</v>
      </c>
      <c r="G493" s="6" t="s">
        <v>45</v>
      </c>
      <c r="H493" s="8"/>
      <c r="I493" s="8"/>
      <c r="J493" s="8"/>
      <c r="K493" s="8"/>
      <c r="L493" s="8"/>
      <c r="M493" s="8"/>
      <c r="N493" s="8"/>
      <c r="O493" s="8"/>
      <c r="P493" s="8"/>
      <c r="Q493" s="8"/>
      <c r="R493" s="8"/>
      <c r="S493" s="8"/>
      <c r="T493" s="8"/>
      <c r="U493" s="8"/>
      <c r="V493" s="8"/>
      <c r="W493" s="8"/>
      <c r="X493" s="8"/>
      <c r="Y493" s="8"/>
      <c r="Z493" s="8"/>
    </row>
    <row r="494" spans="1:26" ht="15.75" customHeight="1" x14ac:dyDescent="0.25">
      <c r="A494" s="6" t="s">
        <v>95</v>
      </c>
      <c r="B494" s="8"/>
      <c r="C494" s="8"/>
      <c r="D494" s="8"/>
      <c r="E494" s="8"/>
      <c r="F494" s="6" t="s">
        <v>116</v>
      </c>
      <c r="G494" s="6" t="s">
        <v>45</v>
      </c>
      <c r="H494" s="8"/>
      <c r="I494" s="8"/>
      <c r="J494" s="8"/>
      <c r="K494" s="8"/>
      <c r="L494" s="8"/>
      <c r="M494" s="8"/>
      <c r="N494" s="8"/>
      <c r="O494" s="8"/>
      <c r="P494" s="8"/>
      <c r="Q494" s="8"/>
      <c r="R494" s="8"/>
      <c r="S494" s="8"/>
      <c r="T494" s="8"/>
      <c r="U494" s="8"/>
      <c r="V494" s="8"/>
      <c r="W494" s="8"/>
      <c r="X494" s="8"/>
      <c r="Y494" s="8"/>
      <c r="Z494" s="8"/>
    </row>
    <row r="495" spans="1:26" ht="15.75" customHeight="1" x14ac:dyDescent="0.25">
      <c r="A495" s="6" t="s">
        <v>95</v>
      </c>
      <c r="B495" s="8"/>
      <c r="C495" s="8"/>
      <c r="D495" s="8"/>
      <c r="E495" s="8"/>
      <c r="F495" s="6" t="s">
        <v>116</v>
      </c>
      <c r="G495" s="6" t="s">
        <v>45</v>
      </c>
      <c r="H495" s="8"/>
      <c r="I495" s="8"/>
      <c r="J495" s="8"/>
      <c r="K495" s="8"/>
      <c r="L495" s="8"/>
      <c r="M495" s="8"/>
      <c r="N495" s="8"/>
      <c r="O495" s="8"/>
      <c r="P495" s="8"/>
      <c r="Q495" s="8"/>
      <c r="R495" s="8"/>
      <c r="S495" s="8"/>
      <c r="T495" s="8"/>
      <c r="U495" s="8"/>
      <c r="V495" s="8"/>
      <c r="W495" s="8"/>
      <c r="X495" s="8"/>
      <c r="Y495" s="8"/>
      <c r="Z495" s="8"/>
    </row>
    <row r="496" spans="1:26" ht="15.75" customHeight="1" x14ac:dyDescent="0.25">
      <c r="A496" s="6" t="s">
        <v>95</v>
      </c>
      <c r="B496" s="8"/>
      <c r="C496" s="8"/>
      <c r="D496" s="8"/>
      <c r="E496" s="8"/>
      <c r="F496" s="6" t="s">
        <v>116</v>
      </c>
      <c r="G496" s="6" t="s">
        <v>45</v>
      </c>
      <c r="H496" s="8"/>
      <c r="I496" s="8"/>
      <c r="J496" s="8"/>
      <c r="K496" s="8"/>
      <c r="L496" s="8"/>
      <c r="M496" s="8"/>
      <c r="N496" s="8"/>
      <c r="O496" s="8"/>
      <c r="P496" s="8"/>
      <c r="Q496" s="8"/>
      <c r="R496" s="8"/>
      <c r="S496" s="8"/>
      <c r="T496" s="8"/>
      <c r="U496" s="8"/>
      <c r="V496" s="8"/>
      <c r="W496" s="8"/>
      <c r="X496" s="8"/>
      <c r="Y496" s="8"/>
      <c r="Z496" s="8"/>
    </row>
    <row r="497" spans="1:26" ht="15.75" customHeight="1" x14ac:dyDescent="0.25">
      <c r="A497" s="6" t="s">
        <v>95</v>
      </c>
      <c r="B497" s="8"/>
      <c r="C497" s="8"/>
      <c r="D497" s="8"/>
      <c r="E497" s="8"/>
      <c r="F497" s="6" t="s">
        <v>116</v>
      </c>
      <c r="G497" s="6" t="s">
        <v>45</v>
      </c>
      <c r="H497" s="8"/>
      <c r="I497" s="8"/>
      <c r="J497" s="8"/>
      <c r="K497" s="8"/>
      <c r="L497" s="8"/>
      <c r="M497" s="8"/>
      <c r="N497" s="8"/>
      <c r="O497" s="8"/>
      <c r="P497" s="8"/>
      <c r="Q497" s="8"/>
      <c r="R497" s="8"/>
      <c r="S497" s="8"/>
      <c r="T497" s="8"/>
      <c r="U497" s="8"/>
      <c r="V497" s="8"/>
      <c r="W497" s="8"/>
      <c r="X497" s="8"/>
      <c r="Y497" s="8"/>
      <c r="Z497" s="8"/>
    </row>
    <row r="498" spans="1:26" ht="15.75" customHeight="1" x14ac:dyDescent="0.25">
      <c r="A498" s="6" t="s">
        <v>95</v>
      </c>
      <c r="B498" s="8"/>
      <c r="C498" s="8"/>
      <c r="D498" s="8"/>
      <c r="E498" s="8"/>
      <c r="F498" s="6" t="s">
        <v>116</v>
      </c>
      <c r="G498" s="6" t="s">
        <v>45</v>
      </c>
      <c r="H498" s="8"/>
      <c r="I498" s="8"/>
      <c r="J498" s="8"/>
      <c r="K498" s="8"/>
      <c r="L498" s="8"/>
      <c r="M498" s="8"/>
      <c r="N498" s="8"/>
      <c r="O498" s="8"/>
      <c r="P498" s="8"/>
      <c r="Q498" s="8"/>
      <c r="R498" s="8"/>
      <c r="S498" s="8"/>
      <c r="T498" s="8"/>
      <c r="U498" s="8"/>
      <c r="V498" s="8"/>
      <c r="W498" s="8"/>
      <c r="X498" s="8"/>
      <c r="Y498" s="8"/>
      <c r="Z498" s="8"/>
    </row>
    <row r="499" spans="1:26" ht="15.75" customHeight="1" x14ac:dyDescent="0.25">
      <c r="A499" s="6" t="s">
        <v>95</v>
      </c>
      <c r="B499" s="8"/>
      <c r="C499" s="8"/>
      <c r="D499" s="8"/>
      <c r="E499" s="8"/>
      <c r="F499" s="6" t="s">
        <v>116</v>
      </c>
      <c r="G499" s="6" t="s">
        <v>45</v>
      </c>
      <c r="H499" s="8"/>
      <c r="I499" s="8"/>
      <c r="J499" s="8"/>
      <c r="K499" s="8"/>
      <c r="L499" s="8"/>
      <c r="M499" s="8"/>
      <c r="N499" s="8"/>
      <c r="O499" s="8"/>
      <c r="P499" s="8"/>
      <c r="Q499" s="8"/>
      <c r="R499" s="8"/>
      <c r="S499" s="8"/>
      <c r="T499" s="8"/>
      <c r="U499" s="8"/>
      <c r="V499" s="8"/>
      <c r="W499" s="8"/>
      <c r="X499" s="8"/>
      <c r="Y499" s="8"/>
      <c r="Z499" s="8"/>
    </row>
    <row r="500" spans="1:26" ht="15.75" customHeight="1" x14ac:dyDescent="0.25">
      <c r="A500" s="6" t="s">
        <v>95</v>
      </c>
      <c r="B500" s="8"/>
      <c r="C500" s="8"/>
      <c r="D500" s="8"/>
      <c r="E500" s="8"/>
      <c r="F500" s="6" t="s">
        <v>116</v>
      </c>
      <c r="G500" s="6" t="s">
        <v>45</v>
      </c>
      <c r="H500" s="8"/>
      <c r="I500" s="8"/>
      <c r="J500" s="8"/>
      <c r="K500" s="8"/>
      <c r="L500" s="8"/>
      <c r="M500" s="8"/>
      <c r="N500" s="8"/>
      <c r="O500" s="8"/>
      <c r="P500" s="8"/>
      <c r="Q500" s="8"/>
      <c r="R500" s="8"/>
      <c r="S500" s="8"/>
      <c r="T500" s="8"/>
      <c r="U500" s="8"/>
      <c r="V500" s="8"/>
      <c r="W500" s="8"/>
      <c r="X500" s="8"/>
      <c r="Y500" s="8"/>
      <c r="Z500" s="8"/>
    </row>
    <row r="501" spans="1:26" ht="15.75" customHeight="1" x14ac:dyDescent="0.25">
      <c r="A501" s="6" t="s">
        <v>95</v>
      </c>
      <c r="B501" s="8"/>
      <c r="C501" s="8"/>
      <c r="D501" s="8"/>
      <c r="E501" s="8"/>
      <c r="F501" s="6" t="s">
        <v>116</v>
      </c>
      <c r="G501" s="6" t="s">
        <v>45</v>
      </c>
      <c r="H501" s="8"/>
      <c r="I501" s="8"/>
      <c r="J501" s="8"/>
      <c r="K501" s="8"/>
      <c r="L501" s="8"/>
      <c r="M501" s="8"/>
      <c r="N501" s="8"/>
      <c r="O501" s="8"/>
      <c r="P501" s="8"/>
      <c r="Q501" s="8"/>
      <c r="R501" s="8"/>
      <c r="S501" s="8"/>
      <c r="T501" s="8"/>
      <c r="U501" s="8"/>
      <c r="V501" s="8"/>
      <c r="W501" s="8"/>
      <c r="X501" s="8"/>
      <c r="Y501" s="8"/>
      <c r="Z501" s="8"/>
    </row>
    <row r="502" spans="1:26" ht="15.75" customHeight="1" x14ac:dyDescent="0.25">
      <c r="A502" s="6" t="s">
        <v>95</v>
      </c>
      <c r="B502" s="8"/>
      <c r="C502" s="8"/>
      <c r="D502" s="8"/>
      <c r="E502" s="8"/>
      <c r="F502" s="6" t="s">
        <v>116</v>
      </c>
      <c r="G502" s="6" t="s">
        <v>45</v>
      </c>
      <c r="H502" s="8"/>
      <c r="I502" s="8"/>
      <c r="J502" s="8"/>
      <c r="K502" s="8"/>
      <c r="L502" s="8"/>
      <c r="M502" s="8"/>
      <c r="N502" s="8"/>
      <c r="O502" s="8"/>
      <c r="P502" s="8"/>
      <c r="Q502" s="8"/>
      <c r="R502" s="8"/>
      <c r="S502" s="8"/>
      <c r="T502" s="8"/>
      <c r="U502" s="8"/>
      <c r="V502" s="8"/>
      <c r="W502" s="8"/>
      <c r="X502" s="8"/>
      <c r="Y502" s="8"/>
      <c r="Z502" s="8"/>
    </row>
    <row r="503" spans="1:26" ht="15.75" customHeight="1" x14ac:dyDescent="0.25">
      <c r="A503" s="6" t="s">
        <v>95</v>
      </c>
      <c r="B503" s="8"/>
      <c r="C503" s="8"/>
      <c r="D503" s="8"/>
      <c r="E503" s="8"/>
      <c r="F503" s="6" t="s">
        <v>116</v>
      </c>
      <c r="G503" s="6" t="s">
        <v>45</v>
      </c>
      <c r="H503" s="8"/>
      <c r="I503" s="8"/>
      <c r="J503" s="8"/>
      <c r="K503" s="8"/>
      <c r="L503" s="8"/>
      <c r="M503" s="8"/>
      <c r="N503" s="8"/>
      <c r="O503" s="8"/>
      <c r="P503" s="8"/>
      <c r="Q503" s="8"/>
      <c r="R503" s="8"/>
      <c r="S503" s="8"/>
      <c r="T503" s="8"/>
      <c r="U503" s="8"/>
      <c r="V503" s="8"/>
      <c r="W503" s="8"/>
      <c r="X503" s="8"/>
      <c r="Y503" s="8"/>
      <c r="Z503" s="8"/>
    </row>
    <row r="504" spans="1:26" ht="15.75" customHeight="1" x14ac:dyDescent="0.25">
      <c r="A504" s="6" t="s">
        <v>95</v>
      </c>
      <c r="B504" s="8"/>
      <c r="C504" s="8"/>
      <c r="D504" s="8"/>
      <c r="E504" s="8"/>
      <c r="F504" s="6" t="s">
        <v>116</v>
      </c>
      <c r="G504" s="6" t="s">
        <v>45</v>
      </c>
      <c r="H504" s="8"/>
      <c r="I504" s="8"/>
      <c r="J504" s="8"/>
      <c r="K504" s="8"/>
      <c r="L504" s="8"/>
      <c r="M504" s="8"/>
      <c r="N504" s="8"/>
      <c r="O504" s="8"/>
      <c r="P504" s="8"/>
      <c r="Q504" s="8"/>
      <c r="R504" s="8"/>
      <c r="S504" s="8"/>
      <c r="T504" s="8"/>
      <c r="U504" s="8"/>
      <c r="V504" s="8"/>
      <c r="W504" s="8"/>
      <c r="X504" s="8"/>
      <c r="Y504" s="8"/>
      <c r="Z504" s="8"/>
    </row>
    <row r="505" spans="1:26" ht="15.75" customHeight="1" x14ac:dyDescent="0.25">
      <c r="A505" s="6" t="s">
        <v>95</v>
      </c>
      <c r="B505" s="8"/>
      <c r="C505" s="8"/>
      <c r="D505" s="8"/>
      <c r="E505" s="8"/>
      <c r="F505" s="6" t="s">
        <v>116</v>
      </c>
      <c r="G505" s="6" t="s">
        <v>45</v>
      </c>
      <c r="H505" s="8"/>
      <c r="I505" s="8"/>
      <c r="J505" s="8"/>
      <c r="K505" s="8"/>
      <c r="L505" s="8"/>
      <c r="M505" s="8"/>
      <c r="N505" s="8"/>
      <c r="O505" s="8"/>
      <c r="P505" s="8"/>
      <c r="Q505" s="8"/>
      <c r="R505" s="8"/>
      <c r="S505" s="8"/>
      <c r="T505" s="8"/>
      <c r="U505" s="8"/>
      <c r="V505" s="8"/>
      <c r="W505" s="8"/>
      <c r="X505" s="8"/>
      <c r="Y505" s="8"/>
      <c r="Z505" s="8"/>
    </row>
    <row r="506" spans="1:26" ht="15.75" customHeight="1" x14ac:dyDescent="0.25">
      <c r="A506" s="6" t="s">
        <v>95</v>
      </c>
      <c r="B506" s="8"/>
      <c r="C506" s="8"/>
      <c r="D506" s="8"/>
      <c r="E506" s="8"/>
      <c r="F506" s="6" t="s">
        <v>116</v>
      </c>
      <c r="G506" s="6" t="s">
        <v>45</v>
      </c>
      <c r="H506" s="8"/>
      <c r="I506" s="8"/>
      <c r="J506" s="8"/>
      <c r="K506" s="8"/>
      <c r="L506" s="8"/>
      <c r="M506" s="8"/>
      <c r="N506" s="8"/>
      <c r="O506" s="8"/>
      <c r="P506" s="8"/>
      <c r="Q506" s="8"/>
      <c r="R506" s="8"/>
      <c r="S506" s="8"/>
      <c r="T506" s="8"/>
      <c r="U506" s="8"/>
      <c r="V506" s="8"/>
      <c r="W506" s="8"/>
      <c r="X506" s="8"/>
      <c r="Y506" s="8"/>
      <c r="Z506" s="8"/>
    </row>
    <row r="507" spans="1:26" ht="15.75" customHeight="1" x14ac:dyDescent="0.25">
      <c r="A507" s="6" t="s">
        <v>95</v>
      </c>
      <c r="B507" s="8"/>
      <c r="C507" s="8"/>
      <c r="D507" s="8"/>
      <c r="E507" s="8"/>
      <c r="F507" s="6" t="s">
        <v>116</v>
      </c>
      <c r="G507" s="6" t="s">
        <v>45</v>
      </c>
      <c r="H507" s="8"/>
      <c r="I507" s="8"/>
      <c r="J507" s="8"/>
      <c r="K507" s="8"/>
      <c r="L507" s="8"/>
      <c r="M507" s="8"/>
      <c r="N507" s="8"/>
      <c r="O507" s="8"/>
      <c r="P507" s="8"/>
      <c r="Q507" s="8"/>
      <c r="R507" s="8"/>
      <c r="S507" s="8"/>
      <c r="T507" s="8"/>
      <c r="U507" s="8"/>
      <c r="V507" s="8"/>
      <c r="W507" s="8"/>
      <c r="X507" s="8"/>
      <c r="Y507" s="8"/>
      <c r="Z507" s="8"/>
    </row>
    <row r="508" spans="1:26" ht="15.75" customHeight="1" x14ac:dyDescent="0.25">
      <c r="A508" s="6" t="s">
        <v>95</v>
      </c>
      <c r="B508" s="8"/>
      <c r="C508" s="8"/>
      <c r="D508" s="8"/>
      <c r="E508" s="8"/>
      <c r="F508" s="6" t="s">
        <v>116</v>
      </c>
      <c r="G508" s="6" t="s">
        <v>45</v>
      </c>
      <c r="H508" s="8"/>
      <c r="I508" s="8"/>
      <c r="J508" s="8"/>
      <c r="K508" s="8"/>
      <c r="L508" s="8"/>
      <c r="M508" s="8"/>
      <c r="N508" s="8"/>
      <c r="O508" s="8"/>
      <c r="P508" s="8"/>
      <c r="Q508" s="8"/>
      <c r="R508" s="8"/>
      <c r="S508" s="8"/>
      <c r="T508" s="8"/>
      <c r="U508" s="8"/>
      <c r="V508" s="8"/>
      <c r="W508" s="8"/>
      <c r="X508" s="8"/>
      <c r="Y508" s="8"/>
      <c r="Z508" s="8"/>
    </row>
    <row r="509" spans="1:26" ht="15.75" customHeight="1" x14ac:dyDescent="0.25">
      <c r="A509" s="6" t="s">
        <v>95</v>
      </c>
      <c r="B509" s="8"/>
      <c r="C509" s="8"/>
      <c r="D509" s="8"/>
      <c r="E509" s="8"/>
      <c r="F509" s="6" t="s">
        <v>116</v>
      </c>
      <c r="G509" s="6" t="s">
        <v>45</v>
      </c>
      <c r="H509" s="8"/>
      <c r="I509" s="8"/>
      <c r="J509" s="8"/>
      <c r="K509" s="8"/>
      <c r="L509" s="8"/>
      <c r="M509" s="8"/>
      <c r="N509" s="8"/>
      <c r="O509" s="8"/>
      <c r="P509" s="8"/>
      <c r="Q509" s="8"/>
      <c r="R509" s="8"/>
      <c r="S509" s="8"/>
      <c r="T509" s="8"/>
      <c r="U509" s="8"/>
      <c r="V509" s="8"/>
      <c r="W509" s="8"/>
      <c r="X509" s="8"/>
      <c r="Y509" s="8"/>
      <c r="Z509" s="8"/>
    </row>
    <row r="510" spans="1:26" ht="15.75" customHeight="1" x14ac:dyDescent="0.25">
      <c r="A510" s="6" t="s">
        <v>95</v>
      </c>
      <c r="B510" s="8"/>
      <c r="C510" s="8"/>
      <c r="D510" s="8"/>
      <c r="E510" s="8"/>
      <c r="F510" s="6" t="s">
        <v>116</v>
      </c>
      <c r="G510" s="6" t="s">
        <v>45</v>
      </c>
      <c r="H510" s="8"/>
      <c r="I510" s="8"/>
      <c r="J510" s="8"/>
      <c r="K510" s="8"/>
      <c r="L510" s="8"/>
      <c r="M510" s="8"/>
      <c r="N510" s="8"/>
      <c r="O510" s="8"/>
      <c r="P510" s="8"/>
      <c r="Q510" s="8"/>
      <c r="R510" s="8"/>
      <c r="S510" s="8"/>
      <c r="T510" s="8"/>
      <c r="U510" s="8"/>
      <c r="V510" s="8"/>
      <c r="W510" s="8"/>
      <c r="X510" s="8"/>
      <c r="Y510" s="8"/>
      <c r="Z510" s="8"/>
    </row>
    <row r="511" spans="1:26" ht="15.75" customHeight="1" x14ac:dyDescent="0.25">
      <c r="A511" s="6" t="s">
        <v>95</v>
      </c>
      <c r="B511" s="8"/>
      <c r="C511" s="8"/>
      <c r="D511" s="8"/>
      <c r="E511" s="8"/>
      <c r="F511" s="6" t="s">
        <v>116</v>
      </c>
      <c r="G511" s="6" t="s">
        <v>45</v>
      </c>
      <c r="H511" s="8"/>
      <c r="I511" s="8"/>
      <c r="J511" s="8"/>
      <c r="K511" s="8"/>
      <c r="L511" s="8"/>
      <c r="M511" s="8"/>
      <c r="N511" s="8"/>
      <c r="O511" s="8"/>
      <c r="P511" s="8"/>
      <c r="Q511" s="8"/>
      <c r="R511" s="8"/>
      <c r="S511" s="8"/>
      <c r="T511" s="8"/>
      <c r="U511" s="8"/>
      <c r="V511" s="8"/>
      <c r="W511" s="8"/>
      <c r="X511" s="8"/>
      <c r="Y511" s="8"/>
      <c r="Z511" s="8"/>
    </row>
    <row r="512" spans="1:26" ht="15.75" customHeight="1" x14ac:dyDescent="0.25">
      <c r="A512" s="6" t="s">
        <v>95</v>
      </c>
      <c r="B512" s="8"/>
      <c r="C512" s="8"/>
      <c r="D512" s="8"/>
      <c r="E512" s="8"/>
      <c r="F512" s="6" t="s">
        <v>116</v>
      </c>
      <c r="G512" s="6" t="s">
        <v>45</v>
      </c>
      <c r="H512" s="8"/>
      <c r="I512" s="8"/>
      <c r="J512" s="8"/>
      <c r="K512" s="8"/>
      <c r="L512" s="8"/>
      <c r="M512" s="8"/>
      <c r="N512" s="8"/>
      <c r="O512" s="8"/>
      <c r="P512" s="8"/>
      <c r="Q512" s="8"/>
      <c r="R512" s="8"/>
      <c r="S512" s="8"/>
      <c r="T512" s="8"/>
      <c r="U512" s="8"/>
      <c r="V512" s="8"/>
      <c r="W512" s="8"/>
      <c r="X512" s="8"/>
      <c r="Y512" s="8"/>
      <c r="Z512" s="8"/>
    </row>
    <row r="513" spans="1:26" ht="15.75" customHeight="1" x14ac:dyDescent="0.25">
      <c r="A513" s="6" t="s">
        <v>95</v>
      </c>
      <c r="B513" s="8"/>
      <c r="C513" s="8"/>
      <c r="D513" s="8"/>
      <c r="E513" s="8"/>
      <c r="F513" s="6" t="s">
        <v>116</v>
      </c>
      <c r="G513" s="6" t="s">
        <v>45</v>
      </c>
      <c r="H513" s="8"/>
      <c r="I513" s="8"/>
      <c r="J513" s="8"/>
      <c r="K513" s="8"/>
      <c r="L513" s="8"/>
      <c r="M513" s="8"/>
      <c r="N513" s="8"/>
      <c r="O513" s="8"/>
      <c r="P513" s="8"/>
      <c r="Q513" s="8"/>
      <c r="R513" s="8"/>
      <c r="S513" s="8"/>
      <c r="T513" s="8"/>
      <c r="U513" s="8"/>
      <c r="V513" s="8"/>
      <c r="W513" s="8"/>
      <c r="X513" s="8"/>
      <c r="Y513" s="8"/>
      <c r="Z513" s="8"/>
    </row>
    <row r="514" spans="1:26" ht="15.75" customHeight="1" x14ac:dyDescent="0.25">
      <c r="A514" s="6" t="s">
        <v>95</v>
      </c>
      <c r="B514" s="8"/>
      <c r="C514" s="8"/>
      <c r="D514" s="8"/>
      <c r="E514" s="8"/>
      <c r="F514" s="6" t="s">
        <v>116</v>
      </c>
      <c r="G514" s="6" t="s">
        <v>45</v>
      </c>
      <c r="H514" s="8"/>
      <c r="I514" s="8"/>
      <c r="J514" s="8"/>
      <c r="K514" s="8"/>
      <c r="L514" s="8"/>
      <c r="M514" s="8"/>
      <c r="N514" s="8"/>
      <c r="O514" s="8"/>
      <c r="P514" s="8"/>
      <c r="Q514" s="8"/>
      <c r="R514" s="8"/>
      <c r="S514" s="8"/>
      <c r="T514" s="8"/>
      <c r="U514" s="8"/>
      <c r="V514" s="8"/>
      <c r="W514" s="8"/>
      <c r="X514" s="8"/>
      <c r="Y514" s="8"/>
      <c r="Z514" s="8"/>
    </row>
    <row r="515" spans="1:26" ht="15.75" customHeight="1" x14ac:dyDescent="0.25">
      <c r="A515" s="6" t="s">
        <v>95</v>
      </c>
      <c r="B515" s="8"/>
      <c r="C515" s="8"/>
      <c r="D515" s="8"/>
      <c r="E515" s="8"/>
      <c r="F515" s="6" t="s">
        <v>116</v>
      </c>
      <c r="G515" s="6" t="s">
        <v>45</v>
      </c>
      <c r="H515" s="8"/>
      <c r="I515" s="8"/>
      <c r="J515" s="8"/>
      <c r="K515" s="8"/>
      <c r="L515" s="8"/>
      <c r="M515" s="8"/>
      <c r="N515" s="8"/>
      <c r="O515" s="8"/>
      <c r="P515" s="8"/>
      <c r="Q515" s="8"/>
      <c r="R515" s="8"/>
      <c r="S515" s="8"/>
      <c r="T515" s="8"/>
      <c r="U515" s="8"/>
      <c r="V515" s="8"/>
      <c r="W515" s="8"/>
      <c r="X515" s="8"/>
      <c r="Y515" s="8"/>
      <c r="Z515" s="8"/>
    </row>
    <row r="516" spans="1:26" ht="15.75" customHeight="1" x14ac:dyDescent="0.25">
      <c r="A516" s="6" t="s">
        <v>95</v>
      </c>
      <c r="B516" s="8"/>
      <c r="C516" s="8"/>
      <c r="D516" s="8"/>
      <c r="E516" s="8"/>
      <c r="F516" s="6" t="s">
        <v>116</v>
      </c>
      <c r="G516" s="6" t="s">
        <v>45</v>
      </c>
      <c r="H516" s="8"/>
      <c r="I516" s="8"/>
      <c r="J516" s="8"/>
      <c r="K516" s="8"/>
      <c r="L516" s="8"/>
      <c r="M516" s="8"/>
      <c r="N516" s="8"/>
      <c r="O516" s="8"/>
      <c r="P516" s="8"/>
      <c r="Q516" s="8"/>
      <c r="R516" s="8"/>
      <c r="S516" s="8"/>
      <c r="T516" s="8"/>
      <c r="U516" s="8"/>
      <c r="V516" s="8"/>
      <c r="W516" s="8"/>
      <c r="X516" s="8"/>
      <c r="Y516" s="8"/>
      <c r="Z516" s="8"/>
    </row>
    <row r="517" spans="1:26" ht="15.75" customHeight="1" x14ac:dyDescent="0.25">
      <c r="A517" s="6" t="s">
        <v>95</v>
      </c>
      <c r="B517" s="8"/>
      <c r="C517" s="8"/>
      <c r="D517" s="8"/>
      <c r="E517" s="8"/>
      <c r="F517" s="6" t="s">
        <v>116</v>
      </c>
      <c r="G517" s="6" t="s">
        <v>45</v>
      </c>
      <c r="H517" s="8"/>
      <c r="I517" s="8"/>
      <c r="J517" s="8"/>
      <c r="K517" s="8"/>
      <c r="L517" s="8"/>
      <c r="M517" s="8"/>
      <c r="N517" s="8"/>
      <c r="O517" s="8"/>
      <c r="P517" s="8"/>
      <c r="Q517" s="8"/>
      <c r="R517" s="8"/>
      <c r="S517" s="8"/>
      <c r="T517" s="8"/>
      <c r="U517" s="8"/>
      <c r="V517" s="8"/>
      <c r="W517" s="8"/>
      <c r="X517" s="8"/>
      <c r="Y517" s="8"/>
      <c r="Z517" s="8"/>
    </row>
    <row r="518" spans="1:26" ht="15.75" customHeight="1" x14ac:dyDescent="0.25">
      <c r="A518" s="6" t="s">
        <v>95</v>
      </c>
      <c r="B518" s="8"/>
      <c r="C518" s="8"/>
      <c r="D518" s="8"/>
      <c r="E518" s="8"/>
      <c r="F518" s="6" t="s">
        <v>116</v>
      </c>
      <c r="G518" s="6" t="s">
        <v>45</v>
      </c>
      <c r="H518" s="8"/>
      <c r="I518" s="8"/>
      <c r="J518" s="8"/>
      <c r="K518" s="8"/>
      <c r="L518" s="8"/>
      <c r="M518" s="8"/>
      <c r="N518" s="8"/>
      <c r="O518" s="8"/>
      <c r="P518" s="8"/>
      <c r="Q518" s="8"/>
      <c r="R518" s="8"/>
      <c r="S518" s="8"/>
      <c r="T518" s="8"/>
      <c r="U518" s="8"/>
      <c r="V518" s="8"/>
      <c r="W518" s="8"/>
      <c r="X518" s="8"/>
      <c r="Y518" s="8"/>
      <c r="Z518" s="8"/>
    </row>
    <row r="519" spans="1:26" ht="15.75" customHeight="1" x14ac:dyDescent="0.25">
      <c r="A519" s="6" t="s">
        <v>95</v>
      </c>
      <c r="B519" s="8"/>
      <c r="C519" s="8"/>
      <c r="D519" s="8"/>
      <c r="E519" s="8"/>
      <c r="F519" s="6" t="s">
        <v>116</v>
      </c>
      <c r="G519" s="6" t="s">
        <v>45</v>
      </c>
      <c r="H519" s="8"/>
      <c r="I519" s="8"/>
      <c r="J519" s="8"/>
      <c r="K519" s="8"/>
      <c r="L519" s="8"/>
      <c r="M519" s="8"/>
      <c r="N519" s="8"/>
      <c r="O519" s="8"/>
      <c r="P519" s="8"/>
      <c r="Q519" s="8"/>
      <c r="R519" s="8"/>
      <c r="S519" s="8"/>
      <c r="T519" s="8"/>
      <c r="U519" s="8"/>
      <c r="V519" s="8"/>
      <c r="W519" s="8"/>
      <c r="X519" s="8"/>
      <c r="Y519" s="8"/>
      <c r="Z519" s="8"/>
    </row>
    <row r="520" spans="1:26" ht="15.75" customHeight="1" x14ac:dyDescent="0.25">
      <c r="A520" s="6" t="s">
        <v>95</v>
      </c>
      <c r="B520" s="8"/>
      <c r="C520" s="8"/>
      <c r="D520" s="8"/>
      <c r="E520" s="8"/>
      <c r="F520" s="6" t="s">
        <v>116</v>
      </c>
      <c r="G520" s="6" t="s">
        <v>45</v>
      </c>
      <c r="H520" s="8"/>
      <c r="I520" s="8"/>
      <c r="J520" s="8"/>
      <c r="K520" s="8"/>
      <c r="L520" s="8"/>
      <c r="M520" s="8"/>
      <c r="N520" s="8"/>
      <c r="O520" s="8"/>
      <c r="P520" s="8"/>
      <c r="Q520" s="8"/>
      <c r="R520" s="8"/>
      <c r="S520" s="8"/>
      <c r="T520" s="8"/>
      <c r="U520" s="8"/>
      <c r="V520" s="8"/>
      <c r="W520" s="8"/>
      <c r="X520" s="8"/>
      <c r="Y520" s="8"/>
      <c r="Z520" s="8"/>
    </row>
    <row r="521" spans="1:26" ht="15.75" customHeight="1" x14ac:dyDescent="0.25">
      <c r="A521" s="6" t="s">
        <v>95</v>
      </c>
      <c r="B521" s="8"/>
      <c r="C521" s="8"/>
      <c r="D521" s="8"/>
      <c r="E521" s="8"/>
      <c r="F521" s="6" t="s">
        <v>116</v>
      </c>
      <c r="G521" s="6" t="s">
        <v>45</v>
      </c>
      <c r="H521" s="8"/>
      <c r="I521" s="8"/>
      <c r="J521" s="8"/>
      <c r="K521" s="8"/>
      <c r="L521" s="8"/>
      <c r="M521" s="8"/>
      <c r="N521" s="8"/>
      <c r="O521" s="8"/>
      <c r="P521" s="8"/>
      <c r="Q521" s="8"/>
      <c r="R521" s="8"/>
      <c r="S521" s="8"/>
      <c r="T521" s="8"/>
      <c r="U521" s="8"/>
      <c r="V521" s="8"/>
      <c r="W521" s="8"/>
      <c r="X521" s="8"/>
      <c r="Y521" s="8"/>
      <c r="Z521" s="8"/>
    </row>
    <row r="522" spans="1:26" ht="15.75" customHeight="1" x14ac:dyDescent="0.25">
      <c r="A522" s="6" t="s">
        <v>95</v>
      </c>
      <c r="B522" s="8"/>
      <c r="C522" s="8"/>
      <c r="D522" s="8"/>
      <c r="E522" s="8"/>
      <c r="F522" s="6" t="s">
        <v>116</v>
      </c>
      <c r="G522" s="6" t="s">
        <v>45</v>
      </c>
      <c r="H522" s="8"/>
      <c r="I522" s="8"/>
      <c r="J522" s="8"/>
      <c r="K522" s="8"/>
      <c r="L522" s="8"/>
      <c r="M522" s="8"/>
      <c r="N522" s="8"/>
      <c r="O522" s="8"/>
      <c r="P522" s="8"/>
      <c r="Q522" s="8"/>
      <c r="R522" s="8"/>
      <c r="S522" s="8"/>
      <c r="T522" s="8"/>
      <c r="U522" s="8"/>
      <c r="V522" s="8"/>
      <c r="W522" s="8"/>
      <c r="X522" s="8"/>
      <c r="Y522" s="8"/>
      <c r="Z522" s="8"/>
    </row>
    <row r="523" spans="1:26" ht="15.75" customHeight="1" x14ac:dyDescent="0.25">
      <c r="A523" s="6" t="s">
        <v>95</v>
      </c>
      <c r="B523" s="8"/>
      <c r="C523" s="8"/>
      <c r="D523" s="8"/>
      <c r="E523" s="8"/>
      <c r="F523" s="6" t="s">
        <v>116</v>
      </c>
      <c r="G523" s="6" t="s">
        <v>45</v>
      </c>
      <c r="H523" s="8"/>
      <c r="I523" s="8"/>
      <c r="J523" s="8"/>
      <c r="K523" s="8"/>
      <c r="L523" s="8"/>
      <c r="M523" s="8"/>
      <c r="N523" s="8"/>
      <c r="O523" s="8"/>
      <c r="P523" s="8"/>
      <c r="Q523" s="8"/>
      <c r="R523" s="8"/>
      <c r="S523" s="8"/>
      <c r="T523" s="8"/>
      <c r="U523" s="8"/>
      <c r="V523" s="8"/>
      <c r="W523" s="8"/>
      <c r="X523" s="8"/>
      <c r="Y523" s="8"/>
      <c r="Z523" s="8"/>
    </row>
    <row r="524" spans="1:26" ht="15.75" customHeight="1" x14ac:dyDescent="0.25">
      <c r="A524" s="6" t="s">
        <v>95</v>
      </c>
      <c r="B524" s="8"/>
      <c r="C524" s="8"/>
      <c r="D524" s="8"/>
      <c r="E524" s="8"/>
      <c r="F524" s="6" t="s">
        <v>116</v>
      </c>
      <c r="G524" s="6" t="s">
        <v>45</v>
      </c>
      <c r="H524" s="8"/>
      <c r="I524" s="8"/>
      <c r="J524" s="8"/>
      <c r="K524" s="8"/>
      <c r="L524" s="8"/>
      <c r="M524" s="8"/>
      <c r="N524" s="8"/>
      <c r="O524" s="8"/>
      <c r="P524" s="8"/>
      <c r="Q524" s="8"/>
      <c r="R524" s="8"/>
      <c r="S524" s="8"/>
      <c r="T524" s="8"/>
      <c r="U524" s="8"/>
      <c r="V524" s="8"/>
      <c r="W524" s="8"/>
      <c r="X524" s="8"/>
      <c r="Y524" s="8"/>
      <c r="Z524" s="8"/>
    </row>
    <row r="525" spans="1:26" ht="15.75" customHeight="1" x14ac:dyDescent="0.25">
      <c r="A525" s="6" t="s">
        <v>95</v>
      </c>
      <c r="B525" s="8"/>
      <c r="C525" s="8"/>
      <c r="D525" s="8"/>
      <c r="E525" s="8"/>
      <c r="F525" s="6" t="s">
        <v>116</v>
      </c>
      <c r="G525" s="6" t="s">
        <v>45</v>
      </c>
      <c r="H525" s="8"/>
      <c r="I525" s="8"/>
      <c r="J525" s="8"/>
      <c r="K525" s="8"/>
      <c r="L525" s="8"/>
      <c r="M525" s="8"/>
      <c r="N525" s="8"/>
      <c r="O525" s="8"/>
      <c r="P525" s="8"/>
      <c r="Q525" s="8"/>
      <c r="R525" s="8"/>
      <c r="S525" s="8"/>
      <c r="T525" s="8"/>
      <c r="U525" s="8"/>
      <c r="V525" s="8"/>
      <c r="W525" s="8"/>
      <c r="X525" s="8"/>
      <c r="Y525" s="8"/>
      <c r="Z525" s="8"/>
    </row>
    <row r="526" spans="1:26" ht="15.75" customHeight="1" x14ac:dyDescent="0.25">
      <c r="A526" s="6" t="s">
        <v>95</v>
      </c>
      <c r="B526" s="8"/>
      <c r="C526" s="8"/>
      <c r="D526" s="8"/>
      <c r="E526" s="8"/>
      <c r="F526" s="6" t="s">
        <v>116</v>
      </c>
      <c r="G526" s="6" t="s">
        <v>45</v>
      </c>
      <c r="H526" s="8"/>
      <c r="I526" s="8"/>
      <c r="J526" s="8"/>
      <c r="K526" s="8"/>
      <c r="L526" s="8"/>
      <c r="M526" s="8"/>
      <c r="N526" s="8"/>
      <c r="O526" s="8"/>
      <c r="P526" s="8"/>
      <c r="Q526" s="8"/>
      <c r="R526" s="8"/>
      <c r="S526" s="8"/>
      <c r="T526" s="8"/>
      <c r="U526" s="8"/>
      <c r="V526" s="8"/>
      <c r="W526" s="8"/>
      <c r="X526" s="8"/>
      <c r="Y526" s="8"/>
      <c r="Z526" s="8"/>
    </row>
    <row r="527" spans="1:26" ht="15.75" customHeight="1" x14ac:dyDescent="0.25">
      <c r="A527" s="6" t="s">
        <v>95</v>
      </c>
      <c r="B527" s="8"/>
      <c r="C527" s="8"/>
      <c r="D527" s="8"/>
      <c r="E527" s="8"/>
      <c r="F527" s="6" t="s">
        <v>116</v>
      </c>
      <c r="G527" s="6" t="s">
        <v>45</v>
      </c>
      <c r="H527" s="8"/>
      <c r="I527" s="8"/>
      <c r="J527" s="8"/>
      <c r="K527" s="8"/>
      <c r="L527" s="8"/>
      <c r="M527" s="8"/>
      <c r="N527" s="8"/>
      <c r="O527" s="8"/>
      <c r="P527" s="8"/>
      <c r="Q527" s="8"/>
      <c r="R527" s="8"/>
      <c r="S527" s="8"/>
      <c r="T527" s="8"/>
      <c r="U527" s="8"/>
      <c r="V527" s="8"/>
      <c r="W527" s="8"/>
      <c r="X527" s="8"/>
      <c r="Y527" s="8"/>
      <c r="Z527" s="8"/>
    </row>
    <row r="528" spans="1:26" ht="15.75" customHeight="1" x14ac:dyDescent="0.25">
      <c r="A528" s="6" t="s">
        <v>95</v>
      </c>
      <c r="B528" s="8"/>
      <c r="C528" s="8"/>
      <c r="D528" s="8"/>
      <c r="E528" s="8"/>
      <c r="F528" s="6" t="s">
        <v>116</v>
      </c>
      <c r="G528" s="6" t="s">
        <v>45</v>
      </c>
      <c r="H528" s="8"/>
      <c r="I528" s="8"/>
      <c r="J528" s="8"/>
      <c r="K528" s="8"/>
      <c r="L528" s="8"/>
      <c r="M528" s="8"/>
      <c r="N528" s="8"/>
      <c r="O528" s="8"/>
      <c r="P528" s="8"/>
      <c r="Q528" s="8"/>
      <c r="R528" s="8"/>
      <c r="S528" s="8"/>
      <c r="T528" s="8"/>
      <c r="U528" s="8"/>
      <c r="V528" s="8"/>
      <c r="W528" s="8"/>
      <c r="X528" s="8"/>
      <c r="Y528" s="8"/>
      <c r="Z528" s="8"/>
    </row>
    <row r="529" spans="1:26" ht="15.75" customHeight="1" x14ac:dyDescent="0.25">
      <c r="A529" s="6" t="s">
        <v>95</v>
      </c>
      <c r="B529" s="8"/>
      <c r="C529" s="8"/>
      <c r="D529" s="8"/>
      <c r="E529" s="8"/>
      <c r="F529" s="6" t="s">
        <v>116</v>
      </c>
      <c r="G529" s="6" t="s">
        <v>45</v>
      </c>
      <c r="H529" s="8"/>
      <c r="I529" s="8"/>
      <c r="J529" s="8"/>
      <c r="K529" s="8"/>
      <c r="L529" s="8"/>
      <c r="M529" s="8"/>
      <c r="N529" s="8"/>
      <c r="O529" s="8"/>
      <c r="P529" s="8"/>
      <c r="Q529" s="8"/>
      <c r="R529" s="8"/>
      <c r="S529" s="8"/>
      <c r="T529" s="8"/>
      <c r="U529" s="8"/>
      <c r="V529" s="8"/>
      <c r="W529" s="8"/>
      <c r="X529" s="8"/>
      <c r="Y529" s="8"/>
      <c r="Z529" s="8"/>
    </row>
    <row r="530" spans="1:26" ht="15.75" customHeight="1" x14ac:dyDescent="0.25">
      <c r="A530" s="6" t="s">
        <v>95</v>
      </c>
      <c r="B530" s="8"/>
      <c r="C530" s="8"/>
      <c r="D530" s="8"/>
      <c r="E530" s="8"/>
      <c r="F530" s="6" t="s">
        <v>116</v>
      </c>
      <c r="G530" s="6" t="s">
        <v>45</v>
      </c>
      <c r="H530" s="8"/>
      <c r="I530" s="8"/>
      <c r="J530" s="8"/>
      <c r="K530" s="8"/>
      <c r="L530" s="8"/>
      <c r="M530" s="8"/>
      <c r="N530" s="8"/>
      <c r="O530" s="8"/>
      <c r="P530" s="8"/>
      <c r="Q530" s="8"/>
      <c r="R530" s="8"/>
      <c r="S530" s="8"/>
      <c r="T530" s="8"/>
      <c r="U530" s="8"/>
      <c r="V530" s="8"/>
      <c r="W530" s="8"/>
      <c r="X530" s="8"/>
      <c r="Y530" s="8"/>
      <c r="Z530" s="8"/>
    </row>
    <row r="531" spans="1:26" ht="15.75" customHeight="1" x14ac:dyDescent="0.25">
      <c r="A531" s="6" t="s">
        <v>95</v>
      </c>
      <c r="B531" s="8"/>
      <c r="C531" s="8"/>
      <c r="D531" s="8"/>
      <c r="E531" s="8"/>
      <c r="F531" s="6" t="s">
        <v>116</v>
      </c>
      <c r="G531" s="6" t="s">
        <v>45</v>
      </c>
      <c r="H531" s="8"/>
      <c r="I531" s="8"/>
      <c r="J531" s="8"/>
      <c r="K531" s="8"/>
      <c r="L531" s="8"/>
      <c r="M531" s="8"/>
      <c r="N531" s="8"/>
      <c r="O531" s="8"/>
      <c r="P531" s="8"/>
      <c r="Q531" s="8"/>
      <c r="R531" s="8"/>
      <c r="S531" s="8"/>
      <c r="T531" s="8"/>
      <c r="U531" s="8"/>
      <c r="V531" s="8"/>
      <c r="W531" s="8"/>
      <c r="X531" s="8"/>
      <c r="Y531" s="8"/>
      <c r="Z531" s="8"/>
    </row>
    <row r="532" spans="1:26" ht="15.75" customHeight="1" x14ac:dyDescent="0.25">
      <c r="A532" s="6" t="s">
        <v>95</v>
      </c>
      <c r="B532" s="8"/>
      <c r="C532" s="8"/>
      <c r="D532" s="8"/>
      <c r="E532" s="8"/>
      <c r="F532" s="6" t="s">
        <v>116</v>
      </c>
      <c r="G532" s="6" t="s">
        <v>45</v>
      </c>
      <c r="H532" s="8"/>
      <c r="I532" s="8"/>
      <c r="J532" s="8"/>
      <c r="K532" s="8"/>
      <c r="L532" s="8"/>
      <c r="M532" s="8"/>
      <c r="N532" s="8"/>
      <c r="O532" s="8"/>
      <c r="P532" s="8"/>
      <c r="Q532" s="8"/>
      <c r="R532" s="8"/>
      <c r="S532" s="8"/>
      <c r="T532" s="8"/>
      <c r="U532" s="8"/>
      <c r="V532" s="8"/>
      <c r="W532" s="8"/>
      <c r="X532" s="8"/>
      <c r="Y532" s="8"/>
      <c r="Z532" s="8"/>
    </row>
    <row r="533" spans="1:26" ht="15.75" customHeight="1" x14ac:dyDescent="0.25">
      <c r="A533" s="6" t="s">
        <v>95</v>
      </c>
      <c r="B533" s="8"/>
      <c r="C533" s="8"/>
      <c r="D533" s="8"/>
      <c r="E533" s="8"/>
      <c r="F533" s="6" t="s">
        <v>116</v>
      </c>
      <c r="G533" s="6" t="s">
        <v>45</v>
      </c>
      <c r="H533" s="8"/>
      <c r="I533" s="8"/>
      <c r="J533" s="8"/>
      <c r="K533" s="8"/>
      <c r="L533" s="8"/>
      <c r="M533" s="8"/>
      <c r="N533" s="8"/>
      <c r="O533" s="8"/>
      <c r="P533" s="8"/>
      <c r="Q533" s="8"/>
      <c r="R533" s="8"/>
      <c r="S533" s="8"/>
      <c r="T533" s="8"/>
      <c r="U533" s="8"/>
      <c r="V533" s="8"/>
      <c r="W533" s="8"/>
      <c r="X533" s="8"/>
      <c r="Y533" s="8"/>
      <c r="Z533" s="8"/>
    </row>
    <row r="534" spans="1:26" ht="15.75" customHeight="1" x14ac:dyDescent="0.25">
      <c r="A534" s="6" t="s">
        <v>95</v>
      </c>
      <c r="B534" s="8"/>
      <c r="C534" s="8"/>
      <c r="D534" s="8"/>
      <c r="E534" s="8"/>
      <c r="F534" s="6" t="s">
        <v>116</v>
      </c>
      <c r="G534" s="6" t="s">
        <v>45</v>
      </c>
      <c r="H534" s="8"/>
      <c r="I534" s="8"/>
      <c r="J534" s="8"/>
      <c r="K534" s="8"/>
      <c r="L534" s="8"/>
      <c r="M534" s="8"/>
      <c r="N534" s="8"/>
      <c r="O534" s="8"/>
      <c r="P534" s="8"/>
      <c r="Q534" s="8"/>
      <c r="R534" s="8"/>
      <c r="S534" s="8"/>
      <c r="T534" s="8"/>
      <c r="U534" s="8"/>
      <c r="V534" s="8"/>
      <c r="W534" s="8"/>
      <c r="X534" s="8"/>
      <c r="Y534" s="8"/>
      <c r="Z534" s="8"/>
    </row>
    <row r="535" spans="1:26" ht="15.75" customHeight="1" x14ac:dyDescent="0.25">
      <c r="A535" s="6" t="s">
        <v>95</v>
      </c>
      <c r="B535" s="8"/>
      <c r="C535" s="8"/>
      <c r="D535" s="8"/>
      <c r="E535" s="8"/>
      <c r="F535" s="6" t="s">
        <v>116</v>
      </c>
      <c r="G535" s="6" t="s">
        <v>45</v>
      </c>
      <c r="H535" s="8"/>
      <c r="I535" s="8"/>
      <c r="J535" s="8"/>
      <c r="K535" s="8"/>
      <c r="L535" s="8"/>
      <c r="M535" s="8"/>
      <c r="N535" s="8"/>
      <c r="O535" s="8"/>
      <c r="P535" s="8"/>
      <c r="Q535" s="8"/>
      <c r="R535" s="8"/>
      <c r="S535" s="8"/>
      <c r="T535" s="8"/>
      <c r="U535" s="8"/>
      <c r="V535" s="8"/>
      <c r="W535" s="8"/>
      <c r="X535" s="8"/>
      <c r="Y535" s="8"/>
      <c r="Z535" s="8"/>
    </row>
    <row r="536" spans="1:26" ht="15.75" customHeight="1" x14ac:dyDescent="0.25">
      <c r="A536" s="6" t="s">
        <v>95</v>
      </c>
      <c r="B536" s="8"/>
      <c r="C536" s="8"/>
      <c r="D536" s="8"/>
      <c r="E536" s="8"/>
      <c r="F536" s="6" t="s">
        <v>116</v>
      </c>
      <c r="G536" s="6" t="s">
        <v>45</v>
      </c>
      <c r="H536" s="8"/>
      <c r="I536" s="8"/>
      <c r="J536" s="8"/>
      <c r="K536" s="8"/>
      <c r="L536" s="8"/>
      <c r="M536" s="8"/>
      <c r="N536" s="8"/>
      <c r="O536" s="8"/>
      <c r="P536" s="8"/>
      <c r="Q536" s="8"/>
      <c r="R536" s="8"/>
      <c r="S536" s="8"/>
      <c r="T536" s="8"/>
      <c r="U536" s="8"/>
      <c r="V536" s="8"/>
      <c r="W536" s="8"/>
      <c r="X536" s="8"/>
      <c r="Y536" s="8"/>
      <c r="Z536" s="8"/>
    </row>
    <row r="537" spans="1:26" ht="15.75" customHeight="1" x14ac:dyDescent="0.25">
      <c r="A537" s="6" t="s">
        <v>95</v>
      </c>
      <c r="B537" s="8"/>
      <c r="C537" s="8"/>
      <c r="D537" s="8"/>
      <c r="E537" s="8"/>
      <c r="F537" s="6" t="s">
        <v>116</v>
      </c>
      <c r="G537" s="6" t="s">
        <v>45</v>
      </c>
      <c r="H537" s="8"/>
      <c r="I537" s="8"/>
      <c r="J537" s="8"/>
      <c r="K537" s="8"/>
      <c r="L537" s="8"/>
      <c r="M537" s="8"/>
      <c r="N537" s="8"/>
      <c r="O537" s="8"/>
      <c r="P537" s="8"/>
      <c r="Q537" s="8"/>
      <c r="R537" s="8"/>
      <c r="S537" s="8"/>
      <c r="T537" s="8"/>
      <c r="U537" s="8"/>
      <c r="V537" s="8"/>
      <c r="W537" s="8"/>
      <c r="X537" s="8"/>
      <c r="Y537" s="8"/>
      <c r="Z537" s="8"/>
    </row>
    <row r="538" spans="1:26" ht="15.75" customHeight="1" x14ac:dyDescent="0.25">
      <c r="A538" s="6" t="s">
        <v>95</v>
      </c>
      <c r="B538" s="8"/>
      <c r="C538" s="8"/>
      <c r="D538" s="8"/>
      <c r="E538" s="8"/>
      <c r="F538" s="6" t="s">
        <v>116</v>
      </c>
      <c r="G538" s="6" t="s">
        <v>45</v>
      </c>
      <c r="H538" s="8"/>
      <c r="I538" s="8"/>
      <c r="J538" s="8"/>
      <c r="K538" s="8"/>
      <c r="L538" s="8"/>
      <c r="M538" s="8"/>
      <c r="N538" s="8"/>
      <c r="O538" s="8"/>
      <c r="P538" s="8"/>
      <c r="Q538" s="8"/>
      <c r="R538" s="8"/>
      <c r="S538" s="8"/>
      <c r="T538" s="8"/>
      <c r="U538" s="8"/>
      <c r="V538" s="8"/>
      <c r="W538" s="8"/>
      <c r="X538" s="8"/>
      <c r="Y538" s="8"/>
      <c r="Z538" s="8"/>
    </row>
    <row r="539" spans="1:26" ht="15.75" customHeight="1" x14ac:dyDescent="0.25">
      <c r="A539" s="6" t="s">
        <v>95</v>
      </c>
      <c r="B539" s="8"/>
      <c r="C539" s="8"/>
      <c r="D539" s="8"/>
      <c r="E539" s="8"/>
      <c r="F539" s="6" t="s">
        <v>116</v>
      </c>
      <c r="G539" s="6" t="s">
        <v>45</v>
      </c>
      <c r="H539" s="8"/>
      <c r="I539" s="8"/>
      <c r="J539" s="8"/>
      <c r="K539" s="8"/>
      <c r="L539" s="8"/>
      <c r="M539" s="8"/>
      <c r="N539" s="8"/>
      <c r="O539" s="8"/>
      <c r="P539" s="8"/>
      <c r="Q539" s="8"/>
      <c r="R539" s="8"/>
      <c r="S539" s="8"/>
      <c r="T539" s="8"/>
      <c r="U539" s="8"/>
      <c r="V539" s="8"/>
      <c r="W539" s="8"/>
      <c r="X539" s="8"/>
      <c r="Y539" s="8"/>
      <c r="Z539" s="8"/>
    </row>
    <row r="540" spans="1:26" ht="15.75" customHeight="1" x14ac:dyDescent="0.25">
      <c r="A540" s="6" t="s">
        <v>95</v>
      </c>
      <c r="B540" s="8"/>
      <c r="C540" s="8"/>
      <c r="D540" s="8"/>
      <c r="E540" s="8"/>
      <c r="F540" s="6" t="s">
        <v>116</v>
      </c>
      <c r="G540" s="6" t="s">
        <v>45</v>
      </c>
      <c r="H540" s="8"/>
      <c r="I540" s="8"/>
      <c r="J540" s="8"/>
      <c r="K540" s="8"/>
      <c r="L540" s="8"/>
      <c r="M540" s="8"/>
      <c r="N540" s="8"/>
      <c r="O540" s="8"/>
      <c r="P540" s="8"/>
      <c r="Q540" s="8"/>
      <c r="R540" s="8"/>
      <c r="S540" s="8"/>
      <c r="T540" s="8"/>
      <c r="U540" s="8"/>
      <c r="V540" s="8"/>
      <c r="W540" s="8"/>
      <c r="X540" s="8"/>
      <c r="Y540" s="8"/>
      <c r="Z540" s="8"/>
    </row>
    <row r="541" spans="1:26" ht="15.75" customHeight="1" x14ac:dyDescent="0.25">
      <c r="A541" s="6" t="s">
        <v>95</v>
      </c>
      <c r="B541" s="8"/>
      <c r="C541" s="8"/>
      <c r="D541" s="8"/>
      <c r="E541" s="8"/>
      <c r="F541" s="6" t="s">
        <v>116</v>
      </c>
      <c r="G541" s="6" t="s">
        <v>45</v>
      </c>
      <c r="H541" s="8"/>
      <c r="I541" s="8"/>
      <c r="J541" s="8"/>
      <c r="K541" s="8"/>
      <c r="L541" s="8"/>
      <c r="M541" s="8"/>
      <c r="N541" s="8"/>
      <c r="O541" s="8"/>
      <c r="P541" s="8"/>
      <c r="Q541" s="8"/>
      <c r="R541" s="8"/>
      <c r="S541" s="8"/>
      <c r="T541" s="8"/>
      <c r="U541" s="8"/>
      <c r="V541" s="8"/>
      <c r="W541" s="8"/>
      <c r="X541" s="8"/>
      <c r="Y541" s="8"/>
      <c r="Z541" s="8"/>
    </row>
    <row r="542" spans="1:26" ht="15.75" customHeight="1" x14ac:dyDescent="0.25">
      <c r="A542" s="6" t="s">
        <v>95</v>
      </c>
      <c r="B542" s="8"/>
      <c r="C542" s="8"/>
      <c r="D542" s="8"/>
      <c r="E542" s="8"/>
      <c r="F542" s="6" t="s">
        <v>116</v>
      </c>
      <c r="G542" s="6" t="s">
        <v>45</v>
      </c>
      <c r="H542" s="8"/>
      <c r="I542" s="8"/>
      <c r="J542" s="8"/>
      <c r="K542" s="8"/>
      <c r="L542" s="8"/>
      <c r="M542" s="8"/>
      <c r="N542" s="8"/>
      <c r="O542" s="8"/>
      <c r="P542" s="8"/>
      <c r="Q542" s="8"/>
      <c r="R542" s="8"/>
      <c r="S542" s="8"/>
      <c r="T542" s="8"/>
      <c r="U542" s="8"/>
      <c r="V542" s="8"/>
      <c r="W542" s="8"/>
      <c r="X542" s="8"/>
      <c r="Y542" s="8"/>
      <c r="Z542" s="8"/>
    </row>
    <row r="543" spans="1:26" ht="15.75" customHeight="1" x14ac:dyDescent="0.25">
      <c r="A543" s="6" t="s">
        <v>95</v>
      </c>
      <c r="B543" s="8"/>
      <c r="C543" s="8"/>
      <c r="D543" s="8"/>
      <c r="E543" s="8"/>
      <c r="F543" s="6" t="s">
        <v>116</v>
      </c>
      <c r="G543" s="6" t="s">
        <v>45</v>
      </c>
      <c r="H543" s="8"/>
      <c r="I543" s="8"/>
      <c r="J543" s="8"/>
      <c r="K543" s="8"/>
      <c r="L543" s="8"/>
      <c r="M543" s="8"/>
      <c r="N543" s="8"/>
      <c r="O543" s="8"/>
      <c r="P543" s="8"/>
      <c r="Q543" s="8"/>
      <c r="R543" s="8"/>
      <c r="S543" s="8"/>
      <c r="T543" s="8"/>
      <c r="U543" s="8"/>
      <c r="V543" s="8"/>
      <c r="W543" s="8"/>
      <c r="X543" s="8"/>
      <c r="Y543" s="8"/>
      <c r="Z543" s="8"/>
    </row>
    <row r="544" spans="1:26" ht="15.75" customHeight="1" x14ac:dyDescent="0.25">
      <c r="A544" s="6" t="s">
        <v>95</v>
      </c>
      <c r="B544" s="8"/>
      <c r="C544" s="8"/>
      <c r="D544" s="8"/>
      <c r="E544" s="8"/>
      <c r="F544" s="6" t="s">
        <v>116</v>
      </c>
      <c r="G544" s="6" t="s">
        <v>45</v>
      </c>
      <c r="H544" s="8"/>
      <c r="I544" s="8"/>
      <c r="J544" s="8"/>
      <c r="K544" s="8"/>
      <c r="L544" s="8"/>
      <c r="M544" s="8"/>
      <c r="N544" s="8"/>
      <c r="O544" s="8"/>
      <c r="P544" s="8"/>
      <c r="Q544" s="8"/>
      <c r="R544" s="8"/>
      <c r="S544" s="8"/>
      <c r="T544" s="8"/>
      <c r="U544" s="8"/>
      <c r="V544" s="8"/>
      <c r="W544" s="8"/>
      <c r="X544" s="8"/>
      <c r="Y544" s="8"/>
      <c r="Z544" s="8"/>
    </row>
    <row r="545" spans="1:26" ht="15.75" customHeight="1" x14ac:dyDescent="0.25">
      <c r="A545" s="6" t="s">
        <v>95</v>
      </c>
      <c r="B545" s="8"/>
      <c r="C545" s="8"/>
      <c r="D545" s="8"/>
      <c r="E545" s="8"/>
      <c r="F545" s="6" t="s">
        <v>116</v>
      </c>
      <c r="G545" s="6" t="s">
        <v>45</v>
      </c>
      <c r="H545" s="8"/>
      <c r="I545" s="8"/>
      <c r="J545" s="8"/>
      <c r="K545" s="8"/>
      <c r="L545" s="8"/>
      <c r="M545" s="8"/>
      <c r="N545" s="8"/>
      <c r="O545" s="8"/>
      <c r="P545" s="8"/>
      <c r="Q545" s="8"/>
      <c r="R545" s="8"/>
      <c r="S545" s="8"/>
      <c r="T545" s="8"/>
      <c r="U545" s="8"/>
      <c r="V545" s="8"/>
      <c r="W545" s="8"/>
      <c r="X545" s="8"/>
      <c r="Y545" s="8"/>
      <c r="Z545" s="8"/>
    </row>
    <row r="546" spans="1:26" ht="15.75" customHeight="1" x14ac:dyDescent="0.25">
      <c r="A546" s="6" t="s">
        <v>95</v>
      </c>
      <c r="B546" s="8"/>
      <c r="C546" s="8"/>
      <c r="D546" s="8"/>
      <c r="E546" s="8"/>
      <c r="F546" s="6" t="s">
        <v>116</v>
      </c>
      <c r="G546" s="6" t="s">
        <v>45</v>
      </c>
      <c r="H546" s="8"/>
      <c r="I546" s="8"/>
      <c r="J546" s="8"/>
      <c r="K546" s="8"/>
      <c r="L546" s="8"/>
      <c r="M546" s="8"/>
      <c r="N546" s="8"/>
      <c r="O546" s="8"/>
      <c r="P546" s="8"/>
      <c r="Q546" s="8"/>
      <c r="R546" s="8"/>
      <c r="S546" s="8"/>
      <c r="T546" s="8"/>
      <c r="U546" s="8"/>
      <c r="V546" s="8"/>
      <c r="W546" s="8"/>
      <c r="X546" s="8"/>
      <c r="Y546" s="8"/>
      <c r="Z546" s="8"/>
    </row>
    <row r="547" spans="1:26" ht="15.75" customHeight="1" x14ac:dyDescent="0.25">
      <c r="A547" s="6" t="s">
        <v>95</v>
      </c>
      <c r="B547" s="8"/>
      <c r="C547" s="8"/>
      <c r="D547" s="8"/>
      <c r="E547" s="8"/>
      <c r="F547" s="6" t="s">
        <v>116</v>
      </c>
      <c r="G547" s="6" t="s">
        <v>45</v>
      </c>
      <c r="H547" s="8"/>
      <c r="I547" s="8"/>
      <c r="J547" s="8"/>
      <c r="K547" s="8"/>
      <c r="L547" s="8"/>
      <c r="M547" s="8"/>
      <c r="N547" s="8"/>
      <c r="O547" s="8"/>
      <c r="P547" s="8"/>
      <c r="Q547" s="8"/>
      <c r="R547" s="8"/>
      <c r="S547" s="8"/>
      <c r="T547" s="8"/>
      <c r="U547" s="8"/>
      <c r="V547" s="8"/>
      <c r="W547" s="8"/>
      <c r="X547" s="8"/>
      <c r="Y547" s="8"/>
      <c r="Z547" s="8"/>
    </row>
    <row r="548" spans="1:26" ht="15.75" customHeight="1" x14ac:dyDescent="0.25">
      <c r="A548" s="6" t="s">
        <v>95</v>
      </c>
      <c r="B548" s="8"/>
      <c r="C548" s="8"/>
      <c r="D548" s="8"/>
      <c r="E548" s="8"/>
      <c r="F548" s="6" t="s">
        <v>116</v>
      </c>
      <c r="G548" s="6" t="s">
        <v>45</v>
      </c>
      <c r="H548" s="8"/>
      <c r="I548" s="8"/>
      <c r="J548" s="8"/>
      <c r="K548" s="8"/>
      <c r="L548" s="8"/>
      <c r="M548" s="8"/>
      <c r="N548" s="8"/>
      <c r="O548" s="8"/>
      <c r="P548" s="8"/>
      <c r="Q548" s="8"/>
      <c r="R548" s="8"/>
      <c r="S548" s="8"/>
      <c r="T548" s="8"/>
      <c r="U548" s="8"/>
      <c r="V548" s="8"/>
      <c r="W548" s="8"/>
      <c r="X548" s="8"/>
      <c r="Y548" s="8"/>
      <c r="Z548" s="8"/>
    </row>
    <row r="549" spans="1:26" ht="15.75" customHeight="1" x14ac:dyDescent="0.25">
      <c r="A549" s="6" t="s">
        <v>95</v>
      </c>
      <c r="B549" s="8"/>
      <c r="C549" s="8"/>
      <c r="D549" s="8"/>
      <c r="E549" s="8"/>
      <c r="F549" s="6" t="s">
        <v>116</v>
      </c>
      <c r="G549" s="6" t="s">
        <v>45</v>
      </c>
      <c r="H549" s="8"/>
      <c r="I549" s="8"/>
      <c r="J549" s="8"/>
      <c r="K549" s="8"/>
      <c r="L549" s="8"/>
      <c r="M549" s="8"/>
      <c r="N549" s="8"/>
      <c r="O549" s="8"/>
      <c r="P549" s="8"/>
      <c r="Q549" s="8"/>
      <c r="R549" s="8"/>
      <c r="S549" s="8"/>
      <c r="T549" s="8"/>
      <c r="U549" s="8"/>
      <c r="V549" s="8"/>
      <c r="W549" s="8"/>
      <c r="X549" s="8"/>
      <c r="Y549" s="8"/>
      <c r="Z549" s="8"/>
    </row>
    <row r="550" spans="1:26" ht="15.75" customHeight="1" x14ac:dyDescent="0.25">
      <c r="A550" s="6" t="s">
        <v>95</v>
      </c>
      <c r="B550" s="8"/>
      <c r="C550" s="8"/>
      <c r="D550" s="8"/>
      <c r="E550" s="8"/>
      <c r="F550" s="6" t="s">
        <v>116</v>
      </c>
      <c r="G550" s="6" t="s">
        <v>45</v>
      </c>
      <c r="H550" s="8"/>
      <c r="I550" s="8"/>
      <c r="J550" s="8"/>
      <c r="K550" s="8"/>
      <c r="L550" s="8"/>
      <c r="M550" s="8"/>
      <c r="N550" s="8"/>
      <c r="O550" s="8"/>
      <c r="P550" s="8"/>
      <c r="Q550" s="8"/>
      <c r="R550" s="8"/>
      <c r="S550" s="8"/>
      <c r="T550" s="8"/>
      <c r="U550" s="8"/>
      <c r="V550" s="8"/>
      <c r="W550" s="8"/>
      <c r="X550" s="8"/>
      <c r="Y550" s="8"/>
      <c r="Z550" s="8"/>
    </row>
    <row r="551" spans="1:26" ht="15.75" customHeight="1" x14ac:dyDescent="0.25">
      <c r="A551" s="6" t="s">
        <v>95</v>
      </c>
      <c r="B551" s="8"/>
      <c r="C551" s="8"/>
      <c r="D551" s="8"/>
      <c r="E551" s="8"/>
      <c r="F551" s="6" t="s">
        <v>116</v>
      </c>
      <c r="G551" s="6" t="s">
        <v>45</v>
      </c>
      <c r="H551" s="8"/>
      <c r="I551" s="8"/>
      <c r="J551" s="8"/>
      <c r="K551" s="8"/>
      <c r="L551" s="8"/>
      <c r="M551" s="8"/>
      <c r="N551" s="8"/>
      <c r="O551" s="8"/>
      <c r="P551" s="8"/>
      <c r="Q551" s="8"/>
      <c r="R551" s="8"/>
      <c r="S551" s="8"/>
      <c r="T551" s="8"/>
      <c r="U551" s="8"/>
      <c r="V551" s="8"/>
      <c r="W551" s="8"/>
      <c r="X551" s="8"/>
      <c r="Y551" s="8"/>
      <c r="Z551" s="8"/>
    </row>
    <row r="552" spans="1:26" ht="15.75" customHeight="1" x14ac:dyDescent="0.25">
      <c r="A552" s="6" t="s">
        <v>95</v>
      </c>
      <c r="B552" s="8"/>
      <c r="C552" s="8"/>
      <c r="D552" s="8"/>
      <c r="E552" s="8"/>
      <c r="F552" s="6" t="s">
        <v>116</v>
      </c>
      <c r="G552" s="6" t="s">
        <v>45</v>
      </c>
      <c r="H552" s="8"/>
      <c r="I552" s="8"/>
      <c r="J552" s="8"/>
      <c r="K552" s="8"/>
      <c r="L552" s="8"/>
      <c r="M552" s="8"/>
      <c r="N552" s="8"/>
      <c r="O552" s="8"/>
      <c r="P552" s="8"/>
      <c r="Q552" s="8"/>
      <c r="R552" s="8"/>
      <c r="S552" s="8"/>
      <c r="T552" s="8"/>
      <c r="U552" s="8"/>
      <c r="V552" s="8"/>
      <c r="W552" s="8"/>
      <c r="X552" s="8"/>
      <c r="Y552" s="8"/>
      <c r="Z552" s="8"/>
    </row>
    <row r="553" spans="1:26" ht="15.75" customHeight="1" x14ac:dyDescent="0.25">
      <c r="A553" s="6" t="s">
        <v>95</v>
      </c>
      <c r="B553" s="8"/>
      <c r="C553" s="8"/>
      <c r="D553" s="8"/>
      <c r="E553" s="8"/>
      <c r="F553" s="6" t="s">
        <v>116</v>
      </c>
      <c r="G553" s="6" t="s">
        <v>45</v>
      </c>
      <c r="H553" s="8"/>
      <c r="I553" s="8"/>
      <c r="J553" s="8"/>
      <c r="K553" s="8"/>
      <c r="L553" s="8"/>
      <c r="M553" s="8"/>
      <c r="N553" s="8"/>
      <c r="O553" s="8"/>
      <c r="P553" s="8"/>
      <c r="Q553" s="8"/>
      <c r="R553" s="8"/>
      <c r="S553" s="8"/>
      <c r="T553" s="8"/>
      <c r="U553" s="8"/>
      <c r="V553" s="8"/>
      <c r="W553" s="8"/>
      <c r="X553" s="8"/>
      <c r="Y553" s="8"/>
      <c r="Z553" s="8"/>
    </row>
    <row r="554" spans="1:26" ht="15.75" customHeight="1" x14ac:dyDescent="0.25">
      <c r="A554" s="6" t="s">
        <v>95</v>
      </c>
      <c r="B554" s="8"/>
      <c r="C554" s="8"/>
      <c r="D554" s="8"/>
      <c r="E554" s="8"/>
      <c r="F554" s="6" t="s">
        <v>116</v>
      </c>
      <c r="G554" s="6" t="s">
        <v>45</v>
      </c>
      <c r="H554" s="8"/>
      <c r="I554" s="8"/>
      <c r="J554" s="8"/>
      <c r="K554" s="8"/>
      <c r="L554" s="8"/>
      <c r="M554" s="8"/>
      <c r="N554" s="8"/>
      <c r="O554" s="8"/>
      <c r="P554" s="8"/>
      <c r="Q554" s="8"/>
      <c r="R554" s="8"/>
      <c r="S554" s="8"/>
      <c r="T554" s="8"/>
      <c r="U554" s="8"/>
      <c r="V554" s="8"/>
      <c r="W554" s="8"/>
      <c r="X554" s="8"/>
      <c r="Y554" s="8"/>
      <c r="Z554" s="8"/>
    </row>
    <row r="555" spans="1:26" ht="15.75" customHeight="1" x14ac:dyDescent="0.25">
      <c r="A555" s="6" t="s">
        <v>95</v>
      </c>
      <c r="B555" s="8"/>
      <c r="C555" s="8"/>
      <c r="D555" s="8"/>
      <c r="E555" s="8"/>
      <c r="F555" s="6" t="s">
        <v>116</v>
      </c>
      <c r="G555" s="6" t="s">
        <v>45</v>
      </c>
      <c r="H555" s="8"/>
      <c r="I555" s="8"/>
      <c r="J555" s="8"/>
      <c r="K555" s="8"/>
      <c r="L555" s="8"/>
      <c r="M555" s="8"/>
      <c r="N555" s="8"/>
      <c r="O555" s="8"/>
      <c r="P555" s="8"/>
      <c r="Q555" s="8"/>
      <c r="R555" s="8"/>
      <c r="S555" s="8"/>
      <c r="T555" s="8"/>
      <c r="U555" s="8"/>
      <c r="V555" s="8"/>
      <c r="W555" s="8"/>
      <c r="X555" s="8"/>
      <c r="Y555" s="8"/>
      <c r="Z555" s="8"/>
    </row>
    <row r="556" spans="1:26" ht="15.75" customHeight="1" x14ac:dyDescent="0.25">
      <c r="A556" s="6" t="s">
        <v>95</v>
      </c>
      <c r="B556" s="8"/>
      <c r="C556" s="8"/>
      <c r="D556" s="8"/>
      <c r="E556" s="8"/>
      <c r="F556" s="6" t="s">
        <v>116</v>
      </c>
      <c r="G556" s="6" t="s">
        <v>45</v>
      </c>
      <c r="H556" s="8"/>
      <c r="I556" s="8"/>
      <c r="J556" s="8"/>
      <c r="K556" s="8"/>
      <c r="L556" s="8"/>
      <c r="M556" s="8"/>
      <c r="N556" s="8"/>
      <c r="O556" s="8"/>
      <c r="P556" s="8"/>
      <c r="Q556" s="8"/>
      <c r="R556" s="8"/>
      <c r="S556" s="8"/>
      <c r="T556" s="8"/>
      <c r="U556" s="8"/>
      <c r="V556" s="8"/>
      <c r="W556" s="8"/>
      <c r="X556" s="8"/>
      <c r="Y556" s="8"/>
      <c r="Z556" s="8"/>
    </row>
    <row r="557" spans="1:26" ht="15.75" customHeight="1" x14ac:dyDescent="0.25">
      <c r="A557" s="6" t="s">
        <v>95</v>
      </c>
      <c r="B557" s="8"/>
      <c r="C557" s="8"/>
      <c r="D557" s="8"/>
      <c r="E557" s="8"/>
      <c r="F557" s="6" t="s">
        <v>116</v>
      </c>
      <c r="G557" s="6" t="s">
        <v>45</v>
      </c>
      <c r="H557" s="8"/>
      <c r="I557" s="8"/>
      <c r="J557" s="8"/>
      <c r="K557" s="8"/>
      <c r="L557" s="8"/>
      <c r="M557" s="8"/>
      <c r="N557" s="8"/>
      <c r="O557" s="8"/>
      <c r="P557" s="8"/>
      <c r="Q557" s="8"/>
      <c r="R557" s="8"/>
      <c r="S557" s="8"/>
      <c r="T557" s="8"/>
      <c r="U557" s="8"/>
      <c r="V557" s="8"/>
      <c r="W557" s="8"/>
      <c r="X557" s="8"/>
      <c r="Y557" s="8"/>
      <c r="Z557" s="8"/>
    </row>
    <row r="558" spans="1:26" ht="15.75" customHeight="1" x14ac:dyDescent="0.25">
      <c r="A558" s="6" t="s">
        <v>95</v>
      </c>
      <c r="B558" s="8"/>
      <c r="C558" s="8"/>
      <c r="D558" s="8"/>
      <c r="E558" s="8"/>
      <c r="F558" s="6" t="s">
        <v>116</v>
      </c>
      <c r="G558" s="6" t="s">
        <v>45</v>
      </c>
      <c r="H558" s="8"/>
      <c r="I558" s="8"/>
      <c r="J558" s="8"/>
      <c r="K558" s="8"/>
      <c r="L558" s="8"/>
      <c r="M558" s="8"/>
      <c r="N558" s="8"/>
      <c r="O558" s="8"/>
      <c r="P558" s="8"/>
      <c r="Q558" s="8"/>
      <c r="R558" s="8"/>
      <c r="S558" s="8"/>
      <c r="T558" s="8"/>
      <c r="U558" s="8"/>
      <c r="V558" s="8"/>
      <c r="W558" s="8"/>
      <c r="X558" s="8"/>
      <c r="Y558" s="8"/>
      <c r="Z558" s="8"/>
    </row>
    <row r="559" spans="1:26" ht="15.75" customHeight="1" x14ac:dyDescent="0.25">
      <c r="A559" s="6" t="s">
        <v>95</v>
      </c>
      <c r="B559" s="8"/>
      <c r="C559" s="8"/>
      <c r="D559" s="8"/>
      <c r="E559" s="8"/>
      <c r="F559" s="6" t="s">
        <v>116</v>
      </c>
      <c r="G559" s="6" t="s">
        <v>45</v>
      </c>
      <c r="H559" s="8"/>
      <c r="I559" s="8"/>
      <c r="J559" s="8"/>
      <c r="K559" s="8"/>
      <c r="L559" s="8"/>
      <c r="M559" s="8"/>
      <c r="N559" s="8"/>
      <c r="O559" s="8"/>
      <c r="P559" s="8"/>
      <c r="Q559" s="8"/>
      <c r="R559" s="8"/>
      <c r="S559" s="8"/>
      <c r="T559" s="8"/>
      <c r="U559" s="8"/>
      <c r="V559" s="8"/>
      <c r="W559" s="8"/>
      <c r="X559" s="8"/>
      <c r="Y559" s="8"/>
      <c r="Z559" s="8"/>
    </row>
    <row r="560" spans="1:26" ht="15.75" customHeight="1" x14ac:dyDescent="0.25">
      <c r="A560" s="6" t="s">
        <v>95</v>
      </c>
      <c r="B560" s="8"/>
      <c r="C560" s="8"/>
      <c r="D560" s="8"/>
      <c r="E560" s="8"/>
      <c r="F560" s="6" t="s">
        <v>116</v>
      </c>
      <c r="G560" s="6" t="s">
        <v>45</v>
      </c>
      <c r="H560" s="8"/>
      <c r="I560" s="8"/>
      <c r="J560" s="8"/>
      <c r="K560" s="8"/>
      <c r="L560" s="8"/>
      <c r="M560" s="8"/>
      <c r="N560" s="8"/>
      <c r="O560" s="8"/>
      <c r="P560" s="8"/>
      <c r="Q560" s="8"/>
      <c r="R560" s="8"/>
      <c r="S560" s="8"/>
      <c r="T560" s="8"/>
      <c r="U560" s="8"/>
      <c r="V560" s="8"/>
      <c r="W560" s="8"/>
      <c r="X560" s="8"/>
      <c r="Y560" s="8"/>
      <c r="Z560" s="8"/>
    </row>
    <row r="561" spans="1:26" ht="15.75" customHeight="1" x14ac:dyDescent="0.25">
      <c r="A561" s="6" t="s">
        <v>95</v>
      </c>
      <c r="B561" s="8"/>
      <c r="C561" s="8"/>
      <c r="D561" s="8"/>
      <c r="E561" s="8"/>
      <c r="F561" s="6" t="s">
        <v>116</v>
      </c>
      <c r="G561" s="6" t="s">
        <v>45</v>
      </c>
      <c r="H561" s="8"/>
      <c r="I561" s="8"/>
      <c r="J561" s="8"/>
      <c r="K561" s="8"/>
      <c r="L561" s="8"/>
      <c r="M561" s="8"/>
      <c r="N561" s="8"/>
      <c r="O561" s="8"/>
      <c r="P561" s="8"/>
      <c r="Q561" s="8"/>
      <c r="R561" s="8"/>
      <c r="S561" s="8"/>
      <c r="T561" s="8"/>
      <c r="U561" s="8"/>
      <c r="V561" s="8"/>
      <c r="W561" s="8"/>
      <c r="X561" s="8"/>
      <c r="Y561" s="8"/>
      <c r="Z561" s="8"/>
    </row>
    <row r="562" spans="1:26" ht="15.75" customHeight="1" x14ac:dyDescent="0.25">
      <c r="A562" s="6" t="s">
        <v>95</v>
      </c>
      <c r="B562" s="8"/>
      <c r="C562" s="8"/>
      <c r="D562" s="8"/>
      <c r="E562" s="8"/>
      <c r="F562" s="6" t="s">
        <v>116</v>
      </c>
      <c r="G562" s="6" t="s">
        <v>45</v>
      </c>
      <c r="H562" s="8"/>
      <c r="I562" s="8"/>
      <c r="J562" s="8"/>
      <c r="K562" s="8"/>
      <c r="L562" s="8"/>
      <c r="M562" s="8"/>
      <c r="N562" s="8"/>
      <c r="O562" s="8"/>
      <c r="P562" s="8"/>
      <c r="Q562" s="8"/>
      <c r="R562" s="8"/>
      <c r="S562" s="8"/>
      <c r="T562" s="8"/>
      <c r="U562" s="8"/>
      <c r="V562" s="8"/>
      <c r="W562" s="8"/>
      <c r="X562" s="8"/>
      <c r="Y562" s="8"/>
      <c r="Z562" s="8"/>
    </row>
    <row r="563" spans="1:26" ht="15.75" customHeight="1" x14ac:dyDescent="0.25">
      <c r="A563" s="6" t="s">
        <v>95</v>
      </c>
      <c r="B563" s="8"/>
      <c r="C563" s="8"/>
      <c r="D563" s="8"/>
      <c r="E563" s="8"/>
      <c r="F563" s="6" t="s">
        <v>116</v>
      </c>
      <c r="G563" s="6" t="s">
        <v>45</v>
      </c>
      <c r="H563" s="8"/>
      <c r="I563" s="8"/>
      <c r="J563" s="8"/>
      <c r="K563" s="8"/>
      <c r="L563" s="8"/>
      <c r="M563" s="8"/>
      <c r="N563" s="8"/>
      <c r="O563" s="8"/>
      <c r="P563" s="8"/>
      <c r="Q563" s="8"/>
      <c r="R563" s="8"/>
      <c r="S563" s="8"/>
      <c r="T563" s="8"/>
      <c r="U563" s="8"/>
      <c r="V563" s="8"/>
      <c r="W563" s="8"/>
      <c r="X563" s="8"/>
      <c r="Y563" s="8"/>
      <c r="Z563" s="8"/>
    </row>
    <row r="564" spans="1:26" ht="15.75" customHeight="1" x14ac:dyDescent="0.25">
      <c r="A564" s="6" t="s">
        <v>95</v>
      </c>
      <c r="B564" s="8"/>
      <c r="C564" s="8"/>
      <c r="D564" s="8"/>
      <c r="E564" s="8"/>
      <c r="F564" s="6" t="s">
        <v>116</v>
      </c>
      <c r="G564" s="6" t="s">
        <v>45</v>
      </c>
      <c r="H564" s="8"/>
      <c r="I564" s="8"/>
      <c r="J564" s="8"/>
      <c r="K564" s="8"/>
      <c r="L564" s="8"/>
      <c r="M564" s="8"/>
      <c r="N564" s="8"/>
      <c r="O564" s="8"/>
      <c r="P564" s="8"/>
      <c r="Q564" s="8"/>
      <c r="R564" s="8"/>
      <c r="S564" s="8"/>
      <c r="T564" s="8"/>
      <c r="U564" s="8"/>
      <c r="V564" s="8"/>
      <c r="W564" s="8"/>
      <c r="X564" s="8"/>
      <c r="Y564" s="8"/>
      <c r="Z564" s="8"/>
    </row>
    <row r="565" spans="1:26" ht="15.75" customHeight="1" x14ac:dyDescent="0.25">
      <c r="A565" s="6" t="s">
        <v>95</v>
      </c>
      <c r="B565" s="8"/>
      <c r="C565" s="8"/>
      <c r="D565" s="8"/>
      <c r="E565" s="8"/>
      <c r="F565" s="6" t="s">
        <v>116</v>
      </c>
      <c r="G565" s="6" t="s">
        <v>45</v>
      </c>
      <c r="H565" s="8"/>
      <c r="I565" s="8"/>
      <c r="J565" s="8"/>
      <c r="K565" s="8"/>
      <c r="L565" s="8"/>
      <c r="M565" s="8"/>
      <c r="N565" s="8"/>
      <c r="O565" s="8"/>
      <c r="P565" s="8"/>
      <c r="Q565" s="8"/>
      <c r="R565" s="8"/>
      <c r="S565" s="8"/>
      <c r="T565" s="8"/>
      <c r="U565" s="8"/>
      <c r="V565" s="8"/>
      <c r="W565" s="8"/>
      <c r="X565" s="8"/>
      <c r="Y565" s="8"/>
      <c r="Z565" s="8"/>
    </row>
    <row r="566" spans="1:26" ht="15.75" customHeight="1" x14ac:dyDescent="0.25">
      <c r="A566" s="6" t="s">
        <v>95</v>
      </c>
      <c r="B566" s="8"/>
      <c r="C566" s="8"/>
      <c r="D566" s="8"/>
      <c r="E566" s="8"/>
      <c r="F566" s="6" t="s">
        <v>116</v>
      </c>
      <c r="G566" s="6" t="s">
        <v>45</v>
      </c>
      <c r="H566" s="8"/>
      <c r="I566" s="8"/>
      <c r="J566" s="8"/>
      <c r="K566" s="8"/>
      <c r="L566" s="8"/>
      <c r="M566" s="8"/>
      <c r="N566" s="8"/>
      <c r="O566" s="8"/>
      <c r="P566" s="8"/>
      <c r="Q566" s="8"/>
      <c r="R566" s="8"/>
      <c r="S566" s="8"/>
      <c r="T566" s="8"/>
      <c r="U566" s="8"/>
      <c r="V566" s="8"/>
      <c r="W566" s="8"/>
      <c r="X566" s="8"/>
      <c r="Y566" s="8"/>
      <c r="Z566" s="8"/>
    </row>
    <row r="567" spans="1:26" ht="15.75" customHeight="1" x14ac:dyDescent="0.25">
      <c r="A567" s="6" t="s">
        <v>95</v>
      </c>
      <c r="B567" s="8"/>
      <c r="C567" s="8"/>
      <c r="D567" s="8"/>
      <c r="E567" s="8"/>
      <c r="F567" s="6" t="s">
        <v>116</v>
      </c>
      <c r="G567" s="6" t="s">
        <v>45</v>
      </c>
      <c r="H567" s="8"/>
      <c r="I567" s="8"/>
      <c r="J567" s="8"/>
      <c r="K567" s="8"/>
      <c r="L567" s="8"/>
      <c r="M567" s="8"/>
      <c r="N567" s="8"/>
      <c r="O567" s="8"/>
      <c r="P567" s="8"/>
      <c r="Q567" s="8"/>
      <c r="R567" s="8"/>
      <c r="S567" s="8"/>
      <c r="T567" s="8"/>
      <c r="U567" s="8"/>
      <c r="V567" s="8"/>
      <c r="W567" s="8"/>
      <c r="X567" s="8"/>
      <c r="Y567" s="8"/>
      <c r="Z567" s="8"/>
    </row>
    <row r="568" spans="1:26" ht="15.75" customHeight="1" x14ac:dyDescent="0.25">
      <c r="A568" s="6" t="s">
        <v>95</v>
      </c>
      <c r="B568" s="8"/>
      <c r="C568" s="8"/>
      <c r="D568" s="8"/>
      <c r="E568" s="8"/>
      <c r="F568" s="6" t="s">
        <v>116</v>
      </c>
      <c r="G568" s="6" t="s">
        <v>45</v>
      </c>
      <c r="H568" s="8"/>
      <c r="I568" s="8"/>
      <c r="J568" s="8"/>
      <c r="K568" s="8"/>
      <c r="L568" s="8"/>
      <c r="M568" s="8"/>
      <c r="N568" s="8"/>
      <c r="O568" s="8"/>
      <c r="P568" s="8"/>
      <c r="Q568" s="8"/>
      <c r="R568" s="8"/>
      <c r="S568" s="8"/>
      <c r="T568" s="8"/>
      <c r="U568" s="8"/>
      <c r="V568" s="8"/>
      <c r="W568" s="8"/>
      <c r="X568" s="8"/>
      <c r="Y568" s="8"/>
      <c r="Z568" s="8"/>
    </row>
    <row r="569" spans="1:26" ht="15.75" customHeight="1" x14ac:dyDescent="0.25">
      <c r="A569" s="6" t="s">
        <v>95</v>
      </c>
      <c r="B569" s="8"/>
      <c r="C569" s="8"/>
      <c r="D569" s="8"/>
      <c r="E569" s="8"/>
      <c r="F569" s="6" t="s">
        <v>116</v>
      </c>
      <c r="G569" s="6" t="s">
        <v>45</v>
      </c>
      <c r="H569" s="8"/>
      <c r="I569" s="8"/>
      <c r="J569" s="8"/>
      <c r="K569" s="8"/>
      <c r="L569" s="8"/>
      <c r="M569" s="8"/>
      <c r="N569" s="8"/>
      <c r="O569" s="8"/>
      <c r="P569" s="8"/>
      <c r="Q569" s="8"/>
      <c r="R569" s="8"/>
      <c r="S569" s="8"/>
      <c r="T569" s="8"/>
      <c r="U569" s="8"/>
      <c r="V569" s="8"/>
      <c r="W569" s="8"/>
      <c r="X569" s="8"/>
      <c r="Y569" s="8"/>
      <c r="Z569" s="8"/>
    </row>
    <row r="570" spans="1:26" ht="15.75" customHeight="1" x14ac:dyDescent="0.25">
      <c r="A570" s="6" t="s">
        <v>95</v>
      </c>
      <c r="B570" s="8"/>
      <c r="C570" s="8"/>
      <c r="D570" s="8"/>
      <c r="E570" s="8"/>
      <c r="F570" s="6" t="s">
        <v>116</v>
      </c>
      <c r="G570" s="6" t="s">
        <v>45</v>
      </c>
      <c r="H570" s="8"/>
      <c r="I570" s="8"/>
      <c r="J570" s="8"/>
      <c r="K570" s="8"/>
      <c r="L570" s="8"/>
      <c r="M570" s="8"/>
      <c r="N570" s="8"/>
      <c r="O570" s="8"/>
      <c r="P570" s="8"/>
      <c r="Q570" s="8"/>
      <c r="R570" s="8"/>
      <c r="S570" s="8"/>
      <c r="T570" s="8"/>
      <c r="U570" s="8"/>
      <c r="V570" s="8"/>
      <c r="W570" s="8"/>
      <c r="X570" s="8"/>
      <c r="Y570" s="8"/>
      <c r="Z570" s="8"/>
    </row>
    <row r="571" spans="1:26" ht="15.75" customHeight="1" x14ac:dyDescent="0.25">
      <c r="A571" s="6" t="s">
        <v>95</v>
      </c>
      <c r="B571" s="8"/>
      <c r="C571" s="8"/>
      <c r="D571" s="8"/>
      <c r="E571" s="8"/>
      <c r="F571" s="6" t="s">
        <v>116</v>
      </c>
      <c r="G571" s="6" t="s">
        <v>45</v>
      </c>
      <c r="H571" s="8"/>
      <c r="I571" s="8"/>
      <c r="J571" s="8"/>
      <c r="K571" s="8"/>
      <c r="L571" s="8"/>
      <c r="M571" s="8"/>
      <c r="N571" s="8"/>
      <c r="O571" s="8"/>
      <c r="P571" s="8"/>
      <c r="Q571" s="8"/>
      <c r="R571" s="8"/>
      <c r="S571" s="8"/>
      <c r="T571" s="8"/>
      <c r="U571" s="8"/>
      <c r="V571" s="8"/>
      <c r="W571" s="8"/>
      <c r="X571" s="8"/>
      <c r="Y571" s="8"/>
      <c r="Z571" s="8"/>
    </row>
    <row r="572" spans="1:26" ht="15.75" customHeight="1" x14ac:dyDescent="0.25">
      <c r="A572" s="6" t="s">
        <v>95</v>
      </c>
      <c r="B572" s="8"/>
      <c r="C572" s="8"/>
      <c r="D572" s="8"/>
      <c r="E572" s="8"/>
      <c r="F572" s="6" t="s">
        <v>116</v>
      </c>
      <c r="G572" s="6" t="s">
        <v>45</v>
      </c>
      <c r="H572" s="8"/>
      <c r="I572" s="8"/>
      <c r="J572" s="8"/>
      <c r="K572" s="8"/>
      <c r="L572" s="8"/>
      <c r="M572" s="8"/>
      <c r="N572" s="8"/>
      <c r="O572" s="8"/>
      <c r="P572" s="8"/>
      <c r="Q572" s="8"/>
      <c r="R572" s="8"/>
      <c r="S572" s="8"/>
      <c r="T572" s="8"/>
      <c r="U572" s="8"/>
      <c r="V572" s="8"/>
      <c r="W572" s="8"/>
      <c r="X572" s="8"/>
      <c r="Y572" s="8"/>
      <c r="Z572" s="8"/>
    </row>
    <row r="573" spans="1:26" ht="15.75" customHeight="1" x14ac:dyDescent="0.25">
      <c r="A573" s="6" t="s">
        <v>95</v>
      </c>
      <c r="B573" s="8"/>
      <c r="C573" s="8"/>
      <c r="D573" s="8"/>
      <c r="E573" s="8"/>
      <c r="F573" s="6" t="s">
        <v>116</v>
      </c>
      <c r="G573" s="6" t="s">
        <v>45</v>
      </c>
      <c r="H573" s="8"/>
      <c r="I573" s="8"/>
      <c r="J573" s="8"/>
      <c r="K573" s="8"/>
      <c r="L573" s="8"/>
      <c r="M573" s="8"/>
      <c r="N573" s="8"/>
      <c r="O573" s="8"/>
      <c r="P573" s="8"/>
      <c r="Q573" s="8"/>
      <c r="R573" s="8"/>
      <c r="S573" s="8"/>
      <c r="T573" s="8"/>
      <c r="U573" s="8"/>
      <c r="V573" s="8"/>
      <c r="W573" s="8"/>
      <c r="X573" s="8"/>
      <c r="Y573" s="8"/>
      <c r="Z573" s="8"/>
    </row>
    <row r="574" spans="1:26" ht="15.75" customHeight="1" x14ac:dyDescent="0.25">
      <c r="A574" s="6" t="s">
        <v>95</v>
      </c>
      <c r="B574" s="8"/>
      <c r="C574" s="8"/>
      <c r="D574" s="8"/>
      <c r="E574" s="8"/>
      <c r="F574" s="6" t="s">
        <v>116</v>
      </c>
      <c r="G574" s="6" t="s">
        <v>45</v>
      </c>
      <c r="H574" s="8"/>
      <c r="I574" s="8"/>
      <c r="J574" s="8"/>
      <c r="K574" s="8"/>
      <c r="L574" s="8"/>
      <c r="M574" s="8"/>
      <c r="N574" s="8"/>
      <c r="O574" s="8"/>
      <c r="P574" s="8"/>
      <c r="Q574" s="8"/>
      <c r="R574" s="8"/>
      <c r="S574" s="8"/>
      <c r="T574" s="8"/>
      <c r="U574" s="8"/>
      <c r="V574" s="8"/>
      <c r="W574" s="8"/>
      <c r="X574" s="8"/>
      <c r="Y574" s="8"/>
      <c r="Z574" s="8"/>
    </row>
    <row r="575" spans="1:26" ht="15.75" customHeight="1" x14ac:dyDescent="0.25">
      <c r="A575" s="6" t="s">
        <v>95</v>
      </c>
      <c r="B575" s="8"/>
      <c r="C575" s="8"/>
      <c r="D575" s="8"/>
      <c r="E575" s="8"/>
      <c r="F575" s="6" t="s">
        <v>116</v>
      </c>
      <c r="G575" s="6" t="s">
        <v>45</v>
      </c>
      <c r="H575" s="8"/>
      <c r="I575" s="8"/>
      <c r="J575" s="8"/>
      <c r="K575" s="8"/>
      <c r="L575" s="8"/>
      <c r="M575" s="8"/>
      <c r="N575" s="8"/>
      <c r="O575" s="8"/>
      <c r="P575" s="8"/>
      <c r="Q575" s="8"/>
      <c r="R575" s="8"/>
      <c r="S575" s="8"/>
      <c r="T575" s="8"/>
      <c r="U575" s="8"/>
      <c r="V575" s="8"/>
      <c r="W575" s="8"/>
      <c r="X575" s="8"/>
      <c r="Y575" s="8"/>
      <c r="Z575" s="8"/>
    </row>
    <row r="576" spans="1:26" ht="15.75" customHeight="1" x14ac:dyDescent="0.25">
      <c r="A576" s="6" t="s">
        <v>95</v>
      </c>
      <c r="B576" s="8"/>
      <c r="C576" s="8"/>
      <c r="D576" s="8"/>
      <c r="E576" s="8"/>
      <c r="F576" s="6" t="s">
        <v>116</v>
      </c>
      <c r="G576" s="6" t="s">
        <v>45</v>
      </c>
      <c r="H576" s="8"/>
      <c r="I576" s="8"/>
      <c r="J576" s="8"/>
      <c r="K576" s="8"/>
      <c r="L576" s="8"/>
      <c r="M576" s="8"/>
      <c r="N576" s="8"/>
      <c r="O576" s="8"/>
      <c r="P576" s="8"/>
      <c r="Q576" s="8"/>
      <c r="R576" s="8"/>
      <c r="S576" s="8"/>
      <c r="T576" s="8"/>
      <c r="U576" s="8"/>
      <c r="V576" s="8"/>
      <c r="W576" s="8"/>
      <c r="X576" s="8"/>
      <c r="Y576" s="8"/>
      <c r="Z576" s="8"/>
    </row>
    <row r="577" spans="1:26" ht="15.75" customHeight="1" x14ac:dyDescent="0.25">
      <c r="A577" s="6" t="s">
        <v>95</v>
      </c>
      <c r="B577" s="8"/>
      <c r="C577" s="8"/>
      <c r="D577" s="8"/>
      <c r="E577" s="8"/>
      <c r="F577" s="6" t="s">
        <v>116</v>
      </c>
      <c r="G577" s="6" t="s">
        <v>45</v>
      </c>
      <c r="H577" s="8"/>
      <c r="I577" s="8"/>
      <c r="J577" s="8"/>
      <c r="K577" s="8"/>
      <c r="L577" s="8"/>
      <c r="M577" s="8"/>
      <c r="N577" s="8"/>
      <c r="O577" s="8"/>
      <c r="P577" s="8"/>
      <c r="Q577" s="8"/>
      <c r="R577" s="8"/>
      <c r="S577" s="8"/>
      <c r="T577" s="8"/>
      <c r="U577" s="8"/>
      <c r="V577" s="8"/>
      <c r="W577" s="8"/>
      <c r="X577" s="8"/>
      <c r="Y577" s="8"/>
      <c r="Z577" s="8"/>
    </row>
    <row r="578" spans="1:26" ht="15.75" customHeight="1" x14ac:dyDescent="0.25">
      <c r="A578" s="6" t="s">
        <v>95</v>
      </c>
      <c r="B578" s="8"/>
      <c r="C578" s="8"/>
      <c r="D578" s="8"/>
      <c r="E578" s="8"/>
      <c r="F578" s="6" t="s">
        <v>116</v>
      </c>
      <c r="G578" s="6" t="s">
        <v>45</v>
      </c>
      <c r="H578" s="8"/>
      <c r="I578" s="8"/>
      <c r="J578" s="8"/>
      <c r="K578" s="8"/>
      <c r="L578" s="8"/>
      <c r="M578" s="8"/>
      <c r="N578" s="8"/>
      <c r="O578" s="8"/>
      <c r="P578" s="8"/>
      <c r="Q578" s="8"/>
      <c r="R578" s="8"/>
      <c r="S578" s="8"/>
      <c r="T578" s="8"/>
      <c r="U578" s="8"/>
      <c r="V578" s="8"/>
      <c r="W578" s="8"/>
      <c r="X578" s="8"/>
      <c r="Y578" s="8"/>
      <c r="Z578" s="8"/>
    </row>
    <row r="579" spans="1:26" ht="15.75" customHeight="1" x14ac:dyDescent="0.25">
      <c r="A579" s="6" t="s">
        <v>95</v>
      </c>
      <c r="B579" s="8"/>
      <c r="C579" s="8"/>
      <c r="D579" s="8"/>
      <c r="E579" s="8"/>
      <c r="F579" s="6" t="s">
        <v>116</v>
      </c>
      <c r="G579" s="6" t="s">
        <v>45</v>
      </c>
      <c r="H579" s="8"/>
      <c r="I579" s="8"/>
      <c r="J579" s="8"/>
      <c r="K579" s="8"/>
      <c r="L579" s="8"/>
      <c r="M579" s="8"/>
      <c r="N579" s="8"/>
      <c r="O579" s="8"/>
      <c r="P579" s="8"/>
      <c r="Q579" s="8"/>
      <c r="R579" s="8"/>
      <c r="S579" s="8"/>
      <c r="T579" s="8"/>
      <c r="U579" s="8"/>
      <c r="V579" s="8"/>
      <c r="W579" s="8"/>
      <c r="X579" s="8"/>
      <c r="Y579" s="8"/>
      <c r="Z579" s="8"/>
    </row>
    <row r="580" spans="1:26" ht="15.75" customHeight="1" x14ac:dyDescent="0.25">
      <c r="A580" s="6" t="s">
        <v>95</v>
      </c>
      <c r="B580" s="8"/>
      <c r="C580" s="8"/>
      <c r="D580" s="8"/>
      <c r="E580" s="8"/>
      <c r="F580" s="6" t="s">
        <v>116</v>
      </c>
      <c r="G580" s="6" t="s">
        <v>45</v>
      </c>
      <c r="H580" s="8"/>
      <c r="I580" s="8"/>
      <c r="J580" s="8"/>
      <c r="K580" s="8"/>
      <c r="L580" s="8"/>
      <c r="M580" s="8"/>
      <c r="N580" s="8"/>
      <c r="O580" s="8"/>
      <c r="P580" s="8"/>
      <c r="Q580" s="8"/>
      <c r="R580" s="8"/>
      <c r="S580" s="8"/>
      <c r="T580" s="8"/>
      <c r="U580" s="8"/>
      <c r="V580" s="8"/>
      <c r="W580" s="8"/>
      <c r="X580" s="8"/>
      <c r="Y580" s="8"/>
      <c r="Z580" s="8"/>
    </row>
    <row r="581" spans="1:26" ht="15.75" customHeight="1" x14ac:dyDescent="0.25">
      <c r="A581" s="6" t="s">
        <v>95</v>
      </c>
      <c r="B581" s="8"/>
      <c r="C581" s="8"/>
      <c r="D581" s="8"/>
      <c r="E581" s="8"/>
      <c r="F581" s="6" t="s">
        <v>116</v>
      </c>
      <c r="G581" s="6" t="s">
        <v>45</v>
      </c>
      <c r="H581" s="8"/>
      <c r="I581" s="8"/>
      <c r="J581" s="8"/>
      <c r="K581" s="8"/>
      <c r="L581" s="8"/>
      <c r="M581" s="8"/>
      <c r="N581" s="8"/>
      <c r="O581" s="8"/>
      <c r="P581" s="8"/>
      <c r="Q581" s="8"/>
      <c r="R581" s="8"/>
      <c r="S581" s="8"/>
      <c r="T581" s="8"/>
      <c r="U581" s="8"/>
      <c r="V581" s="8"/>
      <c r="W581" s="8"/>
      <c r="X581" s="8"/>
      <c r="Y581" s="8"/>
      <c r="Z581" s="8"/>
    </row>
    <row r="582" spans="1:26" ht="15.75" customHeight="1" x14ac:dyDescent="0.25">
      <c r="A582" s="6" t="s">
        <v>95</v>
      </c>
      <c r="B582" s="8"/>
      <c r="C582" s="8"/>
      <c r="D582" s="8"/>
      <c r="E582" s="8"/>
      <c r="F582" s="6" t="s">
        <v>116</v>
      </c>
      <c r="G582" s="6" t="s">
        <v>45</v>
      </c>
      <c r="H582" s="8"/>
      <c r="I582" s="8"/>
      <c r="J582" s="8"/>
      <c r="K582" s="8"/>
      <c r="L582" s="8"/>
      <c r="M582" s="8"/>
      <c r="N582" s="8"/>
      <c r="O582" s="8"/>
      <c r="P582" s="8"/>
      <c r="Q582" s="8"/>
      <c r="R582" s="8"/>
      <c r="S582" s="8"/>
      <c r="T582" s="8"/>
      <c r="U582" s="8"/>
      <c r="V582" s="8"/>
      <c r="W582" s="8"/>
      <c r="X582" s="8"/>
      <c r="Y582" s="8"/>
      <c r="Z582" s="8"/>
    </row>
    <row r="583" spans="1:26" ht="15.75" customHeight="1" x14ac:dyDescent="0.25">
      <c r="A583" s="6" t="s">
        <v>95</v>
      </c>
      <c r="B583" s="8"/>
      <c r="C583" s="8"/>
      <c r="D583" s="8"/>
      <c r="E583" s="8"/>
      <c r="F583" s="6" t="s">
        <v>116</v>
      </c>
      <c r="G583" s="6" t="s">
        <v>45</v>
      </c>
      <c r="H583" s="8"/>
      <c r="I583" s="8"/>
      <c r="J583" s="8"/>
      <c r="K583" s="8"/>
      <c r="L583" s="8"/>
      <c r="M583" s="8"/>
      <c r="N583" s="8"/>
      <c r="O583" s="8"/>
      <c r="P583" s="8"/>
      <c r="Q583" s="8"/>
      <c r="R583" s="8"/>
      <c r="S583" s="8"/>
      <c r="T583" s="8"/>
      <c r="U583" s="8"/>
      <c r="V583" s="8"/>
      <c r="W583" s="8"/>
      <c r="X583" s="8"/>
      <c r="Y583" s="8"/>
      <c r="Z583" s="8"/>
    </row>
    <row r="584" spans="1:26" ht="15.75" customHeight="1" x14ac:dyDescent="0.25">
      <c r="A584" s="6" t="s">
        <v>95</v>
      </c>
      <c r="B584" s="8"/>
      <c r="C584" s="8"/>
      <c r="D584" s="8"/>
      <c r="E584" s="8"/>
      <c r="F584" s="6" t="s">
        <v>116</v>
      </c>
      <c r="G584" s="6" t="s">
        <v>45</v>
      </c>
      <c r="M584" s="8"/>
      <c r="N584" s="8"/>
      <c r="O584" s="8"/>
      <c r="P584" s="8"/>
      <c r="Q584" s="8"/>
      <c r="R584" s="8"/>
      <c r="S584" s="8"/>
      <c r="T584" s="8"/>
      <c r="U584" s="8"/>
      <c r="V584" s="8"/>
      <c r="W584" s="8"/>
      <c r="X584" s="8"/>
      <c r="Y584" s="8"/>
      <c r="Z584" s="8"/>
    </row>
    <row r="585" spans="1:26" ht="15.75" customHeight="1" x14ac:dyDescent="0.25">
      <c r="A585" s="6" t="s">
        <v>95</v>
      </c>
      <c r="B585" s="8"/>
      <c r="C585" s="8"/>
      <c r="D585" s="8"/>
      <c r="E585" s="8"/>
      <c r="F585" s="6" t="s">
        <v>116</v>
      </c>
      <c r="G585" s="6" t="s">
        <v>45</v>
      </c>
      <c r="H585" s="8"/>
      <c r="I585" s="8"/>
      <c r="J585" s="8"/>
      <c r="K585" s="8"/>
      <c r="L585" s="8"/>
      <c r="M585" s="8"/>
      <c r="N585" s="8"/>
      <c r="O585" s="8"/>
      <c r="P585" s="8"/>
      <c r="Q585" s="8"/>
      <c r="R585" s="8"/>
      <c r="S585" s="8"/>
      <c r="T585" s="8"/>
      <c r="U585" s="8"/>
      <c r="V585" s="8"/>
      <c r="W585" s="8"/>
      <c r="X585" s="8"/>
      <c r="Y585" s="8"/>
      <c r="Z585" s="8"/>
    </row>
    <row r="586" spans="1:26" ht="15.75" customHeight="1" x14ac:dyDescent="0.25">
      <c r="A586" s="6" t="s">
        <v>95</v>
      </c>
      <c r="B586" s="8"/>
      <c r="C586" s="8"/>
      <c r="D586" s="8"/>
      <c r="E586" s="8"/>
      <c r="F586" s="6" t="s">
        <v>116</v>
      </c>
      <c r="G586" s="6" t="s">
        <v>45</v>
      </c>
      <c r="H586" s="8"/>
      <c r="I586" s="8"/>
      <c r="J586" s="8"/>
      <c r="K586" s="8"/>
      <c r="L586" s="8"/>
      <c r="M586" s="8"/>
      <c r="N586" s="8"/>
      <c r="O586" s="8"/>
      <c r="P586" s="8"/>
      <c r="Q586" s="8"/>
      <c r="R586" s="8"/>
      <c r="S586" s="8"/>
      <c r="T586" s="8"/>
      <c r="U586" s="8"/>
      <c r="V586" s="8"/>
      <c r="W586" s="8"/>
      <c r="X586" s="8"/>
      <c r="Y586" s="8"/>
      <c r="Z586" s="8"/>
    </row>
    <row r="587" spans="1:26" ht="15.75" customHeight="1" x14ac:dyDescent="0.25">
      <c r="A587" s="6" t="s">
        <v>95</v>
      </c>
      <c r="B587" s="8"/>
      <c r="C587" s="8"/>
      <c r="D587" s="8"/>
      <c r="E587" s="8"/>
      <c r="F587" s="6" t="s">
        <v>116</v>
      </c>
      <c r="G587" s="6" t="s">
        <v>45</v>
      </c>
      <c r="H587" s="8"/>
      <c r="I587" s="8"/>
      <c r="J587" s="8"/>
      <c r="K587" s="8"/>
      <c r="L587" s="8"/>
      <c r="M587" s="8"/>
      <c r="N587" s="8"/>
      <c r="O587" s="8"/>
      <c r="P587" s="8"/>
      <c r="Q587" s="8"/>
      <c r="R587" s="8"/>
      <c r="S587" s="8"/>
      <c r="T587" s="8"/>
      <c r="U587" s="8"/>
      <c r="V587" s="8"/>
      <c r="W587" s="8"/>
      <c r="X587" s="8"/>
      <c r="Y587" s="8"/>
      <c r="Z587" s="8"/>
    </row>
    <row r="588" spans="1:26" ht="15.75" customHeight="1" x14ac:dyDescent="0.25">
      <c r="A588" s="6" t="s">
        <v>95</v>
      </c>
      <c r="B588" s="8"/>
      <c r="C588" s="8"/>
      <c r="D588" s="8"/>
      <c r="E588" s="8"/>
      <c r="F588" s="6" t="s">
        <v>116</v>
      </c>
      <c r="G588" s="6" t="s">
        <v>45</v>
      </c>
      <c r="H588" s="8"/>
      <c r="I588" s="8"/>
      <c r="J588" s="8"/>
      <c r="K588" s="8"/>
      <c r="L588" s="8"/>
      <c r="M588" s="8"/>
      <c r="N588" s="8"/>
      <c r="O588" s="8"/>
      <c r="P588" s="8"/>
      <c r="Q588" s="8"/>
      <c r="R588" s="8"/>
      <c r="S588" s="8"/>
      <c r="T588" s="8"/>
      <c r="U588" s="8"/>
      <c r="V588" s="8"/>
      <c r="W588" s="8"/>
      <c r="X588" s="8"/>
      <c r="Y588" s="8"/>
      <c r="Z588" s="8"/>
    </row>
    <row r="589" spans="1:26" ht="15.75" customHeight="1" x14ac:dyDescent="0.25">
      <c r="A589" s="6" t="s">
        <v>95</v>
      </c>
      <c r="B589" s="8"/>
      <c r="C589" s="8"/>
      <c r="D589" s="8"/>
      <c r="E589" s="8"/>
      <c r="F589" s="6" t="s">
        <v>116</v>
      </c>
      <c r="G589" s="6" t="s">
        <v>45</v>
      </c>
      <c r="H589" s="8"/>
      <c r="I589" s="8"/>
      <c r="J589" s="8"/>
      <c r="K589" s="8"/>
      <c r="L589" s="8"/>
      <c r="M589" s="8"/>
      <c r="N589" s="8"/>
      <c r="O589" s="8"/>
      <c r="P589" s="8"/>
      <c r="Q589" s="8"/>
      <c r="R589" s="8"/>
      <c r="S589" s="8"/>
      <c r="T589" s="8"/>
      <c r="U589" s="8"/>
      <c r="V589" s="8"/>
      <c r="W589" s="8"/>
      <c r="X589" s="8"/>
      <c r="Y589" s="8"/>
      <c r="Z589" s="8"/>
    </row>
    <row r="590" spans="1:26" ht="15.75" customHeight="1" x14ac:dyDescent="0.25">
      <c r="A590" s="6" t="s">
        <v>95</v>
      </c>
      <c r="B590" s="8"/>
      <c r="C590" s="8"/>
      <c r="D590" s="8"/>
      <c r="E590" s="8"/>
      <c r="F590" s="6" t="s">
        <v>116</v>
      </c>
      <c r="G590" s="6" t="s">
        <v>45</v>
      </c>
      <c r="H590" s="8"/>
      <c r="I590" s="8"/>
      <c r="J590" s="8"/>
      <c r="K590" s="8"/>
      <c r="L590" s="8"/>
      <c r="M590" s="8"/>
      <c r="N590" s="8"/>
      <c r="O590" s="8"/>
      <c r="P590" s="8"/>
      <c r="Q590" s="8"/>
      <c r="R590" s="8"/>
      <c r="S590" s="8"/>
      <c r="T590" s="8"/>
      <c r="U590" s="8"/>
      <c r="V590" s="8"/>
      <c r="W590" s="8"/>
      <c r="X590" s="8"/>
      <c r="Y590" s="8"/>
      <c r="Z590" s="8"/>
    </row>
    <row r="591" spans="1:26" ht="15.75" customHeight="1" x14ac:dyDescent="0.25">
      <c r="A591" s="6" t="s">
        <v>95</v>
      </c>
      <c r="B591" s="8"/>
      <c r="C591" s="8"/>
      <c r="D591" s="8"/>
      <c r="E591" s="8"/>
      <c r="F591" s="6" t="s">
        <v>116</v>
      </c>
      <c r="G591" s="6" t="s">
        <v>45</v>
      </c>
      <c r="H591" s="8"/>
      <c r="I591" s="8"/>
      <c r="J591" s="8"/>
      <c r="K591" s="8"/>
      <c r="L591" s="8"/>
      <c r="M591" s="8"/>
      <c r="N591" s="8"/>
      <c r="O591" s="8"/>
      <c r="P591" s="8"/>
      <c r="Q591" s="8"/>
      <c r="R591" s="8"/>
      <c r="S591" s="8"/>
      <c r="T591" s="8"/>
      <c r="U591" s="8"/>
      <c r="V591" s="8"/>
      <c r="W591" s="8"/>
      <c r="X591" s="8"/>
      <c r="Y591" s="8"/>
      <c r="Z591" s="8"/>
    </row>
    <row r="592" spans="1:26" ht="15.75" customHeight="1" x14ac:dyDescent="0.25">
      <c r="A592" s="6" t="s">
        <v>95</v>
      </c>
      <c r="B592" s="8"/>
      <c r="C592" s="8"/>
      <c r="D592" s="8"/>
      <c r="E592" s="8"/>
      <c r="F592" s="6" t="s">
        <v>116</v>
      </c>
      <c r="G592" s="6" t="s">
        <v>45</v>
      </c>
      <c r="H592" s="8"/>
      <c r="I592" s="8"/>
      <c r="J592" s="8"/>
      <c r="K592" s="8"/>
      <c r="L592" s="8"/>
      <c r="M592" s="8"/>
      <c r="N592" s="8"/>
      <c r="O592" s="8"/>
      <c r="P592" s="8"/>
      <c r="Q592" s="8"/>
      <c r="R592" s="8"/>
      <c r="S592" s="8"/>
      <c r="T592" s="8"/>
      <c r="U592" s="8"/>
      <c r="V592" s="8"/>
      <c r="W592" s="8"/>
      <c r="X592" s="8"/>
      <c r="Y592" s="8"/>
      <c r="Z592" s="8"/>
    </row>
    <row r="593" spans="1:26" ht="15.75" customHeight="1" x14ac:dyDescent="0.25">
      <c r="A593" s="6" t="s">
        <v>95</v>
      </c>
      <c r="B593" s="8"/>
      <c r="C593" s="8"/>
      <c r="D593" s="8"/>
      <c r="E593" s="8"/>
      <c r="F593" s="6" t="s">
        <v>116</v>
      </c>
      <c r="G593" s="6" t="s">
        <v>45</v>
      </c>
      <c r="H593" s="8"/>
      <c r="I593" s="8"/>
      <c r="J593" s="8"/>
      <c r="K593" s="8"/>
      <c r="L593" s="8"/>
      <c r="M593" s="8"/>
      <c r="N593" s="8"/>
      <c r="O593" s="8"/>
      <c r="P593" s="8"/>
      <c r="Q593" s="8"/>
      <c r="R593" s="8"/>
      <c r="S593" s="8"/>
      <c r="T593" s="8"/>
      <c r="U593" s="8"/>
      <c r="V593" s="8"/>
      <c r="W593" s="8"/>
      <c r="X593" s="8"/>
      <c r="Y593" s="8"/>
      <c r="Z593" s="8"/>
    </row>
    <row r="594" spans="1:26" ht="15.75" customHeight="1" x14ac:dyDescent="0.25">
      <c r="A594" s="6" t="s">
        <v>95</v>
      </c>
      <c r="B594" s="8"/>
      <c r="C594" s="8"/>
      <c r="D594" s="8"/>
      <c r="E594" s="8"/>
      <c r="F594" s="6" t="s">
        <v>116</v>
      </c>
      <c r="G594" s="6" t="s">
        <v>45</v>
      </c>
      <c r="H594" s="8"/>
      <c r="I594" s="8"/>
      <c r="J594" s="8"/>
      <c r="K594" s="8"/>
      <c r="L594" s="8"/>
      <c r="M594" s="8"/>
      <c r="N594" s="8"/>
      <c r="O594" s="8"/>
      <c r="P594" s="8"/>
      <c r="Q594" s="8"/>
      <c r="R594" s="8"/>
      <c r="S594" s="8"/>
      <c r="T594" s="8"/>
      <c r="U594" s="8"/>
      <c r="V594" s="8"/>
      <c r="W594" s="8"/>
      <c r="X594" s="8"/>
      <c r="Y594" s="8"/>
      <c r="Z594" s="8"/>
    </row>
    <row r="595" spans="1:26" ht="15.75" customHeight="1" x14ac:dyDescent="0.25">
      <c r="A595" s="6" t="s">
        <v>95</v>
      </c>
      <c r="B595" s="8"/>
      <c r="C595" s="8"/>
      <c r="D595" s="8"/>
      <c r="E595" s="8"/>
      <c r="F595" s="6" t="s">
        <v>116</v>
      </c>
      <c r="G595" s="6" t="s">
        <v>45</v>
      </c>
      <c r="H595" s="8"/>
      <c r="I595" s="8"/>
      <c r="J595" s="8"/>
      <c r="K595" s="8"/>
      <c r="L595" s="8"/>
      <c r="M595" s="8"/>
      <c r="N595" s="8"/>
      <c r="O595" s="8"/>
      <c r="P595" s="8"/>
      <c r="Q595" s="8"/>
      <c r="R595" s="8"/>
      <c r="S595" s="8"/>
      <c r="T595" s="8"/>
      <c r="U595" s="8"/>
      <c r="V595" s="8"/>
      <c r="W595" s="8"/>
      <c r="X595" s="8"/>
      <c r="Y595" s="8"/>
      <c r="Z595" s="8"/>
    </row>
    <row r="596" spans="1:26" ht="15.75" customHeight="1" x14ac:dyDescent="0.25">
      <c r="A596" s="6" t="s">
        <v>95</v>
      </c>
      <c r="B596" s="8"/>
      <c r="C596" s="8"/>
      <c r="D596" s="8"/>
      <c r="E596" s="8"/>
      <c r="F596" s="6" t="s">
        <v>116</v>
      </c>
      <c r="G596" s="6" t="s">
        <v>45</v>
      </c>
      <c r="H596" s="8"/>
      <c r="I596" s="8"/>
      <c r="J596" s="8"/>
      <c r="K596" s="8"/>
      <c r="L596" s="8"/>
      <c r="M596" s="8"/>
      <c r="N596" s="8"/>
      <c r="O596" s="8"/>
      <c r="P596" s="8"/>
      <c r="Q596" s="8"/>
      <c r="R596" s="8"/>
      <c r="S596" s="8"/>
      <c r="T596" s="8"/>
      <c r="U596" s="8"/>
      <c r="V596" s="8"/>
      <c r="W596" s="8"/>
      <c r="X596" s="8"/>
      <c r="Y596" s="8"/>
      <c r="Z596" s="8"/>
    </row>
    <row r="597" spans="1:26" ht="15.75" customHeight="1" x14ac:dyDescent="0.25">
      <c r="A597" s="6" t="s">
        <v>95</v>
      </c>
      <c r="B597" s="8"/>
      <c r="C597" s="8"/>
      <c r="D597" s="8"/>
      <c r="E597" s="8"/>
      <c r="F597" s="6" t="s">
        <v>116</v>
      </c>
      <c r="G597" s="6" t="s">
        <v>45</v>
      </c>
      <c r="H597" s="8"/>
      <c r="I597" s="8"/>
      <c r="J597" s="8"/>
      <c r="K597" s="8"/>
      <c r="L597" s="8"/>
      <c r="M597" s="8"/>
      <c r="N597" s="8"/>
      <c r="O597" s="8"/>
      <c r="P597" s="8"/>
      <c r="Q597" s="8"/>
      <c r="R597" s="8"/>
      <c r="S597" s="8"/>
      <c r="T597" s="8"/>
      <c r="U597" s="8"/>
      <c r="V597" s="8"/>
      <c r="W597" s="8"/>
      <c r="X597" s="8"/>
      <c r="Y597" s="8"/>
      <c r="Z597" s="8"/>
    </row>
    <row r="598" spans="1:26" ht="15.75" customHeight="1" x14ac:dyDescent="0.25">
      <c r="A598" s="6" t="s">
        <v>95</v>
      </c>
      <c r="B598" s="8"/>
      <c r="C598" s="8"/>
      <c r="D598" s="8"/>
      <c r="E598" s="8"/>
      <c r="F598" s="6" t="s">
        <v>116</v>
      </c>
      <c r="G598" s="6" t="s">
        <v>45</v>
      </c>
      <c r="H598" s="8"/>
      <c r="I598" s="8"/>
      <c r="J598" s="8"/>
      <c r="K598" s="8"/>
      <c r="L598" s="8"/>
      <c r="M598" s="8"/>
      <c r="N598" s="8"/>
      <c r="O598" s="8"/>
      <c r="P598" s="8"/>
      <c r="Q598" s="8"/>
      <c r="R598" s="8"/>
      <c r="S598" s="8"/>
      <c r="T598" s="8"/>
      <c r="U598" s="8"/>
      <c r="V598" s="8"/>
      <c r="W598" s="8"/>
      <c r="X598" s="8"/>
      <c r="Y598" s="8"/>
      <c r="Z598" s="8"/>
    </row>
    <row r="599" spans="1:26" ht="15.75" customHeight="1" x14ac:dyDescent="0.25">
      <c r="A599" s="6" t="s">
        <v>95</v>
      </c>
      <c r="B599" s="8"/>
      <c r="C599" s="8"/>
      <c r="D599" s="8"/>
      <c r="E599" s="8"/>
      <c r="F599" s="6" t="s">
        <v>116</v>
      </c>
      <c r="G599" s="6" t="s">
        <v>45</v>
      </c>
      <c r="H599" s="8"/>
      <c r="I599" s="8"/>
      <c r="J599" s="8"/>
      <c r="K599" s="8"/>
      <c r="L599" s="8"/>
      <c r="M599" s="8"/>
      <c r="N599" s="8"/>
      <c r="O599" s="8"/>
      <c r="P599" s="8"/>
      <c r="Q599" s="8"/>
      <c r="R599" s="8"/>
      <c r="S599" s="8"/>
      <c r="T599" s="8"/>
      <c r="U599" s="8"/>
      <c r="V599" s="8"/>
      <c r="W599" s="8"/>
      <c r="X599" s="8"/>
      <c r="Y599" s="8"/>
      <c r="Z599" s="8"/>
    </row>
    <row r="600" spans="1:26" ht="15.75" customHeight="1" x14ac:dyDescent="0.25">
      <c r="A600" s="6" t="s">
        <v>95</v>
      </c>
      <c r="B600" s="8"/>
      <c r="C600" s="8"/>
      <c r="D600" s="8"/>
      <c r="E600" s="8"/>
      <c r="F600" s="6" t="s">
        <v>116</v>
      </c>
      <c r="G600" s="6" t="s">
        <v>45</v>
      </c>
      <c r="H600" s="8"/>
      <c r="I600" s="8"/>
      <c r="J600" s="8"/>
      <c r="K600" s="8"/>
      <c r="L600" s="8"/>
      <c r="M600" s="8"/>
      <c r="N600" s="8"/>
      <c r="O600" s="8"/>
      <c r="P600" s="8"/>
      <c r="Q600" s="8"/>
      <c r="R600" s="8"/>
      <c r="S600" s="8"/>
      <c r="T600" s="8"/>
      <c r="U600" s="8"/>
      <c r="V600" s="8"/>
      <c r="W600" s="8"/>
      <c r="X600" s="8"/>
      <c r="Y600" s="8"/>
      <c r="Z600" s="8"/>
    </row>
    <row r="601" spans="1:26" ht="15.75" customHeight="1" x14ac:dyDescent="0.25">
      <c r="A601" s="6" t="s">
        <v>95</v>
      </c>
      <c r="B601" s="8"/>
      <c r="C601" s="8"/>
      <c r="D601" s="8"/>
      <c r="E601" s="8"/>
      <c r="F601" s="6" t="s">
        <v>116</v>
      </c>
      <c r="G601" s="6" t="s">
        <v>45</v>
      </c>
      <c r="H601" s="8"/>
      <c r="I601" s="8"/>
      <c r="J601" s="8"/>
      <c r="K601" s="8"/>
      <c r="L601" s="8"/>
      <c r="M601" s="8"/>
      <c r="N601" s="8"/>
      <c r="O601" s="8"/>
      <c r="P601" s="8"/>
      <c r="Q601" s="8"/>
      <c r="R601" s="8"/>
      <c r="S601" s="8"/>
      <c r="T601" s="8"/>
      <c r="U601" s="8"/>
      <c r="V601" s="8"/>
      <c r="W601" s="8"/>
      <c r="X601" s="8"/>
      <c r="Y601" s="8"/>
      <c r="Z601" s="8"/>
    </row>
    <row r="602" spans="1:26" ht="15.75" customHeight="1" x14ac:dyDescent="0.25">
      <c r="A602" s="6" t="s">
        <v>95</v>
      </c>
      <c r="B602" s="8"/>
      <c r="C602" s="8"/>
      <c r="D602" s="8"/>
      <c r="E602" s="8"/>
      <c r="F602" s="6" t="s">
        <v>116</v>
      </c>
      <c r="G602" s="6" t="s">
        <v>45</v>
      </c>
      <c r="H602" s="8"/>
      <c r="I602" s="8"/>
      <c r="J602" s="8"/>
      <c r="K602" s="8"/>
      <c r="L602" s="8"/>
      <c r="M602" s="8"/>
      <c r="N602" s="8"/>
      <c r="O602" s="8"/>
      <c r="P602" s="8"/>
      <c r="Q602" s="8"/>
      <c r="R602" s="8"/>
      <c r="S602" s="8"/>
      <c r="T602" s="8"/>
      <c r="U602" s="8"/>
      <c r="V602" s="8"/>
      <c r="W602" s="8"/>
      <c r="X602" s="8"/>
      <c r="Y602" s="8"/>
      <c r="Z602" s="8"/>
    </row>
    <row r="603" spans="1:26" ht="15.75" customHeight="1" x14ac:dyDescent="0.25">
      <c r="A603" s="6" t="s">
        <v>95</v>
      </c>
      <c r="B603" s="8"/>
      <c r="C603" s="8"/>
      <c r="D603" s="8"/>
      <c r="E603" s="8"/>
      <c r="F603" s="6" t="s">
        <v>116</v>
      </c>
      <c r="G603" s="6" t="s">
        <v>45</v>
      </c>
      <c r="H603" s="8"/>
      <c r="I603" s="8"/>
      <c r="J603" s="8"/>
      <c r="K603" s="8"/>
      <c r="L603" s="8"/>
      <c r="M603" s="8"/>
      <c r="N603" s="8"/>
      <c r="O603" s="8"/>
      <c r="P603" s="8"/>
      <c r="Q603" s="8"/>
      <c r="R603" s="8"/>
      <c r="S603" s="8"/>
      <c r="T603" s="8"/>
      <c r="U603" s="8"/>
      <c r="V603" s="8"/>
      <c r="W603" s="8"/>
      <c r="X603" s="8"/>
      <c r="Y603" s="8"/>
      <c r="Z603" s="8"/>
    </row>
    <row r="604" spans="1:26" ht="15.75" customHeight="1" x14ac:dyDescent="0.25">
      <c r="A604" s="6" t="s">
        <v>95</v>
      </c>
      <c r="B604" s="8"/>
      <c r="C604" s="8"/>
      <c r="D604" s="8"/>
      <c r="E604" s="8"/>
      <c r="F604" s="6" t="s">
        <v>116</v>
      </c>
      <c r="G604" s="6" t="s">
        <v>45</v>
      </c>
      <c r="H604" s="8"/>
      <c r="I604" s="8"/>
      <c r="J604" s="8"/>
      <c r="K604" s="8"/>
      <c r="L604" s="8"/>
      <c r="M604" s="8"/>
      <c r="N604" s="8"/>
      <c r="O604" s="8"/>
      <c r="P604" s="8"/>
      <c r="Q604" s="8"/>
      <c r="R604" s="8"/>
      <c r="S604" s="8"/>
      <c r="T604" s="8"/>
      <c r="U604" s="8"/>
      <c r="V604" s="8"/>
      <c r="W604" s="8"/>
      <c r="X604" s="8"/>
      <c r="Y604" s="8"/>
      <c r="Z604" s="8"/>
    </row>
    <row r="605" spans="1:26" ht="15.75" customHeight="1" x14ac:dyDescent="0.25">
      <c r="A605" s="6" t="s">
        <v>95</v>
      </c>
      <c r="B605" s="8"/>
      <c r="C605" s="8"/>
      <c r="D605" s="8"/>
      <c r="E605" s="8"/>
      <c r="F605" s="6" t="s">
        <v>116</v>
      </c>
      <c r="G605" s="6" t="s">
        <v>45</v>
      </c>
      <c r="H605" s="8"/>
      <c r="I605" s="8"/>
      <c r="J605" s="8"/>
      <c r="K605" s="8"/>
      <c r="L605" s="8"/>
      <c r="M605" s="8"/>
      <c r="N605" s="8"/>
      <c r="O605" s="8"/>
      <c r="P605" s="8"/>
      <c r="Q605" s="8"/>
      <c r="R605" s="8"/>
      <c r="S605" s="8"/>
      <c r="T605" s="8"/>
      <c r="U605" s="8"/>
      <c r="V605" s="8"/>
      <c r="W605" s="8"/>
      <c r="X605" s="8"/>
      <c r="Y605" s="8"/>
      <c r="Z605" s="8"/>
    </row>
    <row r="606" spans="1:26" ht="15.75" customHeight="1" x14ac:dyDescent="0.25">
      <c r="A606" s="6" t="s">
        <v>95</v>
      </c>
      <c r="B606" s="8"/>
      <c r="C606" s="8"/>
      <c r="D606" s="8"/>
      <c r="E606" s="8"/>
      <c r="F606" s="6" t="s">
        <v>116</v>
      </c>
      <c r="G606" s="6" t="s">
        <v>45</v>
      </c>
      <c r="H606" s="8"/>
      <c r="I606" s="8"/>
      <c r="J606" s="8"/>
      <c r="K606" s="8"/>
      <c r="L606" s="8"/>
      <c r="M606" s="8"/>
      <c r="N606" s="8"/>
      <c r="O606" s="8"/>
      <c r="P606" s="8"/>
      <c r="Q606" s="8"/>
      <c r="R606" s="8"/>
      <c r="S606" s="8"/>
      <c r="T606" s="8"/>
      <c r="U606" s="8"/>
      <c r="V606" s="8"/>
      <c r="W606" s="8"/>
      <c r="X606" s="8"/>
      <c r="Y606" s="8"/>
      <c r="Z606" s="8"/>
    </row>
    <row r="607" spans="1:26" ht="15.75" customHeight="1" x14ac:dyDescent="0.25">
      <c r="A607" s="6" t="s">
        <v>95</v>
      </c>
      <c r="B607" s="8"/>
      <c r="C607" s="8"/>
      <c r="D607" s="8"/>
      <c r="E607" s="8"/>
      <c r="F607" s="6" t="s">
        <v>116</v>
      </c>
      <c r="G607" s="6" t="s">
        <v>45</v>
      </c>
      <c r="H607" s="8"/>
      <c r="I607" s="8"/>
      <c r="J607" s="8"/>
      <c r="K607" s="8"/>
      <c r="L607" s="8"/>
      <c r="M607" s="8"/>
      <c r="N607" s="8"/>
      <c r="O607" s="8"/>
      <c r="P607" s="8"/>
      <c r="Q607" s="8"/>
      <c r="R607" s="8"/>
      <c r="S607" s="8"/>
      <c r="T607" s="8"/>
      <c r="U607" s="8"/>
      <c r="V607" s="8"/>
      <c r="W607" s="8"/>
      <c r="X607" s="8"/>
      <c r="Y607" s="8"/>
      <c r="Z607" s="8"/>
    </row>
    <row r="608" spans="1:26" ht="15.75" customHeight="1" x14ac:dyDescent="0.25">
      <c r="A608" s="6" t="s">
        <v>95</v>
      </c>
      <c r="B608" s="8"/>
      <c r="C608" s="8"/>
      <c r="D608" s="8"/>
      <c r="E608" s="8"/>
      <c r="F608" s="6" t="s">
        <v>116</v>
      </c>
      <c r="G608" s="6" t="s">
        <v>45</v>
      </c>
      <c r="H608" s="8"/>
      <c r="I608" s="8"/>
      <c r="J608" s="8"/>
      <c r="K608" s="8"/>
      <c r="L608" s="8"/>
      <c r="M608" s="8"/>
      <c r="N608" s="8"/>
      <c r="O608" s="8"/>
      <c r="P608" s="8"/>
      <c r="Q608" s="8"/>
      <c r="R608" s="8"/>
      <c r="S608" s="8"/>
      <c r="T608" s="8"/>
      <c r="U608" s="8"/>
      <c r="V608" s="8"/>
      <c r="W608" s="8"/>
      <c r="X608" s="8"/>
      <c r="Y608" s="8"/>
      <c r="Z608" s="8"/>
    </row>
    <row r="609" spans="1:26" ht="15.75" customHeight="1" x14ac:dyDescent="0.25">
      <c r="A609" s="6" t="s">
        <v>95</v>
      </c>
      <c r="B609" s="8"/>
      <c r="C609" s="8"/>
      <c r="D609" s="8"/>
      <c r="E609" s="8"/>
      <c r="F609" s="6" t="s">
        <v>116</v>
      </c>
      <c r="G609" s="6" t="s">
        <v>45</v>
      </c>
      <c r="H609" s="8"/>
      <c r="I609" s="8"/>
      <c r="J609" s="8"/>
      <c r="K609" s="8"/>
      <c r="L609" s="8"/>
      <c r="M609" s="8"/>
      <c r="N609" s="8"/>
      <c r="O609" s="8"/>
      <c r="P609" s="8"/>
      <c r="Q609" s="8"/>
      <c r="R609" s="8"/>
      <c r="S609" s="8"/>
      <c r="T609" s="8"/>
      <c r="U609" s="8"/>
      <c r="V609" s="8"/>
      <c r="W609" s="8"/>
      <c r="X609" s="8"/>
      <c r="Y609" s="8"/>
      <c r="Z609" s="8"/>
    </row>
    <row r="610" spans="1:26" ht="15.75" customHeight="1" x14ac:dyDescent="0.25">
      <c r="A610" s="6" t="s">
        <v>95</v>
      </c>
      <c r="B610" s="8"/>
      <c r="C610" s="8"/>
      <c r="D610" s="8"/>
      <c r="E610" s="8"/>
      <c r="F610" s="6" t="s">
        <v>116</v>
      </c>
      <c r="G610" s="6" t="s">
        <v>45</v>
      </c>
      <c r="H610" s="8"/>
      <c r="I610" s="8"/>
      <c r="J610" s="8"/>
      <c r="K610" s="8"/>
      <c r="L610" s="8"/>
      <c r="M610" s="8"/>
      <c r="N610" s="8"/>
      <c r="O610" s="8"/>
      <c r="P610" s="8"/>
      <c r="Q610" s="8"/>
      <c r="R610" s="8"/>
      <c r="S610" s="8"/>
      <c r="T610" s="8"/>
      <c r="U610" s="8"/>
      <c r="V610" s="8"/>
      <c r="W610" s="8"/>
      <c r="X610" s="8"/>
      <c r="Y610" s="8"/>
      <c r="Z610" s="8"/>
    </row>
    <row r="611" spans="1:26" ht="15.75" customHeight="1" x14ac:dyDescent="0.25">
      <c r="A611" s="6" t="s">
        <v>95</v>
      </c>
      <c r="B611" s="8"/>
      <c r="C611" s="8"/>
      <c r="D611" s="8"/>
      <c r="E611" s="8"/>
      <c r="F611" s="6" t="s">
        <v>116</v>
      </c>
      <c r="G611" s="6" t="s">
        <v>45</v>
      </c>
      <c r="H611" s="8"/>
      <c r="I611" s="8"/>
      <c r="J611" s="8"/>
      <c r="K611" s="8"/>
      <c r="L611" s="8"/>
      <c r="M611" s="8"/>
      <c r="N611" s="8"/>
      <c r="O611" s="8"/>
      <c r="P611" s="8"/>
      <c r="Q611" s="8"/>
      <c r="R611" s="8"/>
      <c r="S611" s="8"/>
      <c r="T611" s="8"/>
      <c r="U611" s="8"/>
      <c r="V611" s="8"/>
      <c r="W611" s="8"/>
      <c r="X611" s="8"/>
      <c r="Y611" s="8"/>
      <c r="Z611" s="8"/>
    </row>
    <row r="612" spans="1:26" ht="15.75" customHeight="1" x14ac:dyDescent="0.25">
      <c r="A612" s="6" t="s">
        <v>95</v>
      </c>
      <c r="B612" s="8"/>
      <c r="C612" s="8"/>
      <c r="D612" s="8"/>
      <c r="E612" s="8"/>
      <c r="F612" s="6" t="s">
        <v>116</v>
      </c>
      <c r="G612" s="6" t="s">
        <v>45</v>
      </c>
      <c r="H612" s="8"/>
      <c r="I612" s="8"/>
      <c r="J612" s="8"/>
      <c r="K612" s="8"/>
      <c r="L612" s="8"/>
      <c r="M612" s="8"/>
      <c r="N612" s="8"/>
      <c r="O612" s="8"/>
      <c r="P612" s="8"/>
      <c r="Q612" s="8"/>
      <c r="R612" s="8"/>
      <c r="S612" s="8"/>
      <c r="T612" s="8"/>
      <c r="U612" s="8"/>
      <c r="V612" s="8"/>
      <c r="W612" s="8"/>
      <c r="X612" s="8"/>
      <c r="Y612" s="8"/>
      <c r="Z612" s="8"/>
    </row>
    <row r="613" spans="1:26" ht="15.75" customHeight="1" x14ac:dyDescent="0.25">
      <c r="A613" s="6" t="s">
        <v>95</v>
      </c>
      <c r="B613" s="8"/>
      <c r="C613" s="8"/>
      <c r="D613" s="8"/>
      <c r="E613" s="8"/>
      <c r="F613" s="6" t="s">
        <v>116</v>
      </c>
      <c r="G613" s="6" t="s">
        <v>45</v>
      </c>
      <c r="H613" s="8"/>
      <c r="I613" s="8"/>
      <c r="J613" s="8"/>
      <c r="K613" s="8"/>
      <c r="L613" s="8"/>
      <c r="M613" s="8"/>
      <c r="N613" s="8"/>
      <c r="O613" s="8"/>
      <c r="P613" s="8"/>
      <c r="Q613" s="8"/>
      <c r="R613" s="8"/>
      <c r="S613" s="8"/>
      <c r="T613" s="8"/>
      <c r="U613" s="8"/>
      <c r="V613" s="8"/>
      <c r="W613" s="8"/>
      <c r="X613" s="8"/>
      <c r="Y613" s="8"/>
      <c r="Z613" s="8"/>
    </row>
    <row r="614" spans="1:26" ht="15.75" customHeight="1" x14ac:dyDescent="0.25">
      <c r="A614" s="6" t="s">
        <v>95</v>
      </c>
      <c r="B614" s="8"/>
      <c r="C614" s="8"/>
      <c r="D614" s="8"/>
      <c r="E614" s="8"/>
      <c r="F614" s="6" t="s">
        <v>116</v>
      </c>
      <c r="G614" s="6" t="s">
        <v>45</v>
      </c>
      <c r="H614" s="8"/>
      <c r="I614" s="8"/>
      <c r="J614" s="8"/>
      <c r="K614" s="8"/>
      <c r="L614" s="8"/>
      <c r="M614" s="8"/>
      <c r="N614" s="8"/>
      <c r="O614" s="8"/>
      <c r="P614" s="8"/>
      <c r="Q614" s="8"/>
      <c r="R614" s="8"/>
      <c r="S614" s="8"/>
      <c r="T614" s="8"/>
      <c r="U614" s="8"/>
      <c r="V614" s="8"/>
      <c r="W614" s="8"/>
      <c r="X614" s="8"/>
      <c r="Y614" s="8"/>
      <c r="Z614" s="8"/>
    </row>
    <row r="615" spans="1:26" ht="15.75" customHeight="1" x14ac:dyDescent="0.25">
      <c r="A615" s="6" t="s">
        <v>95</v>
      </c>
      <c r="B615" s="8"/>
      <c r="C615" s="8"/>
      <c r="D615" s="8"/>
      <c r="E615" s="8"/>
      <c r="F615" s="6" t="s">
        <v>116</v>
      </c>
      <c r="G615" s="6" t="s">
        <v>45</v>
      </c>
      <c r="H615" s="8"/>
      <c r="I615" s="8"/>
      <c r="J615" s="8"/>
      <c r="K615" s="8"/>
      <c r="L615" s="8"/>
      <c r="M615" s="8"/>
      <c r="N615" s="8"/>
      <c r="O615" s="8"/>
      <c r="P615" s="8"/>
      <c r="Q615" s="8"/>
      <c r="R615" s="8"/>
      <c r="S615" s="8"/>
      <c r="T615" s="8"/>
      <c r="U615" s="8"/>
      <c r="V615" s="8"/>
      <c r="W615" s="8"/>
      <c r="X615" s="8"/>
      <c r="Y615" s="8"/>
      <c r="Z615" s="8"/>
    </row>
    <row r="616" spans="1:26" ht="15.75" customHeight="1" x14ac:dyDescent="0.25">
      <c r="A616" s="6" t="s">
        <v>95</v>
      </c>
      <c r="B616" s="8"/>
      <c r="C616" s="8"/>
      <c r="D616" s="8"/>
      <c r="E616" s="8"/>
      <c r="F616" s="6" t="s">
        <v>116</v>
      </c>
      <c r="G616" s="6" t="s">
        <v>45</v>
      </c>
      <c r="H616" s="8"/>
      <c r="I616" s="8"/>
      <c r="J616" s="8"/>
      <c r="K616" s="8"/>
      <c r="L616" s="8"/>
      <c r="M616" s="8"/>
      <c r="N616" s="8"/>
      <c r="O616" s="8"/>
      <c r="P616" s="8"/>
      <c r="Q616" s="8"/>
      <c r="R616" s="8"/>
      <c r="S616" s="8"/>
      <c r="T616" s="8"/>
      <c r="U616" s="8"/>
      <c r="V616" s="8"/>
      <c r="W616" s="8"/>
      <c r="X616" s="8"/>
      <c r="Y616" s="8"/>
      <c r="Z616" s="8"/>
    </row>
    <row r="617" spans="1:26" ht="15.75" customHeight="1" x14ac:dyDescent="0.25">
      <c r="A617" s="6" t="s">
        <v>95</v>
      </c>
      <c r="B617" s="8"/>
      <c r="C617" s="8"/>
      <c r="D617" s="8"/>
      <c r="E617" s="8"/>
      <c r="F617" s="6" t="s">
        <v>116</v>
      </c>
      <c r="G617" s="6" t="s">
        <v>45</v>
      </c>
      <c r="H617" s="8"/>
      <c r="I617" s="8"/>
      <c r="J617" s="8"/>
      <c r="K617" s="8"/>
      <c r="L617" s="8"/>
      <c r="M617" s="8"/>
      <c r="N617" s="8"/>
      <c r="O617" s="8"/>
      <c r="P617" s="8"/>
      <c r="Q617" s="8"/>
      <c r="R617" s="8"/>
      <c r="S617" s="8"/>
      <c r="T617" s="8"/>
      <c r="U617" s="8"/>
      <c r="V617" s="8"/>
      <c r="W617" s="8"/>
      <c r="X617" s="8"/>
      <c r="Y617" s="8"/>
      <c r="Z617" s="8"/>
    </row>
    <row r="618" spans="1:26" ht="15.75" customHeight="1" x14ac:dyDescent="0.25">
      <c r="A618" s="6" t="s">
        <v>95</v>
      </c>
      <c r="B618" s="8"/>
      <c r="C618" s="8"/>
      <c r="D618" s="8"/>
      <c r="E618" s="8"/>
      <c r="F618" s="6" t="s">
        <v>116</v>
      </c>
      <c r="G618" s="6" t="s">
        <v>45</v>
      </c>
      <c r="H618" s="8"/>
      <c r="I618" s="8"/>
      <c r="J618" s="8"/>
      <c r="K618" s="8"/>
      <c r="L618" s="8"/>
      <c r="M618" s="8"/>
      <c r="N618" s="8"/>
      <c r="O618" s="8"/>
      <c r="P618" s="8"/>
      <c r="Q618" s="8"/>
      <c r="R618" s="8"/>
      <c r="S618" s="8"/>
      <c r="T618" s="8"/>
      <c r="U618" s="8"/>
      <c r="V618" s="8"/>
      <c r="W618" s="8"/>
      <c r="X618" s="8"/>
      <c r="Y618" s="8"/>
      <c r="Z618" s="8"/>
    </row>
    <row r="619" spans="1:26" ht="15.75" customHeight="1" x14ac:dyDescent="0.25">
      <c r="A619" s="6" t="s">
        <v>95</v>
      </c>
      <c r="B619" s="8"/>
      <c r="C619" s="8"/>
      <c r="D619" s="8"/>
      <c r="E619" s="8"/>
      <c r="F619" s="6" t="s">
        <v>116</v>
      </c>
      <c r="G619" s="6" t="s">
        <v>45</v>
      </c>
      <c r="H619" s="8"/>
      <c r="I619" s="8"/>
      <c r="J619" s="8"/>
      <c r="K619" s="8"/>
      <c r="L619" s="8"/>
      <c r="M619" s="8"/>
      <c r="N619" s="8"/>
      <c r="O619" s="8"/>
      <c r="P619" s="8"/>
      <c r="Q619" s="8"/>
      <c r="R619" s="8"/>
      <c r="S619" s="8"/>
      <c r="T619" s="8"/>
      <c r="U619" s="8"/>
      <c r="V619" s="8"/>
      <c r="W619" s="8"/>
      <c r="X619" s="8"/>
      <c r="Y619" s="8"/>
      <c r="Z619" s="8"/>
    </row>
    <row r="620" spans="1:26" ht="15.75" customHeight="1" x14ac:dyDescent="0.25">
      <c r="A620" s="6" t="s">
        <v>95</v>
      </c>
      <c r="B620" s="8"/>
      <c r="C620" s="8"/>
      <c r="D620" s="8"/>
      <c r="E620" s="8"/>
      <c r="F620" s="6" t="s">
        <v>116</v>
      </c>
      <c r="G620" s="6" t="s">
        <v>45</v>
      </c>
      <c r="H620" s="8"/>
      <c r="I620" s="8"/>
      <c r="J620" s="8"/>
      <c r="K620" s="8"/>
      <c r="L620" s="8"/>
      <c r="M620" s="8"/>
      <c r="N620" s="8"/>
      <c r="O620" s="8"/>
      <c r="P620" s="8"/>
      <c r="Q620" s="8"/>
      <c r="R620" s="8"/>
      <c r="S620" s="8"/>
      <c r="T620" s="8"/>
      <c r="U620" s="8"/>
      <c r="V620" s="8"/>
      <c r="W620" s="8"/>
      <c r="X620" s="8"/>
      <c r="Y620" s="8"/>
      <c r="Z620" s="8"/>
    </row>
    <row r="621" spans="1:26" ht="15.75" customHeight="1" x14ac:dyDescent="0.25">
      <c r="A621" s="6" t="s">
        <v>95</v>
      </c>
      <c r="B621" s="8"/>
      <c r="C621" s="8"/>
      <c r="D621" s="8"/>
      <c r="E621" s="8"/>
      <c r="F621" s="6" t="s">
        <v>116</v>
      </c>
      <c r="G621" s="6" t="s">
        <v>45</v>
      </c>
      <c r="H621" s="8"/>
      <c r="I621" s="8"/>
      <c r="J621" s="8"/>
      <c r="K621" s="8"/>
      <c r="L621" s="8"/>
      <c r="M621" s="8"/>
      <c r="N621" s="8"/>
      <c r="O621" s="8"/>
      <c r="P621" s="8"/>
      <c r="Q621" s="8"/>
      <c r="R621" s="8"/>
      <c r="S621" s="8"/>
      <c r="T621" s="8"/>
      <c r="U621" s="8"/>
      <c r="V621" s="8"/>
      <c r="W621" s="8"/>
      <c r="X621" s="8"/>
      <c r="Y621" s="8"/>
      <c r="Z621" s="8"/>
    </row>
    <row r="622" spans="1:26" ht="15.75" customHeight="1" x14ac:dyDescent="0.25">
      <c r="A622" s="6" t="s">
        <v>95</v>
      </c>
      <c r="B622" s="8"/>
      <c r="C622" s="8"/>
      <c r="D622" s="8"/>
      <c r="E622" s="8"/>
      <c r="F622" s="6" t="s">
        <v>116</v>
      </c>
      <c r="G622" s="6" t="s">
        <v>45</v>
      </c>
      <c r="H622" s="8"/>
      <c r="I622" s="8"/>
      <c r="J622" s="8"/>
      <c r="K622" s="8"/>
      <c r="L622" s="8"/>
      <c r="M622" s="8"/>
      <c r="N622" s="8"/>
      <c r="O622" s="8"/>
      <c r="P622" s="8"/>
      <c r="Q622" s="8"/>
      <c r="R622" s="8"/>
      <c r="S622" s="8"/>
      <c r="T622" s="8"/>
      <c r="U622" s="8"/>
      <c r="V622" s="8"/>
      <c r="W622" s="8"/>
      <c r="X622" s="8"/>
      <c r="Y622" s="8"/>
      <c r="Z622" s="8"/>
    </row>
    <row r="623" spans="1:26" ht="15.75" customHeight="1" x14ac:dyDescent="0.25">
      <c r="A623" s="6" t="s">
        <v>95</v>
      </c>
      <c r="B623" s="8"/>
      <c r="C623" s="8"/>
      <c r="D623" s="8"/>
      <c r="E623" s="8"/>
      <c r="F623" s="6" t="s">
        <v>116</v>
      </c>
      <c r="G623" s="6" t="s">
        <v>45</v>
      </c>
      <c r="H623" s="8"/>
      <c r="I623" s="8"/>
      <c r="J623" s="8"/>
      <c r="K623" s="8"/>
      <c r="L623" s="8"/>
      <c r="M623" s="8"/>
      <c r="N623" s="8"/>
      <c r="O623" s="8"/>
      <c r="P623" s="8"/>
      <c r="Q623" s="8"/>
      <c r="R623" s="8"/>
      <c r="S623" s="8"/>
      <c r="T623" s="8"/>
      <c r="U623" s="8"/>
      <c r="V623" s="8"/>
      <c r="W623" s="8"/>
      <c r="X623" s="8"/>
      <c r="Y623" s="8"/>
      <c r="Z623" s="8"/>
    </row>
    <row r="624" spans="1:26" ht="15.75" customHeight="1" x14ac:dyDescent="0.25">
      <c r="A624" s="6" t="s">
        <v>95</v>
      </c>
      <c r="B624" s="8"/>
      <c r="C624" s="8"/>
      <c r="D624" s="8"/>
      <c r="E624" s="8"/>
      <c r="F624" s="6" t="s">
        <v>116</v>
      </c>
      <c r="G624" s="6" t="s">
        <v>45</v>
      </c>
      <c r="H624" s="8"/>
      <c r="I624" s="8"/>
      <c r="J624" s="8"/>
      <c r="K624" s="8"/>
      <c r="L624" s="8"/>
      <c r="M624" s="8"/>
      <c r="N624" s="8"/>
      <c r="O624" s="8"/>
      <c r="P624" s="8"/>
      <c r="Q624" s="8"/>
      <c r="R624" s="8"/>
      <c r="S624" s="8"/>
      <c r="T624" s="8"/>
      <c r="U624" s="8"/>
      <c r="V624" s="8"/>
      <c r="W624" s="8"/>
      <c r="X624" s="8"/>
      <c r="Y624" s="8"/>
      <c r="Z624" s="8"/>
    </row>
    <row r="625" spans="1:26" ht="15.75" customHeight="1" x14ac:dyDescent="0.25">
      <c r="A625" s="6" t="s">
        <v>95</v>
      </c>
      <c r="B625" s="8"/>
      <c r="C625" s="8"/>
      <c r="D625" s="8"/>
      <c r="E625" s="8"/>
      <c r="F625" s="6" t="s">
        <v>116</v>
      </c>
      <c r="G625" s="6" t="s">
        <v>45</v>
      </c>
      <c r="H625" s="8"/>
      <c r="I625" s="8"/>
      <c r="J625" s="8"/>
      <c r="K625" s="8"/>
      <c r="L625" s="8"/>
      <c r="M625" s="8"/>
      <c r="N625" s="8"/>
      <c r="O625" s="8"/>
      <c r="P625" s="8"/>
      <c r="Q625" s="8"/>
      <c r="R625" s="8"/>
      <c r="S625" s="8"/>
      <c r="T625" s="8"/>
      <c r="U625" s="8"/>
      <c r="V625" s="8"/>
      <c r="W625" s="8"/>
      <c r="X625" s="8"/>
      <c r="Y625" s="8"/>
      <c r="Z625" s="8"/>
    </row>
    <row r="626" spans="1:26" ht="15.75" customHeight="1" x14ac:dyDescent="0.25">
      <c r="A626" s="6" t="s">
        <v>95</v>
      </c>
      <c r="B626" s="8"/>
      <c r="C626" s="8"/>
      <c r="D626" s="8"/>
      <c r="E626" s="8"/>
      <c r="F626" s="6" t="s">
        <v>116</v>
      </c>
      <c r="G626" s="6" t="s">
        <v>45</v>
      </c>
      <c r="H626" s="8"/>
      <c r="I626" s="8"/>
      <c r="J626" s="8"/>
      <c r="K626" s="8"/>
      <c r="L626" s="8"/>
      <c r="M626" s="8"/>
      <c r="N626" s="8"/>
      <c r="O626" s="8"/>
      <c r="P626" s="8"/>
      <c r="Q626" s="8"/>
      <c r="R626" s="8"/>
      <c r="S626" s="8"/>
      <c r="T626" s="8"/>
      <c r="U626" s="8"/>
      <c r="V626" s="8"/>
      <c r="W626" s="8"/>
      <c r="X626" s="8"/>
      <c r="Y626" s="8"/>
      <c r="Z626" s="8"/>
    </row>
    <row r="627" spans="1:26" ht="15.75" customHeight="1" x14ac:dyDescent="0.25">
      <c r="A627" s="6" t="s">
        <v>95</v>
      </c>
      <c r="B627" s="8"/>
      <c r="C627" s="8"/>
      <c r="D627" s="8"/>
      <c r="E627" s="8"/>
      <c r="F627" s="6" t="s">
        <v>116</v>
      </c>
      <c r="G627" s="6" t="s">
        <v>45</v>
      </c>
      <c r="H627" s="8"/>
      <c r="I627" s="8"/>
      <c r="J627" s="8"/>
      <c r="K627" s="8"/>
      <c r="L627" s="8"/>
      <c r="M627" s="8"/>
      <c r="N627" s="8"/>
      <c r="O627" s="8"/>
      <c r="P627" s="8"/>
      <c r="Q627" s="8"/>
      <c r="R627" s="8"/>
      <c r="S627" s="8"/>
      <c r="T627" s="8"/>
      <c r="U627" s="8"/>
      <c r="V627" s="8"/>
      <c r="W627" s="8"/>
      <c r="X627" s="8"/>
      <c r="Y627" s="8"/>
      <c r="Z627" s="8"/>
    </row>
    <row r="628" spans="1:26" ht="15.75" customHeight="1" x14ac:dyDescent="0.25">
      <c r="A628" s="6" t="s">
        <v>95</v>
      </c>
      <c r="B628" s="8"/>
      <c r="C628" s="8"/>
      <c r="D628" s="8"/>
      <c r="E628" s="8"/>
      <c r="F628" s="6" t="s">
        <v>116</v>
      </c>
      <c r="G628" s="6" t="s">
        <v>45</v>
      </c>
      <c r="H628" s="8"/>
      <c r="I628" s="8"/>
      <c r="J628" s="8"/>
      <c r="K628" s="8"/>
      <c r="L628" s="8"/>
      <c r="M628" s="8"/>
      <c r="N628" s="8"/>
      <c r="O628" s="8"/>
      <c r="P628" s="8"/>
      <c r="Q628" s="8"/>
      <c r="R628" s="8"/>
      <c r="S628" s="8"/>
      <c r="T628" s="8"/>
      <c r="U628" s="8"/>
      <c r="V628" s="8"/>
      <c r="W628" s="8"/>
      <c r="X628" s="8"/>
      <c r="Y628" s="8"/>
      <c r="Z628" s="8"/>
    </row>
    <row r="629" spans="1:26" ht="15.75" customHeight="1" x14ac:dyDescent="0.25">
      <c r="A629" s="6" t="s">
        <v>95</v>
      </c>
      <c r="B629" s="8"/>
      <c r="C629" s="8"/>
      <c r="D629" s="8"/>
      <c r="E629" s="8"/>
      <c r="F629" s="6" t="s">
        <v>116</v>
      </c>
      <c r="G629" s="6" t="s">
        <v>45</v>
      </c>
      <c r="H629" s="8"/>
      <c r="I629" s="8"/>
      <c r="J629" s="8"/>
      <c r="K629" s="8"/>
      <c r="L629" s="8"/>
      <c r="M629" s="8"/>
      <c r="N629" s="8"/>
      <c r="O629" s="8"/>
      <c r="P629" s="8"/>
      <c r="Q629" s="8"/>
      <c r="R629" s="8"/>
      <c r="S629" s="8"/>
      <c r="T629" s="8"/>
      <c r="U629" s="8"/>
      <c r="V629" s="8"/>
      <c r="W629" s="8"/>
      <c r="X629" s="8"/>
      <c r="Y629" s="8"/>
      <c r="Z629" s="8"/>
    </row>
    <row r="630" spans="1:26" ht="15.75" customHeight="1" x14ac:dyDescent="0.25">
      <c r="A630" s="6" t="s">
        <v>95</v>
      </c>
      <c r="B630" s="8"/>
      <c r="C630" s="8"/>
      <c r="D630" s="8"/>
      <c r="E630" s="8"/>
      <c r="F630" s="6" t="s">
        <v>116</v>
      </c>
      <c r="G630" s="6" t="s">
        <v>45</v>
      </c>
      <c r="H630" s="8"/>
      <c r="I630" s="8"/>
      <c r="J630" s="8"/>
      <c r="K630" s="8"/>
      <c r="L630" s="8"/>
      <c r="M630" s="8"/>
      <c r="N630" s="8"/>
      <c r="O630" s="8"/>
      <c r="P630" s="8"/>
      <c r="Q630" s="8"/>
      <c r="R630" s="8"/>
      <c r="S630" s="8"/>
      <c r="T630" s="8"/>
      <c r="U630" s="8"/>
      <c r="V630" s="8"/>
      <c r="W630" s="8"/>
      <c r="X630" s="8"/>
      <c r="Y630" s="8"/>
      <c r="Z630" s="8"/>
    </row>
    <row r="631" spans="1:26" ht="15.75" customHeight="1" x14ac:dyDescent="0.25">
      <c r="A631" s="6" t="s">
        <v>95</v>
      </c>
      <c r="B631" s="8"/>
      <c r="C631" s="8"/>
      <c r="D631" s="8"/>
      <c r="E631" s="8"/>
      <c r="F631" s="6" t="s">
        <v>116</v>
      </c>
      <c r="G631" s="8"/>
      <c r="H631" s="8"/>
      <c r="I631" s="8"/>
      <c r="J631" s="8"/>
      <c r="K631" s="8"/>
      <c r="L631" s="8"/>
      <c r="M631" s="8"/>
      <c r="N631" s="8"/>
      <c r="O631" s="8"/>
      <c r="P631" s="8"/>
      <c r="Q631" s="8"/>
      <c r="R631" s="8"/>
      <c r="S631" s="8"/>
      <c r="T631" s="8"/>
      <c r="U631" s="8"/>
      <c r="V631" s="8"/>
      <c r="W631" s="8"/>
      <c r="X631" s="8"/>
      <c r="Y631" s="8"/>
      <c r="Z631" s="8"/>
    </row>
    <row r="632" spans="1:26" ht="15.75" customHeight="1" x14ac:dyDescent="0.25">
      <c r="A632" s="6" t="s">
        <v>95</v>
      </c>
      <c r="B632" s="8"/>
      <c r="C632" s="8"/>
      <c r="D632" s="8"/>
      <c r="E632" s="8"/>
      <c r="F632" s="6" t="s">
        <v>116</v>
      </c>
      <c r="G632" s="8"/>
      <c r="H632" s="8"/>
      <c r="I632" s="8"/>
      <c r="J632" s="8"/>
      <c r="K632" s="8"/>
      <c r="L632" s="8"/>
      <c r="M632" s="8"/>
      <c r="N632" s="8"/>
      <c r="O632" s="8"/>
      <c r="P632" s="8"/>
      <c r="Q632" s="8"/>
      <c r="R632" s="8"/>
      <c r="S632" s="8"/>
      <c r="T632" s="8"/>
      <c r="U632" s="8"/>
      <c r="V632" s="8"/>
      <c r="W632" s="8"/>
      <c r="X632" s="8"/>
      <c r="Y632" s="8"/>
      <c r="Z632" s="8"/>
    </row>
    <row r="633" spans="1:26" ht="15.75" customHeight="1" x14ac:dyDescent="0.25">
      <c r="A633" s="6" t="s">
        <v>95</v>
      </c>
      <c r="B633" s="8"/>
      <c r="C633" s="8"/>
      <c r="D633" s="8"/>
      <c r="E633" s="8"/>
      <c r="F633" s="6" t="s">
        <v>116</v>
      </c>
      <c r="G633" s="8"/>
      <c r="H633" s="8"/>
      <c r="I633" s="8"/>
      <c r="J633" s="8"/>
      <c r="K633" s="8"/>
      <c r="L633" s="8"/>
      <c r="M633" s="8"/>
      <c r="N633" s="8"/>
      <c r="O633" s="8"/>
      <c r="P633" s="8"/>
      <c r="Q633" s="8"/>
      <c r="R633" s="8"/>
      <c r="S633" s="8"/>
      <c r="T633" s="8"/>
      <c r="U633" s="8"/>
      <c r="V633" s="8"/>
      <c r="W633" s="8"/>
      <c r="X633" s="8"/>
      <c r="Y633" s="8"/>
      <c r="Z633" s="8"/>
    </row>
    <row r="634" spans="1:26" ht="15.75" customHeight="1" x14ac:dyDescent="0.25">
      <c r="A634" s="6" t="s">
        <v>95</v>
      </c>
      <c r="B634" s="8"/>
      <c r="C634" s="8"/>
      <c r="D634" s="8"/>
      <c r="E634" s="8"/>
      <c r="F634" s="6" t="s">
        <v>116</v>
      </c>
      <c r="G634" s="8"/>
      <c r="H634" s="8"/>
      <c r="I634" s="8"/>
      <c r="J634" s="8"/>
      <c r="K634" s="8"/>
      <c r="L634" s="8"/>
      <c r="M634" s="8"/>
      <c r="N634" s="8"/>
      <c r="O634" s="8"/>
      <c r="P634" s="8"/>
      <c r="Q634" s="8"/>
      <c r="R634" s="8"/>
      <c r="S634" s="8"/>
      <c r="T634" s="8"/>
      <c r="U634" s="8"/>
      <c r="V634" s="8"/>
      <c r="W634" s="8"/>
      <c r="X634" s="8"/>
      <c r="Y634" s="8"/>
      <c r="Z634" s="8"/>
    </row>
    <row r="635" spans="1:26" ht="15.75" customHeight="1" x14ac:dyDescent="0.25">
      <c r="A635" s="6" t="s">
        <v>95</v>
      </c>
      <c r="B635" s="8"/>
      <c r="C635" s="8"/>
      <c r="D635" s="8"/>
      <c r="E635" s="8"/>
      <c r="F635" s="6" t="s">
        <v>116</v>
      </c>
      <c r="G635" s="8"/>
      <c r="H635" s="8"/>
      <c r="I635" s="8"/>
      <c r="J635" s="8"/>
      <c r="K635" s="8"/>
      <c r="L635" s="8"/>
      <c r="M635" s="8"/>
      <c r="N635" s="8"/>
      <c r="O635" s="8"/>
      <c r="P635" s="8"/>
      <c r="Q635" s="8"/>
      <c r="R635" s="8"/>
      <c r="S635" s="8"/>
      <c r="T635" s="8"/>
      <c r="U635" s="8"/>
      <c r="V635" s="8"/>
      <c r="W635" s="8"/>
      <c r="X635" s="8"/>
      <c r="Y635" s="8"/>
      <c r="Z635" s="8"/>
    </row>
    <row r="636" spans="1:26" ht="15.75" customHeight="1" x14ac:dyDescent="0.25">
      <c r="A636" s="6" t="s">
        <v>95</v>
      </c>
      <c r="B636" s="8"/>
      <c r="C636" s="8"/>
      <c r="D636" s="8"/>
      <c r="E636" s="8"/>
      <c r="F636" s="6" t="s">
        <v>116</v>
      </c>
      <c r="G636" s="8"/>
      <c r="H636" s="8"/>
      <c r="I636" s="8"/>
      <c r="J636" s="8"/>
      <c r="K636" s="8"/>
      <c r="L636" s="8"/>
      <c r="M636" s="8"/>
      <c r="N636" s="8"/>
      <c r="O636" s="8"/>
      <c r="P636" s="8"/>
      <c r="Q636" s="8"/>
      <c r="R636" s="8"/>
      <c r="S636" s="8"/>
      <c r="T636" s="8"/>
      <c r="U636" s="8"/>
      <c r="V636" s="8"/>
      <c r="W636" s="8"/>
      <c r="X636" s="8"/>
      <c r="Y636" s="8"/>
      <c r="Z636" s="8"/>
    </row>
    <row r="637" spans="1:26" ht="15.75" customHeight="1" x14ac:dyDescent="0.25">
      <c r="A637" s="6" t="s">
        <v>95</v>
      </c>
      <c r="B637" s="8"/>
      <c r="C637" s="8"/>
      <c r="D637" s="8"/>
      <c r="E637" s="8"/>
      <c r="F637" s="6" t="s">
        <v>116</v>
      </c>
      <c r="G637" s="8"/>
      <c r="H637" s="8"/>
      <c r="I637" s="8"/>
      <c r="J637" s="8"/>
      <c r="K637" s="8"/>
      <c r="L637" s="8"/>
      <c r="M637" s="8"/>
      <c r="N637" s="8"/>
      <c r="O637" s="8"/>
      <c r="P637" s="8"/>
      <c r="Q637" s="8"/>
      <c r="R637" s="8"/>
      <c r="S637" s="8"/>
      <c r="T637" s="8"/>
      <c r="U637" s="8"/>
      <c r="V637" s="8"/>
      <c r="W637" s="8"/>
      <c r="X637" s="8"/>
      <c r="Y637" s="8"/>
      <c r="Z637" s="8"/>
    </row>
    <row r="638" spans="1:26" ht="15.75" customHeight="1" x14ac:dyDescent="0.25">
      <c r="A638" s="6" t="s">
        <v>95</v>
      </c>
      <c r="B638" s="8"/>
      <c r="C638" s="8"/>
      <c r="D638" s="8"/>
      <c r="E638" s="8"/>
      <c r="F638" s="6" t="s">
        <v>116</v>
      </c>
      <c r="G638" s="8"/>
      <c r="H638" s="8"/>
      <c r="I638" s="8"/>
      <c r="J638" s="8"/>
      <c r="K638" s="8"/>
      <c r="L638" s="8"/>
      <c r="M638" s="8"/>
      <c r="N638" s="8"/>
      <c r="O638" s="8"/>
      <c r="P638" s="8"/>
      <c r="Q638" s="8"/>
      <c r="R638" s="8"/>
      <c r="S638" s="8"/>
      <c r="T638" s="8"/>
      <c r="U638" s="8"/>
      <c r="V638" s="8"/>
      <c r="W638" s="8"/>
      <c r="X638" s="8"/>
      <c r="Y638" s="8"/>
      <c r="Z638" s="8"/>
    </row>
    <row r="639" spans="1:26" ht="15.75" customHeight="1" x14ac:dyDescent="0.25">
      <c r="A639" s="6" t="s">
        <v>95</v>
      </c>
      <c r="B639" s="8"/>
      <c r="C639" s="8"/>
      <c r="D639" s="8"/>
      <c r="E639" s="8"/>
      <c r="F639" s="6" t="s">
        <v>116</v>
      </c>
      <c r="G639" s="8"/>
      <c r="H639" s="8"/>
      <c r="I639" s="8"/>
      <c r="J639" s="8"/>
      <c r="K639" s="8"/>
      <c r="L639" s="8"/>
      <c r="M639" s="8"/>
      <c r="N639" s="8"/>
      <c r="O639" s="8"/>
      <c r="P639" s="8"/>
      <c r="Q639" s="8"/>
      <c r="R639" s="8"/>
      <c r="S639" s="8"/>
      <c r="T639" s="8"/>
      <c r="U639" s="8"/>
      <c r="V639" s="8"/>
      <c r="W639" s="8"/>
      <c r="X639" s="8"/>
      <c r="Y639" s="8"/>
      <c r="Z639" s="8"/>
    </row>
    <row r="640" spans="1:26" ht="15.75" customHeight="1" x14ac:dyDescent="0.25">
      <c r="A640" s="6" t="s">
        <v>95</v>
      </c>
      <c r="B640" s="8"/>
      <c r="C640" s="8"/>
      <c r="D640" s="8"/>
      <c r="E640" s="8"/>
      <c r="F640" s="6" t="s">
        <v>116</v>
      </c>
      <c r="G640" s="8"/>
      <c r="H640" s="8"/>
      <c r="I640" s="8"/>
      <c r="J640" s="8"/>
      <c r="K640" s="8"/>
      <c r="L640" s="8"/>
      <c r="M640" s="8"/>
      <c r="N640" s="8"/>
      <c r="O640" s="8"/>
      <c r="P640" s="8"/>
      <c r="Q640" s="8"/>
      <c r="R640" s="8"/>
      <c r="S640" s="8"/>
      <c r="T640" s="8"/>
      <c r="U640" s="8"/>
      <c r="V640" s="8"/>
      <c r="W640" s="8"/>
      <c r="X640" s="8"/>
      <c r="Y640" s="8"/>
      <c r="Z640" s="8"/>
    </row>
    <row r="641" spans="1:26" ht="15.75" customHeight="1" x14ac:dyDescent="0.25">
      <c r="A641" s="6" t="s">
        <v>95</v>
      </c>
      <c r="B641" s="8"/>
      <c r="C641" s="8"/>
      <c r="D641" s="8"/>
      <c r="E641" s="8"/>
      <c r="F641" s="6" t="s">
        <v>116</v>
      </c>
      <c r="G641" s="8"/>
      <c r="H641" s="8"/>
      <c r="I641" s="8"/>
      <c r="J641" s="8"/>
      <c r="K641" s="8"/>
      <c r="L641" s="8"/>
      <c r="M641" s="8"/>
      <c r="N641" s="8"/>
      <c r="O641" s="8"/>
      <c r="P641" s="8"/>
      <c r="Q641" s="8"/>
      <c r="R641" s="8"/>
      <c r="S641" s="8"/>
      <c r="T641" s="8"/>
      <c r="U641" s="8"/>
      <c r="V641" s="8"/>
      <c r="W641" s="8"/>
      <c r="X641" s="8"/>
      <c r="Y641" s="8"/>
      <c r="Z641" s="8"/>
    </row>
    <row r="642" spans="1:26" ht="15.75" customHeight="1" x14ac:dyDescent="0.25">
      <c r="A642" s="6" t="s">
        <v>95</v>
      </c>
      <c r="B642" s="8"/>
      <c r="C642" s="8"/>
      <c r="D642" s="8"/>
      <c r="E642" s="8"/>
      <c r="F642" s="6" t="s">
        <v>116</v>
      </c>
      <c r="G642" s="8"/>
      <c r="H642" s="8"/>
      <c r="I642" s="8"/>
      <c r="J642" s="8"/>
      <c r="K642" s="8"/>
      <c r="L642" s="8"/>
      <c r="M642" s="8"/>
      <c r="N642" s="8"/>
      <c r="O642" s="8"/>
      <c r="P642" s="8"/>
      <c r="Q642" s="8"/>
      <c r="R642" s="8"/>
      <c r="S642" s="8"/>
      <c r="T642" s="8"/>
      <c r="U642" s="8"/>
      <c r="V642" s="8"/>
      <c r="W642" s="8"/>
      <c r="X642" s="8"/>
      <c r="Y642" s="8"/>
      <c r="Z642" s="8"/>
    </row>
    <row r="643" spans="1:26" ht="15.75" customHeight="1" x14ac:dyDescent="0.25">
      <c r="A643" s="6" t="s">
        <v>95</v>
      </c>
      <c r="B643" s="8"/>
      <c r="C643" s="8"/>
      <c r="D643" s="8"/>
      <c r="E643" s="8"/>
      <c r="F643" s="6" t="s">
        <v>116</v>
      </c>
      <c r="G643" s="8"/>
      <c r="H643" s="8"/>
      <c r="I643" s="8"/>
      <c r="J643" s="8"/>
      <c r="K643" s="8"/>
      <c r="L643" s="8"/>
      <c r="M643" s="8"/>
      <c r="N643" s="8"/>
      <c r="O643" s="8"/>
      <c r="P643" s="8"/>
      <c r="Q643" s="8"/>
      <c r="R643" s="8"/>
      <c r="S643" s="8"/>
      <c r="T643" s="8"/>
      <c r="U643" s="8"/>
      <c r="V643" s="8"/>
      <c r="W643" s="8"/>
      <c r="X643" s="8"/>
      <c r="Y643" s="8"/>
      <c r="Z643" s="8"/>
    </row>
    <row r="644" spans="1:26" ht="15.75" customHeight="1" x14ac:dyDescent="0.25">
      <c r="A644" s="6" t="s">
        <v>95</v>
      </c>
      <c r="B644" s="8"/>
      <c r="C644" s="8"/>
      <c r="D644" s="8"/>
      <c r="E644" s="8"/>
      <c r="F644" s="6" t="s">
        <v>116</v>
      </c>
      <c r="G644" s="8"/>
      <c r="H644" s="8"/>
      <c r="I644" s="8"/>
      <c r="J644" s="8"/>
      <c r="K644" s="8"/>
      <c r="L644" s="8"/>
      <c r="M644" s="8"/>
      <c r="N644" s="8"/>
      <c r="O644" s="8"/>
      <c r="P644" s="8"/>
      <c r="Q644" s="8"/>
      <c r="R644" s="8"/>
      <c r="S644" s="8"/>
      <c r="T644" s="8"/>
      <c r="U644" s="8"/>
      <c r="V644" s="8"/>
      <c r="W644" s="8"/>
      <c r="X644" s="8"/>
      <c r="Y644" s="8"/>
      <c r="Z644" s="8"/>
    </row>
    <row r="645" spans="1:26" ht="15.75" customHeight="1" x14ac:dyDescent="0.25">
      <c r="A645" s="6" t="s">
        <v>95</v>
      </c>
      <c r="B645" s="8"/>
      <c r="C645" s="8"/>
      <c r="D645" s="8"/>
      <c r="E645" s="8"/>
      <c r="F645" s="6" t="s">
        <v>116</v>
      </c>
      <c r="G645" s="8"/>
      <c r="H645" s="8"/>
      <c r="I645" s="8"/>
      <c r="J645" s="8"/>
      <c r="K645" s="8"/>
      <c r="L645" s="8"/>
      <c r="M645" s="8"/>
      <c r="N645" s="8"/>
      <c r="O645" s="8"/>
      <c r="P645" s="8"/>
      <c r="Q645" s="8"/>
      <c r="R645" s="8"/>
      <c r="S645" s="8"/>
      <c r="T645" s="8"/>
      <c r="U645" s="8"/>
      <c r="V645" s="8"/>
      <c r="W645" s="8"/>
      <c r="X645" s="8"/>
      <c r="Y645" s="8"/>
      <c r="Z645" s="8"/>
    </row>
    <row r="646" spans="1:26" ht="15.75" customHeight="1" x14ac:dyDescent="0.25">
      <c r="A646" s="6" t="s">
        <v>95</v>
      </c>
      <c r="B646" s="8"/>
      <c r="C646" s="8"/>
      <c r="D646" s="8"/>
      <c r="E646" s="8"/>
      <c r="F646" s="6" t="s">
        <v>116</v>
      </c>
      <c r="G646" s="8"/>
      <c r="H646" s="8"/>
      <c r="I646" s="8"/>
      <c r="J646" s="8"/>
      <c r="K646" s="8"/>
      <c r="L646" s="8"/>
      <c r="M646" s="8"/>
      <c r="N646" s="8"/>
      <c r="O646" s="8"/>
      <c r="P646" s="8"/>
      <c r="Q646" s="8"/>
      <c r="R646" s="8"/>
      <c r="S646" s="8"/>
      <c r="T646" s="8"/>
      <c r="U646" s="8"/>
      <c r="V646" s="8"/>
      <c r="W646" s="8"/>
      <c r="X646" s="8"/>
      <c r="Y646" s="8"/>
      <c r="Z646" s="8"/>
    </row>
    <row r="647" spans="1:26" ht="15.75" customHeight="1" x14ac:dyDescent="0.25">
      <c r="A647" s="6" t="s">
        <v>95</v>
      </c>
      <c r="B647" s="8"/>
      <c r="C647" s="8"/>
      <c r="D647" s="8"/>
      <c r="E647" s="8"/>
      <c r="F647" s="6" t="s">
        <v>116</v>
      </c>
      <c r="G647" s="8"/>
      <c r="H647" s="8"/>
      <c r="I647" s="8"/>
      <c r="J647" s="8"/>
      <c r="K647" s="8"/>
      <c r="L647" s="8"/>
      <c r="M647" s="8"/>
      <c r="N647" s="8"/>
      <c r="O647" s="8"/>
      <c r="P647" s="8"/>
      <c r="Q647" s="8"/>
      <c r="R647" s="8"/>
      <c r="S647" s="8"/>
      <c r="T647" s="8"/>
      <c r="U647" s="8"/>
      <c r="V647" s="8"/>
      <c r="W647" s="8"/>
      <c r="X647" s="8"/>
      <c r="Y647" s="8"/>
      <c r="Z647" s="8"/>
    </row>
    <row r="648" spans="1:26" ht="15.75" customHeight="1" x14ac:dyDescent="0.25">
      <c r="A648" s="6" t="s">
        <v>95</v>
      </c>
      <c r="B648" s="8"/>
      <c r="C648" s="8"/>
      <c r="D648" s="8"/>
      <c r="E648" s="8"/>
      <c r="F648" s="6" t="s">
        <v>116</v>
      </c>
      <c r="G648" s="8"/>
      <c r="H648" s="8"/>
      <c r="I648" s="8"/>
      <c r="J648" s="8"/>
      <c r="K648" s="8"/>
      <c r="L648" s="8"/>
      <c r="M648" s="8"/>
      <c r="N648" s="8"/>
      <c r="O648" s="8"/>
      <c r="P648" s="8"/>
      <c r="Q648" s="8"/>
      <c r="R648" s="8"/>
      <c r="S648" s="8"/>
      <c r="T648" s="8"/>
      <c r="U648" s="8"/>
      <c r="V648" s="8"/>
      <c r="W648" s="8"/>
      <c r="X648" s="8"/>
      <c r="Y648" s="8"/>
      <c r="Z648" s="8"/>
    </row>
    <row r="649" spans="1:26" ht="15.75" customHeight="1" x14ac:dyDescent="0.25">
      <c r="A649" s="6" t="s">
        <v>95</v>
      </c>
      <c r="B649" s="8"/>
      <c r="C649" s="8"/>
      <c r="D649" s="8"/>
      <c r="E649" s="8"/>
      <c r="F649" s="6" t="s">
        <v>116</v>
      </c>
      <c r="G649" s="8"/>
      <c r="H649" s="8"/>
      <c r="I649" s="8"/>
      <c r="J649" s="8"/>
      <c r="K649" s="8"/>
      <c r="L649" s="8"/>
      <c r="M649" s="8"/>
      <c r="N649" s="8"/>
      <c r="O649" s="8"/>
      <c r="P649" s="8"/>
      <c r="Q649" s="8"/>
      <c r="R649" s="8"/>
      <c r="S649" s="8"/>
      <c r="T649" s="8"/>
      <c r="U649" s="8"/>
      <c r="V649" s="8"/>
      <c r="W649" s="8"/>
      <c r="X649" s="8"/>
      <c r="Y649" s="8"/>
      <c r="Z649" s="8"/>
    </row>
    <row r="650" spans="1:26" ht="15.75" customHeight="1" x14ac:dyDescent="0.25">
      <c r="A650" s="6" t="s">
        <v>95</v>
      </c>
      <c r="B650" s="8"/>
      <c r="C650" s="8"/>
      <c r="D650" s="8"/>
      <c r="E650" s="8"/>
      <c r="F650" s="6" t="s">
        <v>116</v>
      </c>
      <c r="G650" s="8"/>
      <c r="H650" s="8"/>
      <c r="I650" s="8"/>
      <c r="J650" s="8"/>
      <c r="K650" s="8"/>
      <c r="L650" s="8"/>
      <c r="M650" s="8"/>
      <c r="N650" s="8"/>
      <c r="O650" s="8"/>
      <c r="P650" s="8"/>
      <c r="Q650" s="8"/>
      <c r="R650" s="8"/>
      <c r="S650" s="8"/>
      <c r="T650" s="8"/>
      <c r="U650" s="8"/>
      <c r="V650" s="8"/>
      <c r="W650" s="8"/>
      <c r="X650" s="8"/>
      <c r="Y650" s="8"/>
      <c r="Z650" s="8"/>
    </row>
    <row r="651" spans="1:26" ht="15.75" customHeight="1" x14ac:dyDescent="0.25">
      <c r="A651" s="6" t="s">
        <v>95</v>
      </c>
      <c r="B651" s="8"/>
      <c r="C651" s="8"/>
      <c r="D651" s="8"/>
      <c r="E651" s="8"/>
      <c r="F651" s="6" t="s">
        <v>116</v>
      </c>
      <c r="G651" s="8"/>
      <c r="H651" s="8"/>
      <c r="I651" s="8"/>
      <c r="J651" s="8"/>
      <c r="K651" s="8"/>
      <c r="L651" s="8"/>
      <c r="M651" s="8"/>
      <c r="N651" s="8"/>
      <c r="O651" s="8"/>
      <c r="P651" s="8"/>
      <c r="Q651" s="8"/>
      <c r="R651" s="8"/>
      <c r="S651" s="8"/>
      <c r="T651" s="8"/>
      <c r="U651" s="8"/>
      <c r="V651" s="8"/>
      <c r="W651" s="8"/>
      <c r="X651" s="8"/>
      <c r="Y651" s="8"/>
      <c r="Z651" s="8"/>
    </row>
    <row r="652" spans="1:26" ht="15.75" customHeight="1" x14ac:dyDescent="0.25">
      <c r="A652" s="6" t="s">
        <v>95</v>
      </c>
      <c r="B652" s="8"/>
      <c r="C652" s="8"/>
      <c r="D652" s="8"/>
      <c r="E652" s="8"/>
      <c r="F652" s="6" t="s">
        <v>116</v>
      </c>
      <c r="G652" s="8"/>
      <c r="H652" s="8"/>
      <c r="I652" s="8"/>
      <c r="J652" s="8"/>
      <c r="K652" s="8"/>
      <c r="L652" s="8"/>
      <c r="M652" s="8"/>
      <c r="N652" s="8"/>
      <c r="O652" s="8"/>
      <c r="P652" s="8"/>
      <c r="Q652" s="8"/>
      <c r="R652" s="8"/>
      <c r="S652" s="8"/>
      <c r="T652" s="8"/>
      <c r="U652" s="8"/>
      <c r="V652" s="8"/>
      <c r="W652" s="8"/>
      <c r="X652" s="8"/>
      <c r="Y652" s="8"/>
      <c r="Z652" s="8"/>
    </row>
    <row r="653" spans="1:26" ht="15.75" customHeight="1" x14ac:dyDescent="0.25">
      <c r="A653" s="6" t="s">
        <v>95</v>
      </c>
      <c r="B653" s="8"/>
      <c r="C653" s="8"/>
      <c r="D653" s="8"/>
      <c r="E653" s="8"/>
      <c r="F653" s="6" t="s">
        <v>116</v>
      </c>
      <c r="G653" s="8"/>
      <c r="H653" s="8"/>
      <c r="I653" s="8"/>
      <c r="J653" s="8"/>
      <c r="K653" s="8"/>
      <c r="L653" s="8"/>
      <c r="M653" s="8"/>
      <c r="N653" s="8"/>
      <c r="O653" s="8"/>
      <c r="P653" s="8"/>
      <c r="Q653" s="8"/>
      <c r="R653" s="8"/>
      <c r="S653" s="8"/>
      <c r="T653" s="8"/>
      <c r="U653" s="8"/>
      <c r="V653" s="8"/>
      <c r="W653" s="8"/>
      <c r="X653" s="8"/>
      <c r="Y653" s="8"/>
      <c r="Z653" s="8"/>
    </row>
    <row r="654" spans="1:26" ht="15.75" customHeight="1" x14ac:dyDescent="0.25">
      <c r="A654" s="6" t="s">
        <v>95</v>
      </c>
      <c r="B654" s="8"/>
      <c r="C654" s="8"/>
      <c r="D654" s="8"/>
      <c r="E654" s="8"/>
      <c r="F654" s="6" t="s">
        <v>116</v>
      </c>
      <c r="G654" s="8"/>
      <c r="H654" s="8"/>
      <c r="I654" s="8"/>
      <c r="J654" s="8"/>
      <c r="K654" s="8"/>
      <c r="L654" s="8"/>
      <c r="M654" s="8"/>
      <c r="N654" s="8"/>
      <c r="O654" s="8"/>
      <c r="P654" s="8"/>
      <c r="Q654" s="8"/>
      <c r="R654" s="8"/>
      <c r="S654" s="8"/>
      <c r="T654" s="8"/>
      <c r="U654" s="8"/>
      <c r="V654" s="8"/>
      <c r="W654" s="8"/>
      <c r="X654" s="8"/>
      <c r="Y654" s="8"/>
      <c r="Z654" s="8"/>
    </row>
    <row r="655" spans="1:26" ht="15.75" customHeight="1" x14ac:dyDescent="0.25">
      <c r="A655" s="6" t="s">
        <v>95</v>
      </c>
      <c r="B655" s="8"/>
      <c r="C655" s="8"/>
      <c r="D655" s="8"/>
      <c r="E655" s="8"/>
      <c r="F655" s="6" t="s">
        <v>116</v>
      </c>
      <c r="G655" s="8"/>
      <c r="H655" s="8"/>
      <c r="I655" s="8"/>
      <c r="J655" s="8"/>
      <c r="K655" s="8"/>
      <c r="L655" s="8"/>
      <c r="M655" s="8"/>
      <c r="N655" s="8"/>
      <c r="O655" s="8"/>
      <c r="P655" s="8"/>
      <c r="Q655" s="8"/>
      <c r="R655" s="8"/>
      <c r="S655" s="8"/>
      <c r="T655" s="8"/>
      <c r="U655" s="8"/>
      <c r="V655" s="8"/>
      <c r="W655" s="8"/>
      <c r="X655" s="8"/>
      <c r="Y655" s="8"/>
      <c r="Z655" s="8"/>
    </row>
    <row r="656" spans="1:26" ht="15.75" customHeight="1" x14ac:dyDescent="0.25">
      <c r="A656" s="6" t="s">
        <v>95</v>
      </c>
      <c r="B656" s="8"/>
      <c r="C656" s="8"/>
      <c r="D656" s="8"/>
      <c r="E656" s="8"/>
      <c r="F656" s="6" t="s">
        <v>116</v>
      </c>
      <c r="G656" s="8"/>
      <c r="H656" s="8"/>
      <c r="I656" s="8"/>
      <c r="J656" s="8"/>
      <c r="K656" s="8"/>
      <c r="L656" s="8"/>
      <c r="M656" s="8"/>
      <c r="N656" s="8"/>
      <c r="O656" s="8"/>
      <c r="P656" s="8"/>
      <c r="Q656" s="8"/>
      <c r="R656" s="8"/>
      <c r="S656" s="8"/>
      <c r="T656" s="8"/>
      <c r="U656" s="8"/>
      <c r="V656" s="8"/>
      <c r="W656" s="8"/>
      <c r="X656" s="8"/>
      <c r="Y656" s="8"/>
      <c r="Z656" s="8"/>
    </row>
    <row r="657" spans="1:26" ht="15.75" customHeight="1" x14ac:dyDescent="0.25">
      <c r="A657" s="6" t="s">
        <v>95</v>
      </c>
      <c r="B657" s="8"/>
      <c r="C657" s="8"/>
      <c r="D657" s="8"/>
      <c r="E657" s="8"/>
      <c r="F657" s="6" t="s">
        <v>116</v>
      </c>
      <c r="G657" s="8"/>
      <c r="H657" s="8"/>
      <c r="I657" s="8"/>
      <c r="J657" s="8"/>
      <c r="K657" s="8"/>
      <c r="L657" s="8"/>
      <c r="M657" s="8"/>
      <c r="N657" s="8"/>
      <c r="O657" s="8"/>
      <c r="P657" s="8"/>
      <c r="Q657" s="8"/>
      <c r="R657" s="8"/>
      <c r="S657" s="8"/>
      <c r="T657" s="8"/>
      <c r="U657" s="8"/>
      <c r="V657" s="8"/>
      <c r="W657" s="8"/>
      <c r="X657" s="8"/>
      <c r="Y657" s="8"/>
      <c r="Z657" s="8"/>
    </row>
    <row r="658" spans="1:26" ht="15.75" customHeight="1" x14ac:dyDescent="0.25">
      <c r="A658" s="6" t="s">
        <v>95</v>
      </c>
      <c r="B658" s="8"/>
      <c r="C658" s="8"/>
      <c r="D658" s="8"/>
      <c r="E658" s="8"/>
      <c r="F658" s="6" t="s">
        <v>116</v>
      </c>
      <c r="G658" s="8"/>
      <c r="H658" s="8"/>
      <c r="I658" s="8"/>
      <c r="J658" s="8"/>
      <c r="K658" s="8"/>
      <c r="L658" s="8"/>
      <c r="M658" s="8"/>
      <c r="N658" s="8"/>
      <c r="O658" s="8"/>
      <c r="P658" s="8"/>
      <c r="Q658" s="8"/>
      <c r="R658" s="8"/>
      <c r="S658" s="8"/>
      <c r="T658" s="8"/>
      <c r="U658" s="8"/>
      <c r="V658" s="8"/>
      <c r="W658" s="8"/>
      <c r="X658" s="8"/>
      <c r="Y658" s="8"/>
      <c r="Z658" s="8"/>
    </row>
    <row r="659" spans="1:26" ht="15.75" customHeight="1" x14ac:dyDescent="0.25">
      <c r="A659" s="6" t="s">
        <v>95</v>
      </c>
      <c r="B659" s="8"/>
      <c r="C659" s="8"/>
      <c r="D659" s="8"/>
      <c r="E659" s="8"/>
      <c r="F659" s="6" t="s">
        <v>116</v>
      </c>
      <c r="G659" s="8"/>
      <c r="H659" s="8"/>
      <c r="I659" s="8"/>
      <c r="J659" s="8"/>
      <c r="K659" s="8"/>
      <c r="L659" s="8"/>
      <c r="M659" s="8"/>
      <c r="N659" s="8"/>
      <c r="O659" s="8"/>
      <c r="P659" s="8"/>
      <c r="Q659" s="8"/>
      <c r="R659" s="8"/>
      <c r="S659" s="8"/>
      <c r="T659" s="8"/>
      <c r="U659" s="8"/>
      <c r="V659" s="8"/>
      <c r="W659" s="8"/>
      <c r="X659" s="8"/>
      <c r="Y659" s="8"/>
      <c r="Z659" s="8"/>
    </row>
    <row r="660" spans="1:26" ht="15.75" customHeight="1" x14ac:dyDescent="0.25">
      <c r="A660" s="6" t="s">
        <v>95</v>
      </c>
      <c r="B660" s="8"/>
      <c r="C660" s="8"/>
      <c r="D660" s="8"/>
      <c r="E660" s="8"/>
      <c r="F660" s="6" t="s">
        <v>116</v>
      </c>
      <c r="G660" s="8"/>
      <c r="H660" s="8"/>
      <c r="I660" s="8"/>
      <c r="J660" s="8"/>
      <c r="K660" s="8"/>
      <c r="L660" s="8"/>
      <c r="M660" s="8"/>
      <c r="N660" s="8"/>
      <c r="O660" s="8"/>
      <c r="P660" s="8"/>
      <c r="Q660" s="8"/>
      <c r="R660" s="8"/>
      <c r="S660" s="8"/>
      <c r="T660" s="8"/>
      <c r="U660" s="8"/>
      <c r="V660" s="8"/>
      <c r="W660" s="8"/>
      <c r="X660" s="8"/>
      <c r="Y660" s="8"/>
      <c r="Z660" s="8"/>
    </row>
    <row r="661" spans="1:26" ht="15.75" customHeight="1" x14ac:dyDescent="0.25">
      <c r="A661" s="6" t="s">
        <v>95</v>
      </c>
      <c r="B661" s="8"/>
      <c r="C661" s="8"/>
      <c r="D661" s="8"/>
      <c r="E661" s="8"/>
      <c r="F661" s="6" t="s">
        <v>116</v>
      </c>
      <c r="G661" s="8"/>
      <c r="H661" s="8"/>
      <c r="I661" s="8"/>
      <c r="J661" s="8"/>
      <c r="K661" s="8"/>
      <c r="L661" s="8"/>
      <c r="M661" s="8"/>
      <c r="N661" s="8"/>
      <c r="O661" s="8"/>
      <c r="P661" s="8"/>
      <c r="Q661" s="8"/>
      <c r="R661" s="8"/>
      <c r="S661" s="8"/>
      <c r="T661" s="8"/>
      <c r="U661" s="8"/>
      <c r="V661" s="8"/>
      <c r="W661" s="8"/>
      <c r="X661" s="8"/>
      <c r="Y661" s="8"/>
      <c r="Z661" s="8"/>
    </row>
    <row r="662" spans="1:26" ht="15.75" customHeight="1" x14ac:dyDescent="0.25">
      <c r="A662" s="6" t="s">
        <v>95</v>
      </c>
      <c r="B662" s="8"/>
      <c r="C662" s="8"/>
      <c r="D662" s="8"/>
      <c r="E662" s="8"/>
      <c r="F662" s="6" t="s">
        <v>116</v>
      </c>
      <c r="G662" s="8"/>
      <c r="H662" s="8"/>
      <c r="I662" s="8"/>
      <c r="J662" s="8"/>
      <c r="K662" s="8"/>
      <c r="L662" s="8"/>
      <c r="M662" s="8"/>
      <c r="N662" s="8"/>
      <c r="O662" s="8"/>
      <c r="P662" s="8"/>
      <c r="Q662" s="8"/>
      <c r="R662" s="8"/>
      <c r="S662" s="8"/>
      <c r="T662" s="8"/>
      <c r="U662" s="8"/>
      <c r="V662" s="8"/>
      <c r="W662" s="8"/>
      <c r="X662" s="8"/>
      <c r="Y662" s="8"/>
      <c r="Z662" s="8"/>
    </row>
    <row r="663" spans="1:26" ht="15.75" customHeight="1" x14ac:dyDescent="0.25">
      <c r="A663" s="6" t="s">
        <v>95</v>
      </c>
      <c r="B663" s="8"/>
      <c r="C663" s="8"/>
      <c r="D663" s="8"/>
      <c r="E663" s="8"/>
      <c r="F663" s="6" t="s">
        <v>116</v>
      </c>
      <c r="G663" s="8"/>
      <c r="H663" s="8"/>
      <c r="I663" s="8"/>
      <c r="J663" s="8"/>
      <c r="K663" s="8"/>
      <c r="L663" s="8"/>
      <c r="M663" s="8"/>
      <c r="N663" s="8"/>
      <c r="O663" s="8"/>
      <c r="P663" s="8"/>
      <c r="Q663" s="8"/>
      <c r="R663" s="8"/>
      <c r="S663" s="8"/>
      <c r="T663" s="8"/>
      <c r="U663" s="8"/>
      <c r="V663" s="8"/>
      <c r="W663" s="8"/>
      <c r="X663" s="8"/>
      <c r="Y663" s="8"/>
      <c r="Z663" s="8"/>
    </row>
    <row r="664" spans="1:26" ht="15.75" customHeight="1" x14ac:dyDescent="0.25">
      <c r="A664" s="6" t="s">
        <v>95</v>
      </c>
      <c r="B664" s="8"/>
      <c r="C664" s="8"/>
      <c r="D664" s="8"/>
      <c r="E664" s="8"/>
      <c r="F664" s="6" t="s">
        <v>116</v>
      </c>
      <c r="G664" s="8"/>
      <c r="H664" s="8"/>
      <c r="I664" s="8"/>
      <c r="J664" s="8"/>
      <c r="K664" s="8"/>
      <c r="L664" s="8"/>
      <c r="M664" s="8"/>
      <c r="N664" s="8"/>
      <c r="O664" s="8"/>
      <c r="P664" s="8"/>
      <c r="Q664" s="8"/>
      <c r="R664" s="8"/>
      <c r="S664" s="8"/>
      <c r="T664" s="8"/>
      <c r="U664" s="8"/>
      <c r="V664" s="8"/>
      <c r="W664" s="8"/>
      <c r="X664" s="8"/>
      <c r="Y664" s="8"/>
      <c r="Z664" s="8"/>
    </row>
    <row r="665" spans="1:26" ht="15.75" customHeight="1" x14ac:dyDescent="0.25">
      <c r="A665" s="6" t="s">
        <v>95</v>
      </c>
      <c r="B665" s="8"/>
      <c r="C665" s="8"/>
      <c r="D665" s="8"/>
      <c r="E665" s="8"/>
      <c r="F665" s="6" t="s">
        <v>116</v>
      </c>
      <c r="G665" s="8"/>
      <c r="H665" s="8"/>
      <c r="I665" s="8"/>
      <c r="J665" s="8"/>
      <c r="K665" s="8"/>
      <c r="L665" s="8"/>
      <c r="M665" s="8"/>
      <c r="N665" s="8"/>
      <c r="O665" s="8"/>
      <c r="P665" s="8"/>
      <c r="Q665" s="8"/>
      <c r="R665" s="8"/>
      <c r="S665" s="8"/>
      <c r="T665" s="8"/>
      <c r="U665" s="8"/>
      <c r="V665" s="8"/>
      <c r="W665" s="8"/>
      <c r="X665" s="8"/>
      <c r="Y665" s="8"/>
      <c r="Z665" s="8"/>
    </row>
    <row r="666" spans="1:26" ht="15.75" customHeight="1" x14ac:dyDescent="0.25">
      <c r="A666" s="6" t="s">
        <v>95</v>
      </c>
      <c r="B666" s="8"/>
      <c r="C666" s="8"/>
      <c r="D666" s="8"/>
      <c r="E666" s="8"/>
      <c r="F666" s="6" t="s">
        <v>116</v>
      </c>
      <c r="G666" s="8"/>
      <c r="H666" s="8"/>
      <c r="I666" s="8"/>
      <c r="J666" s="8"/>
      <c r="K666" s="8"/>
      <c r="L666" s="8"/>
      <c r="M666" s="8"/>
      <c r="N666" s="8"/>
      <c r="O666" s="8"/>
      <c r="P666" s="8"/>
      <c r="Q666" s="8"/>
      <c r="R666" s="8"/>
      <c r="S666" s="8"/>
      <c r="T666" s="8"/>
      <c r="U666" s="8"/>
      <c r="V666" s="8"/>
      <c r="W666" s="8"/>
      <c r="X666" s="8"/>
      <c r="Y666" s="8"/>
      <c r="Z666" s="8"/>
    </row>
    <row r="667" spans="1:26" ht="15.75" customHeight="1" x14ac:dyDescent="0.25">
      <c r="A667" s="6" t="s">
        <v>95</v>
      </c>
      <c r="B667" s="8"/>
      <c r="C667" s="8"/>
      <c r="D667" s="8"/>
      <c r="E667" s="8"/>
      <c r="F667" s="6" t="s">
        <v>116</v>
      </c>
      <c r="G667" s="8"/>
      <c r="H667" s="8"/>
      <c r="I667" s="8"/>
      <c r="J667" s="8"/>
      <c r="K667" s="8"/>
      <c r="L667" s="8"/>
      <c r="M667" s="8"/>
      <c r="N667" s="8"/>
      <c r="O667" s="8"/>
      <c r="P667" s="8"/>
      <c r="Q667" s="8"/>
      <c r="R667" s="8"/>
      <c r="S667" s="8"/>
      <c r="T667" s="8"/>
      <c r="U667" s="8"/>
      <c r="V667" s="8"/>
      <c r="W667" s="8"/>
      <c r="X667" s="8"/>
      <c r="Y667" s="8"/>
      <c r="Z667" s="8"/>
    </row>
    <row r="668" spans="1:26" ht="15.75" customHeight="1" x14ac:dyDescent="0.25">
      <c r="A668" s="6" t="s">
        <v>95</v>
      </c>
      <c r="B668" s="8"/>
      <c r="C668" s="8"/>
      <c r="D668" s="8"/>
      <c r="E668" s="8"/>
      <c r="F668" s="6" t="s">
        <v>116</v>
      </c>
      <c r="G668" s="8"/>
      <c r="H668" s="8"/>
      <c r="I668" s="8"/>
      <c r="J668" s="8"/>
      <c r="K668" s="8"/>
      <c r="L668" s="8"/>
      <c r="M668" s="8"/>
      <c r="N668" s="8"/>
      <c r="O668" s="8"/>
      <c r="P668" s="8"/>
      <c r="Q668" s="8"/>
      <c r="R668" s="8"/>
      <c r="S668" s="8"/>
      <c r="T668" s="8"/>
      <c r="U668" s="8"/>
      <c r="V668" s="8"/>
      <c r="W668" s="8"/>
      <c r="X668" s="8"/>
      <c r="Y668" s="8"/>
      <c r="Z668" s="8"/>
    </row>
    <row r="669" spans="1:26" ht="15.75" customHeight="1" x14ac:dyDescent="0.25">
      <c r="A669" s="6" t="s">
        <v>95</v>
      </c>
      <c r="B669" s="8"/>
      <c r="C669" s="8"/>
      <c r="D669" s="8"/>
      <c r="E669" s="8"/>
      <c r="F669" s="6" t="s">
        <v>116</v>
      </c>
      <c r="G669" s="8"/>
      <c r="H669" s="8"/>
      <c r="I669" s="8"/>
      <c r="J669" s="8"/>
      <c r="K669" s="8"/>
      <c r="L669" s="8"/>
      <c r="M669" s="8"/>
      <c r="N669" s="8"/>
      <c r="O669" s="8"/>
      <c r="P669" s="8"/>
      <c r="Q669" s="8"/>
      <c r="R669" s="8"/>
      <c r="S669" s="8"/>
      <c r="T669" s="8"/>
      <c r="U669" s="8"/>
      <c r="V669" s="8"/>
      <c r="W669" s="8"/>
      <c r="X669" s="8"/>
      <c r="Y669" s="8"/>
      <c r="Z669" s="8"/>
    </row>
    <row r="670" spans="1:26" ht="15.75" customHeight="1" x14ac:dyDescent="0.25">
      <c r="A670" s="6" t="s">
        <v>95</v>
      </c>
      <c r="B670" s="8"/>
      <c r="C670" s="8"/>
      <c r="D670" s="8"/>
      <c r="E670" s="8"/>
      <c r="F670" s="6" t="s">
        <v>116</v>
      </c>
      <c r="G670" s="8"/>
      <c r="H670" s="8"/>
      <c r="I670" s="8"/>
      <c r="J670" s="8"/>
      <c r="K670" s="8"/>
      <c r="L670" s="8"/>
      <c r="M670" s="8"/>
      <c r="N670" s="8"/>
      <c r="O670" s="8"/>
      <c r="P670" s="8"/>
      <c r="Q670" s="8"/>
      <c r="R670" s="8"/>
      <c r="S670" s="8"/>
      <c r="T670" s="8"/>
      <c r="U670" s="8"/>
      <c r="V670" s="8"/>
      <c r="W670" s="8"/>
      <c r="X670" s="8"/>
      <c r="Y670" s="8"/>
      <c r="Z670" s="8"/>
    </row>
    <row r="671" spans="1:26" ht="15.75" customHeight="1" x14ac:dyDescent="0.25">
      <c r="A671" s="6" t="s">
        <v>95</v>
      </c>
      <c r="B671" s="8"/>
      <c r="C671" s="8"/>
      <c r="D671" s="8"/>
      <c r="E671" s="8"/>
      <c r="F671" s="6" t="s">
        <v>116</v>
      </c>
      <c r="G671" s="8"/>
      <c r="H671" s="8"/>
      <c r="I671" s="8"/>
      <c r="J671" s="8"/>
      <c r="K671" s="8"/>
      <c r="L671" s="8"/>
      <c r="M671" s="8"/>
      <c r="N671" s="8"/>
      <c r="O671" s="8"/>
      <c r="P671" s="8"/>
      <c r="Q671" s="8"/>
      <c r="R671" s="8"/>
      <c r="S671" s="8"/>
      <c r="T671" s="8"/>
      <c r="U671" s="8"/>
      <c r="V671" s="8"/>
      <c r="W671" s="8"/>
      <c r="X671" s="8"/>
      <c r="Y671" s="8"/>
      <c r="Z671" s="8"/>
    </row>
    <row r="672" spans="1:26" ht="15.75" customHeight="1" x14ac:dyDescent="0.25">
      <c r="A672" s="6" t="s">
        <v>95</v>
      </c>
      <c r="B672" s="8"/>
      <c r="C672" s="8"/>
      <c r="D672" s="8"/>
      <c r="E672" s="8"/>
      <c r="F672" s="6" t="s">
        <v>116</v>
      </c>
      <c r="G672" s="8"/>
      <c r="H672" s="8"/>
      <c r="I672" s="8"/>
      <c r="J672" s="8"/>
      <c r="K672" s="8"/>
      <c r="L672" s="8"/>
      <c r="M672" s="8"/>
      <c r="N672" s="8"/>
      <c r="O672" s="8"/>
      <c r="P672" s="8"/>
      <c r="Q672" s="8"/>
      <c r="R672" s="8"/>
      <c r="S672" s="8"/>
      <c r="T672" s="8"/>
      <c r="U672" s="8"/>
      <c r="V672" s="8"/>
      <c r="W672" s="8"/>
      <c r="X672" s="8"/>
      <c r="Y672" s="8"/>
      <c r="Z672" s="8"/>
    </row>
    <row r="673" spans="1:26" ht="15.75" customHeight="1" x14ac:dyDescent="0.25">
      <c r="A673" s="6" t="s">
        <v>95</v>
      </c>
      <c r="B673" s="8"/>
      <c r="C673" s="8"/>
      <c r="D673" s="8"/>
      <c r="E673" s="8"/>
      <c r="F673" s="6" t="s">
        <v>116</v>
      </c>
      <c r="G673" s="8"/>
      <c r="H673" s="8"/>
      <c r="I673" s="8"/>
      <c r="J673" s="8"/>
      <c r="K673" s="8"/>
      <c r="L673" s="8"/>
      <c r="M673" s="8"/>
      <c r="N673" s="8"/>
      <c r="O673" s="8"/>
      <c r="P673" s="8"/>
      <c r="Q673" s="8"/>
      <c r="R673" s="8"/>
      <c r="S673" s="8"/>
      <c r="T673" s="8"/>
      <c r="U673" s="8"/>
      <c r="V673" s="8"/>
      <c r="W673" s="8"/>
      <c r="X673" s="8"/>
      <c r="Y673" s="8"/>
      <c r="Z673" s="8"/>
    </row>
    <row r="674" spans="1:26" ht="15.75" customHeight="1" x14ac:dyDescent="0.25">
      <c r="A674" s="6" t="s">
        <v>95</v>
      </c>
      <c r="B674" s="8"/>
      <c r="C674" s="8"/>
      <c r="D674" s="8"/>
      <c r="E674" s="8"/>
      <c r="F674" s="6" t="s">
        <v>116</v>
      </c>
      <c r="G674" s="8"/>
      <c r="H674" s="8"/>
      <c r="I674" s="8"/>
      <c r="J674" s="8"/>
      <c r="K674" s="8"/>
      <c r="L674" s="8"/>
      <c r="M674" s="8"/>
      <c r="N674" s="8"/>
      <c r="O674" s="8"/>
      <c r="P674" s="8"/>
      <c r="Q674" s="8"/>
      <c r="R674" s="8"/>
      <c r="S674" s="8"/>
      <c r="T674" s="8"/>
      <c r="U674" s="8"/>
      <c r="V674" s="8"/>
      <c r="W674" s="8"/>
      <c r="X674" s="8"/>
      <c r="Y674" s="8"/>
      <c r="Z674" s="8"/>
    </row>
    <row r="675" spans="1:26" ht="15.75" customHeight="1" x14ac:dyDescent="0.25">
      <c r="A675" s="6" t="s">
        <v>95</v>
      </c>
      <c r="B675" s="8"/>
      <c r="C675" s="8"/>
      <c r="D675" s="8"/>
      <c r="E675" s="8"/>
      <c r="F675" s="6" t="s">
        <v>116</v>
      </c>
      <c r="G675" s="8"/>
      <c r="H675" s="8"/>
      <c r="I675" s="8"/>
      <c r="J675" s="8"/>
      <c r="K675" s="8"/>
      <c r="L675" s="8"/>
      <c r="M675" s="8"/>
      <c r="N675" s="8"/>
      <c r="O675" s="8"/>
      <c r="P675" s="8"/>
      <c r="Q675" s="8"/>
      <c r="R675" s="8"/>
      <c r="S675" s="8"/>
      <c r="T675" s="8"/>
      <c r="U675" s="8"/>
      <c r="V675" s="8"/>
      <c r="W675" s="8"/>
      <c r="X675" s="8"/>
      <c r="Y675" s="8"/>
      <c r="Z675" s="8"/>
    </row>
    <row r="676" spans="1:26" ht="15.75" customHeight="1" x14ac:dyDescent="0.25">
      <c r="A676" s="6" t="s">
        <v>95</v>
      </c>
      <c r="B676" s="8"/>
      <c r="C676" s="8"/>
      <c r="D676" s="8"/>
      <c r="E676" s="8"/>
      <c r="F676" s="6" t="s">
        <v>116</v>
      </c>
      <c r="G676" s="8"/>
      <c r="H676" s="8"/>
      <c r="I676" s="8"/>
      <c r="J676" s="8"/>
      <c r="K676" s="8"/>
      <c r="L676" s="8"/>
      <c r="M676" s="8"/>
      <c r="N676" s="8"/>
      <c r="O676" s="8"/>
      <c r="P676" s="8"/>
      <c r="Q676" s="8"/>
      <c r="R676" s="8"/>
      <c r="S676" s="8"/>
      <c r="T676" s="8"/>
      <c r="U676" s="8"/>
      <c r="V676" s="8"/>
      <c r="W676" s="8"/>
      <c r="X676" s="8"/>
      <c r="Y676" s="8"/>
      <c r="Z676" s="8"/>
    </row>
    <row r="677" spans="1:26" ht="15.75" customHeight="1" x14ac:dyDescent="0.25">
      <c r="A677" s="6" t="s">
        <v>95</v>
      </c>
      <c r="B677" s="8"/>
      <c r="C677" s="8"/>
      <c r="D677" s="8"/>
      <c r="E677" s="8"/>
      <c r="F677" s="6" t="s">
        <v>116</v>
      </c>
      <c r="G677" s="8"/>
      <c r="H677" s="8"/>
      <c r="I677" s="8"/>
      <c r="J677" s="8"/>
      <c r="K677" s="8"/>
      <c r="L677" s="8"/>
      <c r="M677" s="8"/>
      <c r="N677" s="8"/>
      <c r="O677" s="8"/>
      <c r="P677" s="8"/>
      <c r="Q677" s="8"/>
      <c r="R677" s="8"/>
      <c r="S677" s="8"/>
      <c r="T677" s="8"/>
      <c r="U677" s="8"/>
      <c r="V677" s="8"/>
      <c r="W677" s="8"/>
      <c r="X677" s="8"/>
      <c r="Y677" s="8"/>
      <c r="Z677" s="8"/>
    </row>
    <row r="678" spans="1:26" ht="15.75" customHeight="1" x14ac:dyDescent="0.25">
      <c r="A678" s="6" t="s">
        <v>95</v>
      </c>
      <c r="B678" s="8"/>
      <c r="C678" s="8"/>
      <c r="D678" s="8"/>
      <c r="E678" s="8"/>
      <c r="F678" s="6" t="s">
        <v>116</v>
      </c>
      <c r="G678" s="8"/>
      <c r="H678" s="8"/>
      <c r="I678" s="8"/>
      <c r="J678" s="8"/>
      <c r="K678" s="8"/>
      <c r="L678" s="8"/>
      <c r="M678" s="8"/>
      <c r="N678" s="8"/>
      <c r="O678" s="8"/>
      <c r="P678" s="8"/>
      <c r="Q678" s="8"/>
      <c r="R678" s="8"/>
      <c r="S678" s="8"/>
      <c r="T678" s="8"/>
      <c r="U678" s="8"/>
      <c r="V678" s="8"/>
      <c r="W678" s="8"/>
      <c r="X678" s="8"/>
      <c r="Y678" s="8"/>
      <c r="Z678" s="8"/>
    </row>
    <row r="679" spans="1:26" ht="15.75" customHeight="1" x14ac:dyDescent="0.25">
      <c r="A679" s="6" t="s">
        <v>95</v>
      </c>
      <c r="B679" s="8"/>
      <c r="C679" s="8"/>
      <c r="D679" s="8"/>
      <c r="E679" s="8"/>
      <c r="F679" s="6" t="s">
        <v>116</v>
      </c>
      <c r="G679" s="8"/>
      <c r="H679" s="8"/>
      <c r="I679" s="8"/>
      <c r="J679" s="8"/>
      <c r="K679" s="8"/>
      <c r="L679" s="8"/>
      <c r="M679" s="8"/>
      <c r="N679" s="8"/>
      <c r="O679" s="8"/>
      <c r="P679" s="8"/>
      <c r="Q679" s="8"/>
      <c r="R679" s="8"/>
      <c r="S679" s="8"/>
      <c r="T679" s="8"/>
      <c r="U679" s="8"/>
      <c r="V679" s="8"/>
      <c r="W679" s="8"/>
      <c r="X679" s="8"/>
      <c r="Y679" s="8"/>
      <c r="Z679" s="8"/>
    </row>
    <row r="680" spans="1:26" ht="15.75" customHeight="1" x14ac:dyDescent="0.25">
      <c r="A680" s="6" t="s">
        <v>95</v>
      </c>
      <c r="B680" s="8"/>
      <c r="C680" s="8"/>
      <c r="D680" s="8"/>
      <c r="E680" s="8"/>
      <c r="F680" s="6" t="s">
        <v>116</v>
      </c>
      <c r="G680" s="8"/>
      <c r="H680" s="8"/>
      <c r="I680" s="8"/>
      <c r="J680" s="8"/>
      <c r="K680" s="8"/>
      <c r="L680" s="8"/>
      <c r="M680" s="8"/>
      <c r="N680" s="8"/>
      <c r="O680" s="8"/>
      <c r="P680" s="8"/>
      <c r="Q680" s="8"/>
      <c r="R680" s="8"/>
      <c r="S680" s="8"/>
      <c r="T680" s="8"/>
      <c r="U680" s="8"/>
      <c r="V680" s="8"/>
      <c r="W680" s="8"/>
      <c r="X680" s="8"/>
      <c r="Y680" s="8"/>
      <c r="Z680" s="8"/>
    </row>
    <row r="681" spans="1:26" ht="15.75" customHeight="1" x14ac:dyDescent="0.25">
      <c r="A681" s="6" t="s">
        <v>95</v>
      </c>
      <c r="B681" s="8"/>
      <c r="C681" s="8"/>
      <c r="D681" s="8"/>
      <c r="E681" s="8"/>
      <c r="F681" s="6" t="s">
        <v>116</v>
      </c>
      <c r="G681" s="8"/>
      <c r="H681" s="8"/>
      <c r="I681" s="8"/>
      <c r="J681" s="8"/>
      <c r="K681" s="8"/>
      <c r="L681" s="8"/>
      <c r="M681" s="8"/>
      <c r="N681" s="8"/>
      <c r="O681" s="8"/>
      <c r="P681" s="8"/>
      <c r="Q681" s="8"/>
      <c r="R681" s="8"/>
      <c r="S681" s="8"/>
      <c r="T681" s="8"/>
      <c r="U681" s="8"/>
      <c r="V681" s="8"/>
      <c r="W681" s="8"/>
      <c r="X681" s="8"/>
      <c r="Y681" s="8"/>
      <c r="Z681" s="8"/>
    </row>
    <row r="682" spans="1:26" ht="15.75" customHeight="1" x14ac:dyDescent="0.25">
      <c r="A682" s="8"/>
      <c r="B682" s="8"/>
      <c r="C682" s="8"/>
      <c r="D682" s="8"/>
      <c r="E682" s="8"/>
      <c r="F682" s="6" t="s">
        <v>116</v>
      </c>
      <c r="G682" s="8"/>
      <c r="H682" s="8"/>
      <c r="I682" s="8"/>
      <c r="J682" s="8"/>
      <c r="K682" s="8"/>
      <c r="L682" s="8"/>
      <c r="M682" s="8"/>
      <c r="N682" s="8"/>
      <c r="O682" s="8"/>
      <c r="P682" s="8"/>
      <c r="Q682" s="8"/>
      <c r="R682" s="8"/>
      <c r="S682" s="8"/>
      <c r="T682" s="8"/>
      <c r="U682" s="8"/>
      <c r="V682" s="8"/>
      <c r="W682" s="8"/>
      <c r="X682" s="8"/>
      <c r="Y682" s="8"/>
      <c r="Z682" s="8"/>
    </row>
    <row r="683" spans="1:26" ht="15.75" customHeight="1" x14ac:dyDescent="0.25">
      <c r="A683" s="8"/>
      <c r="B683" s="8"/>
      <c r="C683" s="8"/>
      <c r="D683" s="8"/>
      <c r="E683" s="8"/>
      <c r="F683" s="6" t="s">
        <v>116</v>
      </c>
      <c r="G683" s="8"/>
      <c r="H683" s="8"/>
      <c r="I683" s="8"/>
      <c r="J683" s="8"/>
      <c r="K683" s="8"/>
      <c r="L683" s="8"/>
      <c r="M683" s="8"/>
      <c r="N683" s="8"/>
      <c r="O683" s="8"/>
      <c r="P683" s="8"/>
      <c r="Q683" s="8"/>
      <c r="R683" s="8"/>
      <c r="S683" s="8"/>
      <c r="T683" s="8"/>
      <c r="U683" s="8"/>
      <c r="V683" s="8"/>
      <c r="W683" s="8"/>
      <c r="X683" s="8"/>
      <c r="Y683" s="8"/>
      <c r="Z683" s="8"/>
    </row>
    <row r="684" spans="1:26" ht="15.75" customHeight="1" x14ac:dyDescent="0.25">
      <c r="A684" s="8"/>
      <c r="B684" s="8"/>
      <c r="C684" s="8"/>
      <c r="D684" s="8"/>
      <c r="E684" s="8"/>
      <c r="F684" s="6" t="s">
        <v>116</v>
      </c>
      <c r="G684" s="8"/>
      <c r="H684" s="8"/>
      <c r="I684" s="8"/>
      <c r="J684" s="8"/>
      <c r="K684" s="8"/>
      <c r="L684" s="8"/>
      <c r="M684" s="8"/>
      <c r="N684" s="8"/>
      <c r="O684" s="8"/>
      <c r="P684" s="8"/>
      <c r="Q684" s="8"/>
      <c r="R684" s="8"/>
      <c r="S684" s="8"/>
      <c r="T684" s="8"/>
      <c r="U684" s="8"/>
      <c r="V684" s="8"/>
      <c r="W684" s="8"/>
      <c r="X684" s="8"/>
      <c r="Y684" s="8"/>
      <c r="Z684" s="8"/>
    </row>
    <row r="685" spans="1:26" ht="15.75" customHeight="1" x14ac:dyDescent="0.25">
      <c r="A685" s="8"/>
      <c r="B685" s="8"/>
      <c r="C685" s="8"/>
      <c r="D685" s="8"/>
      <c r="E685" s="8"/>
      <c r="F685" s="6" t="s">
        <v>116</v>
      </c>
      <c r="G685" s="8"/>
      <c r="H685" s="8"/>
      <c r="I685" s="8"/>
      <c r="J685" s="8"/>
      <c r="K685" s="8"/>
      <c r="L685" s="8"/>
      <c r="M685" s="8"/>
      <c r="N685" s="8"/>
      <c r="O685" s="8"/>
      <c r="P685" s="8"/>
      <c r="Q685" s="8"/>
      <c r="R685" s="8"/>
      <c r="S685" s="8"/>
      <c r="T685" s="8"/>
      <c r="U685" s="8"/>
      <c r="V685" s="8"/>
      <c r="W685" s="8"/>
      <c r="X685" s="8"/>
      <c r="Y685" s="8"/>
      <c r="Z685" s="8"/>
    </row>
    <row r="686" spans="1:26" ht="15.75" customHeight="1" x14ac:dyDescent="0.25">
      <c r="A686" s="8"/>
      <c r="B686" s="8"/>
      <c r="C686" s="8"/>
      <c r="D686" s="8"/>
      <c r="E686" s="8"/>
      <c r="F686" s="6" t="s">
        <v>116</v>
      </c>
      <c r="G686" s="8"/>
      <c r="H686" s="8"/>
      <c r="I686" s="8"/>
      <c r="J686" s="8"/>
      <c r="K686" s="8"/>
      <c r="L686" s="8"/>
      <c r="M686" s="8"/>
      <c r="N686" s="8"/>
      <c r="O686" s="8"/>
      <c r="P686" s="8"/>
      <c r="Q686" s="8"/>
      <c r="R686" s="8"/>
      <c r="S686" s="8"/>
      <c r="T686" s="8"/>
      <c r="U686" s="8"/>
      <c r="V686" s="8"/>
      <c r="W686" s="8"/>
      <c r="X686" s="8"/>
      <c r="Y686" s="8"/>
      <c r="Z686" s="8"/>
    </row>
    <row r="687" spans="1:26" ht="15.75" customHeight="1" x14ac:dyDescent="0.25">
      <c r="A687" s="8"/>
      <c r="B687" s="8"/>
      <c r="C687" s="8"/>
      <c r="D687" s="8"/>
      <c r="E687" s="8"/>
      <c r="F687" s="6" t="s">
        <v>116</v>
      </c>
      <c r="G687" s="8"/>
      <c r="H687" s="8"/>
      <c r="I687" s="8"/>
      <c r="J687" s="8"/>
      <c r="K687" s="8"/>
      <c r="L687" s="8"/>
      <c r="M687" s="8"/>
      <c r="N687" s="8"/>
      <c r="O687" s="8"/>
      <c r="P687" s="8"/>
      <c r="Q687" s="8"/>
      <c r="R687" s="8"/>
      <c r="S687" s="8"/>
      <c r="T687" s="8"/>
      <c r="U687" s="8"/>
      <c r="V687" s="8"/>
      <c r="W687" s="8"/>
      <c r="X687" s="8"/>
      <c r="Y687" s="8"/>
      <c r="Z687" s="8"/>
    </row>
    <row r="688" spans="1:26" ht="15.75" customHeight="1" x14ac:dyDescent="0.25">
      <c r="A688" s="8"/>
      <c r="B688" s="8"/>
      <c r="C688" s="8"/>
      <c r="D688" s="8"/>
      <c r="E688" s="8"/>
      <c r="F688" s="6" t="s">
        <v>116</v>
      </c>
      <c r="G688" s="8"/>
      <c r="H688" s="8"/>
      <c r="I688" s="8"/>
      <c r="J688" s="8"/>
      <c r="K688" s="8"/>
      <c r="L688" s="8"/>
      <c r="M688" s="8"/>
      <c r="N688" s="8"/>
      <c r="O688" s="8"/>
      <c r="P688" s="8"/>
      <c r="Q688" s="8"/>
      <c r="R688" s="8"/>
      <c r="S688" s="8"/>
      <c r="T688" s="8"/>
      <c r="U688" s="8"/>
      <c r="V688" s="8"/>
      <c r="W688" s="8"/>
      <c r="X688" s="8"/>
      <c r="Y688" s="8"/>
      <c r="Z688" s="8"/>
    </row>
    <row r="689" spans="1:26" ht="15.75" customHeight="1" x14ac:dyDescent="0.25">
      <c r="A689" s="8"/>
      <c r="B689" s="8"/>
      <c r="C689" s="8"/>
      <c r="D689" s="8"/>
      <c r="E689" s="8"/>
      <c r="F689" s="6" t="s">
        <v>116</v>
      </c>
      <c r="G689" s="8"/>
      <c r="H689" s="8"/>
      <c r="I689" s="8"/>
      <c r="J689" s="8"/>
      <c r="K689" s="8"/>
      <c r="L689" s="8"/>
      <c r="M689" s="8"/>
      <c r="N689" s="8"/>
      <c r="O689" s="8"/>
      <c r="P689" s="8"/>
      <c r="Q689" s="8"/>
      <c r="R689" s="8"/>
      <c r="S689" s="8"/>
      <c r="T689" s="8"/>
      <c r="U689" s="8"/>
      <c r="V689" s="8"/>
      <c r="W689" s="8"/>
      <c r="X689" s="8"/>
      <c r="Y689" s="8"/>
      <c r="Z689" s="8"/>
    </row>
    <row r="690" spans="1:26" ht="15.75" customHeight="1" x14ac:dyDescent="0.25">
      <c r="A690" s="8"/>
      <c r="B690" s="8"/>
      <c r="C690" s="8"/>
      <c r="D690" s="8"/>
      <c r="E690" s="8"/>
      <c r="F690" s="6" t="s">
        <v>116</v>
      </c>
      <c r="G690" s="8"/>
      <c r="H690" s="8"/>
      <c r="I690" s="8"/>
      <c r="J690" s="8"/>
      <c r="K690" s="8"/>
      <c r="L690" s="8"/>
      <c r="M690" s="8"/>
      <c r="N690" s="8"/>
      <c r="O690" s="8"/>
      <c r="P690" s="8"/>
      <c r="Q690" s="8"/>
      <c r="R690" s="8"/>
      <c r="S690" s="8"/>
      <c r="T690" s="8"/>
      <c r="U690" s="8"/>
      <c r="V690" s="8"/>
      <c r="W690" s="8"/>
      <c r="X690" s="8"/>
      <c r="Y690" s="8"/>
      <c r="Z690" s="8"/>
    </row>
    <row r="691" spans="1:26" ht="15.75" customHeight="1" x14ac:dyDescent="0.25">
      <c r="A691" s="8"/>
      <c r="B691" s="8"/>
      <c r="C691" s="8"/>
      <c r="D691" s="8"/>
      <c r="E691" s="8"/>
      <c r="F691" s="6" t="s">
        <v>116</v>
      </c>
      <c r="G691" s="8"/>
      <c r="H691" s="8"/>
      <c r="I691" s="8"/>
      <c r="J691" s="8"/>
      <c r="K691" s="8"/>
      <c r="L691" s="8"/>
      <c r="M691" s="8"/>
      <c r="N691" s="8"/>
      <c r="O691" s="8"/>
      <c r="P691" s="8"/>
      <c r="Q691" s="8"/>
      <c r="R691" s="8"/>
      <c r="S691" s="8"/>
      <c r="T691" s="8"/>
      <c r="U691" s="8"/>
      <c r="V691" s="8"/>
      <c r="W691" s="8"/>
      <c r="X691" s="8"/>
      <c r="Y691" s="8"/>
      <c r="Z691" s="8"/>
    </row>
    <row r="692" spans="1:26" ht="15.75" customHeight="1" x14ac:dyDescent="0.25">
      <c r="A692" s="8"/>
      <c r="B692" s="8"/>
      <c r="C692" s="8"/>
      <c r="D692" s="8"/>
      <c r="E692" s="8"/>
      <c r="F692" s="6" t="s">
        <v>116</v>
      </c>
      <c r="G692" s="8"/>
      <c r="H692" s="8"/>
      <c r="I692" s="8"/>
      <c r="J692" s="8"/>
      <c r="K692" s="8"/>
      <c r="L692" s="8"/>
      <c r="M692" s="8"/>
      <c r="N692" s="8"/>
      <c r="O692" s="8"/>
      <c r="P692" s="8"/>
      <c r="Q692" s="8"/>
      <c r="R692" s="8"/>
      <c r="S692" s="8"/>
      <c r="T692" s="8"/>
      <c r="U692" s="8"/>
      <c r="V692" s="8"/>
      <c r="W692" s="8"/>
      <c r="X692" s="8"/>
      <c r="Y692" s="8"/>
      <c r="Z692" s="8"/>
    </row>
    <row r="693" spans="1:26" ht="15.75" customHeight="1" x14ac:dyDescent="0.25">
      <c r="A693" s="8"/>
      <c r="B693" s="8"/>
      <c r="C693" s="8"/>
      <c r="D693" s="8"/>
      <c r="E693" s="8"/>
      <c r="F693" s="6" t="s">
        <v>116</v>
      </c>
      <c r="G693" s="8"/>
      <c r="H693" s="8"/>
      <c r="I693" s="8"/>
      <c r="J693" s="8"/>
      <c r="K693" s="8"/>
      <c r="L693" s="8"/>
      <c r="M693" s="8"/>
      <c r="N693" s="8"/>
      <c r="O693" s="8"/>
      <c r="P693" s="8"/>
      <c r="Q693" s="8"/>
      <c r="R693" s="8"/>
      <c r="S693" s="8"/>
      <c r="T693" s="8"/>
      <c r="U693" s="8"/>
      <c r="V693" s="8"/>
      <c r="W693" s="8"/>
      <c r="X693" s="8"/>
      <c r="Y693" s="8"/>
      <c r="Z693" s="8"/>
    </row>
    <row r="694" spans="1:26" ht="15.75" customHeight="1" x14ac:dyDescent="0.25">
      <c r="A694" s="8"/>
      <c r="B694" s="8"/>
      <c r="C694" s="8"/>
      <c r="D694" s="8"/>
      <c r="E694" s="8"/>
      <c r="F694" s="6" t="s">
        <v>116</v>
      </c>
      <c r="G694" s="8"/>
      <c r="H694" s="8"/>
      <c r="I694" s="8"/>
      <c r="J694" s="8"/>
      <c r="K694" s="8"/>
      <c r="L694" s="8"/>
      <c r="M694" s="8"/>
      <c r="N694" s="8"/>
      <c r="O694" s="8"/>
      <c r="P694" s="8"/>
      <c r="Q694" s="8"/>
      <c r="R694" s="8"/>
      <c r="S694" s="8"/>
      <c r="T694" s="8"/>
      <c r="U694" s="8"/>
      <c r="V694" s="8"/>
      <c r="W694" s="8"/>
      <c r="X694" s="8"/>
      <c r="Y694" s="8"/>
      <c r="Z694" s="8"/>
    </row>
    <row r="695" spans="1:26" ht="15.75" customHeight="1" x14ac:dyDescent="0.25">
      <c r="A695" s="8"/>
      <c r="B695" s="8"/>
      <c r="C695" s="8"/>
      <c r="D695" s="8"/>
      <c r="E695" s="8"/>
      <c r="F695" s="6" t="s">
        <v>116</v>
      </c>
      <c r="G695" s="8"/>
      <c r="H695" s="8"/>
      <c r="I695" s="8"/>
      <c r="J695" s="8"/>
      <c r="K695" s="8"/>
      <c r="L695" s="8"/>
      <c r="M695" s="8"/>
      <c r="N695" s="8"/>
      <c r="O695" s="8"/>
      <c r="P695" s="8"/>
      <c r="Q695" s="8"/>
      <c r="R695" s="8"/>
      <c r="S695" s="8"/>
      <c r="T695" s="8"/>
      <c r="U695" s="8"/>
      <c r="V695" s="8"/>
      <c r="W695" s="8"/>
      <c r="X695" s="8"/>
      <c r="Y695" s="8"/>
      <c r="Z695" s="8"/>
    </row>
    <row r="696" spans="1:26" ht="15.75" customHeight="1" x14ac:dyDescent="0.25">
      <c r="A696" s="8"/>
      <c r="B696" s="8"/>
      <c r="C696" s="8"/>
      <c r="D696" s="8"/>
      <c r="E696" s="8"/>
      <c r="F696" s="6" t="s">
        <v>116</v>
      </c>
      <c r="G696" s="8"/>
      <c r="H696" s="8"/>
      <c r="I696" s="8"/>
      <c r="J696" s="8"/>
      <c r="K696" s="8"/>
      <c r="L696" s="8"/>
      <c r="M696" s="8"/>
      <c r="N696" s="8"/>
      <c r="O696" s="8"/>
      <c r="P696" s="8"/>
      <c r="Q696" s="8"/>
      <c r="R696" s="8"/>
      <c r="S696" s="8"/>
      <c r="T696" s="8"/>
      <c r="U696" s="8"/>
      <c r="V696" s="8"/>
      <c r="W696" s="8"/>
      <c r="X696" s="8"/>
      <c r="Y696" s="8"/>
      <c r="Z696" s="8"/>
    </row>
    <row r="697" spans="1:26" ht="15.75" customHeight="1" x14ac:dyDescent="0.25">
      <c r="A697" s="8"/>
      <c r="B697" s="8"/>
      <c r="C697" s="8"/>
      <c r="D697" s="8"/>
      <c r="E697" s="8"/>
      <c r="F697" s="6" t="s">
        <v>116</v>
      </c>
      <c r="G697" s="8"/>
      <c r="H697" s="8"/>
      <c r="I697" s="8"/>
      <c r="J697" s="8"/>
      <c r="K697" s="8"/>
      <c r="L697" s="8"/>
      <c r="M697" s="8"/>
      <c r="N697" s="8"/>
      <c r="O697" s="8"/>
      <c r="P697" s="8"/>
      <c r="Q697" s="8"/>
      <c r="R697" s="8"/>
      <c r="S697" s="8"/>
      <c r="T697" s="8"/>
      <c r="U697" s="8"/>
      <c r="V697" s="8"/>
      <c r="W697" s="8"/>
      <c r="X697" s="8"/>
      <c r="Y697" s="8"/>
      <c r="Z697" s="8"/>
    </row>
    <row r="698" spans="1:26" ht="15.75" customHeight="1" x14ac:dyDescent="0.25">
      <c r="A698" s="8"/>
      <c r="B698" s="8"/>
      <c r="C698" s="8"/>
      <c r="D698" s="8"/>
      <c r="E698" s="8"/>
      <c r="F698" s="6" t="s">
        <v>116</v>
      </c>
      <c r="G698" s="8"/>
      <c r="H698" s="8"/>
      <c r="I698" s="8"/>
      <c r="J698" s="8"/>
      <c r="K698" s="8"/>
      <c r="L698" s="8"/>
      <c r="M698" s="8"/>
      <c r="N698" s="8"/>
      <c r="O698" s="8"/>
      <c r="P698" s="8"/>
      <c r="Q698" s="8"/>
      <c r="R698" s="8"/>
      <c r="S698" s="8"/>
      <c r="T698" s="8"/>
      <c r="U698" s="8"/>
      <c r="V698" s="8"/>
      <c r="W698" s="8"/>
      <c r="X698" s="8"/>
      <c r="Y698" s="8"/>
      <c r="Z698" s="8"/>
    </row>
    <row r="699" spans="1:26" ht="15.75" customHeight="1" x14ac:dyDescent="0.25">
      <c r="A699" s="8"/>
      <c r="B699" s="8"/>
      <c r="C699" s="8"/>
      <c r="D699" s="8"/>
      <c r="E699" s="8"/>
      <c r="F699" s="6" t="s">
        <v>116</v>
      </c>
      <c r="G699" s="8"/>
      <c r="H699" s="8"/>
      <c r="I699" s="8"/>
      <c r="J699" s="8"/>
      <c r="K699" s="8"/>
      <c r="L699" s="8"/>
      <c r="M699" s="8"/>
      <c r="N699" s="8"/>
      <c r="O699" s="8"/>
      <c r="P699" s="8"/>
      <c r="Q699" s="8"/>
      <c r="R699" s="8"/>
      <c r="S699" s="8"/>
      <c r="T699" s="8"/>
      <c r="U699" s="8"/>
      <c r="V699" s="8"/>
      <c r="W699" s="8"/>
      <c r="X699" s="8"/>
      <c r="Y699" s="8"/>
      <c r="Z699" s="8"/>
    </row>
    <row r="700" spans="1:26" ht="15.75" customHeight="1" x14ac:dyDescent="0.25">
      <c r="A700" s="8"/>
      <c r="B700" s="8"/>
      <c r="C700" s="8"/>
      <c r="D700" s="8"/>
      <c r="E700" s="8"/>
      <c r="F700" s="6" t="s">
        <v>116</v>
      </c>
      <c r="G700" s="8"/>
      <c r="H700" s="8"/>
      <c r="I700" s="8"/>
      <c r="J700" s="8"/>
      <c r="K700" s="8"/>
      <c r="L700" s="8"/>
      <c r="M700" s="8"/>
      <c r="N700" s="8"/>
      <c r="O700" s="8"/>
      <c r="P700" s="8"/>
      <c r="Q700" s="8"/>
      <c r="R700" s="8"/>
      <c r="S700" s="8"/>
      <c r="T700" s="8"/>
      <c r="U700" s="8"/>
      <c r="V700" s="8"/>
      <c r="W700" s="8"/>
      <c r="X700" s="8"/>
      <c r="Y700" s="8"/>
      <c r="Z700" s="8"/>
    </row>
    <row r="701" spans="1:26" ht="15.75" customHeight="1" x14ac:dyDescent="0.25">
      <c r="A701" s="8"/>
      <c r="B701" s="8"/>
      <c r="C701" s="8"/>
      <c r="D701" s="8"/>
      <c r="E701" s="8"/>
      <c r="F701" s="6" t="s">
        <v>116</v>
      </c>
      <c r="G701" s="8"/>
      <c r="H701" s="8"/>
      <c r="I701" s="8"/>
      <c r="J701" s="8"/>
      <c r="K701" s="8"/>
      <c r="L701" s="8"/>
      <c r="M701" s="8"/>
      <c r="N701" s="8"/>
      <c r="O701" s="8"/>
      <c r="P701" s="8"/>
      <c r="Q701" s="8"/>
      <c r="R701" s="8"/>
      <c r="S701" s="8"/>
      <c r="T701" s="8"/>
      <c r="U701" s="8"/>
      <c r="V701" s="8"/>
      <c r="W701" s="8"/>
      <c r="X701" s="8"/>
      <c r="Y701" s="8"/>
      <c r="Z701" s="8"/>
    </row>
    <row r="702" spans="1:26" ht="15.75" customHeight="1" x14ac:dyDescent="0.25">
      <c r="A702" s="8"/>
      <c r="B702" s="8"/>
      <c r="C702" s="8"/>
      <c r="D702" s="8"/>
      <c r="E702" s="8"/>
      <c r="F702" s="6" t="s">
        <v>116</v>
      </c>
      <c r="G702" s="8"/>
      <c r="H702" s="8"/>
      <c r="I702" s="8"/>
      <c r="J702" s="8"/>
      <c r="K702" s="8"/>
      <c r="L702" s="8"/>
      <c r="M702" s="8"/>
      <c r="N702" s="8"/>
      <c r="O702" s="8"/>
      <c r="P702" s="8"/>
      <c r="Q702" s="8"/>
      <c r="R702" s="8"/>
      <c r="S702" s="8"/>
      <c r="T702" s="8"/>
      <c r="U702" s="8"/>
      <c r="V702" s="8"/>
      <c r="W702" s="8"/>
      <c r="X702" s="8"/>
      <c r="Y702" s="8"/>
      <c r="Z702" s="8"/>
    </row>
    <row r="703" spans="1:26" ht="15.75" customHeight="1" x14ac:dyDescent="0.25">
      <c r="A703" s="8"/>
      <c r="B703" s="8"/>
      <c r="C703" s="8"/>
      <c r="D703" s="8"/>
      <c r="E703" s="8"/>
      <c r="F703" s="6" t="s">
        <v>116</v>
      </c>
      <c r="G703" s="8"/>
      <c r="H703" s="8"/>
      <c r="I703" s="8"/>
      <c r="J703" s="8"/>
      <c r="K703" s="8"/>
      <c r="L703" s="8"/>
      <c r="M703" s="8"/>
      <c r="N703" s="8"/>
      <c r="O703" s="8"/>
      <c r="P703" s="8"/>
      <c r="Q703" s="8"/>
      <c r="R703" s="8"/>
      <c r="S703" s="8"/>
      <c r="T703" s="8"/>
      <c r="U703" s="8"/>
      <c r="V703" s="8"/>
      <c r="W703" s="8"/>
      <c r="X703" s="8"/>
      <c r="Y703" s="8"/>
      <c r="Z703" s="8"/>
    </row>
    <row r="704" spans="1:26" ht="15.75" customHeight="1" x14ac:dyDescent="0.25">
      <c r="A704" s="8"/>
      <c r="B704" s="8"/>
      <c r="C704" s="8"/>
      <c r="D704" s="8"/>
      <c r="E704" s="8"/>
      <c r="F704" s="6" t="s">
        <v>116</v>
      </c>
      <c r="G704" s="8"/>
      <c r="H704" s="8"/>
      <c r="I704" s="8"/>
      <c r="J704" s="8"/>
      <c r="K704" s="8"/>
      <c r="L704" s="8"/>
      <c r="M704" s="8"/>
      <c r="N704" s="8"/>
      <c r="O704" s="8"/>
      <c r="P704" s="8"/>
      <c r="Q704" s="8"/>
      <c r="R704" s="8"/>
      <c r="S704" s="8"/>
      <c r="T704" s="8"/>
      <c r="U704" s="8"/>
      <c r="V704" s="8"/>
      <c r="W704" s="8"/>
      <c r="X704" s="8"/>
      <c r="Y704" s="8"/>
      <c r="Z704" s="8"/>
    </row>
    <row r="705" spans="1:26" ht="15.75" customHeight="1" x14ac:dyDescent="0.25">
      <c r="A705" s="8"/>
      <c r="B705" s="8"/>
      <c r="C705" s="8"/>
      <c r="D705" s="8"/>
      <c r="E705" s="8"/>
      <c r="F705" s="6" t="s">
        <v>116</v>
      </c>
      <c r="G705" s="8"/>
      <c r="H705" s="8"/>
      <c r="I705" s="8"/>
      <c r="J705" s="8"/>
      <c r="K705" s="8"/>
      <c r="L705" s="8"/>
      <c r="M705" s="8"/>
      <c r="N705" s="8"/>
      <c r="O705" s="8"/>
      <c r="P705" s="8"/>
      <c r="Q705" s="8"/>
      <c r="R705" s="8"/>
      <c r="S705" s="8"/>
      <c r="T705" s="8"/>
      <c r="U705" s="8"/>
      <c r="V705" s="8"/>
      <c r="W705" s="8"/>
      <c r="X705" s="8"/>
      <c r="Y705" s="8"/>
      <c r="Z705" s="8"/>
    </row>
    <row r="706" spans="1:26" ht="15.75" customHeight="1" x14ac:dyDescent="0.25">
      <c r="A706" s="8"/>
      <c r="B706" s="8"/>
      <c r="C706" s="8"/>
      <c r="D706" s="8"/>
      <c r="E706" s="8"/>
      <c r="F706" s="6" t="s">
        <v>116</v>
      </c>
      <c r="G706" s="8"/>
      <c r="H706" s="8"/>
      <c r="I706" s="8"/>
      <c r="J706" s="8"/>
      <c r="K706" s="8"/>
      <c r="L706" s="8"/>
      <c r="M706" s="8"/>
      <c r="N706" s="8"/>
      <c r="O706" s="8"/>
      <c r="P706" s="8"/>
      <c r="Q706" s="8"/>
      <c r="R706" s="8"/>
      <c r="S706" s="8"/>
      <c r="T706" s="8"/>
      <c r="U706" s="8"/>
      <c r="V706" s="8"/>
      <c r="W706" s="8"/>
      <c r="X706" s="8"/>
      <c r="Y706" s="8"/>
      <c r="Z706" s="8"/>
    </row>
    <row r="707" spans="1:26" ht="15.75" customHeight="1" x14ac:dyDescent="0.25">
      <c r="A707" s="8"/>
      <c r="B707" s="8"/>
      <c r="C707" s="8"/>
      <c r="D707" s="8"/>
      <c r="E707" s="8"/>
      <c r="F707" s="6" t="s">
        <v>116</v>
      </c>
      <c r="G707" s="8"/>
      <c r="H707" s="8"/>
      <c r="I707" s="8"/>
      <c r="J707" s="8"/>
      <c r="K707" s="8"/>
      <c r="L707" s="8"/>
      <c r="M707" s="8"/>
      <c r="N707" s="8"/>
      <c r="O707" s="8"/>
      <c r="P707" s="8"/>
      <c r="Q707" s="8"/>
      <c r="R707" s="8"/>
      <c r="S707" s="8"/>
      <c r="T707" s="8"/>
      <c r="U707" s="8"/>
      <c r="V707" s="8"/>
      <c r="W707" s="8"/>
      <c r="X707" s="8"/>
      <c r="Y707" s="8"/>
      <c r="Z707" s="8"/>
    </row>
    <row r="708" spans="1:26" ht="15.75" customHeight="1" x14ac:dyDescent="0.25">
      <c r="A708" s="8"/>
      <c r="B708" s="8"/>
      <c r="C708" s="8"/>
      <c r="D708" s="8"/>
      <c r="E708" s="8"/>
      <c r="F708" s="6" t="s">
        <v>116</v>
      </c>
      <c r="G708" s="8"/>
      <c r="H708" s="8"/>
      <c r="I708" s="8"/>
      <c r="J708" s="8"/>
      <c r="K708" s="8"/>
      <c r="L708" s="8"/>
      <c r="M708" s="8"/>
      <c r="N708" s="8"/>
      <c r="O708" s="8"/>
      <c r="P708" s="8"/>
      <c r="Q708" s="8"/>
      <c r="R708" s="8"/>
      <c r="S708" s="8"/>
      <c r="T708" s="8"/>
      <c r="U708" s="8"/>
      <c r="V708" s="8"/>
      <c r="W708" s="8"/>
      <c r="X708" s="8"/>
      <c r="Y708" s="8"/>
      <c r="Z708" s="8"/>
    </row>
    <row r="709" spans="1:26" ht="15.75" customHeight="1" x14ac:dyDescent="0.25">
      <c r="A709" s="8"/>
      <c r="B709" s="8"/>
      <c r="C709" s="8"/>
      <c r="D709" s="8"/>
      <c r="E709" s="8"/>
      <c r="F709" s="6" t="s">
        <v>116</v>
      </c>
      <c r="G709" s="8"/>
      <c r="H709" s="8"/>
      <c r="I709" s="8"/>
      <c r="J709" s="8"/>
      <c r="K709" s="8"/>
      <c r="L709" s="8"/>
      <c r="M709" s="8"/>
      <c r="N709" s="8"/>
      <c r="O709" s="8"/>
      <c r="P709" s="8"/>
      <c r="Q709" s="8"/>
      <c r="R709" s="8"/>
      <c r="S709" s="8"/>
      <c r="T709" s="8"/>
      <c r="U709" s="8"/>
      <c r="V709" s="8"/>
      <c r="W709" s="8"/>
      <c r="X709" s="8"/>
      <c r="Y709" s="8"/>
      <c r="Z709" s="8"/>
    </row>
    <row r="710" spans="1:26" ht="15.75" customHeight="1" x14ac:dyDescent="0.25">
      <c r="A710" s="8"/>
      <c r="B710" s="8"/>
      <c r="C710" s="8"/>
      <c r="D710" s="8"/>
      <c r="E710" s="8"/>
      <c r="F710" s="6" t="s">
        <v>116</v>
      </c>
      <c r="G710" s="8"/>
      <c r="H710" s="8"/>
      <c r="I710" s="8"/>
      <c r="J710" s="8"/>
      <c r="K710" s="8"/>
      <c r="L710" s="8"/>
      <c r="M710" s="8"/>
      <c r="N710" s="8"/>
      <c r="O710" s="8"/>
      <c r="P710" s="8"/>
      <c r="Q710" s="8"/>
      <c r="R710" s="8"/>
      <c r="S710" s="8"/>
      <c r="T710" s="8"/>
      <c r="U710" s="8"/>
      <c r="V710" s="8"/>
      <c r="W710" s="8"/>
      <c r="X710" s="8"/>
      <c r="Y710" s="8"/>
      <c r="Z710" s="8"/>
    </row>
    <row r="711" spans="1:26" ht="15.75" customHeight="1" x14ac:dyDescent="0.25">
      <c r="A711" s="8"/>
      <c r="B711" s="8"/>
      <c r="C711" s="8"/>
      <c r="D711" s="8"/>
      <c r="E711" s="8"/>
      <c r="F711" s="6" t="s">
        <v>116</v>
      </c>
      <c r="G711" s="8"/>
      <c r="H711" s="8"/>
      <c r="I711" s="8"/>
      <c r="J711" s="8"/>
      <c r="K711" s="8"/>
      <c r="L711" s="8"/>
      <c r="M711" s="8"/>
      <c r="N711" s="8"/>
      <c r="O711" s="8"/>
      <c r="P711" s="8"/>
      <c r="Q711" s="8"/>
      <c r="R711" s="8"/>
      <c r="S711" s="8"/>
      <c r="T711" s="8"/>
      <c r="U711" s="8"/>
      <c r="V711" s="8"/>
      <c r="W711" s="8"/>
      <c r="X711" s="8"/>
      <c r="Y711" s="8"/>
      <c r="Z711" s="8"/>
    </row>
    <row r="712" spans="1:26" ht="15.75" customHeight="1" x14ac:dyDescent="0.25">
      <c r="A712" s="8"/>
      <c r="B712" s="8"/>
      <c r="C712" s="8"/>
      <c r="D712" s="8"/>
      <c r="E712" s="8"/>
      <c r="F712" s="6" t="s">
        <v>116</v>
      </c>
      <c r="G712" s="8"/>
      <c r="H712" s="8"/>
      <c r="I712" s="8"/>
      <c r="J712" s="8"/>
      <c r="K712" s="8"/>
      <c r="L712" s="8"/>
      <c r="M712" s="8"/>
      <c r="N712" s="8"/>
      <c r="O712" s="8"/>
      <c r="P712" s="8"/>
      <c r="Q712" s="8"/>
      <c r="R712" s="8"/>
      <c r="S712" s="8"/>
      <c r="T712" s="8"/>
      <c r="U712" s="8"/>
      <c r="V712" s="8"/>
      <c r="W712" s="8"/>
      <c r="X712" s="8"/>
      <c r="Y712" s="8"/>
      <c r="Z712" s="8"/>
    </row>
    <row r="713" spans="1:26" ht="15.75" customHeight="1" x14ac:dyDescent="0.25">
      <c r="A713" s="8"/>
      <c r="B713" s="8"/>
      <c r="C713" s="8"/>
      <c r="D713" s="8"/>
      <c r="E713" s="8"/>
      <c r="F713" s="6" t="s">
        <v>116</v>
      </c>
      <c r="G713" s="8"/>
      <c r="H713" s="8"/>
      <c r="I713" s="8"/>
      <c r="J713" s="8"/>
      <c r="K713" s="8"/>
      <c r="L713" s="8"/>
      <c r="M713" s="8"/>
      <c r="N713" s="8"/>
      <c r="O713" s="8"/>
      <c r="P713" s="8"/>
      <c r="Q713" s="8"/>
      <c r="R713" s="8"/>
      <c r="S713" s="8"/>
      <c r="T713" s="8"/>
      <c r="U713" s="8"/>
      <c r="V713" s="8"/>
      <c r="W713" s="8"/>
      <c r="X713" s="8"/>
      <c r="Y713" s="8"/>
      <c r="Z713" s="8"/>
    </row>
    <row r="714" spans="1:26" ht="15.75" customHeight="1" x14ac:dyDescent="0.25">
      <c r="A714" s="8"/>
      <c r="B714" s="8"/>
      <c r="C714" s="8"/>
      <c r="D714" s="8"/>
      <c r="E714" s="8"/>
      <c r="F714" s="6" t="s">
        <v>116</v>
      </c>
      <c r="G714" s="8"/>
      <c r="H714" s="8"/>
      <c r="I714" s="8"/>
      <c r="J714" s="8"/>
      <c r="K714" s="8"/>
      <c r="L714" s="8"/>
      <c r="M714" s="8"/>
      <c r="N714" s="8"/>
      <c r="O714" s="8"/>
      <c r="P714" s="8"/>
      <c r="Q714" s="8"/>
      <c r="R714" s="8"/>
      <c r="S714" s="8"/>
      <c r="T714" s="8"/>
      <c r="U714" s="8"/>
      <c r="V714" s="8"/>
      <c r="W714" s="8"/>
      <c r="X714" s="8"/>
      <c r="Y714" s="8"/>
      <c r="Z714" s="8"/>
    </row>
    <row r="715" spans="1:26" ht="15.75" customHeight="1" x14ac:dyDescent="0.25">
      <c r="A715" s="8"/>
      <c r="B715" s="8"/>
      <c r="C715" s="8"/>
      <c r="D715" s="8"/>
      <c r="E715" s="8"/>
      <c r="F715" s="6" t="s">
        <v>116</v>
      </c>
      <c r="G715" s="8"/>
      <c r="H715" s="8"/>
      <c r="I715" s="8"/>
      <c r="J715" s="8"/>
      <c r="K715" s="8"/>
      <c r="L715" s="8"/>
      <c r="M715" s="8"/>
      <c r="N715" s="8"/>
      <c r="O715" s="8"/>
      <c r="P715" s="8"/>
      <c r="Q715" s="8"/>
      <c r="R715" s="8"/>
      <c r="S715" s="8"/>
      <c r="T715" s="8"/>
      <c r="U715" s="8"/>
      <c r="V715" s="8"/>
      <c r="W715" s="8"/>
      <c r="X715" s="8"/>
      <c r="Y715" s="8"/>
      <c r="Z715" s="8"/>
    </row>
    <row r="716" spans="1:26" ht="15.75" customHeight="1" x14ac:dyDescent="0.25">
      <c r="A716" s="8"/>
      <c r="B716" s="8"/>
      <c r="C716" s="8"/>
      <c r="D716" s="8"/>
      <c r="E716" s="8"/>
      <c r="F716" s="6" t="s">
        <v>116</v>
      </c>
      <c r="G716" s="8"/>
      <c r="H716" s="8"/>
      <c r="I716" s="8"/>
      <c r="J716" s="8"/>
      <c r="K716" s="8"/>
      <c r="L716" s="8"/>
      <c r="M716" s="8"/>
      <c r="N716" s="8"/>
      <c r="O716" s="8"/>
      <c r="P716" s="8"/>
      <c r="Q716" s="8"/>
      <c r="R716" s="8"/>
      <c r="S716" s="8"/>
      <c r="T716" s="8"/>
      <c r="U716" s="8"/>
      <c r="V716" s="8"/>
      <c r="W716" s="8"/>
      <c r="X716" s="8"/>
      <c r="Y716" s="8"/>
      <c r="Z716" s="8"/>
    </row>
    <row r="717" spans="1:26" ht="15.75" customHeight="1" x14ac:dyDescent="0.25">
      <c r="A717" s="8"/>
      <c r="B717" s="8"/>
      <c r="C717" s="8"/>
      <c r="D717" s="8"/>
      <c r="E717" s="8"/>
      <c r="F717" s="6" t="s">
        <v>116</v>
      </c>
      <c r="G717" s="8"/>
      <c r="H717" s="8"/>
      <c r="I717" s="8"/>
      <c r="J717" s="8"/>
      <c r="K717" s="8"/>
      <c r="L717" s="8"/>
      <c r="M717" s="8"/>
      <c r="N717" s="8"/>
      <c r="O717" s="8"/>
      <c r="P717" s="8"/>
      <c r="Q717" s="8"/>
      <c r="R717" s="8"/>
      <c r="S717" s="8"/>
      <c r="T717" s="8"/>
      <c r="U717" s="8"/>
      <c r="V717" s="8"/>
      <c r="W717" s="8"/>
      <c r="X717" s="8"/>
      <c r="Y717" s="8"/>
      <c r="Z717" s="8"/>
    </row>
    <row r="718" spans="1:26" ht="15.75" customHeight="1" x14ac:dyDescent="0.25">
      <c r="A718" s="8"/>
      <c r="B718" s="8"/>
      <c r="C718" s="8"/>
      <c r="D718" s="8"/>
      <c r="E718" s="8"/>
      <c r="F718" s="6" t="s">
        <v>116</v>
      </c>
      <c r="G718" s="8"/>
      <c r="H718" s="8"/>
      <c r="I718" s="8"/>
      <c r="J718" s="8"/>
      <c r="K718" s="8"/>
      <c r="L718" s="8"/>
      <c r="M718" s="8"/>
      <c r="N718" s="8"/>
      <c r="O718" s="8"/>
      <c r="P718" s="8"/>
      <c r="Q718" s="8"/>
      <c r="R718" s="8"/>
      <c r="S718" s="8"/>
      <c r="T718" s="8"/>
      <c r="U718" s="8"/>
      <c r="V718" s="8"/>
      <c r="W718" s="8"/>
      <c r="X718" s="8"/>
      <c r="Y718" s="8"/>
      <c r="Z718" s="8"/>
    </row>
    <row r="719" spans="1:26" ht="15.75" customHeight="1" x14ac:dyDescent="0.25">
      <c r="A719" s="8"/>
      <c r="B719" s="8"/>
      <c r="C719" s="8"/>
      <c r="D719" s="8"/>
      <c r="E719" s="8"/>
      <c r="F719" s="6" t="s">
        <v>116</v>
      </c>
      <c r="G719" s="8"/>
      <c r="H719" s="8"/>
      <c r="I719" s="8"/>
      <c r="J719" s="8"/>
      <c r="K719" s="8"/>
      <c r="L719" s="8"/>
      <c r="M719" s="8"/>
      <c r="N719" s="8"/>
      <c r="O719" s="8"/>
      <c r="P719" s="8"/>
      <c r="Q719" s="8"/>
      <c r="R719" s="8"/>
      <c r="S719" s="8"/>
      <c r="T719" s="8"/>
      <c r="U719" s="8"/>
      <c r="V719" s="8"/>
      <c r="W719" s="8"/>
      <c r="X719" s="8"/>
      <c r="Y719" s="8"/>
      <c r="Z719" s="8"/>
    </row>
    <row r="720" spans="1:26" ht="15.75" customHeight="1" x14ac:dyDescent="0.25">
      <c r="A720" s="8"/>
      <c r="B720" s="8"/>
      <c r="C720" s="8"/>
      <c r="D720" s="8"/>
      <c r="E720" s="8"/>
      <c r="F720" s="6" t="s">
        <v>116</v>
      </c>
      <c r="G720" s="8"/>
      <c r="H720" s="8"/>
      <c r="I720" s="8"/>
      <c r="J720" s="8"/>
      <c r="K720" s="8"/>
      <c r="L720" s="8"/>
      <c r="M720" s="8"/>
      <c r="N720" s="8"/>
      <c r="O720" s="8"/>
      <c r="P720" s="8"/>
      <c r="Q720" s="8"/>
      <c r="R720" s="8"/>
      <c r="S720" s="8"/>
      <c r="T720" s="8"/>
      <c r="U720" s="8"/>
      <c r="V720" s="8"/>
      <c r="W720" s="8"/>
      <c r="X720" s="8"/>
      <c r="Y720" s="8"/>
      <c r="Z720" s="8"/>
    </row>
    <row r="721" spans="1:26" ht="15.75" customHeight="1" x14ac:dyDescent="0.25">
      <c r="A721" s="8"/>
      <c r="B721" s="8"/>
      <c r="C721" s="8"/>
      <c r="D721" s="8"/>
      <c r="E721" s="8"/>
      <c r="F721" s="6" t="s">
        <v>116</v>
      </c>
      <c r="G721" s="8"/>
      <c r="H721" s="8"/>
      <c r="I721" s="8"/>
      <c r="J721" s="8"/>
      <c r="K721" s="8"/>
      <c r="L721" s="8"/>
      <c r="M721" s="8"/>
      <c r="N721" s="8"/>
      <c r="O721" s="8"/>
      <c r="P721" s="8"/>
      <c r="Q721" s="8"/>
      <c r="R721" s="8"/>
      <c r="S721" s="8"/>
      <c r="T721" s="8"/>
      <c r="U721" s="8"/>
      <c r="V721" s="8"/>
      <c r="W721" s="8"/>
      <c r="X721" s="8"/>
      <c r="Y721" s="8"/>
      <c r="Z721" s="8"/>
    </row>
    <row r="722" spans="1:26" ht="15.75" customHeight="1" x14ac:dyDescent="0.25">
      <c r="A722" s="8"/>
      <c r="B722" s="8"/>
      <c r="C722" s="8"/>
      <c r="D722" s="8"/>
      <c r="E722" s="8"/>
      <c r="F722" s="6" t="s">
        <v>116</v>
      </c>
      <c r="G722" s="8"/>
      <c r="H722" s="8"/>
      <c r="I722" s="8"/>
      <c r="J722" s="8"/>
      <c r="K722" s="8"/>
      <c r="L722" s="8"/>
      <c r="M722" s="8"/>
      <c r="N722" s="8"/>
      <c r="O722" s="8"/>
      <c r="P722" s="8"/>
      <c r="Q722" s="8"/>
      <c r="R722" s="8"/>
      <c r="S722" s="8"/>
      <c r="T722" s="8"/>
      <c r="U722" s="8"/>
      <c r="V722" s="8"/>
      <c r="W722" s="8"/>
      <c r="X722" s="8"/>
      <c r="Y722" s="8"/>
      <c r="Z722" s="8"/>
    </row>
    <row r="723" spans="1:26" ht="15.75" customHeight="1" x14ac:dyDescent="0.25">
      <c r="A723" s="8"/>
      <c r="B723" s="8"/>
      <c r="C723" s="8"/>
      <c r="D723" s="8"/>
      <c r="E723" s="8"/>
      <c r="F723" s="6" t="s">
        <v>116</v>
      </c>
      <c r="G723" s="8"/>
      <c r="H723" s="8"/>
      <c r="I723" s="8"/>
      <c r="J723" s="8"/>
      <c r="K723" s="8"/>
      <c r="L723" s="8"/>
      <c r="M723" s="8"/>
      <c r="N723" s="8"/>
      <c r="O723" s="8"/>
      <c r="P723" s="8"/>
      <c r="Q723" s="8"/>
      <c r="R723" s="8"/>
      <c r="S723" s="8"/>
      <c r="T723" s="8"/>
      <c r="U723" s="8"/>
      <c r="V723" s="8"/>
      <c r="W723" s="8"/>
      <c r="X723" s="8"/>
      <c r="Y723" s="8"/>
      <c r="Z723" s="8"/>
    </row>
    <row r="724" spans="1:26" ht="15.75" customHeight="1" x14ac:dyDescent="0.25">
      <c r="A724" s="8"/>
      <c r="B724" s="8"/>
      <c r="C724" s="8"/>
      <c r="D724" s="8"/>
      <c r="E724" s="8"/>
      <c r="F724" s="6" t="s">
        <v>116</v>
      </c>
      <c r="G724" s="8"/>
      <c r="H724" s="8"/>
      <c r="I724" s="8"/>
      <c r="J724" s="8"/>
      <c r="K724" s="8"/>
      <c r="L724" s="8"/>
      <c r="M724" s="8"/>
      <c r="N724" s="8"/>
      <c r="O724" s="8"/>
      <c r="P724" s="8"/>
      <c r="Q724" s="8"/>
      <c r="R724" s="8"/>
      <c r="S724" s="8"/>
      <c r="T724" s="8"/>
      <c r="U724" s="8"/>
      <c r="V724" s="8"/>
      <c r="W724" s="8"/>
      <c r="X724" s="8"/>
      <c r="Y724" s="8"/>
      <c r="Z724" s="8"/>
    </row>
    <row r="725" spans="1:26" ht="15.75" customHeight="1" x14ac:dyDescent="0.25">
      <c r="A725" s="8"/>
      <c r="B725" s="8"/>
      <c r="C725" s="8"/>
      <c r="D725" s="8"/>
      <c r="E725" s="8"/>
      <c r="F725" s="6" t="s">
        <v>116</v>
      </c>
      <c r="G725" s="8"/>
      <c r="H725" s="8"/>
      <c r="I725" s="8"/>
      <c r="J725" s="8"/>
      <c r="K725" s="8"/>
      <c r="L725" s="8"/>
      <c r="M725" s="8"/>
      <c r="N725" s="8"/>
      <c r="O725" s="8"/>
      <c r="P725" s="8"/>
      <c r="Q725" s="8"/>
      <c r="R725" s="8"/>
      <c r="S725" s="8"/>
      <c r="T725" s="8"/>
      <c r="U725" s="8"/>
      <c r="V725" s="8"/>
      <c r="W725" s="8"/>
      <c r="X725" s="8"/>
      <c r="Y725" s="8"/>
      <c r="Z725" s="8"/>
    </row>
    <row r="726" spans="1:26" ht="15.75" customHeight="1" x14ac:dyDescent="0.25">
      <c r="A726" s="8"/>
      <c r="B726" s="8"/>
      <c r="C726" s="8"/>
      <c r="D726" s="8"/>
      <c r="E726" s="8"/>
      <c r="F726" s="6" t="s">
        <v>116</v>
      </c>
      <c r="G726" s="8"/>
      <c r="H726" s="8"/>
      <c r="I726" s="8"/>
      <c r="J726" s="8"/>
      <c r="K726" s="8"/>
      <c r="L726" s="8"/>
      <c r="M726" s="8"/>
      <c r="N726" s="8"/>
      <c r="O726" s="8"/>
      <c r="P726" s="8"/>
      <c r="Q726" s="8"/>
      <c r="R726" s="8"/>
      <c r="S726" s="8"/>
      <c r="T726" s="8"/>
      <c r="U726" s="8"/>
      <c r="V726" s="8"/>
      <c r="W726" s="8"/>
      <c r="X726" s="8"/>
      <c r="Y726" s="8"/>
      <c r="Z726" s="8"/>
    </row>
    <row r="727" spans="1:26" ht="15.75" customHeight="1" x14ac:dyDescent="0.25">
      <c r="A727" s="8"/>
      <c r="B727" s="8"/>
      <c r="C727" s="8"/>
      <c r="D727" s="8"/>
      <c r="E727" s="8"/>
      <c r="F727" s="6" t="s">
        <v>116</v>
      </c>
      <c r="G727" s="8"/>
      <c r="H727" s="8"/>
      <c r="I727" s="8"/>
      <c r="J727" s="8"/>
      <c r="K727" s="8"/>
      <c r="L727" s="8"/>
      <c r="M727" s="8"/>
      <c r="N727" s="8"/>
      <c r="O727" s="8"/>
      <c r="P727" s="8"/>
      <c r="Q727" s="8"/>
      <c r="R727" s="8"/>
      <c r="S727" s="8"/>
      <c r="T727" s="8"/>
      <c r="U727" s="8"/>
      <c r="V727" s="8"/>
      <c r="W727" s="8"/>
      <c r="X727" s="8"/>
      <c r="Y727" s="8"/>
      <c r="Z727" s="8"/>
    </row>
    <row r="728" spans="1:26" ht="15.75" customHeight="1" x14ac:dyDescent="0.25">
      <c r="A728" s="8"/>
      <c r="B728" s="8"/>
      <c r="C728" s="8"/>
      <c r="D728" s="8"/>
      <c r="E728" s="8"/>
      <c r="F728" s="6" t="s">
        <v>116</v>
      </c>
      <c r="G728" s="8"/>
      <c r="H728" s="8"/>
      <c r="I728" s="8"/>
      <c r="J728" s="8"/>
      <c r="K728" s="8"/>
      <c r="L728" s="8"/>
      <c r="M728" s="8"/>
      <c r="N728" s="8"/>
      <c r="O728" s="8"/>
      <c r="P728" s="8"/>
      <c r="Q728" s="8"/>
      <c r="R728" s="8"/>
      <c r="S728" s="8"/>
      <c r="T728" s="8"/>
      <c r="U728" s="8"/>
      <c r="V728" s="8"/>
      <c r="W728" s="8"/>
      <c r="X728" s="8"/>
      <c r="Y728" s="8"/>
      <c r="Z728" s="8"/>
    </row>
    <row r="729" spans="1:26" ht="15.75" customHeight="1" x14ac:dyDescent="0.25">
      <c r="A729" s="8"/>
      <c r="B729" s="8"/>
      <c r="C729" s="8"/>
      <c r="D729" s="8"/>
      <c r="E729" s="8"/>
      <c r="F729" s="8"/>
      <c r="G729" s="8"/>
      <c r="H729" s="8"/>
      <c r="I729" s="8"/>
      <c r="J729" s="8"/>
      <c r="K729" s="8"/>
      <c r="L729" s="8"/>
      <c r="M729" s="8"/>
      <c r="N729" s="8"/>
      <c r="O729" s="8"/>
      <c r="P729" s="8"/>
      <c r="Q729" s="8"/>
      <c r="R729" s="8"/>
      <c r="S729" s="8"/>
      <c r="T729" s="8"/>
      <c r="U729" s="8"/>
      <c r="V729" s="8"/>
      <c r="W729" s="8"/>
      <c r="X729" s="8"/>
      <c r="Y729" s="8"/>
      <c r="Z729" s="8"/>
    </row>
    <row r="730" spans="1:26" ht="15.75" customHeight="1" x14ac:dyDescent="0.25">
      <c r="A730" s="8"/>
      <c r="B730" s="8"/>
      <c r="C730" s="8"/>
      <c r="D730" s="8"/>
      <c r="E730" s="8"/>
      <c r="F730" s="8"/>
      <c r="G730" s="8"/>
      <c r="H730" s="8"/>
      <c r="I730" s="8"/>
      <c r="J730" s="8"/>
      <c r="K730" s="8"/>
      <c r="L730" s="8"/>
      <c r="M730" s="8"/>
      <c r="N730" s="8"/>
      <c r="O730" s="8"/>
      <c r="P730" s="8"/>
      <c r="Q730" s="8"/>
      <c r="R730" s="8"/>
      <c r="S730" s="8"/>
      <c r="T730" s="8"/>
      <c r="U730" s="8"/>
      <c r="V730" s="8"/>
      <c r="W730" s="8"/>
      <c r="X730" s="8"/>
      <c r="Y730" s="8"/>
      <c r="Z730" s="8"/>
    </row>
    <row r="731" spans="1:26" ht="15.75" customHeight="1" x14ac:dyDescent="0.25">
      <c r="A731" s="8"/>
      <c r="B731" s="8"/>
      <c r="C731" s="8"/>
      <c r="D731" s="8"/>
      <c r="E731" s="8"/>
      <c r="F731" s="8"/>
      <c r="G731" s="8"/>
      <c r="H731" s="8"/>
      <c r="I731" s="8"/>
      <c r="J731" s="8"/>
      <c r="K731" s="8"/>
      <c r="L731" s="8"/>
      <c r="M731" s="8"/>
      <c r="N731" s="8"/>
      <c r="O731" s="8"/>
      <c r="P731" s="8"/>
      <c r="Q731" s="8"/>
      <c r="R731" s="8"/>
      <c r="S731" s="8"/>
      <c r="T731" s="8"/>
      <c r="U731" s="8"/>
      <c r="V731" s="8"/>
      <c r="W731" s="8"/>
      <c r="X731" s="8"/>
      <c r="Y731" s="8"/>
      <c r="Z731" s="8"/>
    </row>
    <row r="732" spans="1:26" ht="15.75" customHeight="1" x14ac:dyDescent="0.25">
      <c r="A732" s="8"/>
      <c r="B732" s="8"/>
      <c r="C732" s="8"/>
      <c r="D732" s="8"/>
      <c r="E732" s="8"/>
      <c r="F732" s="8"/>
      <c r="G732" s="8"/>
      <c r="H732" s="8"/>
      <c r="I732" s="8"/>
      <c r="J732" s="8"/>
      <c r="K732" s="8"/>
      <c r="L732" s="8"/>
      <c r="M732" s="8"/>
      <c r="N732" s="8"/>
      <c r="O732" s="8"/>
      <c r="P732" s="8"/>
      <c r="Q732" s="8"/>
      <c r="R732" s="8"/>
      <c r="S732" s="8"/>
      <c r="T732" s="8"/>
      <c r="U732" s="8"/>
      <c r="V732" s="8"/>
      <c r="W732" s="8"/>
      <c r="X732" s="8"/>
      <c r="Y732" s="8"/>
      <c r="Z732" s="8"/>
    </row>
    <row r="733" spans="1:26" ht="15.75" customHeight="1" x14ac:dyDescent="0.25">
      <c r="A733" s="8"/>
      <c r="B733" s="8"/>
      <c r="C733" s="8"/>
      <c r="D733" s="8"/>
      <c r="E733" s="8"/>
      <c r="F733" s="8"/>
      <c r="G733" s="8"/>
      <c r="H733" s="8"/>
      <c r="I733" s="8"/>
      <c r="J733" s="8"/>
      <c r="K733" s="8"/>
      <c r="L733" s="8"/>
      <c r="M733" s="8"/>
      <c r="N733" s="8"/>
      <c r="O733" s="8"/>
      <c r="P733" s="8"/>
      <c r="Q733" s="8"/>
      <c r="R733" s="8"/>
      <c r="S733" s="8"/>
      <c r="T733" s="8"/>
      <c r="U733" s="8"/>
      <c r="V733" s="8"/>
      <c r="W733" s="8"/>
      <c r="X733" s="8"/>
      <c r="Y733" s="8"/>
      <c r="Z733" s="8"/>
    </row>
    <row r="734" spans="1:26" ht="15.75" customHeight="1" x14ac:dyDescent="0.25">
      <c r="A734" s="8"/>
      <c r="B734" s="8"/>
      <c r="C734" s="8"/>
      <c r="D734" s="8"/>
      <c r="E734" s="8"/>
      <c r="F734" s="8"/>
      <c r="G734" s="8"/>
      <c r="H734" s="8"/>
      <c r="I734" s="8"/>
      <c r="J734" s="8"/>
      <c r="K734" s="8"/>
      <c r="L734" s="8"/>
      <c r="M734" s="8"/>
      <c r="N734" s="8"/>
      <c r="O734" s="8"/>
      <c r="P734" s="8"/>
      <c r="Q734" s="8"/>
      <c r="R734" s="8"/>
      <c r="S734" s="8"/>
      <c r="T734" s="8"/>
      <c r="U734" s="8"/>
      <c r="V734" s="8"/>
      <c r="W734" s="8"/>
      <c r="X734" s="8"/>
      <c r="Y734" s="8"/>
      <c r="Z734" s="8"/>
    </row>
    <row r="735" spans="1:26" ht="15.75" customHeight="1" x14ac:dyDescent="0.25">
      <c r="A735" s="8"/>
      <c r="B735" s="8"/>
      <c r="C735" s="8"/>
      <c r="D735" s="8"/>
      <c r="E735" s="8"/>
      <c r="F735" s="8"/>
      <c r="G735" s="8"/>
      <c r="H735" s="8"/>
      <c r="I735" s="8"/>
      <c r="J735" s="8"/>
      <c r="K735" s="8"/>
      <c r="L735" s="8"/>
      <c r="M735" s="8"/>
      <c r="N735" s="8"/>
      <c r="O735" s="8"/>
      <c r="P735" s="8"/>
      <c r="Q735" s="8"/>
      <c r="R735" s="8"/>
      <c r="S735" s="8"/>
      <c r="T735" s="8"/>
      <c r="U735" s="8"/>
      <c r="V735" s="8"/>
      <c r="W735" s="8"/>
      <c r="X735" s="8"/>
      <c r="Y735" s="8"/>
      <c r="Z735" s="8"/>
    </row>
    <row r="736" spans="1:26" ht="15.75" customHeight="1" x14ac:dyDescent="0.25">
      <c r="A736" s="8"/>
      <c r="B736" s="8"/>
      <c r="C736" s="8"/>
      <c r="D736" s="8"/>
      <c r="E736" s="8"/>
      <c r="F736" s="8"/>
      <c r="G736" s="8"/>
      <c r="H736" s="8"/>
      <c r="I736" s="8"/>
      <c r="J736" s="8"/>
      <c r="K736" s="8"/>
      <c r="L736" s="8"/>
      <c r="M736" s="8"/>
      <c r="N736" s="8"/>
      <c r="O736" s="8"/>
      <c r="P736" s="8"/>
      <c r="Q736" s="8"/>
      <c r="R736" s="8"/>
      <c r="S736" s="8"/>
      <c r="T736" s="8"/>
      <c r="U736" s="8"/>
      <c r="V736" s="8"/>
      <c r="W736" s="8"/>
      <c r="X736" s="8"/>
      <c r="Y736" s="8"/>
      <c r="Z736" s="8"/>
    </row>
    <row r="737" spans="1:26" ht="15.75" customHeight="1" x14ac:dyDescent="0.25">
      <c r="A737" s="8"/>
      <c r="B737" s="8"/>
      <c r="C737" s="8"/>
      <c r="D737" s="8"/>
      <c r="E737" s="8"/>
      <c r="F737" s="8"/>
      <c r="G737" s="8"/>
      <c r="H737" s="8"/>
      <c r="I737" s="8"/>
      <c r="J737" s="8"/>
      <c r="K737" s="8"/>
      <c r="L737" s="8"/>
      <c r="M737" s="8"/>
      <c r="N737" s="8"/>
      <c r="O737" s="8"/>
      <c r="P737" s="8"/>
      <c r="Q737" s="8"/>
      <c r="R737" s="8"/>
      <c r="S737" s="8"/>
      <c r="T737" s="8"/>
      <c r="U737" s="8"/>
      <c r="V737" s="8"/>
      <c r="W737" s="8"/>
      <c r="X737" s="8"/>
      <c r="Y737" s="8"/>
      <c r="Z737" s="8"/>
    </row>
    <row r="738" spans="1:26" ht="15.75" customHeight="1" x14ac:dyDescent="0.25">
      <c r="A738" s="8"/>
      <c r="B738" s="8"/>
      <c r="C738" s="8"/>
      <c r="D738" s="8"/>
      <c r="E738" s="8"/>
      <c r="F738" s="8"/>
      <c r="G738" s="8"/>
      <c r="H738" s="8"/>
      <c r="I738" s="8"/>
      <c r="J738" s="8"/>
      <c r="K738" s="8"/>
      <c r="L738" s="8"/>
      <c r="M738" s="8"/>
      <c r="N738" s="8"/>
      <c r="O738" s="8"/>
      <c r="P738" s="8"/>
      <c r="Q738" s="8"/>
      <c r="R738" s="8"/>
      <c r="S738" s="8"/>
      <c r="T738" s="8"/>
      <c r="U738" s="8"/>
      <c r="V738" s="8"/>
      <c r="W738" s="8"/>
      <c r="X738" s="8"/>
      <c r="Y738" s="8"/>
      <c r="Z738" s="8"/>
    </row>
    <row r="739" spans="1:26" ht="15.75" customHeight="1" x14ac:dyDescent="0.25">
      <c r="A739" s="8"/>
      <c r="B739" s="8"/>
      <c r="C739" s="8"/>
      <c r="D739" s="8"/>
      <c r="E739" s="8"/>
      <c r="F739" s="8"/>
      <c r="G739" s="8"/>
      <c r="H739" s="8"/>
      <c r="I739" s="8"/>
      <c r="J739" s="8"/>
      <c r="K739" s="8"/>
      <c r="L739" s="8"/>
      <c r="M739" s="8"/>
      <c r="N739" s="8"/>
      <c r="O739" s="8"/>
      <c r="P739" s="8"/>
      <c r="Q739" s="8"/>
      <c r="R739" s="8"/>
      <c r="S739" s="8"/>
      <c r="T739" s="8"/>
      <c r="U739" s="8"/>
      <c r="V739" s="8"/>
      <c r="W739" s="8"/>
      <c r="X739" s="8"/>
      <c r="Y739" s="8"/>
      <c r="Z739" s="8"/>
    </row>
    <row r="740" spans="1:26" ht="15.75" customHeight="1" x14ac:dyDescent="0.25">
      <c r="A740" s="8"/>
      <c r="B740" s="8"/>
      <c r="C740" s="8"/>
      <c r="D740" s="8"/>
      <c r="E740" s="8"/>
      <c r="F740" s="8"/>
      <c r="G740" s="8"/>
      <c r="H740" s="8"/>
      <c r="I740" s="8"/>
      <c r="J740" s="8"/>
      <c r="K740" s="8"/>
      <c r="L740" s="8"/>
      <c r="M740" s="8"/>
      <c r="N740" s="8"/>
      <c r="O740" s="8"/>
      <c r="P740" s="8"/>
      <c r="Q740" s="8"/>
      <c r="R740" s="8"/>
      <c r="S740" s="8"/>
      <c r="T740" s="8"/>
      <c r="U740" s="8"/>
      <c r="V740" s="8"/>
      <c r="W740" s="8"/>
      <c r="X740" s="8"/>
      <c r="Y740" s="8"/>
      <c r="Z740" s="8"/>
    </row>
    <row r="741" spans="1:26" ht="15.75" customHeight="1" x14ac:dyDescent="0.25">
      <c r="A741" s="8"/>
      <c r="B741" s="8"/>
      <c r="C741" s="8"/>
      <c r="D741" s="8"/>
      <c r="E741" s="8"/>
      <c r="F741" s="8"/>
      <c r="G741" s="8"/>
      <c r="H741" s="8"/>
      <c r="I741" s="8"/>
      <c r="J741" s="8"/>
      <c r="K741" s="8"/>
      <c r="L741" s="8"/>
      <c r="M741" s="8"/>
      <c r="N741" s="8"/>
      <c r="O741" s="8"/>
      <c r="P741" s="8"/>
      <c r="Q741" s="8"/>
      <c r="R741" s="8"/>
      <c r="S741" s="8"/>
      <c r="T741" s="8"/>
      <c r="U741" s="8"/>
      <c r="V741" s="8"/>
      <c r="W741" s="8"/>
      <c r="X741" s="8"/>
      <c r="Y741" s="8"/>
      <c r="Z741" s="8"/>
    </row>
    <row r="742" spans="1:26" ht="15.75" customHeight="1" x14ac:dyDescent="0.25">
      <c r="A742" s="8"/>
      <c r="B742" s="8"/>
      <c r="C742" s="8"/>
      <c r="D742" s="8"/>
      <c r="E742" s="8"/>
      <c r="F742" s="8"/>
      <c r="G742" s="8"/>
      <c r="H742" s="8"/>
      <c r="I742" s="8"/>
      <c r="J742" s="8"/>
      <c r="K742" s="8"/>
      <c r="L742" s="8"/>
      <c r="M742" s="8"/>
      <c r="N742" s="8"/>
      <c r="O742" s="8"/>
      <c r="P742" s="8"/>
      <c r="Q742" s="8"/>
      <c r="R742" s="8"/>
      <c r="S742" s="8"/>
      <c r="T742" s="8"/>
      <c r="U742" s="8"/>
      <c r="V742" s="8"/>
      <c r="W742" s="8"/>
      <c r="X742" s="8"/>
      <c r="Y742" s="8"/>
      <c r="Z742" s="8"/>
    </row>
    <row r="743" spans="1:26" ht="15.75" customHeight="1" x14ac:dyDescent="0.25">
      <c r="A743" s="8"/>
      <c r="B743" s="8"/>
      <c r="C743" s="8"/>
      <c r="D743" s="8"/>
      <c r="E743" s="8"/>
      <c r="F743" s="8"/>
      <c r="G743" s="8"/>
      <c r="H743" s="8"/>
      <c r="I743" s="8"/>
      <c r="J743" s="8"/>
      <c r="K743" s="8"/>
      <c r="L743" s="8"/>
      <c r="M743" s="8"/>
      <c r="N743" s="8"/>
      <c r="O743" s="8"/>
      <c r="P743" s="8"/>
      <c r="Q743" s="8"/>
      <c r="R743" s="8"/>
      <c r="S743" s="8"/>
      <c r="T743" s="8"/>
      <c r="U743" s="8"/>
      <c r="V743" s="8"/>
      <c r="W743" s="8"/>
      <c r="X743" s="8"/>
      <c r="Y743" s="8"/>
      <c r="Z743" s="8"/>
    </row>
    <row r="744" spans="1:26" ht="15.75" customHeight="1" x14ac:dyDescent="0.25">
      <c r="A744" s="8"/>
      <c r="B744" s="8"/>
      <c r="C744" s="8"/>
      <c r="D744" s="8"/>
      <c r="E744" s="8"/>
      <c r="F744" s="8"/>
      <c r="G744" s="8"/>
      <c r="H744" s="8"/>
      <c r="I744" s="8"/>
      <c r="J744" s="8"/>
      <c r="K744" s="8"/>
      <c r="L744" s="8"/>
      <c r="M744" s="8"/>
      <c r="N744" s="8"/>
      <c r="O744" s="8"/>
      <c r="P744" s="8"/>
      <c r="Q744" s="8"/>
      <c r="R744" s="8"/>
      <c r="S744" s="8"/>
      <c r="T744" s="8"/>
      <c r="U744" s="8"/>
      <c r="V744" s="8"/>
      <c r="W744" s="8"/>
      <c r="X744" s="8"/>
      <c r="Y744" s="8"/>
      <c r="Z744" s="8"/>
    </row>
    <row r="745" spans="1:26" ht="15.75" customHeight="1" x14ac:dyDescent="0.25">
      <c r="A745" s="8"/>
      <c r="B745" s="8"/>
      <c r="C745" s="8"/>
      <c r="D745" s="8"/>
      <c r="E745" s="8"/>
      <c r="F745" s="8"/>
      <c r="G745" s="8"/>
      <c r="H745" s="8"/>
      <c r="I745" s="8"/>
      <c r="J745" s="8"/>
      <c r="K745" s="8"/>
      <c r="L745" s="8"/>
      <c r="M745" s="8"/>
      <c r="N745" s="8"/>
      <c r="O745" s="8"/>
      <c r="P745" s="8"/>
      <c r="Q745" s="8"/>
      <c r="R745" s="8"/>
      <c r="S745" s="8"/>
      <c r="T745" s="8"/>
      <c r="U745" s="8"/>
      <c r="V745" s="8"/>
      <c r="W745" s="8"/>
      <c r="X745" s="8"/>
      <c r="Y745" s="8"/>
      <c r="Z745" s="8"/>
    </row>
    <row r="746" spans="1:26" ht="15.75" customHeight="1" x14ac:dyDescent="0.25">
      <c r="A746" s="8"/>
      <c r="B746" s="8"/>
      <c r="C746" s="8"/>
      <c r="D746" s="8"/>
      <c r="E746" s="8"/>
      <c r="F746" s="8"/>
      <c r="G746" s="8"/>
      <c r="H746" s="8"/>
      <c r="I746" s="8"/>
      <c r="J746" s="8"/>
      <c r="K746" s="8"/>
      <c r="L746" s="8"/>
      <c r="M746" s="8"/>
      <c r="N746" s="8"/>
      <c r="O746" s="8"/>
      <c r="P746" s="8"/>
      <c r="Q746" s="8"/>
      <c r="R746" s="8"/>
      <c r="S746" s="8"/>
      <c r="T746" s="8"/>
      <c r="U746" s="8"/>
      <c r="V746" s="8"/>
      <c r="W746" s="8"/>
      <c r="X746" s="8"/>
      <c r="Y746" s="8"/>
      <c r="Z746" s="8"/>
    </row>
    <row r="747" spans="1:26" ht="15.75" customHeight="1" x14ac:dyDescent="0.25">
      <c r="A747" s="8"/>
      <c r="B747" s="8"/>
      <c r="C747" s="8"/>
      <c r="D747" s="8"/>
      <c r="E747" s="8"/>
      <c r="F747" s="8"/>
      <c r="G747" s="8"/>
      <c r="H747" s="8"/>
      <c r="I747" s="8"/>
      <c r="J747" s="8"/>
      <c r="K747" s="8"/>
      <c r="L747" s="8"/>
      <c r="M747" s="8"/>
      <c r="N747" s="8"/>
      <c r="O747" s="8"/>
      <c r="P747" s="8"/>
      <c r="Q747" s="8"/>
      <c r="R747" s="8"/>
      <c r="S747" s="8"/>
      <c r="T747" s="8"/>
      <c r="U747" s="8"/>
      <c r="V747" s="8"/>
      <c r="W747" s="8"/>
      <c r="X747" s="8"/>
      <c r="Y747" s="8"/>
      <c r="Z747" s="8"/>
    </row>
    <row r="748" spans="1:26" ht="15.75" customHeight="1" x14ac:dyDescent="0.25">
      <c r="A748" s="8"/>
      <c r="B748" s="8"/>
      <c r="C748" s="8"/>
      <c r="D748" s="8"/>
      <c r="E748" s="8"/>
      <c r="F748" s="8"/>
      <c r="G748" s="8"/>
      <c r="H748" s="8"/>
      <c r="I748" s="8"/>
      <c r="J748" s="8"/>
      <c r="K748" s="8"/>
      <c r="L748" s="8"/>
      <c r="M748" s="8"/>
      <c r="N748" s="8"/>
      <c r="O748" s="8"/>
      <c r="P748" s="8"/>
      <c r="Q748" s="8"/>
      <c r="R748" s="8"/>
      <c r="S748" s="8"/>
      <c r="T748" s="8"/>
      <c r="U748" s="8"/>
      <c r="V748" s="8"/>
      <c r="W748" s="8"/>
      <c r="X748" s="8"/>
      <c r="Y748" s="8"/>
      <c r="Z748" s="8"/>
    </row>
    <row r="749" spans="1:26" ht="15.75" customHeight="1" x14ac:dyDescent="0.25">
      <c r="A749" s="8"/>
      <c r="B749" s="8"/>
      <c r="C749" s="8"/>
      <c r="D749" s="8"/>
      <c r="E749" s="8"/>
      <c r="F749" s="8"/>
      <c r="G749" s="8"/>
      <c r="H749" s="8"/>
      <c r="I749" s="8"/>
      <c r="J749" s="8"/>
      <c r="K749" s="8"/>
      <c r="L749" s="8"/>
      <c r="M749" s="8"/>
      <c r="N749" s="8"/>
      <c r="O749" s="8"/>
      <c r="P749" s="8"/>
      <c r="Q749" s="8"/>
      <c r="R749" s="8"/>
      <c r="S749" s="8"/>
      <c r="T749" s="8"/>
      <c r="U749" s="8"/>
      <c r="V749" s="8"/>
      <c r="W749" s="8"/>
      <c r="X749" s="8"/>
      <c r="Y749" s="8"/>
      <c r="Z749" s="8"/>
    </row>
    <row r="750" spans="1:26" ht="15.75" customHeight="1" x14ac:dyDescent="0.25">
      <c r="A750" s="8"/>
      <c r="B750" s="8"/>
      <c r="C750" s="8"/>
      <c r="D750" s="8"/>
      <c r="E750" s="8"/>
      <c r="F750" s="8"/>
      <c r="G750" s="8"/>
      <c r="H750" s="8"/>
      <c r="I750" s="8"/>
      <c r="J750" s="8"/>
      <c r="K750" s="8"/>
      <c r="L750" s="8"/>
      <c r="M750" s="8"/>
      <c r="N750" s="8"/>
      <c r="O750" s="8"/>
      <c r="P750" s="8"/>
      <c r="Q750" s="8"/>
      <c r="R750" s="8"/>
      <c r="S750" s="8"/>
      <c r="T750" s="8"/>
      <c r="U750" s="8"/>
      <c r="V750" s="8"/>
      <c r="W750" s="8"/>
      <c r="X750" s="8"/>
      <c r="Y750" s="8"/>
      <c r="Z750" s="8"/>
    </row>
    <row r="751" spans="1:26" ht="15.75" customHeight="1" x14ac:dyDescent="0.25">
      <c r="A751" s="8"/>
      <c r="B751" s="8"/>
      <c r="C751" s="8"/>
      <c r="D751" s="8"/>
      <c r="E751" s="8"/>
      <c r="F751" s="8"/>
      <c r="G751" s="8"/>
      <c r="H751" s="8"/>
      <c r="I751" s="8"/>
      <c r="J751" s="8"/>
      <c r="K751" s="8"/>
      <c r="L751" s="8"/>
      <c r="M751" s="8"/>
      <c r="N751" s="8"/>
      <c r="O751" s="8"/>
      <c r="P751" s="8"/>
      <c r="Q751" s="8"/>
      <c r="R751" s="8"/>
      <c r="S751" s="8"/>
      <c r="T751" s="8"/>
      <c r="U751" s="8"/>
      <c r="V751" s="8"/>
      <c r="W751" s="8"/>
      <c r="X751" s="8"/>
      <c r="Y751" s="8"/>
      <c r="Z751" s="8"/>
    </row>
    <row r="752" spans="1:26" ht="15.75" customHeight="1" x14ac:dyDescent="0.25">
      <c r="A752" s="8"/>
      <c r="B752" s="8"/>
      <c r="C752" s="8"/>
      <c r="D752" s="8"/>
      <c r="E752" s="8"/>
      <c r="F752" s="8"/>
      <c r="G752" s="8"/>
      <c r="H752" s="8"/>
      <c r="I752" s="8"/>
      <c r="J752" s="8"/>
      <c r="K752" s="8"/>
      <c r="L752" s="8"/>
      <c r="M752" s="8"/>
      <c r="N752" s="8"/>
      <c r="O752" s="8"/>
      <c r="P752" s="8"/>
      <c r="Q752" s="8"/>
      <c r="R752" s="8"/>
      <c r="S752" s="8"/>
      <c r="T752" s="8"/>
      <c r="U752" s="8"/>
      <c r="V752" s="8"/>
      <c r="W752" s="8"/>
      <c r="X752" s="8"/>
      <c r="Y752" s="8"/>
      <c r="Z752" s="8"/>
    </row>
    <row r="753" spans="1:26" ht="15.75" customHeight="1" x14ac:dyDescent="0.25">
      <c r="A753" s="8"/>
      <c r="B753" s="8"/>
      <c r="C753" s="8"/>
      <c r="D753" s="8"/>
      <c r="E753" s="8"/>
      <c r="F753" s="8"/>
      <c r="G753" s="8"/>
      <c r="H753" s="8"/>
      <c r="I753" s="8"/>
      <c r="J753" s="8"/>
      <c r="K753" s="8"/>
      <c r="L753" s="8"/>
      <c r="M753" s="8"/>
      <c r="N753" s="8"/>
      <c r="O753" s="8"/>
      <c r="P753" s="8"/>
      <c r="Q753" s="8"/>
      <c r="R753" s="8"/>
      <c r="S753" s="8"/>
      <c r="T753" s="8"/>
      <c r="U753" s="8"/>
      <c r="V753" s="8"/>
      <c r="W753" s="8"/>
      <c r="X753" s="8"/>
      <c r="Y753" s="8"/>
      <c r="Z753" s="8"/>
    </row>
    <row r="754" spans="1:26" ht="15.75" customHeight="1" x14ac:dyDescent="0.25">
      <c r="A754" s="8"/>
      <c r="B754" s="8"/>
      <c r="C754" s="8"/>
      <c r="D754" s="8"/>
      <c r="E754" s="8"/>
      <c r="F754" s="8"/>
      <c r="G754" s="8"/>
      <c r="H754" s="8"/>
      <c r="I754" s="8"/>
      <c r="J754" s="8"/>
      <c r="K754" s="8"/>
      <c r="L754" s="8"/>
      <c r="M754" s="8"/>
      <c r="N754" s="8"/>
      <c r="O754" s="8"/>
      <c r="P754" s="8"/>
      <c r="Q754" s="8"/>
      <c r="R754" s="8"/>
      <c r="S754" s="8"/>
      <c r="T754" s="8"/>
      <c r="U754" s="8"/>
      <c r="V754" s="8"/>
      <c r="W754" s="8"/>
      <c r="X754" s="8"/>
      <c r="Y754" s="8"/>
      <c r="Z754" s="8"/>
    </row>
    <row r="755" spans="1:26" ht="15.75" customHeight="1" x14ac:dyDescent="0.25">
      <c r="A755" s="8"/>
      <c r="B755" s="8"/>
      <c r="C755" s="8"/>
      <c r="D755" s="8"/>
      <c r="E755" s="8"/>
      <c r="F755" s="8"/>
      <c r="G755" s="8"/>
      <c r="H755" s="8"/>
      <c r="I755" s="8"/>
      <c r="J755" s="8"/>
      <c r="K755" s="8"/>
      <c r="L755" s="8"/>
      <c r="M755" s="8"/>
      <c r="N755" s="8"/>
      <c r="O755" s="8"/>
      <c r="P755" s="8"/>
      <c r="Q755" s="8"/>
      <c r="R755" s="8"/>
      <c r="S755" s="8"/>
      <c r="T755" s="8"/>
      <c r="U755" s="8"/>
      <c r="V755" s="8"/>
      <c r="W755" s="8"/>
      <c r="X755" s="8"/>
      <c r="Y755" s="8"/>
      <c r="Z755" s="8"/>
    </row>
    <row r="756" spans="1:26" ht="15.75" customHeight="1" x14ac:dyDescent="0.25">
      <c r="A756" s="8"/>
      <c r="B756" s="8"/>
      <c r="C756" s="8"/>
      <c r="D756" s="8"/>
      <c r="E756" s="8"/>
      <c r="F756" s="8"/>
      <c r="G756" s="8"/>
      <c r="H756" s="8"/>
      <c r="I756" s="8"/>
      <c r="J756" s="8"/>
      <c r="K756" s="8"/>
      <c r="L756" s="8"/>
      <c r="M756" s="8"/>
      <c r="N756" s="8"/>
      <c r="O756" s="8"/>
      <c r="P756" s="8"/>
      <c r="Q756" s="8"/>
      <c r="R756" s="8"/>
      <c r="S756" s="8"/>
      <c r="T756" s="8"/>
      <c r="U756" s="8"/>
      <c r="V756" s="8"/>
      <c r="W756" s="8"/>
      <c r="X756" s="8"/>
      <c r="Y756" s="8"/>
      <c r="Z756" s="8"/>
    </row>
    <row r="757" spans="1:26" ht="15.75" customHeight="1" x14ac:dyDescent="0.25">
      <c r="A757" s="8"/>
      <c r="B757" s="8"/>
      <c r="C757" s="8"/>
      <c r="D757" s="8"/>
      <c r="E757" s="8"/>
      <c r="F757" s="8"/>
      <c r="G757" s="8"/>
      <c r="H757" s="8"/>
      <c r="I757" s="8"/>
      <c r="J757" s="8"/>
      <c r="K757" s="8"/>
      <c r="L757" s="8"/>
      <c r="M757" s="8"/>
      <c r="N757" s="8"/>
      <c r="O757" s="8"/>
      <c r="P757" s="8"/>
      <c r="Q757" s="8"/>
      <c r="R757" s="8"/>
      <c r="S757" s="8"/>
      <c r="T757" s="8"/>
      <c r="U757" s="8"/>
      <c r="V757" s="8"/>
      <c r="W757" s="8"/>
      <c r="X757" s="8"/>
      <c r="Y757" s="8"/>
      <c r="Z757" s="8"/>
    </row>
    <row r="758" spans="1:26" ht="15.75" customHeight="1" x14ac:dyDescent="0.25">
      <c r="A758" s="8"/>
      <c r="B758" s="8"/>
      <c r="C758" s="8"/>
      <c r="D758" s="8"/>
      <c r="E758" s="8"/>
      <c r="F758" s="8"/>
      <c r="G758" s="8"/>
      <c r="H758" s="8"/>
      <c r="I758" s="8"/>
      <c r="J758" s="8"/>
      <c r="K758" s="8"/>
      <c r="L758" s="8"/>
      <c r="M758" s="8"/>
      <c r="N758" s="8"/>
      <c r="O758" s="8"/>
      <c r="P758" s="8"/>
      <c r="Q758" s="8"/>
      <c r="R758" s="8"/>
      <c r="S758" s="8"/>
      <c r="T758" s="8"/>
      <c r="U758" s="8"/>
      <c r="V758" s="8"/>
      <c r="W758" s="8"/>
      <c r="X758" s="8"/>
      <c r="Y758" s="8"/>
      <c r="Z758" s="8"/>
    </row>
    <row r="759" spans="1:26" ht="15.75" customHeight="1" x14ac:dyDescent="0.25">
      <c r="A759" s="8"/>
      <c r="B759" s="8"/>
      <c r="C759" s="8"/>
      <c r="D759" s="8"/>
      <c r="E759" s="8"/>
      <c r="F759" s="8"/>
      <c r="G759" s="8"/>
      <c r="H759" s="8"/>
      <c r="I759" s="8"/>
      <c r="J759" s="8"/>
      <c r="K759" s="8"/>
      <c r="L759" s="8"/>
      <c r="M759" s="8"/>
      <c r="N759" s="8"/>
      <c r="O759" s="8"/>
      <c r="P759" s="8"/>
      <c r="Q759" s="8"/>
      <c r="R759" s="8"/>
      <c r="S759" s="8"/>
      <c r="T759" s="8"/>
      <c r="U759" s="8"/>
      <c r="V759" s="8"/>
      <c r="W759" s="8"/>
      <c r="X759" s="8"/>
      <c r="Y759" s="8"/>
      <c r="Z759" s="8"/>
    </row>
    <row r="760" spans="1:26" ht="15.75" customHeight="1" x14ac:dyDescent="0.25">
      <c r="A760" s="8"/>
      <c r="B760" s="8"/>
      <c r="C760" s="8"/>
      <c r="D760" s="8"/>
      <c r="E760" s="8"/>
      <c r="F760" s="8"/>
      <c r="G760" s="8"/>
      <c r="H760" s="8"/>
      <c r="I760" s="8"/>
      <c r="J760" s="8"/>
      <c r="K760" s="8"/>
      <c r="L760" s="8"/>
      <c r="M760" s="8"/>
      <c r="N760" s="8"/>
      <c r="O760" s="8"/>
      <c r="P760" s="8"/>
      <c r="Q760" s="8"/>
      <c r="R760" s="8"/>
      <c r="S760" s="8"/>
      <c r="T760" s="8"/>
      <c r="U760" s="8"/>
      <c r="V760" s="8"/>
      <c r="W760" s="8"/>
      <c r="X760" s="8"/>
      <c r="Y760" s="8"/>
      <c r="Z760" s="8"/>
    </row>
    <row r="761" spans="1:26" ht="15.75" customHeight="1" x14ac:dyDescent="0.25">
      <c r="A761" s="8"/>
      <c r="B761" s="8"/>
      <c r="C761" s="8"/>
      <c r="D761" s="8"/>
      <c r="E761" s="8"/>
      <c r="F761" s="8"/>
      <c r="G761" s="8"/>
      <c r="H761" s="8"/>
      <c r="I761" s="8"/>
      <c r="J761" s="8"/>
      <c r="K761" s="8"/>
      <c r="L761" s="8"/>
      <c r="M761" s="8"/>
      <c r="N761" s="8"/>
      <c r="O761" s="8"/>
      <c r="P761" s="8"/>
      <c r="Q761" s="8"/>
      <c r="R761" s="8"/>
      <c r="S761" s="8"/>
      <c r="T761" s="8"/>
      <c r="U761" s="8"/>
      <c r="V761" s="8"/>
      <c r="W761" s="8"/>
      <c r="X761" s="8"/>
      <c r="Y761" s="8"/>
      <c r="Z761" s="8"/>
    </row>
    <row r="762" spans="1:26" ht="15.75" customHeight="1" x14ac:dyDescent="0.25">
      <c r="A762" s="8"/>
      <c r="B762" s="8"/>
      <c r="C762" s="8"/>
      <c r="D762" s="8"/>
      <c r="E762" s="8"/>
      <c r="F762" s="8"/>
      <c r="G762" s="8"/>
      <c r="H762" s="8"/>
      <c r="I762" s="8"/>
      <c r="J762" s="8"/>
      <c r="K762" s="8"/>
      <c r="L762" s="8"/>
      <c r="M762" s="8"/>
      <c r="N762" s="8"/>
      <c r="O762" s="8"/>
      <c r="P762" s="8"/>
      <c r="Q762" s="8"/>
      <c r="R762" s="8"/>
      <c r="S762" s="8"/>
      <c r="T762" s="8"/>
      <c r="U762" s="8"/>
      <c r="V762" s="8"/>
      <c r="W762" s="8"/>
      <c r="X762" s="8"/>
      <c r="Y762" s="8"/>
      <c r="Z762" s="8"/>
    </row>
    <row r="763" spans="1:26" ht="15.75" customHeight="1" x14ac:dyDescent="0.25">
      <c r="A763" s="8"/>
      <c r="B763" s="8"/>
      <c r="C763" s="8"/>
      <c r="D763" s="8"/>
      <c r="E763" s="8"/>
      <c r="F763" s="8"/>
      <c r="G763" s="8"/>
      <c r="H763" s="8"/>
      <c r="I763" s="8"/>
      <c r="J763" s="8"/>
      <c r="K763" s="8"/>
      <c r="L763" s="8"/>
      <c r="M763" s="8"/>
      <c r="N763" s="8"/>
      <c r="O763" s="8"/>
      <c r="P763" s="8"/>
      <c r="Q763" s="8"/>
      <c r="R763" s="8"/>
      <c r="S763" s="8"/>
      <c r="T763" s="8"/>
      <c r="U763" s="8"/>
      <c r="V763" s="8"/>
      <c r="W763" s="8"/>
      <c r="X763" s="8"/>
      <c r="Y763" s="8"/>
      <c r="Z763" s="8"/>
    </row>
    <row r="764" spans="1:26" ht="15.75" customHeight="1" x14ac:dyDescent="0.25">
      <c r="A764" s="8"/>
      <c r="B764" s="8"/>
      <c r="C764" s="8"/>
      <c r="D764" s="8"/>
      <c r="E764" s="8"/>
      <c r="F764" s="8"/>
      <c r="G764" s="8"/>
      <c r="H764" s="8"/>
      <c r="I764" s="8"/>
      <c r="J764" s="8"/>
      <c r="K764" s="8"/>
      <c r="L764" s="8"/>
      <c r="M764" s="8"/>
      <c r="N764" s="8"/>
      <c r="O764" s="8"/>
      <c r="P764" s="8"/>
      <c r="Q764" s="8"/>
      <c r="R764" s="8"/>
      <c r="S764" s="8"/>
      <c r="T764" s="8"/>
      <c r="U764" s="8"/>
      <c r="V764" s="8"/>
      <c r="W764" s="8"/>
      <c r="X764" s="8"/>
      <c r="Y764" s="8"/>
      <c r="Z764" s="8"/>
    </row>
    <row r="765" spans="1:26" ht="15.75" customHeight="1" x14ac:dyDescent="0.25">
      <c r="A765" s="8"/>
      <c r="B765" s="8"/>
      <c r="C765" s="8"/>
      <c r="D765" s="8"/>
      <c r="E765" s="8"/>
      <c r="F765" s="8"/>
      <c r="G765" s="8"/>
      <c r="H765" s="8"/>
      <c r="I765" s="8"/>
      <c r="J765" s="8"/>
      <c r="K765" s="8"/>
      <c r="L765" s="8"/>
      <c r="M765" s="8"/>
      <c r="N765" s="8"/>
      <c r="O765" s="8"/>
      <c r="P765" s="8"/>
      <c r="Q765" s="8"/>
      <c r="R765" s="8"/>
      <c r="S765" s="8"/>
      <c r="T765" s="8"/>
      <c r="U765" s="8"/>
      <c r="V765" s="8"/>
      <c r="W765" s="8"/>
      <c r="X765" s="8"/>
      <c r="Y765" s="8"/>
      <c r="Z765" s="8"/>
    </row>
    <row r="766" spans="1:26" ht="15.75" customHeight="1" x14ac:dyDescent="0.25">
      <c r="A766" s="8"/>
      <c r="B766" s="8"/>
      <c r="C766" s="8"/>
      <c r="D766" s="8"/>
      <c r="E766" s="8"/>
      <c r="F766" s="8"/>
      <c r="G766" s="8"/>
      <c r="H766" s="8"/>
      <c r="I766" s="8"/>
      <c r="J766" s="8"/>
      <c r="K766" s="8"/>
      <c r="L766" s="8"/>
      <c r="M766" s="8"/>
      <c r="N766" s="8"/>
      <c r="O766" s="8"/>
      <c r="P766" s="8"/>
      <c r="Q766" s="8"/>
      <c r="R766" s="8"/>
      <c r="S766" s="8"/>
      <c r="T766" s="8"/>
      <c r="U766" s="8"/>
      <c r="V766" s="8"/>
      <c r="W766" s="8"/>
      <c r="X766" s="8"/>
      <c r="Y766" s="8"/>
      <c r="Z766" s="8"/>
    </row>
    <row r="767" spans="1:26" ht="15.75" customHeight="1" x14ac:dyDescent="0.25">
      <c r="A767" s="8"/>
      <c r="B767" s="8"/>
      <c r="C767" s="8"/>
      <c r="D767" s="8"/>
      <c r="E767" s="8"/>
      <c r="F767" s="8"/>
      <c r="G767" s="8"/>
      <c r="H767" s="8"/>
      <c r="I767" s="8"/>
      <c r="J767" s="8"/>
      <c r="K767" s="8"/>
      <c r="L767" s="8"/>
      <c r="M767" s="8"/>
      <c r="N767" s="8"/>
      <c r="O767" s="8"/>
      <c r="P767" s="8"/>
      <c r="Q767" s="8"/>
      <c r="R767" s="8"/>
      <c r="S767" s="8"/>
      <c r="T767" s="8"/>
      <c r="U767" s="8"/>
      <c r="V767" s="8"/>
      <c r="W767" s="8"/>
      <c r="X767" s="8"/>
      <c r="Y767" s="8"/>
      <c r="Z767" s="8"/>
    </row>
    <row r="768" spans="1:26" ht="15.75" customHeight="1" x14ac:dyDescent="0.25">
      <c r="A768" s="8"/>
      <c r="B768" s="8"/>
      <c r="C768" s="8"/>
      <c r="D768" s="8"/>
      <c r="E768" s="8"/>
      <c r="F768" s="8"/>
      <c r="G768" s="8"/>
      <c r="H768" s="8"/>
      <c r="I768" s="8"/>
      <c r="J768" s="8"/>
      <c r="K768" s="8"/>
      <c r="L768" s="8"/>
      <c r="M768" s="8"/>
      <c r="N768" s="8"/>
      <c r="O768" s="8"/>
      <c r="P768" s="8"/>
      <c r="Q768" s="8"/>
      <c r="R768" s="8"/>
      <c r="S768" s="8"/>
      <c r="T768" s="8"/>
      <c r="U768" s="8"/>
      <c r="V768" s="8"/>
      <c r="W768" s="8"/>
      <c r="X768" s="8"/>
      <c r="Y768" s="8"/>
      <c r="Z768" s="8"/>
    </row>
    <row r="769" spans="1:26" ht="15.75" customHeight="1" x14ac:dyDescent="0.25">
      <c r="A769" s="8"/>
      <c r="B769" s="8"/>
      <c r="C769" s="8"/>
      <c r="D769" s="8"/>
      <c r="E769" s="8"/>
      <c r="F769" s="8"/>
      <c r="G769" s="8"/>
      <c r="H769" s="8"/>
      <c r="I769" s="8"/>
      <c r="J769" s="8"/>
      <c r="K769" s="8"/>
      <c r="L769" s="8"/>
      <c r="M769" s="8"/>
      <c r="N769" s="8"/>
      <c r="O769" s="8"/>
      <c r="P769" s="8"/>
      <c r="Q769" s="8"/>
      <c r="R769" s="8"/>
      <c r="S769" s="8"/>
      <c r="T769" s="8"/>
      <c r="U769" s="8"/>
      <c r="V769" s="8"/>
      <c r="W769" s="8"/>
      <c r="X769" s="8"/>
      <c r="Y769" s="8"/>
      <c r="Z769" s="8"/>
    </row>
    <row r="770" spans="1:26" ht="15.75" customHeight="1" x14ac:dyDescent="0.25">
      <c r="A770" s="8"/>
      <c r="B770" s="8"/>
      <c r="C770" s="8"/>
      <c r="D770" s="8"/>
      <c r="E770" s="8"/>
      <c r="F770" s="8"/>
      <c r="G770" s="8"/>
      <c r="H770" s="8"/>
      <c r="I770" s="8"/>
      <c r="J770" s="8"/>
      <c r="K770" s="8"/>
      <c r="L770" s="8"/>
      <c r="M770" s="8"/>
      <c r="N770" s="8"/>
      <c r="O770" s="8"/>
      <c r="P770" s="8"/>
      <c r="Q770" s="8"/>
      <c r="R770" s="8"/>
      <c r="S770" s="8"/>
      <c r="T770" s="8"/>
      <c r="U770" s="8"/>
      <c r="V770" s="8"/>
      <c r="W770" s="8"/>
      <c r="X770" s="8"/>
      <c r="Y770" s="8"/>
      <c r="Z770" s="8"/>
    </row>
    <row r="771" spans="1:26" ht="15.75" customHeight="1" x14ac:dyDescent="0.25">
      <c r="A771" s="8"/>
      <c r="B771" s="8"/>
      <c r="C771" s="8"/>
      <c r="D771" s="8"/>
      <c r="E771" s="8"/>
      <c r="F771" s="8"/>
      <c r="G771" s="8"/>
      <c r="H771" s="8"/>
      <c r="I771" s="8"/>
      <c r="J771" s="8"/>
      <c r="K771" s="8"/>
      <c r="L771" s="8"/>
      <c r="M771" s="8"/>
      <c r="N771" s="8"/>
      <c r="O771" s="8"/>
      <c r="P771" s="8"/>
      <c r="Q771" s="8"/>
      <c r="R771" s="8"/>
      <c r="S771" s="8"/>
      <c r="T771" s="8"/>
      <c r="U771" s="8"/>
      <c r="V771" s="8"/>
      <c r="W771" s="8"/>
      <c r="X771" s="8"/>
      <c r="Y771" s="8"/>
      <c r="Z771" s="8"/>
    </row>
    <row r="772" spans="1:26" ht="15.75" customHeight="1" x14ac:dyDescent="0.25">
      <c r="A772" s="8"/>
      <c r="B772" s="8"/>
      <c r="C772" s="8"/>
      <c r="D772" s="8"/>
      <c r="E772" s="8"/>
      <c r="F772" s="8"/>
      <c r="G772" s="8"/>
      <c r="H772" s="8"/>
      <c r="I772" s="8"/>
      <c r="J772" s="8"/>
      <c r="K772" s="8"/>
      <c r="L772" s="8"/>
      <c r="M772" s="8"/>
      <c r="N772" s="8"/>
      <c r="O772" s="8"/>
      <c r="P772" s="8"/>
      <c r="Q772" s="8"/>
      <c r="R772" s="8"/>
      <c r="S772" s="8"/>
      <c r="T772" s="8"/>
      <c r="U772" s="8"/>
      <c r="V772" s="8"/>
      <c r="W772" s="8"/>
      <c r="X772" s="8"/>
      <c r="Y772" s="8"/>
      <c r="Z772" s="8"/>
    </row>
    <row r="773" spans="1:26" ht="15.75" customHeight="1" x14ac:dyDescent="0.25">
      <c r="A773" s="8"/>
      <c r="B773" s="8"/>
      <c r="C773" s="8"/>
      <c r="D773" s="8"/>
      <c r="E773" s="8"/>
      <c r="F773" s="8"/>
      <c r="G773" s="8"/>
      <c r="H773" s="8"/>
      <c r="I773" s="8"/>
      <c r="J773" s="8"/>
      <c r="K773" s="8"/>
      <c r="L773" s="8"/>
      <c r="M773" s="8"/>
      <c r="N773" s="8"/>
      <c r="O773" s="8"/>
      <c r="P773" s="8"/>
      <c r="Q773" s="8"/>
      <c r="R773" s="8"/>
      <c r="S773" s="8"/>
      <c r="T773" s="8"/>
      <c r="U773" s="8"/>
      <c r="V773" s="8"/>
      <c r="W773" s="8"/>
      <c r="X773" s="8"/>
      <c r="Y773" s="8"/>
      <c r="Z773" s="8"/>
    </row>
    <row r="774" spans="1:26" ht="15.75" customHeight="1" x14ac:dyDescent="0.25">
      <c r="A774" s="8"/>
      <c r="B774" s="8"/>
      <c r="C774" s="8"/>
      <c r="D774" s="8"/>
      <c r="E774" s="8"/>
      <c r="F774" s="8"/>
      <c r="G774" s="8"/>
      <c r="H774" s="8"/>
      <c r="I774" s="8"/>
      <c r="J774" s="8"/>
      <c r="K774" s="8"/>
      <c r="L774" s="8"/>
      <c r="M774" s="8"/>
      <c r="N774" s="8"/>
      <c r="O774" s="8"/>
      <c r="P774" s="8"/>
      <c r="Q774" s="8"/>
      <c r="R774" s="8"/>
      <c r="S774" s="8"/>
      <c r="T774" s="8"/>
      <c r="U774" s="8"/>
      <c r="V774" s="8"/>
      <c r="W774" s="8"/>
      <c r="X774" s="8"/>
      <c r="Y774" s="8"/>
      <c r="Z774" s="8"/>
    </row>
    <row r="775" spans="1:26" ht="15.75" customHeight="1" x14ac:dyDescent="0.25">
      <c r="A775" s="8"/>
      <c r="B775" s="8"/>
      <c r="C775" s="8"/>
      <c r="D775" s="8"/>
      <c r="E775" s="8"/>
      <c r="F775" s="8"/>
      <c r="G775" s="8"/>
      <c r="H775" s="8"/>
      <c r="I775" s="8"/>
      <c r="J775" s="8"/>
      <c r="K775" s="8"/>
      <c r="L775" s="8"/>
      <c r="M775" s="8"/>
      <c r="N775" s="8"/>
      <c r="O775" s="8"/>
      <c r="P775" s="8"/>
      <c r="Q775" s="8"/>
      <c r="R775" s="8"/>
      <c r="S775" s="8"/>
      <c r="T775" s="8"/>
      <c r="U775" s="8"/>
      <c r="V775" s="8"/>
      <c r="W775" s="8"/>
      <c r="X775" s="8"/>
      <c r="Y775" s="8"/>
      <c r="Z775" s="8"/>
    </row>
    <row r="776" spans="1:26" ht="15.75" customHeight="1" x14ac:dyDescent="0.25">
      <c r="A776" s="8"/>
      <c r="B776" s="8"/>
      <c r="C776" s="8"/>
      <c r="D776" s="8"/>
      <c r="E776" s="8"/>
      <c r="F776" s="8"/>
      <c r="G776" s="8"/>
      <c r="H776" s="8"/>
      <c r="I776" s="8"/>
      <c r="J776" s="8"/>
      <c r="K776" s="8"/>
      <c r="L776" s="8"/>
      <c r="M776" s="8"/>
      <c r="N776" s="8"/>
      <c r="O776" s="8"/>
      <c r="P776" s="8"/>
      <c r="Q776" s="8"/>
      <c r="R776" s="8"/>
      <c r="S776" s="8"/>
      <c r="T776" s="8"/>
      <c r="U776" s="8"/>
      <c r="V776" s="8"/>
      <c r="W776" s="8"/>
      <c r="X776" s="8"/>
      <c r="Y776" s="8"/>
      <c r="Z776" s="8"/>
    </row>
    <row r="777" spans="1:26" ht="15.75" customHeight="1" x14ac:dyDescent="0.25">
      <c r="A777" s="8"/>
      <c r="B777" s="8"/>
      <c r="C777" s="8"/>
      <c r="D777" s="8"/>
      <c r="E777" s="8"/>
      <c r="F777" s="8"/>
      <c r="G777" s="8"/>
      <c r="H777" s="8"/>
      <c r="I777" s="8"/>
      <c r="J777" s="8"/>
      <c r="K777" s="8"/>
      <c r="L777" s="8"/>
      <c r="M777" s="8"/>
      <c r="N777" s="8"/>
      <c r="O777" s="8"/>
      <c r="P777" s="8"/>
      <c r="Q777" s="8"/>
      <c r="R777" s="8"/>
      <c r="S777" s="8"/>
      <c r="T777" s="8"/>
      <c r="U777" s="8"/>
      <c r="V777" s="8"/>
      <c r="W777" s="8"/>
      <c r="X777" s="8"/>
      <c r="Y777" s="8"/>
      <c r="Z777" s="8"/>
    </row>
    <row r="778" spans="1:26" ht="15.75" customHeight="1" x14ac:dyDescent="0.25">
      <c r="A778" s="8"/>
      <c r="B778" s="8"/>
      <c r="C778" s="8"/>
      <c r="D778" s="8"/>
      <c r="E778" s="8"/>
      <c r="F778" s="8"/>
      <c r="G778" s="8"/>
      <c r="H778" s="8"/>
      <c r="I778" s="8"/>
      <c r="J778" s="8"/>
      <c r="K778" s="8"/>
      <c r="L778" s="8"/>
      <c r="M778" s="8"/>
      <c r="N778" s="8"/>
      <c r="O778" s="8"/>
      <c r="P778" s="8"/>
      <c r="Q778" s="8"/>
      <c r="R778" s="8"/>
      <c r="S778" s="8"/>
      <c r="T778" s="8"/>
      <c r="U778" s="8"/>
      <c r="V778" s="8"/>
      <c r="W778" s="8"/>
      <c r="X778" s="8"/>
      <c r="Y778" s="8"/>
      <c r="Z778" s="8"/>
    </row>
    <row r="779" spans="1:26" ht="15.75" customHeight="1" x14ac:dyDescent="0.25">
      <c r="A779" s="8"/>
      <c r="B779" s="8"/>
      <c r="C779" s="8"/>
      <c r="D779" s="8"/>
      <c r="E779" s="8"/>
      <c r="F779" s="8"/>
      <c r="G779" s="8"/>
      <c r="H779" s="8"/>
      <c r="I779" s="8"/>
      <c r="J779" s="8"/>
      <c r="K779" s="8"/>
      <c r="L779" s="8"/>
      <c r="M779" s="8"/>
      <c r="N779" s="8"/>
      <c r="O779" s="8"/>
      <c r="P779" s="8"/>
      <c r="Q779" s="8"/>
      <c r="R779" s="8"/>
      <c r="S779" s="8"/>
      <c r="T779" s="8"/>
      <c r="U779" s="8"/>
      <c r="V779" s="8"/>
      <c r="W779" s="8"/>
      <c r="X779" s="8"/>
      <c r="Y779" s="8"/>
      <c r="Z779" s="8"/>
    </row>
    <row r="780" spans="1:26" ht="15.75" customHeight="1" x14ac:dyDescent="0.25">
      <c r="A780" s="8"/>
      <c r="B780" s="8"/>
      <c r="C780" s="8"/>
      <c r="D780" s="8"/>
      <c r="E780" s="8"/>
      <c r="F780" s="8"/>
      <c r="G780" s="8"/>
      <c r="H780" s="8"/>
      <c r="I780" s="8"/>
      <c r="J780" s="8"/>
      <c r="K780" s="8"/>
      <c r="L780" s="8"/>
      <c r="M780" s="8"/>
      <c r="N780" s="8"/>
      <c r="O780" s="8"/>
      <c r="P780" s="8"/>
      <c r="Q780" s="8"/>
      <c r="R780" s="8"/>
      <c r="S780" s="8"/>
      <c r="T780" s="8"/>
      <c r="U780" s="8"/>
      <c r="V780" s="8"/>
      <c r="W780" s="8"/>
      <c r="X780" s="8"/>
      <c r="Y780" s="8"/>
      <c r="Z780" s="8"/>
    </row>
    <row r="781" spans="1:26" ht="15.75" customHeight="1" x14ac:dyDescent="0.25">
      <c r="A781" s="8"/>
      <c r="B781" s="8"/>
      <c r="C781" s="8"/>
      <c r="D781" s="8"/>
      <c r="E781" s="8"/>
      <c r="F781" s="8"/>
      <c r="G781" s="8"/>
      <c r="H781" s="8"/>
      <c r="I781" s="8"/>
      <c r="J781" s="8"/>
      <c r="K781" s="8"/>
      <c r="L781" s="8"/>
      <c r="M781" s="8"/>
      <c r="N781" s="8"/>
      <c r="O781" s="8"/>
      <c r="P781" s="8"/>
      <c r="Q781" s="8"/>
      <c r="R781" s="8"/>
      <c r="S781" s="8"/>
      <c r="T781" s="8"/>
      <c r="U781" s="8"/>
      <c r="V781" s="8"/>
      <c r="W781" s="8"/>
      <c r="X781" s="8"/>
      <c r="Y781" s="8"/>
      <c r="Z781" s="8"/>
    </row>
    <row r="782" spans="1:26" ht="15.75" customHeight="1" x14ac:dyDescent="0.25">
      <c r="A782" s="8"/>
      <c r="B782" s="8"/>
      <c r="C782" s="8"/>
      <c r="D782" s="8"/>
      <c r="E782" s="8"/>
      <c r="F782" s="8"/>
      <c r="G782" s="8"/>
      <c r="H782" s="8"/>
      <c r="I782" s="8"/>
      <c r="J782" s="8"/>
      <c r="K782" s="8"/>
      <c r="L782" s="8"/>
      <c r="M782" s="8"/>
      <c r="N782" s="8"/>
      <c r="O782" s="8"/>
      <c r="P782" s="8"/>
      <c r="Q782" s="8"/>
      <c r="R782" s="8"/>
      <c r="S782" s="8"/>
      <c r="T782" s="8"/>
      <c r="U782" s="8"/>
      <c r="V782" s="8"/>
      <c r="W782" s="8"/>
      <c r="X782" s="8"/>
      <c r="Y782" s="8"/>
      <c r="Z782" s="8"/>
    </row>
    <row r="783" spans="1:26" ht="15.75" customHeight="1" x14ac:dyDescent="0.25">
      <c r="A783" s="8"/>
      <c r="B783" s="8"/>
      <c r="C783" s="8"/>
      <c r="D783" s="8"/>
      <c r="E783" s="8"/>
      <c r="F783" s="8"/>
      <c r="G783" s="8"/>
      <c r="H783" s="8"/>
      <c r="I783" s="8"/>
      <c r="J783" s="8"/>
      <c r="K783" s="8"/>
      <c r="L783" s="8"/>
      <c r="M783" s="8"/>
      <c r="N783" s="8"/>
      <c r="O783" s="8"/>
      <c r="P783" s="8"/>
      <c r="Q783" s="8"/>
      <c r="R783" s="8"/>
      <c r="S783" s="8"/>
      <c r="T783" s="8"/>
      <c r="U783" s="8"/>
      <c r="V783" s="8"/>
      <c r="W783" s="8"/>
      <c r="X783" s="8"/>
      <c r="Y783" s="8"/>
      <c r="Z783" s="8"/>
    </row>
    <row r="784" spans="1:26" ht="15.75" customHeight="1" x14ac:dyDescent="0.25">
      <c r="A784" s="8"/>
      <c r="B784" s="8"/>
      <c r="C784" s="8"/>
      <c r="D784" s="8"/>
      <c r="E784" s="8"/>
      <c r="F784" s="8"/>
      <c r="G784" s="8"/>
      <c r="H784" s="8"/>
      <c r="I784" s="8"/>
      <c r="J784" s="8"/>
      <c r="K784" s="8"/>
      <c r="L784" s="8"/>
      <c r="M784" s="8"/>
      <c r="N784" s="8"/>
      <c r="O784" s="8"/>
      <c r="P784" s="8"/>
      <c r="Q784" s="8"/>
      <c r="R784" s="8"/>
      <c r="S784" s="8"/>
      <c r="T784" s="8"/>
      <c r="U784" s="8"/>
      <c r="V784" s="8"/>
      <c r="W784" s="8"/>
      <c r="X784" s="8"/>
      <c r="Y784" s="8"/>
      <c r="Z784" s="8"/>
    </row>
    <row r="785" spans="1:26" ht="15.75" customHeight="1" x14ac:dyDescent="0.25">
      <c r="A785" s="8"/>
      <c r="B785" s="8"/>
      <c r="C785" s="8"/>
      <c r="D785" s="8"/>
      <c r="E785" s="8"/>
      <c r="F785" s="8"/>
      <c r="G785" s="8"/>
      <c r="H785" s="8"/>
      <c r="I785" s="8"/>
      <c r="J785" s="8"/>
      <c r="K785" s="8"/>
      <c r="L785" s="8"/>
      <c r="M785" s="8"/>
      <c r="N785" s="8"/>
      <c r="O785" s="8"/>
      <c r="P785" s="8"/>
      <c r="Q785" s="8"/>
      <c r="R785" s="8"/>
      <c r="S785" s="8"/>
      <c r="T785" s="8"/>
      <c r="U785" s="8"/>
      <c r="V785" s="8"/>
      <c r="W785" s="8"/>
      <c r="X785" s="8"/>
      <c r="Y785" s="8"/>
      <c r="Z785" s="8"/>
    </row>
    <row r="786" spans="1:26" ht="15.75" customHeight="1" x14ac:dyDescent="0.25">
      <c r="A786" s="8"/>
      <c r="B786" s="8"/>
      <c r="C786" s="8"/>
      <c r="D786" s="8"/>
      <c r="E786" s="8"/>
      <c r="F786" s="8"/>
      <c r="G786" s="8"/>
      <c r="H786" s="8"/>
      <c r="I786" s="8"/>
      <c r="J786" s="8"/>
      <c r="K786" s="8"/>
      <c r="L786" s="8"/>
      <c r="M786" s="8"/>
      <c r="N786" s="8"/>
      <c r="O786" s="8"/>
      <c r="P786" s="8"/>
      <c r="Q786" s="8"/>
      <c r="R786" s="8"/>
      <c r="S786" s="8"/>
      <c r="T786" s="8"/>
      <c r="U786" s="8"/>
      <c r="V786" s="8"/>
      <c r="W786" s="8"/>
      <c r="X786" s="8"/>
      <c r="Y786" s="8"/>
      <c r="Z786" s="8"/>
    </row>
    <row r="787" spans="1:26" ht="15.75" customHeight="1" x14ac:dyDescent="0.25">
      <c r="A787" s="8"/>
      <c r="B787" s="8"/>
      <c r="C787" s="8"/>
      <c r="D787" s="8"/>
      <c r="E787" s="8"/>
      <c r="F787" s="8"/>
      <c r="G787" s="8"/>
      <c r="H787" s="8"/>
      <c r="I787" s="8"/>
      <c r="J787" s="8"/>
      <c r="K787" s="8"/>
      <c r="L787" s="8"/>
      <c r="M787" s="8"/>
      <c r="N787" s="8"/>
      <c r="O787" s="8"/>
      <c r="P787" s="8"/>
      <c r="Q787" s="8"/>
      <c r="R787" s="8"/>
      <c r="S787" s="8"/>
      <c r="T787" s="8"/>
      <c r="U787" s="8"/>
      <c r="V787" s="8"/>
      <c r="W787" s="8"/>
      <c r="X787" s="8"/>
      <c r="Y787" s="8"/>
      <c r="Z787" s="8"/>
    </row>
    <row r="788" spans="1:26" ht="15.75" customHeight="1" x14ac:dyDescent="0.25">
      <c r="A788" s="8"/>
      <c r="B788" s="8"/>
      <c r="C788" s="8"/>
      <c r="D788" s="8"/>
      <c r="E788" s="8"/>
      <c r="F788" s="8"/>
      <c r="G788" s="8"/>
      <c r="H788" s="8"/>
      <c r="I788" s="8"/>
      <c r="J788" s="8"/>
      <c r="K788" s="8"/>
      <c r="L788" s="8"/>
      <c r="M788" s="8"/>
      <c r="N788" s="8"/>
      <c r="O788" s="8"/>
      <c r="P788" s="8"/>
      <c r="Q788" s="8"/>
      <c r="R788" s="8"/>
      <c r="S788" s="8"/>
      <c r="T788" s="8"/>
      <c r="U788" s="8"/>
      <c r="V788" s="8"/>
      <c r="W788" s="8"/>
      <c r="X788" s="8"/>
      <c r="Y788" s="8"/>
      <c r="Z788" s="8"/>
    </row>
    <row r="789" spans="1:26" ht="15.75" customHeight="1" x14ac:dyDescent="0.25">
      <c r="A789" s="8"/>
      <c r="B789" s="8"/>
      <c r="C789" s="8"/>
      <c r="D789" s="8"/>
      <c r="E789" s="8"/>
      <c r="F789" s="8"/>
      <c r="G789" s="8"/>
      <c r="H789" s="8"/>
      <c r="I789" s="8"/>
      <c r="J789" s="8"/>
      <c r="K789" s="8"/>
      <c r="L789" s="8"/>
      <c r="M789" s="8"/>
      <c r="N789" s="8"/>
      <c r="O789" s="8"/>
      <c r="P789" s="8"/>
      <c r="Q789" s="8"/>
      <c r="R789" s="8"/>
      <c r="S789" s="8"/>
      <c r="T789" s="8"/>
      <c r="U789" s="8"/>
      <c r="V789" s="8"/>
      <c r="W789" s="8"/>
      <c r="X789" s="8"/>
      <c r="Y789" s="8"/>
      <c r="Z789" s="8"/>
    </row>
    <row r="790" spans="1:26" ht="15.75" customHeight="1" x14ac:dyDescent="0.25">
      <c r="A790" s="8"/>
      <c r="B790" s="8"/>
      <c r="C790" s="8"/>
      <c r="D790" s="8"/>
      <c r="E790" s="8"/>
      <c r="F790" s="8"/>
      <c r="G790" s="8"/>
      <c r="H790" s="8"/>
      <c r="I790" s="8"/>
      <c r="J790" s="8"/>
      <c r="K790" s="8"/>
      <c r="L790" s="8"/>
      <c r="M790" s="8"/>
      <c r="N790" s="8"/>
      <c r="O790" s="8"/>
      <c r="P790" s="8"/>
      <c r="Q790" s="8"/>
      <c r="R790" s="8"/>
      <c r="S790" s="8"/>
      <c r="T790" s="8"/>
      <c r="U790" s="8"/>
      <c r="V790" s="8"/>
      <c r="W790" s="8"/>
      <c r="X790" s="8"/>
      <c r="Y790" s="8"/>
      <c r="Z790" s="8"/>
    </row>
    <row r="791" spans="1:26" ht="15.75" customHeight="1" x14ac:dyDescent="0.25">
      <c r="A791" s="8"/>
      <c r="B791" s="8"/>
      <c r="C791" s="8"/>
      <c r="D791" s="8"/>
      <c r="E791" s="8"/>
      <c r="F791" s="8"/>
      <c r="G791" s="8"/>
      <c r="H791" s="8"/>
      <c r="I791" s="8"/>
      <c r="J791" s="8"/>
      <c r="K791" s="8"/>
      <c r="L791" s="8"/>
      <c r="M791" s="8"/>
      <c r="N791" s="8"/>
      <c r="O791" s="8"/>
      <c r="P791" s="8"/>
      <c r="Q791" s="8"/>
      <c r="R791" s="8"/>
      <c r="S791" s="8"/>
      <c r="T791" s="8"/>
      <c r="U791" s="8"/>
      <c r="V791" s="8"/>
      <c r="W791" s="8"/>
      <c r="X791" s="8"/>
      <c r="Y791" s="8"/>
      <c r="Z791" s="8"/>
    </row>
    <row r="792" spans="1:26" ht="15.75" customHeight="1" x14ac:dyDescent="0.25">
      <c r="A792" s="8"/>
      <c r="B792" s="8"/>
      <c r="C792" s="8"/>
      <c r="D792" s="8"/>
      <c r="E792" s="8"/>
      <c r="F792" s="8"/>
      <c r="G792" s="8"/>
      <c r="H792" s="8"/>
      <c r="I792" s="8"/>
      <c r="J792" s="8"/>
      <c r="K792" s="8"/>
      <c r="L792" s="8"/>
      <c r="M792" s="8"/>
      <c r="N792" s="8"/>
      <c r="O792" s="8"/>
      <c r="P792" s="8"/>
      <c r="Q792" s="8"/>
      <c r="R792" s="8"/>
      <c r="S792" s="8"/>
      <c r="T792" s="8"/>
      <c r="U792" s="8"/>
      <c r="V792" s="8"/>
      <c r="W792" s="8"/>
      <c r="X792" s="8"/>
      <c r="Y792" s="8"/>
      <c r="Z792" s="8"/>
    </row>
    <row r="793" spans="1:26" ht="15.75" customHeight="1" x14ac:dyDescent="0.25">
      <c r="A793" s="8"/>
      <c r="B793" s="8"/>
      <c r="C793" s="8"/>
      <c r="D793" s="8"/>
      <c r="E793" s="8"/>
      <c r="F793" s="8"/>
      <c r="G793" s="8"/>
      <c r="H793" s="8"/>
      <c r="I793" s="8"/>
      <c r="J793" s="8"/>
      <c r="K793" s="8"/>
      <c r="L793" s="8"/>
      <c r="M793" s="8"/>
      <c r="N793" s="8"/>
      <c r="O793" s="8"/>
      <c r="P793" s="8"/>
      <c r="Q793" s="8"/>
      <c r="R793" s="8"/>
      <c r="S793" s="8"/>
      <c r="T793" s="8"/>
      <c r="U793" s="8"/>
      <c r="V793" s="8"/>
      <c r="W793" s="8"/>
      <c r="X793" s="8"/>
      <c r="Y793" s="8"/>
      <c r="Z793" s="8"/>
    </row>
    <row r="794" spans="1:26" ht="15.75" customHeight="1" x14ac:dyDescent="0.25">
      <c r="A794" s="8"/>
      <c r="B794" s="8"/>
      <c r="C794" s="8"/>
      <c r="D794" s="8"/>
      <c r="E794" s="8"/>
      <c r="F794" s="8"/>
      <c r="G794" s="8"/>
      <c r="H794" s="8"/>
      <c r="I794" s="8"/>
      <c r="J794" s="8"/>
      <c r="K794" s="8"/>
      <c r="L794" s="8"/>
      <c r="M794" s="8"/>
      <c r="N794" s="8"/>
      <c r="O794" s="8"/>
      <c r="P794" s="8"/>
      <c r="Q794" s="8"/>
      <c r="R794" s="8"/>
      <c r="S794" s="8"/>
      <c r="T794" s="8"/>
      <c r="U794" s="8"/>
      <c r="V794" s="8"/>
      <c r="W794" s="8"/>
      <c r="X794" s="8"/>
      <c r="Y794" s="8"/>
      <c r="Z794" s="8"/>
    </row>
    <row r="795" spans="1:26" ht="15.75" customHeight="1" x14ac:dyDescent="0.25">
      <c r="A795" s="8"/>
      <c r="B795" s="8"/>
      <c r="C795" s="8"/>
      <c r="D795" s="8"/>
      <c r="E795" s="8"/>
      <c r="F795" s="8"/>
      <c r="G795" s="8"/>
      <c r="H795" s="8"/>
      <c r="I795" s="8"/>
      <c r="J795" s="8"/>
      <c r="K795" s="8"/>
      <c r="L795" s="8"/>
      <c r="M795" s="8"/>
      <c r="N795" s="8"/>
      <c r="O795" s="8"/>
      <c r="P795" s="8"/>
      <c r="Q795" s="8"/>
      <c r="R795" s="8"/>
      <c r="S795" s="8"/>
      <c r="T795" s="8"/>
      <c r="U795" s="8"/>
      <c r="V795" s="8"/>
      <c r="W795" s="8"/>
      <c r="X795" s="8"/>
      <c r="Y795" s="8"/>
      <c r="Z795" s="8"/>
    </row>
    <row r="796" spans="1:26" ht="15.75" customHeight="1" x14ac:dyDescent="0.25">
      <c r="A796" s="8"/>
      <c r="B796" s="8"/>
      <c r="C796" s="8"/>
      <c r="D796" s="8"/>
      <c r="E796" s="8"/>
      <c r="F796" s="8"/>
      <c r="G796" s="8"/>
      <c r="H796" s="8"/>
      <c r="I796" s="8"/>
      <c r="J796" s="8"/>
      <c r="K796" s="8"/>
      <c r="L796" s="8"/>
      <c r="M796" s="8"/>
      <c r="N796" s="8"/>
      <c r="O796" s="8"/>
      <c r="P796" s="8"/>
      <c r="Q796" s="8"/>
      <c r="R796" s="8"/>
      <c r="S796" s="8"/>
      <c r="T796" s="8"/>
      <c r="U796" s="8"/>
      <c r="V796" s="8"/>
      <c r="W796" s="8"/>
      <c r="X796" s="8"/>
      <c r="Y796" s="8"/>
      <c r="Z796" s="8"/>
    </row>
    <row r="797" spans="1:26" ht="15.75" customHeight="1" x14ac:dyDescent="0.25">
      <c r="A797" s="8"/>
      <c r="B797" s="8"/>
      <c r="C797" s="8"/>
      <c r="D797" s="8"/>
      <c r="E797" s="8"/>
      <c r="F797" s="8"/>
      <c r="G797" s="8"/>
      <c r="H797" s="8"/>
      <c r="I797" s="8"/>
      <c r="J797" s="8"/>
      <c r="K797" s="8"/>
      <c r="L797" s="8"/>
      <c r="M797" s="8"/>
      <c r="N797" s="8"/>
      <c r="O797" s="8"/>
      <c r="P797" s="8"/>
      <c r="Q797" s="8"/>
      <c r="R797" s="8"/>
      <c r="S797" s="8"/>
      <c r="T797" s="8"/>
      <c r="U797" s="8"/>
      <c r="V797" s="8"/>
      <c r="W797" s="8"/>
      <c r="X797" s="8"/>
      <c r="Y797" s="8"/>
      <c r="Z797" s="8"/>
    </row>
    <row r="798" spans="1:26" ht="15.75" customHeight="1" x14ac:dyDescent="0.25">
      <c r="A798" s="8"/>
      <c r="B798" s="8"/>
      <c r="C798" s="8"/>
      <c r="D798" s="8"/>
      <c r="E798" s="8"/>
      <c r="F798" s="8"/>
      <c r="G798" s="8"/>
      <c r="H798" s="8"/>
      <c r="I798" s="8"/>
      <c r="J798" s="8"/>
      <c r="K798" s="8"/>
      <c r="L798" s="8"/>
      <c r="M798" s="8"/>
      <c r="N798" s="8"/>
      <c r="O798" s="8"/>
      <c r="P798" s="8"/>
      <c r="Q798" s="8"/>
      <c r="R798" s="8"/>
      <c r="S798" s="8"/>
      <c r="T798" s="8"/>
      <c r="U798" s="8"/>
      <c r="V798" s="8"/>
      <c r="W798" s="8"/>
      <c r="X798" s="8"/>
      <c r="Y798" s="8"/>
      <c r="Z798" s="8"/>
    </row>
    <row r="799" spans="1:26" ht="15.75" customHeight="1" x14ac:dyDescent="0.25">
      <c r="A799" s="8"/>
      <c r="B799" s="8"/>
      <c r="C799" s="8"/>
      <c r="D799" s="8"/>
      <c r="E799" s="8"/>
      <c r="F799" s="8"/>
      <c r="G799" s="8"/>
      <c r="H799" s="8"/>
      <c r="I799" s="8"/>
      <c r="J799" s="8"/>
      <c r="K799" s="8"/>
      <c r="L799" s="8"/>
      <c r="M799" s="8"/>
      <c r="N799" s="8"/>
      <c r="O799" s="8"/>
      <c r="P799" s="8"/>
      <c r="Q799" s="8"/>
      <c r="R799" s="8"/>
      <c r="S799" s="8"/>
      <c r="T799" s="8"/>
      <c r="U799" s="8"/>
      <c r="V799" s="8"/>
      <c r="W799" s="8"/>
      <c r="X799" s="8"/>
      <c r="Y799" s="8"/>
      <c r="Z799" s="8"/>
    </row>
    <row r="800" spans="1:26" ht="15.75" customHeight="1" x14ac:dyDescent="0.25">
      <c r="A800" s="8"/>
      <c r="B800" s="8"/>
      <c r="C800" s="8"/>
      <c r="D800" s="8"/>
      <c r="E800" s="8"/>
      <c r="F800" s="8"/>
      <c r="G800" s="8"/>
      <c r="H800" s="8"/>
      <c r="I800" s="8"/>
      <c r="J800" s="8"/>
      <c r="K800" s="8"/>
      <c r="L800" s="8"/>
      <c r="M800" s="8"/>
      <c r="N800" s="8"/>
      <c r="O800" s="8"/>
      <c r="P800" s="8"/>
      <c r="Q800" s="8"/>
      <c r="R800" s="8"/>
      <c r="S800" s="8"/>
      <c r="T800" s="8"/>
      <c r="U800" s="8"/>
      <c r="V800" s="8"/>
      <c r="W800" s="8"/>
      <c r="X800" s="8"/>
      <c r="Y800" s="8"/>
      <c r="Z800" s="8"/>
    </row>
    <row r="801" spans="1:26" ht="15.75" customHeight="1" x14ac:dyDescent="0.25">
      <c r="A801" s="8"/>
      <c r="B801" s="8"/>
      <c r="C801" s="8"/>
      <c r="D801" s="8"/>
      <c r="E801" s="8"/>
      <c r="F801" s="8"/>
      <c r="G801" s="8"/>
      <c r="H801" s="8"/>
      <c r="I801" s="8"/>
      <c r="J801" s="8"/>
      <c r="K801" s="8"/>
      <c r="L801" s="8"/>
      <c r="M801" s="8"/>
      <c r="N801" s="8"/>
      <c r="O801" s="8"/>
      <c r="P801" s="8"/>
      <c r="Q801" s="8"/>
      <c r="R801" s="8"/>
      <c r="S801" s="8"/>
      <c r="T801" s="8"/>
      <c r="U801" s="8"/>
      <c r="V801" s="8"/>
      <c r="W801" s="8"/>
      <c r="X801" s="8"/>
      <c r="Y801" s="8"/>
      <c r="Z801" s="8"/>
    </row>
    <row r="802" spans="1:26" ht="15.75" customHeight="1" x14ac:dyDescent="0.25">
      <c r="A802" s="8"/>
      <c r="B802" s="8"/>
      <c r="C802" s="8"/>
      <c r="D802" s="8"/>
      <c r="E802" s="8"/>
      <c r="F802" s="8"/>
      <c r="G802" s="8"/>
      <c r="H802" s="8"/>
      <c r="I802" s="8"/>
      <c r="J802" s="8"/>
      <c r="K802" s="8"/>
      <c r="L802" s="8"/>
      <c r="M802" s="8"/>
      <c r="N802" s="8"/>
      <c r="O802" s="8"/>
      <c r="P802" s="8"/>
      <c r="Q802" s="8"/>
      <c r="R802" s="8"/>
      <c r="S802" s="8"/>
      <c r="T802" s="8"/>
      <c r="U802" s="8"/>
      <c r="V802" s="8"/>
      <c r="W802" s="8"/>
      <c r="X802" s="8"/>
      <c r="Y802" s="8"/>
      <c r="Z802" s="8"/>
    </row>
    <row r="803" spans="1:26" ht="15.75" customHeight="1" x14ac:dyDescent="0.25">
      <c r="A803" s="8"/>
      <c r="B803" s="8"/>
      <c r="C803" s="8"/>
      <c r="D803" s="8"/>
      <c r="E803" s="8"/>
      <c r="F803" s="8"/>
      <c r="G803" s="8"/>
      <c r="H803" s="8"/>
      <c r="I803" s="8"/>
      <c r="J803" s="8"/>
      <c r="K803" s="8"/>
      <c r="L803" s="8"/>
      <c r="M803" s="8"/>
      <c r="N803" s="8"/>
      <c r="O803" s="8"/>
      <c r="P803" s="8"/>
      <c r="Q803" s="8"/>
      <c r="R803" s="8"/>
      <c r="S803" s="8"/>
      <c r="T803" s="8"/>
      <c r="U803" s="8"/>
      <c r="V803" s="8"/>
      <c r="W803" s="8"/>
      <c r="X803" s="8"/>
      <c r="Y803" s="8"/>
      <c r="Z803" s="8"/>
    </row>
    <row r="804" spans="1:26" ht="15.75" customHeight="1" x14ac:dyDescent="0.25">
      <c r="A804" s="8"/>
      <c r="B804" s="8"/>
      <c r="C804" s="8"/>
      <c r="D804" s="8"/>
      <c r="E804" s="8"/>
      <c r="F804" s="8"/>
      <c r="G804" s="8"/>
      <c r="H804" s="8"/>
      <c r="I804" s="8"/>
      <c r="J804" s="8"/>
      <c r="K804" s="8"/>
      <c r="L804" s="8"/>
      <c r="M804" s="8"/>
      <c r="N804" s="8"/>
      <c r="O804" s="8"/>
      <c r="P804" s="8"/>
      <c r="Q804" s="8"/>
      <c r="R804" s="8"/>
      <c r="S804" s="8"/>
      <c r="T804" s="8"/>
      <c r="U804" s="8"/>
      <c r="V804" s="8"/>
      <c r="W804" s="8"/>
      <c r="X804" s="8"/>
      <c r="Y804" s="8"/>
      <c r="Z804" s="8"/>
    </row>
    <row r="805" spans="1:26" ht="15.75" customHeight="1" x14ac:dyDescent="0.25">
      <c r="A805" s="8"/>
      <c r="B805" s="8"/>
      <c r="C805" s="8"/>
      <c r="D805" s="8"/>
      <c r="E805" s="8"/>
      <c r="F805" s="8"/>
      <c r="G805" s="8"/>
      <c r="H805" s="8"/>
      <c r="I805" s="8"/>
      <c r="J805" s="8"/>
      <c r="K805" s="8"/>
      <c r="L805" s="8"/>
      <c r="M805" s="8"/>
      <c r="N805" s="8"/>
      <c r="O805" s="8"/>
      <c r="P805" s="8"/>
      <c r="Q805" s="8"/>
      <c r="R805" s="8"/>
      <c r="S805" s="8"/>
      <c r="T805" s="8"/>
      <c r="U805" s="8"/>
      <c r="V805" s="8"/>
      <c r="W805" s="8"/>
      <c r="X805" s="8"/>
      <c r="Y805" s="8"/>
      <c r="Z805" s="8"/>
    </row>
    <row r="806" spans="1:26" ht="15.75" customHeight="1" x14ac:dyDescent="0.25">
      <c r="A806" s="8"/>
      <c r="B806" s="8"/>
      <c r="C806" s="8"/>
      <c r="D806" s="8"/>
      <c r="E806" s="8"/>
      <c r="F806" s="8"/>
      <c r="G806" s="8"/>
      <c r="H806" s="8"/>
      <c r="I806" s="8"/>
      <c r="J806" s="8"/>
      <c r="K806" s="8"/>
      <c r="L806" s="8"/>
      <c r="M806" s="8"/>
      <c r="N806" s="8"/>
      <c r="O806" s="8"/>
      <c r="P806" s="8"/>
      <c r="Q806" s="8"/>
      <c r="R806" s="8"/>
      <c r="S806" s="8"/>
      <c r="T806" s="8"/>
      <c r="U806" s="8"/>
      <c r="V806" s="8"/>
      <c r="W806" s="8"/>
      <c r="X806" s="8"/>
      <c r="Y806" s="8"/>
      <c r="Z806" s="8"/>
    </row>
    <row r="807" spans="1:26" ht="15.75" customHeight="1" x14ac:dyDescent="0.25">
      <c r="A807" s="8"/>
      <c r="B807" s="8"/>
      <c r="C807" s="8"/>
      <c r="D807" s="8"/>
      <c r="E807" s="8"/>
      <c r="F807" s="8"/>
      <c r="G807" s="8"/>
      <c r="H807" s="8"/>
      <c r="I807" s="8"/>
      <c r="J807" s="8"/>
      <c r="K807" s="8"/>
      <c r="L807" s="8"/>
      <c r="M807" s="8"/>
      <c r="N807" s="8"/>
      <c r="O807" s="8"/>
      <c r="P807" s="8"/>
      <c r="Q807" s="8"/>
      <c r="R807" s="8"/>
      <c r="S807" s="8"/>
      <c r="T807" s="8"/>
      <c r="U807" s="8"/>
      <c r="V807" s="8"/>
      <c r="W807" s="8"/>
      <c r="X807" s="8"/>
      <c r="Y807" s="8"/>
      <c r="Z807" s="8"/>
    </row>
    <row r="808" spans="1:26" ht="15.75" customHeight="1" x14ac:dyDescent="0.25">
      <c r="A808" s="8"/>
      <c r="B808" s="8"/>
      <c r="C808" s="8"/>
      <c r="D808" s="8"/>
      <c r="E808" s="8"/>
      <c r="F808" s="8"/>
      <c r="G808" s="8"/>
      <c r="H808" s="8"/>
      <c r="I808" s="8"/>
      <c r="J808" s="8"/>
      <c r="K808" s="8"/>
      <c r="L808" s="8"/>
      <c r="M808" s="8"/>
      <c r="N808" s="8"/>
      <c r="O808" s="8"/>
      <c r="P808" s="8"/>
      <c r="Q808" s="8"/>
      <c r="R808" s="8"/>
      <c r="S808" s="8"/>
      <c r="T808" s="8"/>
      <c r="U808" s="8"/>
      <c r="V808" s="8"/>
      <c r="W808" s="8"/>
      <c r="X808" s="8"/>
      <c r="Y808" s="8"/>
      <c r="Z808" s="8"/>
    </row>
    <row r="809" spans="1:26" ht="15.75" customHeight="1" x14ac:dyDescent="0.25">
      <c r="A809" s="8"/>
      <c r="B809" s="8"/>
      <c r="C809" s="8"/>
      <c r="D809" s="8"/>
      <c r="E809" s="8"/>
      <c r="F809" s="8"/>
      <c r="G809" s="8"/>
      <c r="H809" s="8"/>
      <c r="I809" s="8"/>
      <c r="J809" s="8"/>
      <c r="K809" s="8"/>
      <c r="L809" s="8"/>
      <c r="M809" s="8"/>
      <c r="N809" s="8"/>
      <c r="O809" s="8"/>
      <c r="P809" s="8"/>
      <c r="Q809" s="8"/>
      <c r="R809" s="8"/>
      <c r="S809" s="8"/>
      <c r="T809" s="8"/>
      <c r="U809" s="8"/>
      <c r="V809" s="8"/>
      <c r="W809" s="8"/>
      <c r="X809" s="8"/>
      <c r="Y809" s="8"/>
      <c r="Z809" s="8"/>
    </row>
    <row r="810" spans="1:26" ht="15.75" customHeight="1" x14ac:dyDescent="0.25">
      <c r="A810" s="8"/>
      <c r="B810" s="8"/>
      <c r="C810" s="8"/>
      <c r="D810" s="8"/>
      <c r="E810" s="8"/>
      <c r="F810" s="8"/>
      <c r="G810" s="8"/>
      <c r="H810" s="8"/>
      <c r="I810" s="8"/>
      <c r="J810" s="8"/>
      <c r="K810" s="8"/>
      <c r="L810" s="8"/>
      <c r="M810" s="8"/>
      <c r="N810" s="8"/>
      <c r="O810" s="8"/>
      <c r="P810" s="8"/>
      <c r="Q810" s="8"/>
      <c r="R810" s="8"/>
      <c r="S810" s="8"/>
      <c r="T810" s="8"/>
      <c r="U810" s="8"/>
      <c r="V810" s="8"/>
      <c r="W810" s="8"/>
      <c r="X810" s="8"/>
      <c r="Y810" s="8"/>
      <c r="Z810" s="8"/>
    </row>
    <row r="811" spans="1:26" ht="15.75" customHeight="1" x14ac:dyDescent="0.25">
      <c r="A811" s="8"/>
      <c r="B811" s="8"/>
      <c r="C811" s="8"/>
      <c r="D811" s="8"/>
      <c r="E811" s="8"/>
      <c r="F811" s="8"/>
      <c r="G811" s="8"/>
      <c r="H811" s="8"/>
      <c r="I811" s="8"/>
      <c r="J811" s="8"/>
      <c r="K811" s="8"/>
      <c r="L811" s="8"/>
      <c r="M811" s="8"/>
      <c r="N811" s="8"/>
      <c r="O811" s="8"/>
      <c r="P811" s="8"/>
      <c r="Q811" s="8"/>
      <c r="R811" s="8"/>
      <c r="S811" s="8"/>
      <c r="T811" s="8"/>
      <c r="U811" s="8"/>
      <c r="V811" s="8"/>
      <c r="W811" s="8"/>
      <c r="X811" s="8"/>
      <c r="Y811" s="8"/>
      <c r="Z811" s="8"/>
    </row>
    <row r="812" spans="1:26" ht="15.75" customHeight="1" x14ac:dyDescent="0.25">
      <c r="A812" s="8"/>
      <c r="B812" s="8"/>
      <c r="C812" s="8"/>
      <c r="D812" s="8"/>
      <c r="E812" s="8"/>
      <c r="F812" s="8"/>
      <c r="G812" s="8"/>
      <c r="H812" s="8"/>
      <c r="I812" s="8"/>
      <c r="J812" s="8"/>
      <c r="K812" s="8"/>
      <c r="L812" s="8"/>
      <c r="M812" s="8"/>
      <c r="N812" s="8"/>
      <c r="O812" s="8"/>
      <c r="P812" s="8"/>
      <c r="Q812" s="8"/>
      <c r="R812" s="8"/>
      <c r="S812" s="8"/>
      <c r="T812" s="8"/>
      <c r="U812" s="8"/>
      <c r="V812" s="8"/>
      <c r="W812" s="8"/>
      <c r="X812" s="8"/>
      <c r="Y812" s="8"/>
      <c r="Z812" s="8"/>
    </row>
    <row r="813" spans="1:26" ht="15.75" customHeight="1" x14ac:dyDescent="0.25">
      <c r="A813" s="8"/>
      <c r="B813" s="8"/>
      <c r="C813" s="8"/>
      <c r="D813" s="8"/>
      <c r="E813" s="8"/>
      <c r="F813" s="8"/>
      <c r="G813" s="8"/>
      <c r="H813" s="8"/>
      <c r="I813" s="8"/>
      <c r="J813" s="8"/>
      <c r="K813" s="8"/>
      <c r="L813" s="8"/>
      <c r="M813" s="8"/>
      <c r="N813" s="8"/>
      <c r="O813" s="8"/>
      <c r="P813" s="8"/>
      <c r="Q813" s="8"/>
      <c r="R813" s="8"/>
      <c r="S813" s="8"/>
      <c r="T813" s="8"/>
      <c r="U813" s="8"/>
      <c r="V813" s="8"/>
      <c r="W813" s="8"/>
      <c r="X813" s="8"/>
      <c r="Y813" s="8"/>
      <c r="Z813" s="8"/>
    </row>
    <row r="814" spans="1:26" ht="15.75" customHeight="1" x14ac:dyDescent="0.25">
      <c r="A814" s="8"/>
      <c r="B814" s="8"/>
      <c r="C814" s="8"/>
      <c r="D814" s="8"/>
      <c r="E814" s="8"/>
      <c r="F814" s="8"/>
      <c r="G814" s="8"/>
      <c r="H814" s="8"/>
      <c r="I814" s="8"/>
      <c r="J814" s="8"/>
      <c r="K814" s="8"/>
      <c r="L814" s="8"/>
      <c r="M814" s="8"/>
      <c r="N814" s="8"/>
      <c r="O814" s="8"/>
      <c r="P814" s="8"/>
      <c r="Q814" s="8"/>
      <c r="R814" s="8"/>
      <c r="S814" s="8"/>
      <c r="T814" s="8"/>
      <c r="U814" s="8"/>
      <c r="V814" s="8"/>
      <c r="W814" s="8"/>
      <c r="X814" s="8"/>
      <c r="Y814" s="8"/>
      <c r="Z814" s="8"/>
    </row>
    <row r="815" spans="1:26" ht="15.75" customHeight="1" x14ac:dyDescent="0.25">
      <c r="A815" s="8"/>
      <c r="B815" s="8"/>
      <c r="C815" s="8"/>
      <c r="D815" s="8"/>
      <c r="E815" s="8"/>
      <c r="F815" s="8"/>
      <c r="G815" s="8"/>
      <c r="H815" s="8"/>
      <c r="I815" s="8"/>
      <c r="J815" s="8"/>
      <c r="K815" s="8"/>
      <c r="L815" s="8"/>
      <c r="M815" s="8"/>
      <c r="N815" s="8"/>
      <c r="O815" s="8"/>
      <c r="P815" s="8"/>
      <c r="Q815" s="8"/>
      <c r="R815" s="8"/>
      <c r="S815" s="8"/>
      <c r="T815" s="8"/>
      <c r="U815" s="8"/>
      <c r="V815" s="8"/>
      <c r="W815" s="8"/>
      <c r="X815" s="8"/>
      <c r="Y815" s="8"/>
      <c r="Z815" s="8"/>
    </row>
    <row r="816" spans="1:26" ht="15.75" customHeight="1" x14ac:dyDescent="0.25">
      <c r="A816" s="8"/>
      <c r="B816" s="8"/>
      <c r="C816" s="8"/>
      <c r="D816" s="8"/>
      <c r="E816" s="8"/>
      <c r="F816" s="8"/>
      <c r="G816" s="8"/>
      <c r="H816" s="8"/>
      <c r="I816" s="8"/>
      <c r="J816" s="8"/>
      <c r="K816" s="8"/>
      <c r="L816" s="8"/>
      <c r="M816" s="8"/>
      <c r="N816" s="8"/>
      <c r="O816" s="8"/>
      <c r="P816" s="8"/>
      <c r="Q816" s="8"/>
      <c r="R816" s="8"/>
      <c r="S816" s="8"/>
      <c r="T816" s="8"/>
      <c r="U816" s="8"/>
      <c r="V816" s="8"/>
      <c r="W816" s="8"/>
      <c r="X816" s="8"/>
      <c r="Y816" s="8"/>
      <c r="Z816" s="8"/>
    </row>
    <row r="817" spans="1:26" ht="15.75" customHeight="1" x14ac:dyDescent="0.25">
      <c r="A817" s="8"/>
      <c r="B817" s="8"/>
      <c r="C817" s="8"/>
      <c r="D817" s="8"/>
      <c r="E817" s="8"/>
      <c r="F817" s="8"/>
      <c r="G817" s="8"/>
      <c r="H817" s="8"/>
      <c r="I817" s="8"/>
      <c r="J817" s="8"/>
      <c r="K817" s="8"/>
      <c r="L817" s="8"/>
      <c r="M817" s="8"/>
      <c r="N817" s="8"/>
      <c r="O817" s="8"/>
      <c r="P817" s="8"/>
      <c r="Q817" s="8"/>
      <c r="R817" s="8"/>
      <c r="S817" s="8"/>
      <c r="T817" s="8"/>
      <c r="U817" s="8"/>
      <c r="V817" s="8"/>
      <c r="W817" s="8"/>
      <c r="X817" s="8"/>
      <c r="Y817" s="8"/>
      <c r="Z817" s="8"/>
    </row>
    <row r="818" spans="1:26" ht="15.75" customHeight="1" x14ac:dyDescent="0.25">
      <c r="A818" s="8"/>
      <c r="B818" s="8"/>
      <c r="C818" s="8"/>
      <c r="D818" s="8"/>
      <c r="E818" s="8"/>
      <c r="F818" s="8"/>
      <c r="G818" s="8"/>
      <c r="H818" s="8"/>
      <c r="I818" s="8"/>
      <c r="J818" s="8"/>
      <c r="K818" s="8"/>
      <c r="L818" s="8"/>
      <c r="M818" s="8"/>
      <c r="N818" s="8"/>
      <c r="O818" s="8"/>
      <c r="P818" s="8"/>
      <c r="Q818" s="8"/>
      <c r="R818" s="8"/>
      <c r="S818" s="8"/>
      <c r="T818" s="8"/>
      <c r="U818" s="8"/>
      <c r="V818" s="8"/>
      <c r="W818" s="8"/>
      <c r="X818" s="8"/>
      <c r="Y818" s="8"/>
      <c r="Z818" s="8"/>
    </row>
    <row r="819" spans="1:26" ht="15.75" customHeight="1" x14ac:dyDescent="0.25">
      <c r="A819" s="8"/>
      <c r="B819" s="8"/>
      <c r="C819" s="8"/>
      <c r="D819" s="8"/>
      <c r="E819" s="8"/>
      <c r="F819" s="8"/>
      <c r="G819" s="8"/>
      <c r="H819" s="8"/>
      <c r="I819" s="8"/>
      <c r="J819" s="8"/>
      <c r="K819" s="8"/>
      <c r="L819" s="8"/>
      <c r="M819" s="8"/>
      <c r="N819" s="8"/>
      <c r="O819" s="8"/>
      <c r="P819" s="8"/>
      <c r="Q819" s="8"/>
      <c r="R819" s="8"/>
      <c r="S819" s="8"/>
      <c r="T819" s="8"/>
      <c r="U819" s="8"/>
      <c r="V819" s="8"/>
      <c r="W819" s="8"/>
      <c r="X819" s="8"/>
      <c r="Y819" s="8"/>
      <c r="Z819" s="8"/>
    </row>
    <row r="820" spans="1:26" ht="15.75" customHeight="1" x14ac:dyDescent="0.25">
      <c r="A820" s="8"/>
      <c r="B820" s="8"/>
      <c r="C820" s="8"/>
      <c r="D820" s="8"/>
      <c r="E820" s="8"/>
      <c r="F820" s="8"/>
      <c r="G820" s="8"/>
      <c r="H820" s="8"/>
      <c r="I820" s="8"/>
      <c r="J820" s="8"/>
      <c r="K820" s="8"/>
      <c r="L820" s="8"/>
      <c r="M820" s="8"/>
      <c r="N820" s="8"/>
      <c r="O820" s="8"/>
      <c r="P820" s="8"/>
      <c r="Q820" s="8"/>
      <c r="R820" s="8"/>
      <c r="S820" s="8"/>
      <c r="T820" s="8"/>
      <c r="U820" s="8"/>
      <c r="V820" s="8"/>
      <c r="W820" s="8"/>
      <c r="X820" s="8"/>
      <c r="Y820" s="8"/>
      <c r="Z820" s="8"/>
    </row>
    <row r="821" spans="1:26" ht="15.75" customHeight="1" x14ac:dyDescent="0.25">
      <c r="A821" s="8"/>
      <c r="B821" s="8"/>
      <c r="C821" s="8"/>
      <c r="D821" s="8"/>
      <c r="E821" s="8"/>
      <c r="F821" s="8"/>
      <c r="G821" s="8"/>
      <c r="H821" s="8"/>
      <c r="I821" s="8"/>
      <c r="J821" s="8"/>
      <c r="K821" s="8"/>
      <c r="L821" s="8"/>
      <c r="M821" s="8"/>
      <c r="N821" s="8"/>
      <c r="O821" s="8"/>
      <c r="P821" s="8"/>
      <c r="Q821" s="8"/>
      <c r="R821" s="8"/>
      <c r="S821" s="8"/>
      <c r="T821" s="8"/>
      <c r="U821" s="8"/>
      <c r="V821" s="8"/>
      <c r="W821" s="8"/>
      <c r="X821" s="8"/>
      <c r="Y821" s="8"/>
      <c r="Z821" s="8"/>
    </row>
    <row r="822" spans="1:26" ht="15.75" customHeight="1" x14ac:dyDescent="0.25">
      <c r="A822" s="8"/>
      <c r="B822" s="8"/>
      <c r="C822" s="8"/>
      <c r="D822" s="8"/>
      <c r="E822" s="8"/>
      <c r="F822" s="8"/>
      <c r="G822" s="8"/>
      <c r="H822" s="8"/>
      <c r="I822" s="8"/>
      <c r="J822" s="8"/>
      <c r="K822" s="8"/>
      <c r="L822" s="8"/>
      <c r="M822" s="8"/>
      <c r="N822" s="8"/>
      <c r="O822" s="8"/>
      <c r="P822" s="8"/>
      <c r="Q822" s="8"/>
      <c r="R822" s="8"/>
      <c r="S822" s="8"/>
      <c r="T822" s="8"/>
      <c r="U822" s="8"/>
      <c r="V822" s="8"/>
      <c r="W822" s="8"/>
      <c r="X822" s="8"/>
      <c r="Y822" s="8"/>
      <c r="Z822" s="8"/>
    </row>
    <row r="823" spans="1:26" ht="15.75" customHeight="1" x14ac:dyDescent="0.25">
      <c r="A823" s="8"/>
      <c r="B823" s="8"/>
      <c r="C823" s="8"/>
      <c r="D823" s="8"/>
      <c r="E823" s="8"/>
      <c r="F823" s="8"/>
      <c r="G823" s="8"/>
      <c r="H823" s="8"/>
      <c r="I823" s="8"/>
      <c r="J823" s="8"/>
      <c r="K823" s="8"/>
      <c r="L823" s="8"/>
      <c r="M823" s="8"/>
      <c r="N823" s="8"/>
      <c r="O823" s="8"/>
      <c r="P823" s="8"/>
      <c r="Q823" s="8"/>
      <c r="R823" s="8"/>
      <c r="S823" s="8"/>
      <c r="T823" s="8"/>
      <c r="U823" s="8"/>
      <c r="V823" s="8"/>
      <c r="W823" s="8"/>
      <c r="X823" s="8"/>
      <c r="Y823" s="8"/>
      <c r="Z823" s="8"/>
    </row>
    <row r="824" spans="1:26" ht="15.75" customHeight="1" x14ac:dyDescent="0.25">
      <c r="A824" s="8"/>
      <c r="B824" s="8"/>
      <c r="C824" s="8"/>
      <c r="D824" s="8"/>
      <c r="E824" s="8"/>
      <c r="F824" s="8"/>
      <c r="G824" s="8"/>
      <c r="H824" s="8"/>
      <c r="I824" s="8"/>
      <c r="J824" s="8"/>
      <c r="K824" s="8"/>
      <c r="L824" s="8"/>
      <c r="M824" s="8"/>
      <c r="N824" s="8"/>
      <c r="O824" s="8"/>
      <c r="P824" s="8"/>
      <c r="Q824" s="8"/>
      <c r="R824" s="8"/>
      <c r="S824" s="8"/>
      <c r="T824" s="8"/>
      <c r="U824" s="8"/>
      <c r="V824" s="8"/>
      <c r="W824" s="8"/>
      <c r="X824" s="8"/>
      <c r="Y824" s="8"/>
      <c r="Z824" s="8"/>
    </row>
    <row r="825" spans="1:26" ht="15.75" customHeight="1" x14ac:dyDescent="0.25">
      <c r="A825" s="8"/>
      <c r="B825" s="8"/>
      <c r="C825" s="8"/>
      <c r="D825" s="8"/>
      <c r="E825" s="8"/>
      <c r="F825" s="8"/>
      <c r="G825" s="8"/>
      <c r="H825" s="8"/>
      <c r="I825" s="8"/>
      <c r="J825" s="8"/>
      <c r="K825" s="8"/>
      <c r="L825" s="8"/>
      <c r="M825" s="8"/>
      <c r="N825" s="8"/>
      <c r="O825" s="8"/>
      <c r="P825" s="8"/>
      <c r="Q825" s="8"/>
      <c r="R825" s="8"/>
      <c r="S825" s="8"/>
      <c r="T825" s="8"/>
      <c r="U825" s="8"/>
      <c r="V825" s="8"/>
      <c r="W825" s="8"/>
      <c r="X825" s="8"/>
      <c r="Y825" s="8"/>
      <c r="Z825" s="8"/>
    </row>
    <row r="826" spans="1:26" ht="15.75" customHeight="1" x14ac:dyDescent="0.25">
      <c r="A826" s="8"/>
      <c r="B826" s="8"/>
      <c r="C826" s="8"/>
      <c r="D826" s="8"/>
      <c r="E826" s="8"/>
      <c r="F826" s="8"/>
      <c r="G826" s="8"/>
      <c r="H826" s="8"/>
      <c r="I826" s="8"/>
      <c r="J826" s="8"/>
      <c r="K826" s="8"/>
      <c r="L826" s="8"/>
      <c r="M826" s="8"/>
      <c r="N826" s="8"/>
      <c r="O826" s="8"/>
      <c r="P826" s="8"/>
      <c r="Q826" s="8"/>
      <c r="R826" s="8"/>
      <c r="S826" s="8"/>
      <c r="T826" s="8"/>
      <c r="U826" s="8"/>
      <c r="V826" s="8"/>
      <c r="W826" s="8"/>
      <c r="X826" s="8"/>
      <c r="Y826" s="8"/>
      <c r="Z826" s="8"/>
    </row>
    <row r="827" spans="1:26" ht="15.75" customHeight="1" x14ac:dyDescent="0.25">
      <c r="A827" s="8"/>
      <c r="B827" s="8"/>
      <c r="C827" s="8"/>
      <c r="D827" s="8"/>
      <c r="E827" s="8"/>
      <c r="F827" s="8"/>
      <c r="G827" s="8"/>
      <c r="H827" s="8"/>
      <c r="I827" s="8"/>
      <c r="J827" s="8"/>
      <c r="K827" s="8"/>
      <c r="L827" s="8"/>
      <c r="M827" s="8"/>
      <c r="N827" s="8"/>
      <c r="O827" s="8"/>
      <c r="P827" s="8"/>
      <c r="Q827" s="8"/>
      <c r="R827" s="8"/>
      <c r="S827" s="8"/>
      <c r="T827" s="8"/>
      <c r="U827" s="8"/>
      <c r="V827" s="8"/>
      <c r="W827" s="8"/>
      <c r="X827" s="8"/>
      <c r="Y827" s="8"/>
      <c r="Z827" s="8"/>
    </row>
    <row r="828" spans="1:26" ht="15.75" customHeight="1" x14ac:dyDescent="0.25">
      <c r="A828" s="8"/>
      <c r="B828" s="8"/>
      <c r="C828" s="8"/>
      <c r="D828" s="8"/>
      <c r="E828" s="8"/>
      <c r="F828" s="8"/>
      <c r="G828" s="8"/>
      <c r="H828" s="8"/>
      <c r="I828" s="8"/>
      <c r="J828" s="8"/>
      <c r="K828" s="8"/>
      <c r="L828" s="8"/>
      <c r="M828" s="8"/>
      <c r="N828" s="8"/>
      <c r="O828" s="8"/>
      <c r="P828" s="8"/>
      <c r="Q828" s="8"/>
      <c r="R828" s="8"/>
      <c r="S828" s="8"/>
      <c r="T828" s="8"/>
      <c r="U828" s="8"/>
      <c r="V828" s="8"/>
      <c r="W828" s="8"/>
      <c r="X828" s="8"/>
      <c r="Y828" s="8"/>
      <c r="Z828" s="8"/>
    </row>
    <row r="829" spans="1:26" ht="15.75" customHeight="1" x14ac:dyDescent="0.25">
      <c r="A829" s="8"/>
      <c r="B829" s="8"/>
      <c r="C829" s="8"/>
      <c r="D829" s="8"/>
      <c r="E829" s="8"/>
      <c r="F829" s="8"/>
      <c r="G829" s="8"/>
      <c r="H829" s="8"/>
      <c r="I829" s="8"/>
      <c r="J829" s="8"/>
      <c r="K829" s="8"/>
      <c r="L829" s="8"/>
      <c r="M829" s="8"/>
      <c r="N829" s="8"/>
      <c r="O829" s="8"/>
      <c r="P829" s="8"/>
      <c r="Q829" s="8"/>
      <c r="R829" s="8"/>
      <c r="S829" s="8"/>
      <c r="T829" s="8"/>
      <c r="U829" s="8"/>
      <c r="V829" s="8"/>
      <c r="W829" s="8"/>
      <c r="X829" s="8"/>
      <c r="Y829" s="8"/>
      <c r="Z829" s="8"/>
    </row>
    <row r="830" spans="1:26" ht="15.75" customHeight="1" x14ac:dyDescent="0.25">
      <c r="A830" s="8"/>
      <c r="B830" s="8"/>
      <c r="C830" s="8"/>
      <c r="D830" s="8"/>
      <c r="E830" s="8"/>
      <c r="F830" s="8"/>
      <c r="G830" s="8"/>
      <c r="H830" s="8"/>
      <c r="I830" s="8"/>
      <c r="J830" s="8"/>
      <c r="K830" s="8"/>
      <c r="L830" s="8"/>
      <c r="M830" s="8"/>
      <c r="N830" s="8"/>
      <c r="O830" s="8"/>
      <c r="P830" s="8"/>
      <c r="Q830" s="8"/>
      <c r="R830" s="8"/>
      <c r="S830" s="8"/>
      <c r="T830" s="8"/>
      <c r="U830" s="8"/>
      <c r="V830" s="8"/>
      <c r="W830" s="8"/>
      <c r="X830" s="8"/>
      <c r="Y830" s="8"/>
      <c r="Z830" s="8"/>
    </row>
    <row r="831" spans="1:26" ht="15.75" customHeight="1" x14ac:dyDescent="0.25">
      <c r="A831" s="8"/>
      <c r="B831" s="8"/>
      <c r="C831" s="8"/>
      <c r="D831" s="8"/>
      <c r="E831" s="8"/>
      <c r="F831" s="8"/>
      <c r="G831" s="8"/>
      <c r="H831" s="8"/>
      <c r="I831" s="8"/>
      <c r="J831" s="8"/>
      <c r="K831" s="8"/>
      <c r="L831" s="8"/>
      <c r="M831" s="8"/>
      <c r="N831" s="8"/>
      <c r="O831" s="8"/>
      <c r="P831" s="8"/>
      <c r="Q831" s="8"/>
      <c r="R831" s="8"/>
      <c r="S831" s="8"/>
      <c r="T831" s="8"/>
      <c r="U831" s="8"/>
      <c r="V831" s="8"/>
      <c r="W831" s="8"/>
      <c r="X831" s="8"/>
      <c r="Y831" s="8"/>
      <c r="Z831" s="8"/>
    </row>
    <row r="832" spans="1:26" ht="15.75" customHeight="1" x14ac:dyDescent="0.25">
      <c r="A832" s="8"/>
      <c r="B832" s="8"/>
      <c r="C832" s="8"/>
      <c r="D832" s="8"/>
      <c r="E832" s="8"/>
      <c r="F832" s="8"/>
      <c r="G832" s="8"/>
      <c r="H832" s="8"/>
      <c r="I832" s="8"/>
      <c r="J832" s="8"/>
      <c r="K832" s="8"/>
      <c r="L832" s="8"/>
      <c r="M832" s="8"/>
      <c r="N832" s="8"/>
      <c r="O832" s="8"/>
      <c r="P832" s="8"/>
      <c r="Q832" s="8"/>
      <c r="R832" s="8"/>
      <c r="S832" s="8"/>
      <c r="T832" s="8"/>
      <c r="U832" s="8"/>
      <c r="V832" s="8"/>
      <c r="W832" s="8"/>
      <c r="X832" s="8"/>
      <c r="Y832" s="8"/>
      <c r="Z832" s="8"/>
    </row>
    <row r="833" spans="1:26" ht="15.75" customHeight="1" x14ac:dyDescent="0.25">
      <c r="A833" s="8"/>
      <c r="B833" s="8"/>
      <c r="C833" s="8"/>
      <c r="D833" s="8"/>
      <c r="E833" s="8"/>
      <c r="F833" s="8"/>
      <c r="G833" s="8"/>
      <c r="H833" s="8"/>
      <c r="I833" s="8"/>
      <c r="J833" s="8"/>
      <c r="K833" s="8"/>
      <c r="L833" s="8"/>
      <c r="M833" s="8"/>
      <c r="N833" s="8"/>
      <c r="O833" s="8"/>
      <c r="P833" s="8"/>
      <c r="Q833" s="8"/>
      <c r="R833" s="8"/>
      <c r="S833" s="8"/>
      <c r="T833" s="8"/>
      <c r="U833" s="8"/>
      <c r="V833" s="8"/>
      <c r="W833" s="8"/>
      <c r="X833" s="8"/>
      <c r="Y833" s="8"/>
      <c r="Z833" s="8"/>
    </row>
    <row r="834" spans="1:26" ht="15.75" customHeight="1" x14ac:dyDescent="0.25">
      <c r="A834" s="8"/>
      <c r="B834" s="8"/>
      <c r="C834" s="8"/>
      <c r="D834" s="8"/>
      <c r="E834" s="8"/>
      <c r="F834" s="8"/>
      <c r="G834" s="8"/>
      <c r="H834" s="8"/>
      <c r="I834" s="8"/>
      <c r="J834" s="8"/>
      <c r="K834" s="8"/>
      <c r="L834" s="8"/>
      <c r="M834" s="8"/>
      <c r="N834" s="8"/>
      <c r="O834" s="8"/>
      <c r="P834" s="8"/>
      <c r="Q834" s="8"/>
      <c r="R834" s="8"/>
      <c r="S834" s="8"/>
      <c r="T834" s="8"/>
      <c r="U834" s="8"/>
      <c r="V834" s="8"/>
      <c r="W834" s="8"/>
      <c r="X834" s="8"/>
      <c r="Y834" s="8"/>
      <c r="Z834" s="8"/>
    </row>
    <row r="835" spans="1:26" ht="15.75" customHeight="1" x14ac:dyDescent="0.25">
      <c r="A835" s="8"/>
      <c r="B835" s="8"/>
      <c r="C835" s="8"/>
      <c r="D835" s="8"/>
      <c r="E835" s="8"/>
      <c r="F835" s="8"/>
      <c r="G835" s="8"/>
      <c r="H835" s="8"/>
      <c r="I835" s="8"/>
      <c r="J835" s="8"/>
      <c r="K835" s="8"/>
      <c r="L835" s="8"/>
      <c r="M835" s="8"/>
      <c r="N835" s="8"/>
      <c r="O835" s="8"/>
      <c r="P835" s="8"/>
      <c r="Q835" s="8"/>
      <c r="R835" s="8"/>
      <c r="S835" s="8"/>
      <c r="T835" s="8"/>
      <c r="U835" s="8"/>
      <c r="V835" s="8"/>
      <c r="W835" s="8"/>
      <c r="X835" s="8"/>
      <c r="Y835" s="8"/>
      <c r="Z835" s="8"/>
    </row>
    <row r="836" spans="1:26" ht="15.75" customHeight="1" x14ac:dyDescent="0.25">
      <c r="A836" s="8"/>
      <c r="B836" s="8"/>
      <c r="C836" s="8"/>
      <c r="D836" s="8"/>
      <c r="E836" s="8"/>
      <c r="F836" s="8"/>
      <c r="G836" s="8"/>
      <c r="H836" s="8"/>
      <c r="I836" s="8"/>
      <c r="J836" s="8"/>
      <c r="K836" s="8"/>
      <c r="L836" s="8"/>
      <c r="M836" s="8"/>
      <c r="N836" s="8"/>
      <c r="O836" s="8"/>
      <c r="P836" s="8"/>
      <c r="Q836" s="8"/>
      <c r="R836" s="8"/>
      <c r="S836" s="8"/>
      <c r="T836" s="8"/>
      <c r="U836" s="8"/>
      <c r="V836" s="8"/>
      <c r="W836" s="8"/>
      <c r="X836" s="8"/>
      <c r="Y836" s="8"/>
      <c r="Z836" s="8"/>
    </row>
    <row r="837" spans="1:26" ht="15.75" customHeight="1" x14ac:dyDescent="0.25">
      <c r="A837" s="8"/>
      <c r="B837" s="8"/>
      <c r="C837" s="8"/>
      <c r="D837" s="8"/>
      <c r="E837" s="8"/>
      <c r="F837" s="8"/>
      <c r="G837" s="8"/>
      <c r="H837" s="8"/>
      <c r="I837" s="8"/>
      <c r="J837" s="8"/>
      <c r="K837" s="8"/>
      <c r="L837" s="8"/>
      <c r="M837" s="8"/>
      <c r="N837" s="8"/>
      <c r="O837" s="8"/>
      <c r="P837" s="8"/>
      <c r="Q837" s="8"/>
      <c r="R837" s="8"/>
      <c r="S837" s="8"/>
      <c r="T837" s="8"/>
      <c r="U837" s="8"/>
      <c r="V837" s="8"/>
      <c r="W837" s="8"/>
      <c r="X837" s="8"/>
      <c r="Y837" s="8"/>
      <c r="Z837" s="8"/>
    </row>
    <row r="838" spans="1:26" ht="15.75" customHeight="1" x14ac:dyDescent="0.25">
      <c r="A838" s="8"/>
      <c r="B838" s="8"/>
      <c r="C838" s="8"/>
      <c r="D838" s="8"/>
      <c r="E838" s="8"/>
      <c r="F838" s="8"/>
      <c r="G838" s="8"/>
      <c r="H838" s="8"/>
      <c r="I838" s="8"/>
      <c r="J838" s="8"/>
      <c r="K838" s="8"/>
      <c r="L838" s="8"/>
      <c r="M838" s="8"/>
      <c r="N838" s="8"/>
      <c r="O838" s="8"/>
      <c r="P838" s="8"/>
      <c r="Q838" s="8"/>
      <c r="R838" s="8"/>
      <c r="S838" s="8"/>
      <c r="T838" s="8"/>
      <c r="U838" s="8"/>
      <c r="V838" s="8"/>
      <c r="W838" s="8"/>
      <c r="X838" s="8"/>
      <c r="Y838" s="8"/>
      <c r="Z838" s="8"/>
    </row>
    <row r="839" spans="1:26" ht="15.75" customHeight="1" x14ac:dyDescent="0.25">
      <c r="A839" s="8"/>
      <c r="B839" s="8"/>
      <c r="C839" s="8"/>
      <c r="D839" s="8"/>
      <c r="E839" s="8"/>
      <c r="F839" s="8"/>
      <c r="G839" s="8"/>
      <c r="H839" s="8"/>
      <c r="I839" s="8"/>
      <c r="J839" s="8"/>
      <c r="K839" s="8"/>
      <c r="L839" s="8"/>
      <c r="M839" s="8"/>
      <c r="N839" s="8"/>
      <c r="O839" s="8"/>
      <c r="P839" s="8"/>
      <c r="Q839" s="8"/>
      <c r="R839" s="8"/>
      <c r="S839" s="8"/>
      <c r="T839" s="8"/>
      <c r="U839" s="8"/>
      <c r="V839" s="8"/>
      <c r="W839" s="8"/>
      <c r="X839" s="8"/>
      <c r="Y839" s="8"/>
      <c r="Z839" s="8"/>
    </row>
    <row r="840" spans="1:26" ht="15.75" customHeight="1" x14ac:dyDescent="0.25">
      <c r="A840" s="8"/>
      <c r="B840" s="8"/>
      <c r="C840" s="8"/>
      <c r="D840" s="8"/>
      <c r="E840" s="8"/>
      <c r="F840" s="8"/>
      <c r="G840" s="8"/>
      <c r="H840" s="8"/>
      <c r="I840" s="8"/>
      <c r="J840" s="8"/>
      <c r="K840" s="8"/>
      <c r="L840" s="8"/>
      <c r="M840" s="8"/>
      <c r="N840" s="8"/>
      <c r="O840" s="8"/>
      <c r="P840" s="8"/>
      <c r="Q840" s="8"/>
      <c r="R840" s="8"/>
      <c r="S840" s="8"/>
      <c r="T840" s="8"/>
      <c r="U840" s="8"/>
      <c r="V840" s="8"/>
      <c r="W840" s="8"/>
      <c r="X840" s="8"/>
      <c r="Y840" s="8"/>
      <c r="Z840" s="8"/>
    </row>
    <row r="841" spans="1:26" ht="15.75" customHeight="1" x14ac:dyDescent="0.25">
      <c r="A841" s="8"/>
      <c r="B841" s="8"/>
      <c r="C841" s="8"/>
      <c r="D841" s="8"/>
      <c r="E841" s="8"/>
      <c r="F841" s="8"/>
      <c r="G841" s="8"/>
      <c r="H841" s="8"/>
      <c r="I841" s="8"/>
      <c r="J841" s="8"/>
      <c r="K841" s="8"/>
      <c r="L841" s="8"/>
      <c r="M841" s="8"/>
      <c r="N841" s="8"/>
      <c r="O841" s="8"/>
      <c r="P841" s="8"/>
      <c r="Q841" s="8"/>
      <c r="R841" s="8"/>
      <c r="S841" s="8"/>
      <c r="T841" s="8"/>
      <c r="U841" s="8"/>
      <c r="V841" s="8"/>
      <c r="W841" s="8"/>
      <c r="X841" s="8"/>
      <c r="Y841" s="8"/>
      <c r="Z841" s="8"/>
    </row>
    <row r="842" spans="1:26" ht="15.75" customHeight="1" x14ac:dyDescent="0.25">
      <c r="A842" s="8"/>
      <c r="B842" s="8"/>
      <c r="C842" s="8"/>
      <c r="D842" s="8"/>
      <c r="E842" s="8"/>
      <c r="F842" s="8"/>
      <c r="G842" s="8"/>
      <c r="H842" s="8"/>
      <c r="I842" s="8"/>
      <c r="J842" s="8"/>
      <c r="K842" s="8"/>
      <c r="L842" s="8"/>
      <c r="M842" s="8"/>
      <c r="N842" s="8"/>
      <c r="O842" s="8"/>
      <c r="P842" s="8"/>
      <c r="Q842" s="8"/>
      <c r="R842" s="8"/>
      <c r="S842" s="8"/>
      <c r="T842" s="8"/>
      <c r="U842" s="8"/>
      <c r="V842" s="8"/>
      <c r="W842" s="8"/>
      <c r="X842" s="8"/>
      <c r="Y842" s="8"/>
      <c r="Z842" s="8"/>
    </row>
    <row r="843" spans="1:26" ht="15.75" customHeight="1" x14ac:dyDescent="0.25">
      <c r="A843" s="8"/>
      <c r="B843" s="8"/>
      <c r="C843" s="8"/>
      <c r="D843" s="8"/>
      <c r="E843" s="8"/>
      <c r="F843" s="8"/>
      <c r="G843" s="8"/>
      <c r="H843" s="8"/>
      <c r="I843" s="8"/>
      <c r="J843" s="8"/>
      <c r="K843" s="8"/>
      <c r="L843" s="8"/>
      <c r="M843" s="8"/>
      <c r="N843" s="8"/>
      <c r="O843" s="8"/>
      <c r="P843" s="8"/>
      <c r="Q843" s="8"/>
      <c r="R843" s="8"/>
      <c r="S843" s="8"/>
      <c r="T843" s="8"/>
      <c r="U843" s="8"/>
      <c r="V843" s="8"/>
      <c r="W843" s="8"/>
      <c r="X843" s="8"/>
      <c r="Y843" s="8"/>
      <c r="Z843" s="8"/>
    </row>
    <row r="844" spans="1:26" ht="15.75" customHeight="1" x14ac:dyDescent="0.25">
      <c r="A844" s="8"/>
      <c r="B844" s="8"/>
      <c r="C844" s="8"/>
      <c r="D844" s="8"/>
      <c r="E844" s="8"/>
      <c r="F844" s="8"/>
      <c r="G844" s="8"/>
      <c r="H844" s="8"/>
      <c r="I844" s="8"/>
      <c r="J844" s="8"/>
      <c r="K844" s="8"/>
      <c r="L844" s="8"/>
      <c r="M844" s="8"/>
      <c r="N844" s="8"/>
      <c r="O844" s="8"/>
      <c r="P844" s="8"/>
      <c r="Q844" s="8"/>
      <c r="R844" s="8"/>
      <c r="S844" s="8"/>
      <c r="T844" s="8"/>
      <c r="U844" s="8"/>
      <c r="V844" s="8"/>
      <c r="W844" s="8"/>
      <c r="X844" s="8"/>
      <c r="Y844" s="8"/>
      <c r="Z844" s="8"/>
    </row>
    <row r="845" spans="1:26" ht="15.75" customHeight="1" x14ac:dyDescent="0.25">
      <c r="A845" s="8"/>
      <c r="B845" s="8"/>
      <c r="C845" s="8"/>
      <c r="D845" s="8"/>
      <c r="E845" s="8"/>
      <c r="F845" s="8"/>
      <c r="G845" s="8"/>
      <c r="H845" s="8"/>
      <c r="I845" s="8"/>
      <c r="J845" s="8"/>
      <c r="K845" s="8"/>
      <c r="L845" s="8"/>
      <c r="M845" s="8"/>
      <c r="N845" s="8"/>
      <c r="O845" s="8"/>
      <c r="P845" s="8"/>
      <c r="Q845" s="8"/>
      <c r="R845" s="8"/>
      <c r="S845" s="8"/>
      <c r="T845" s="8"/>
      <c r="U845" s="8"/>
      <c r="V845" s="8"/>
      <c r="W845" s="8"/>
      <c r="X845" s="8"/>
      <c r="Y845" s="8"/>
      <c r="Z845" s="8"/>
    </row>
    <row r="846" spans="1:26" ht="15.75" customHeight="1" x14ac:dyDescent="0.25">
      <c r="A846" s="8"/>
      <c r="B846" s="8"/>
      <c r="C846" s="8"/>
      <c r="D846" s="8"/>
      <c r="E846" s="8"/>
      <c r="F846" s="8"/>
      <c r="G846" s="8"/>
      <c r="H846" s="8"/>
      <c r="I846" s="8"/>
      <c r="J846" s="8"/>
      <c r="K846" s="8"/>
      <c r="L846" s="8"/>
      <c r="M846" s="8"/>
      <c r="N846" s="8"/>
      <c r="O846" s="8"/>
      <c r="P846" s="8"/>
      <c r="Q846" s="8"/>
      <c r="R846" s="8"/>
      <c r="S846" s="8"/>
      <c r="T846" s="8"/>
      <c r="U846" s="8"/>
      <c r="V846" s="8"/>
      <c r="W846" s="8"/>
      <c r="X846" s="8"/>
      <c r="Y846" s="8"/>
      <c r="Z846" s="8"/>
    </row>
    <row r="847" spans="1:26" ht="15.75" customHeight="1" x14ac:dyDescent="0.25">
      <c r="A847" s="8"/>
      <c r="B847" s="8"/>
      <c r="C847" s="8"/>
      <c r="D847" s="8"/>
      <c r="E847" s="8"/>
      <c r="F847" s="8"/>
      <c r="G847" s="8"/>
      <c r="H847" s="8"/>
      <c r="I847" s="8"/>
      <c r="J847" s="8"/>
      <c r="K847" s="8"/>
      <c r="L847" s="8"/>
      <c r="M847" s="8"/>
      <c r="N847" s="8"/>
      <c r="O847" s="8"/>
      <c r="P847" s="8"/>
      <c r="Q847" s="8"/>
      <c r="R847" s="8"/>
      <c r="S847" s="8"/>
      <c r="T847" s="8"/>
      <c r="U847" s="8"/>
      <c r="V847" s="8"/>
      <c r="W847" s="8"/>
      <c r="X847" s="8"/>
      <c r="Y847" s="8"/>
      <c r="Z847" s="8"/>
    </row>
    <row r="848" spans="1:26" ht="15.75" customHeight="1" x14ac:dyDescent="0.25">
      <c r="A848" s="8"/>
      <c r="B848" s="8"/>
      <c r="C848" s="8"/>
      <c r="D848" s="8"/>
      <c r="E848" s="8"/>
      <c r="F848" s="8"/>
      <c r="G848" s="8"/>
      <c r="H848" s="8"/>
      <c r="I848" s="8"/>
      <c r="J848" s="8"/>
      <c r="K848" s="8"/>
      <c r="L848" s="8"/>
      <c r="M848" s="8"/>
      <c r="N848" s="8"/>
      <c r="O848" s="8"/>
      <c r="P848" s="8"/>
      <c r="Q848" s="8"/>
      <c r="R848" s="8"/>
      <c r="S848" s="8"/>
      <c r="T848" s="8"/>
      <c r="U848" s="8"/>
      <c r="V848" s="8"/>
      <c r="W848" s="8"/>
      <c r="X848" s="8"/>
      <c r="Y848" s="8"/>
      <c r="Z848" s="8"/>
    </row>
    <row r="849" spans="1:26" ht="15.75" customHeight="1" x14ac:dyDescent="0.25">
      <c r="A849" s="8"/>
      <c r="B849" s="8"/>
      <c r="C849" s="8"/>
      <c r="D849" s="8"/>
      <c r="E849" s="8"/>
      <c r="F849" s="8"/>
      <c r="G849" s="8"/>
      <c r="H849" s="8"/>
      <c r="I849" s="8"/>
      <c r="J849" s="8"/>
      <c r="K849" s="8"/>
      <c r="L849" s="8"/>
      <c r="M849" s="8"/>
      <c r="N849" s="8"/>
      <c r="O849" s="8"/>
      <c r="P849" s="8"/>
      <c r="Q849" s="8"/>
      <c r="R849" s="8"/>
      <c r="S849" s="8"/>
      <c r="T849" s="8"/>
      <c r="U849" s="8"/>
      <c r="V849" s="8"/>
      <c r="W849" s="8"/>
      <c r="X849" s="8"/>
      <c r="Y849" s="8"/>
      <c r="Z849" s="8"/>
    </row>
    <row r="850" spans="1:26" ht="15.75" customHeight="1" x14ac:dyDescent="0.25">
      <c r="A850" s="8"/>
      <c r="B850" s="8"/>
      <c r="C850" s="8"/>
      <c r="D850" s="8"/>
      <c r="E850" s="8"/>
      <c r="F850" s="8"/>
      <c r="G850" s="8"/>
      <c r="H850" s="8"/>
      <c r="I850" s="8"/>
      <c r="J850" s="8"/>
      <c r="K850" s="8"/>
      <c r="L850" s="8"/>
      <c r="M850" s="8"/>
      <c r="N850" s="8"/>
      <c r="O850" s="8"/>
      <c r="P850" s="8"/>
      <c r="Q850" s="8"/>
      <c r="R850" s="8"/>
      <c r="S850" s="8"/>
      <c r="T850" s="8"/>
      <c r="U850" s="8"/>
      <c r="V850" s="8"/>
      <c r="W850" s="8"/>
      <c r="X850" s="8"/>
      <c r="Y850" s="8"/>
      <c r="Z850" s="8"/>
    </row>
    <row r="851" spans="1:26" ht="15.75" customHeight="1" x14ac:dyDescent="0.25">
      <c r="A851" s="8"/>
      <c r="B851" s="8"/>
      <c r="C851" s="8"/>
      <c r="D851" s="8"/>
      <c r="E851" s="8"/>
      <c r="F851" s="8"/>
      <c r="G851" s="8"/>
      <c r="H851" s="8"/>
      <c r="I851" s="8"/>
      <c r="J851" s="8"/>
      <c r="K851" s="8"/>
      <c r="L851" s="8"/>
      <c r="M851" s="8"/>
      <c r="N851" s="8"/>
      <c r="O851" s="8"/>
      <c r="P851" s="8"/>
      <c r="Q851" s="8"/>
      <c r="R851" s="8"/>
      <c r="S851" s="8"/>
      <c r="T851" s="8"/>
      <c r="U851" s="8"/>
      <c r="V851" s="8"/>
      <c r="W851" s="8"/>
      <c r="X851" s="8"/>
      <c r="Y851" s="8"/>
      <c r="Z851" s="8"/>
    </row>
    <row r="852" spans="1:26" ht="15.75" customHeight="1" x14ac:dyDescent="0.25">
      <c r="A852" s="8"/>
      <c r="B852" s="8"/>
      <c r="C852" s="8"/>
      <c r="D852" s="8"/>
      <c r="E852" s="8"/>
      <c r="F852" s="8"/>
      <c r="G852" s="8"/>
      <c r="H852" s="8"/>
      <c r="I852" s="8"/>
      <c r="J852" s="8"/>
      <c r="K852" s="8"/>
      <c r="L852" s="8"/>
      <c r="M852" s="8"/>
      <c r="N852" s="8"/>
      <c r="O852" s="8"/>
      <c r="P852" s="8"/>
      <c r="Q852" s="8"/>
      <c r="R852" s="8"/>
      <c r="S852" s="8"/>
      <c r="T852" s="8"/>
      <c r="U852" s="8"/>
      <c r="V852" s="8"/>
      <c r="W852" s="8"/>
      <c r="X852" s="8"/>
      <c r="Y852" s="8"/>
      <c r="Z852" s="8"/>
    </row>
    <row r="853" spans="1:26" ht="15.75" customHeight="1" x14ac:dyDescent="0.25">
      <c r="A853" s="8"/>
      <c r="B853" s="8"/>
      <c r="C853" s="8"/>
      <c r="D853" s="8"/>
      <c r="E853" s="8"/>
      <c r="F853" s="8"/>
      <c r="G853" s="8"/>
      <c r="H853" s="8"/>
      <c r="I853" s="8"/>
      <c r="J853" s="8"/>
      <c r="K853" s="8"/>
      <c r="L853" s="8"/>
      <c r="M853" s="8"/>
      <c r="N853" s="8"/>
      <c r="O853" s="8"/>
      <c r="P853" s="8"/>
      <c r="Q853" s="8"/>
      <c r="R853" s="8"/>
      <c r="S853" s="8"/>
      <c r="T853" s="8"/>
      <c r="U853" s="8"/>
      <c r="V853" s="8"/>
      <c r="W853" s="8"/>
      <c r="X853" s="8"/>
      <c r="Y853" s="8"/>
      <c r="Z853" s="8"/>
    </row>
    <row r="854" spans="1:26" ht="15.75" customHeight="1" x14ac:dyDescent="0.25">
      <c r="A854" s="8"/>
      <c r="B854" s="8"/>
      <c r="C854" s="8"/>
      <c r="D854" s="8"/>
      <c r="E854" s="8"/>
      <c r="F854" s="8"/>
      <c r="G854" s="8"/>
      <c r="H854" s="8"/>
      <c r="I854" s="8"/>
      <c r="J854" s="8"/>
      <c r="K854" s="8"/>
      <c r="L854" s="8"/>
      <c r="M854" s="8"/>
      <c r="N854" s="8"/>
      <c r="O854" s="8"/>
      <c r="P854" s="8"/>
      <c r="Q854" s="8"/>
      <c r="R854" s="8"/>
      <c r="S854" s="8"/>
      <c r="T854" s="8"/>
      <c r="U854" s="8"/>
      <c r="V854" s="8"/>
      <c r="W854" s="8"/>
      <c r="X854" s="8"/>
      <c r="Y854" s="8"/>
      <c r="Z854" s="8"/>
    </row>
    <row r="855" spans="1:26" ht="15.75" customHeight="1" x14ac:dyDescent="0.25">
      <c r="A855" s="8"/>
      <c r="B855" s="8"/>
      <c r="C855" s="8"/>
      <c r="D855" s="8"/>
      <c r="E855" s="8"/>
      <c r="F855" s="8"/>
      <c r="G855" s="8"/>
      <c r="H855" s="8"/>
      <c r="I855" s="8"/>
      <c r="J855" s="8"/>
      <c r="K855" s="8"/>
      <c r="L855" s="8"/>
      <c r="M855" s="8"/>
      <c r="N855" s="8"/>
      <c r="O855" s="8"/>
      <c r="P855" s="8"/>
      <c r="Q855" s="8"/>
      <c r="R855" s="8"/>
      <c r="S855" s="8"/>
      <c r="T855" s="8"/>
      <c r="U855" s="8"/>
      <c r="V855" s="8"/>
      <c r="W855" s="8"/>
      <c r="X855" s="8"/>
      <c r="Y855" s="8"/>
      <c r="Z855" s="8"/>
    </row>
    <row r="856" spans="1:26" ht="15.75" customHeight="1" x14ac:dyDescent="0.25">
      <c r="A856" s="8"/>
      <c r="B856" s="8"/>
      <c r="C856" s="8"/>
      <c r="D856" s="8"/>
      <c r="E856" s="8"/>
      <c r="F856" s="8"/>
      <c r="G856" s="8"/>
      <c r="H856" s="8"/>
      <c r="I856" s="8"/>
      <c r="J856" s="8"/>
      <c r="K856" s="8"/>
      <c r="L856" s="8"/>
      <c r="M856" s="8"/>
      <c r="N856" s="8"/>
      <c r="O856" s="8"/>
      <c r="P856" s="8"/>
      <c r="Q856" s="8"/>
      <c r="R856" s="8"/>
      <c r="S856" s="8"/>
      <c r="T856" s="8"/>
      <c r="U856" s="8"/>
      <c r="V856" s="8"/>
      <c r="W856" s="8"/>
      <c r="X856" s="8"/>
      <c r="Y856" s="8"/>
      <c r="Z856" s="8"/>
    </row>
    <row r="857" spans="1:26" ht="15.75" customHeight="1" x14ac:dyDescent="0.25">
      <c r="A857" s="8"/>
      <c r="B857" s="8"/>
      <c r="C857" s="8"/>
      <c r="D857" s="8"/>
      <c r="E857" s="8"/>
      <c r="F857" s="8"/>
      <c r="G857" s="8"/>
      <c r="H857" s="8"/>
      <c r="I857" s="8"/>
      <c r="J857" s="8"/>
      <c r="K857" s="8"/>
      <c r="L857" s="8"/>
      <c r="M857" s="8"/>
      <c r="N857" s="8"/>
      <c r="O857" s="8"/>
      <c r="P857" s="8"/>
      <c r="Q857" s="8"/>
      <c r="R857" s="8"/>
      <c r="S857" s="8"/>
      <c r="T857" s="8"/>
      <c r="U857" s="8"/>
      <c r="V857" s="8"/>
      <c r="W857" s="8"/>
      <c r="X857" s="8"/>
      <c r="Y857" s="8"/>
      <c r="Z857" s="8"/>
    </row>
    <row r="858" spans="1:26" ht="15.75" customHeight="1" x14ac:dyDescent="0.25">
      <c r="A858" s="8"/>
      <c r="B858" s="8"/>
      <c r="C858" s="8"/>
      <c r="D858" s="8"/>
      <c r="E858" s="8"/>
      <c r="F858" s="8"/>
      <c r="G858" s="8"/>
      <c r="H858" s="8"/>
      <c r="I858" s="8"/>
      <c r="J858" s="8"/>
      <c r="K858" s="8"/>
      <c r="L858" s="8"/>
      <c r="M858" s="8"/>
      <c r="N858" s="8"/>
      <c r="O858" s="8"/>
      <c r="P858" s="8"/>
      <c r="Q858" s="8"/>
      <c r="R858" s="8"/>
      <c r="S858" s="8"/>
      <c r="T858" s="8"/>
      <c r="U858" s="8"/>
      <c r="V858" s="8"/>
      <c r="W858" s="8"/>
      <c r="X858" s="8"/>
      <c r="Y858" s="8"/>
      <c r="Z858" s="8"/>
    </row>
    <row r="859" spans="1:26" ht="15.75" customHeight="1" x14ac:dyDescent="0.25">
      <c r="A859" s="8"/>
      <c r="B859" s="8"/>
      <c r="C859" s="8"/>
      <c r="D859" s="8"/>
      <c r="E859" s="8"/>
      <c r="F859" s="8"/>
      <c r="G859" s="8"/>
      <c r="H859" s="8"/>
      <c r="I859" s="8"/>
      <c r="J859" s="8"/>
      <c r="K859" s="8"/>
      <c r="L859" s="8"/>
      <c r="M859" s="8"/>
      <c r="N859" s="8"/>
      <c r="O859" s="8"/>
      <c r="P859" s="8"/>
      <c r="Q859" s="8"/>
      <c r="R859" s="8"/>
      <c r="S859" s="8"/>
      <c r="T859" s="8"/>
      <c r="U859" s="8"/>
      <c r="V859" s="8"/>
      <c r="W859" s="8"/>
      <c r="X859" s="8"/>
      <c r="Y859" s="8"/>
      <c r="Z859" s="8"/>
    </row>
    <row r="860" spans="1:26" ht="15.75" customHeight="1" x14ac:dyDescent="0.25">
      <c r="A860" s="8"/>
      <c r="B860" s="8"/>
      <c r="C860" s="8"/>
      <c r="D860" s="8"/>
      <c r="E860" s="8"/>
      <c r="F860" s="8"/>
      <c r="G860" s="8"/>
      <c r="H860" s="8"/>
      <c r="I860" s="8"/>
      <c r="J860" s="8"/>
      <c r="K860" s="8"/>
      <c r="L860" s="8"/>
      <c r="M860" s="8"/>
      <c r="N860" s="8"/>
      <c r="O860" s="8"/>
      <c r="P860" s="8"/>
      <c r="Q860" s="8"/>
      <c r="R860" s="8"/>
      <c r="S860" s="8"/>
      <c r="T860" s="8"/>
      <c r="U860" s="8"/>
      <c r="V860" s="8"/>
      <c r="W860" s="8"/>
      <c r="X860" s="8"/>
      <c r="Y860" s="8"/>
      <c r="Z860" s="8"/>
    </row>
    <row r="861" spans="1:26" ht="15.75" customHeight="1" x14ac:dyDescent="0.25">
      <c r="A861" s="8"/>
      <c r="B861" s="8"/>
      <c r="C861" s="8"/>
      <c r="D861" s="8"/>
      <c r="E861" s="8"/>
      <c r="F861" s="8"/>
      <c r="G861" s="8"/>
      <c r="H861" s="8"/>
      <c r="I861" s="8"/>
      <c r="J861" s="8"/>
      <c r="K861" s="8"/>
      <c r="L861" s="8"/>
      <c r="M861" s="8"/>
      <c r="N861" s="8"/>
      <c r="O861" s="8"/>
      <c r="P861" s="8"/>
      <c r="Q861" s="8"/>
      <c r="R861" s="8"/>
      <c r="S861" s="8"/>
      <c r="T861" s="8"/>
      <c r="U861" s="8"/>
      <c r="V861" s="8"/>
      <c r="W861" s="8"/>
      <c r="X861" s="8"/>
      <c r="Y861" s="8"/>
      <c r="Z861" s="8"/>
    </row>
    <row r="862" spans="1:26" ht="15.75" customHeight="1" x14ac:dyDescent="0.25">
      <c r="A862" s="8"/>
      <c r="B862" s="8"/>
      <c r="C862" s="8"/>
      <c r="D862" s="8"/>
      <c r="E862" s="8"/>
      <c r="F862" s="8"/>
      <c r="G862" s="8"/>
      <c r="H862" s="8"/>
      <c r="I862" s="8"/>
      <c r="J862" s="8"/>
      <c r="K862" s="8"/>
      <c r="L862" s="8"/>
      <c r="M862" s="8"/>
      <c r="N862" s="8"/>
      <c r="O862" s="8"/>
      <c r="P862" s="8"/>
      <c r="Q862" s="8"/>
      <c r="R862" s="8"/>
      <c r="S862" s="8"/>
      <c r="T862" s="8"/>
      <c r="U862" s="8"/>
      <c r="V862" s="8"/>
      <c r="W862" s="8"/>
      <c r="X862" s="8"/>
      <c r="Y862" s="8"/>
      <c r="Z862" s="8"/>
    </row>
    <row r="863" spans="1:26" ht="15.75" customHeight="1" x14ac:dyDescent="0.25">
      <c r="A863" s="8"/>
      <c r="B863" s="8"/>
      <c r="C863" s="8"/>
      <c r="D863" s="8"/>
      <c r="E863" s="8"/>
      <c r="F863" s="8"/>
      <c r="G863" s="8"/>
      <c r="H863" s="8"/>
      <c r="I863" s="8"/>
      <c r="J863" s="8"/>
      <c r="K863" s="8"/>
      <c r="L863" s="8"/>
      <c r="M863" s="8"/>
      <c r="N863" s="8"/>
      <c r="O863" s="8"/>
      <c r="P863" s="8"/>
      <c r="Q863" s="8"/>
      <c r="R863" s="8"/>
      <c r="S863" s="8"/>
      <c r="T863" s="8"/>
      <c r="U863" s="8"/>
      <c r="V863" s="8"/>
      <c r="W863" s="8"/>
      <c r="X863" s="8"/>
      <c r="Y863" s="8"/>
      <c r="Z863" s="8"/>
    </row>
    <row r="864" spans="1:26" ht="15.75" customHeight="1" x14ac:dyDescent="0.25">
      <c r="A864" s="8"/>
      <c r="B864" s="8"/>
      <c r="C864" s="8"/>
      <c r="D864" s="8"/>
      <c r="E864" s="8"/>
      <c r="F864" s="8"/>
      <c r="G864" s="8"/>
      <c r="H864" s="8"/>
      <c r="I864" s="8"/>
      <c r="J864" s="8"/>
      <c r="K864" s="8"/>
      <c r="L864" s="8"/>
      <c r="M864" s="8"/>
      <c r="N864" s="8"/>
      <c r="O864" s="8"/>
      <c r="P864" s="8"/>
      <c r="Q864" s="8"/>
      <c r="R864" s="8"/>
      <c r="S864" s="8"/>
      <c r="T864" s="8"/>
      <c r="U864" s="8"/>
      <c r="V864" s="8"/>
      <c r="W864" s="8"/>
      <c r="X864" s="8"/>
      <c r="Y864" s="8"/>
      <c r="Z864" s="8"/>
    </row>
    <row r="865" spans="1:26" ht="15.75" customHeight="1" x14ac:dyDescent="0.25">
      <c r="A865" s="8"/>
      <c r="B865" s="8"/>
      <c r="C865" s="8"/>
      <c r="D865" s="8"/>
      <c r="E865" s="8"/>
      <c r="F865" s="8"/>
      <c r="G865" s="8"/>
      <c r="H865" s="8"/>
      <c r="I865" s="8"/>
      <c r="J865" s="8"/>
      <c r="K865" s="8"/>
      <c r="L865" s="8"/>
      <c r="M865" s="8"/>
      <c r="N865" s="8"/>
      <c r="O865" s="8"/>
      <c r="P865" s="8"/>
      <c r="Q865" s="8"/>
      <c r="R865" s="8"/>
      <c r="S865" s="8"/>
      <c r="T865" s="8"/>
      <c r="U865" s="8"/>
      <c r="V865" s="8"/>
      <c r="W865" s="8"/>
      <c r="X865" s="8"/>
      <c r="Y865" s="8"/>
      <c r="Z865" s="8"/>
    </row>
    <row r="866" spans="1:26" ht="15.75" customHeight="1" x14ac:dyDescent="0.25">
      <c r="A866" s="8"/>
      <c r="B866" s="8"/>
      <c r="C866" s="8"/>
      <c r="D866" s="8"/>
      <c r="E866" s="8"/>
      <c r="F866" s="8"/>
      <c r="G866" s="8"/>
      <c r="H866" s="8"/>
      <c r="I866" s="8"/>
      <c r="J866" s="8"/>
      <c r="K866" s="8"/>
      <c r="L866" s="8"/>
      <c r="M866" s="8"/>
      <c r="N866" s="8"/>
      <c r="O866" s="8"/>
      <c r="P866" s="8"/>
      <c r="Q866" s="8"/>
      <c r="R866" s="8"/>
      <c r="S866" s="8"/>
      <c r="T866" s="8"/>
      <c r="U866" s="8"/>
      <c r="V866" s="8"/>
      <c r="W866" s="8"/>
      <c r="X866" s="8"/>
      <c r="Y866" s="8"/>
      <c r="Z866" s="8"/>
    </row>
    <row r="867" spans="1:26" ht="15.75" customHeight="1" x14ac:dyDescent="0.25">
      <c r="A867" s="8"/>
      <c r="B867" s="8"/>
      <c r="C867" s="8"/>
      <c r="D867" s="8"/>
      <c r="E867" s="8"/>
      <c r="F867" s="8"/>
      <c r="G867" s="8"/>
      <c r="H867" s="8"/>
      <c r="I867" s="8"/>
      <c r="J867" s="8"/>
      <c r="K867" s="8"/>
      <c r="L867" s="8"/>
      <c r="M867" s="8"/>
      <c r="N867" s="8"/>
      <c r="O867" s="8"/>
      <c r="P867" s="8"/>
      <c r="Q867" s="8"/>
      <c r="R867" s="8"/>
      <c r="S867" s="8"/>
      <c r="T867" s="8"/>
      <c r="U867" s="8"/>
      <c r="V867" s="8"/>
      <c r="W867" s="8"/>
      <c r="X867" s="8"/>
      <c r="Y867" s="8"/>
      <c r="Z867" s="8"/>
    </row>
    <row r="868" spans="1:26" ht="15.75" customHeight="1" x14ac:dyDescent="0.25">
      <c r="A868" s="8"/>
      <c r="B868" s="8"/>
      <c r="C868" s="8"/>
      <c r="D868" s="8"/>
      <c r="E868" s="8"/>
      <c r="F868" s="8"/>
      <c r="G868" s="8"/>
      <c r="H868" s="8"/>
      <c r="I868" s="8"/>
      <c r="J868" s="8"/>
      <c r="K868" s="8"/>
      <c r="L868" s="8"/>
      <c r="M868" s="8"/>
      <c r="N868" s="8"/>
      <c r="O868" s="8"/>
      <c r="P868" s="8"/>
      <c r="Q868" s="8"/>
      <c r="R868" s="8"/>
      <c r="S868" s="8"/>
      <c r="T868" s="8"/>
      <c r="U868" s="8"/>
      <c r="V868" s="8"/>
      <c r="W868" s="8"/>
      <c r="X868" s="8"/>
      <c r="Y868" s="8"/>
      <c r="Z868" s="8"/>
    </row>
    <row r="869" spans="1:26" ht="15.75" customHeight="1" x14ac:dyDescent="0.25">
      <c r="A869" s="8"/>
      <c r="B869" s="8"/>
      <c r="C869" s="8"/>
      <c r="D869" s="8"/>
      <c r="E869" s="8"/>
      <c r="F869" s="8"/>
      <c r="G869" s="8"/>
      <c r="H869" s="8"/>
      <c r="I869" s="8"/>
      <c r="J869" s="8"/>
      <c r="K869" s="8"/>
      <c r="L869" s="8"/>
      <c r="M869" s="8"/>
      <c r="N869" s="8"/>
      <c r="O869" s="8"/>
      <c r="P869" s="8"/>
      <c r="Q869" s="8"/>
      <c r="R869" s="8"/>
      <c r="S869" s="8"/>
      <c r="T869" s="8"/>
      <c r="U869" s="8"/>
      <c r="V869" s="8"/>
      <c r="W869" s="8"/>
      <c r="X869" s="8"/>
      <c r="Y869" s="8"/>
      <c r="Z869" s="8"/>
    </row>
    <row r="870" spans="1:26" ht="15.75" customHeight="1" x14ac:dyDescent="0.25">
      <c r="A870" s="8"/>
      <c r="B870" s="8"/>
      <c r="C870" s="8"/>
      <c r="D870" s="8"/>
      <c r="E870" s="8"/>
      <c r="F870" s="8"/>
      <c r="G870" s="8"/>
      <c r="H870" s="8"/>
      <c r="I870" s="8"/>
      <c r="J870" s="8"/>
      <c r="K870" s="8"/>
      <c r="L870" s="8"/>
      <c r="M870" s="8"/>
      <c r="N870" s="8"/>
      <c r="O870" s="8"/>
      <c r="P870" s="8"/>
      <c r="Q870" s="8"/>
      <c r="R870" s="8"/>
      <c r="S870" s="8"/>
      <c r="T870" s="8"/>
      <c r="U870" s="8"/>
      <c r="V870" s="8"/>
      <c r="W870" s="8"/>
      <c r="X870" s="8"/>
      <c r="Y870" s="8"/>
      <c r="Z870" s="8"/>
    </row>
    <row r="871" spans="1:26" ht="15.75" customHeight="1" x14ac:dyDescent="0.25">
      <c r="A871" s="8"/>
      <c r="B871" s="8"/>
      <c r="C871" s="8"/>
      <c r="D871" s="8"/>
      <c r="E871" s="8"/>
      <c r="F871" s="8"/>
      <c r="G871" s="8"/>
      <c r="H871" s="8"/>
      <c r="I871" s="8"/>
      <c r="J871" s="8"/>
      <c r="K871" s="8"/>
      <c r="L871" s="8"/>
      <c r="M871" s="8"/>
      <c r="N871" s="8"/>
      <c r="O871" s="8"/>
      <c r="P871" s="8"/>
      <c r="Q871" s="8"/>
      <c r="R871" s="8"/>
      <c r="S871" s="8"/>
      <c r="T871" s="8"/>
      <c r="U871" s="8"/>
      <c r="V871" s="8"/>
      <c r="W871" s="8"/>
      <c r="X871" s="8"/>
      <c r="Y871" s="8"/>
      <c r="Z871" s="8"/>
    </row>
    <row r="872" spans="1:26" ht="15.75" customHeight="1" x14ac:dyDescent="0.25">
      <c r="A872" s="8"/>
      <c r="B872" s="8"/>
      <c r="C872" s="8"/>
      <c r="D872" s="8"/>
      <c r="E872" s="8"/>
      <c r="F872" s="8"/>
      <c r="G872" s="8"/>
      <c r="H872" s="8"/>
      <c r="I872" s="8"/>
      <c r="J872" s="8"/>
      <c r="K872" s="8"/>
      <c r="L872" s="8"/>
      <c r="M872" s="8"/>
      <c r="N872" s="8"/>
      <c r="O872" s="8"/>
      <c r="P872" s="8"/>
      <c r="Q872" s="8"/>
      <c r="R872" s="8"/>
      <c r="S872" s="8"/>
      <c r="T872" s="8"/>
      <c r="U872" s="8"/>
      <c r="V872" s="8"/>
      <c r="W872" s="8"/>
      <c r="X872" s="8"/>
      <c r="Y872" s="8"/>
      <c r="Z872" s="8"/>
    </row>
    <row r="873" spans="1:26" ht="15.75" customHeight="1" x14ac:dyDescent="0.25">
      <c r="A873" s="8"/>
      <c r="B873" s="8"/>
      <c r="C873" s="8"/>
      <c r="D873" s="8"/>
      <c r="E873" s="8"/>
      <c r="F873" s="8"/>
      <c r="G873" s="8"/>
      <c r="H873" s="8"/>
      <c r="I873" s="8"/>
      <c r="J873" s="8"/>
      <c r="K873" s="8"/>
      <c r="L873" s="8"/>
      <c r="M873" s="8"/>
      <c r="N873" s="8"/>
      <c r="O873" s="8"/>
      <c r="P873" s="8"/>
      <c r="Q873" s="8"/>
      <c r="R873" s="8"/>
      <c r="S873" s="8"/>
      <c r="T873" s="8"/>
      <c r="U873" s="8"/>
      <c r="V873" s="8"/>
      <c r="W873" s="8"/>
      <c r="X873" s="8"/>
      <c r="Y873" s="8"/>
      <c r="Z873" s="8"/>
    </row>
    <row r="874" spans="1:26" ht="15.75" customHeight="1" x14ac:dyDescent="0.25">
      <c r="A874" s="8"/>
      <c r="B874" s="8"/>
      <c r="C874" s="8"/>
      <c r="D874" s="8"/>
      <c r="E874" s="8"/>
      <c r="F874" s="8"/>
      <c r="G874" s="8"/>
      <c r="H874" s="8"/>
      <c r="I874" s="8"/>
      <c r="J874" s="8"/>
      <c r="K874" s="8"/>
      <c r="L874" s="8"/>
      <c r="M874" s="8"/>
      <c r="N874" s="8"/>
      <c r="O874" s="8"/>
      <c r="P874" s="8"/>
      <c r="Q874" s="8"/>
      <c r="R874" s="8"/>
      <c r="S874" s="8"/>
      <c r="T874" s="8"/>
      <c r="U874" s="8"/>
      <c r="V874" s="8"/>
      <c r="W874" s="8"/>
      <c r="X874" s="8"/>
      <c r="Y874" s="8"/>
      <c r="Z874" s="8"/>
    </row>
    <row r="875" spans="1:26" ht="15.75" customHeight="1" x14ac:dyDescent="0.25">
      <c r="A875" s="8"/>
      <c r="B875" s="8"/>
      <c r="C875" s="8"/>
      <c r="D875" s="8"/>
      <c r="E875" s="8"/>
      <c r="F875" s="8"/>
      <c r="G875" s="8"/>
      <c r="H875" s="8"/>
      <c r="I875" s="8"/>
      <c r="J875" s="8"/>
      <c r="K875" s="8"/>
      <c r="L875" s="8"/>
      <c r="M875" s="8"/>
      <c r="N875" s="8"/>
      <c r="O875" s="8"/>
      <c r="P875" s="8"/>
      <c r="Q875" s="8"/>
      <c r="R875" s="8"/>
      <c r="S875" s="8"/>
      <c r="T875" s="8"/>
      <c r="U875" s="8"/>
      <c r="V875" s="8"/>
      <c r="W875" s="8"/>
      <c r="X875" s="8"/>
      <c r="Y875" s="8"/>
      <c r="Z875" s="8"/>
    </row>
    <row r="876" spans="1:26" ht="15.75" customHeight="1" x14ac:dyDescent="0.25">
      <c r="A876" s="8"/>
      <c r="B876" s="8"/>
      <c r="C876" s="8"/>
      <c r="D876" s="8"/>
      <c r="E876" s="8"/>
      <c r="F876" s="8"/>
      <c r="G876" s="8"/>
      <c r="H876" s="8"/>
      <c r="I876" s="8"/>
      <c r="J876" s="8"/>
      <c r="K876" s="8"/>
      <c r="L876" s="8"/>
      <c r="M876" s="8"/>
      <c r="N876" s="8"/>
      <c r="O876" s="8"/>
      <c r="P876" s="8"/>
      <c r="Q876" s="8"/>
      <c r="R876" s="8"/>
      <c r="S876" s="8"/>
      <c r="T876" s="8"/>
      <c r="U876" s="8"/>
      <c r="V876" s="8"/>
      <c r="W876" s="8"/>
      <c r="X876" s="8"/>
      <c r="Y876" s="8"/>
      <c r="Z876" s="8"/>
    </row>
    <row r="877" spans="1:26" ht="15.75" customHeight="1" x14ac:dyDescent="0.25">
      <c r="A877" s="8"/>
      <c r="B877" s="8"/>
      <c r="C877" s="8"/>
      <c r="D877" s="8"/>
      <c r="E877" s="8"/>
      <c r="F877" s="8"/>
      <c r="G877" s="8"/>
      <c r="H877" s="8"/>
      <c r="I877" s="8"/>
      <c r="J877" s="8"/>
      <c r="K877" s="8"/>
      <c r="L877" s="8"/>
      <c r="M877" s="8"/>
      <c r="N877" s="8"/>
      <c r="O877" s="8"/>
      <c r="P877" s="8"/>
      <c r="Q877" s="8"/>
      <c r="R877" s="8"/>
      <c r="S877" s="8"/>
      <c r="T877" s="8"/>
      <c r="U877" s="8"/>
      <c r="V877" s="8"/>
      <c r="W877" s="8"/>
      <c r="X877" s="8"/>
      <c r="Y877" s="8"/>
      <c r="Z877" s="8"/>
    </row>
    <row r="878" spans="1:26" ht="15.75" customHeight="1" x14ac:dyDescent="0.25">
      <c r="A878" s="8"/>
      <c r="B878" s="8"/>
      <c r="C878" s="8"/>
      <c r="D878" s="8"/>
      <c r="E878" s="8"/>
      <c r="F878" s="8"/>
      <c r="G878" s="8"/>
      <c r="H878" s="8"/>
      <c r="I878" s="8"/>
      <c r="J878" s="8"/>
      <c r="K878" s="8"/>
      <c r="L878" s="8"/>
      <c r="M878" s="8"/>
      <c r="N878" s="8"/>
      <c r="O878" s="8"/>
      <c r="P878" s="8"/>
      <c r="Q878" s="8"/>
      <c r="R878" s="8"/>
      <c r="S878" s="8"/>
      <c r="T878" s="8"/>
      <c r="U878" s="8"/>
      <c r="V878" s="8"/>
      <c r="W878" s="8"/>
      <c r="X878" s="8"/>
      <c r="Y878" s="8"/>
      <c r="Z878" s="8"/>
    </row>
    <row r="879" spans="1:26" ht="15.75" customHeight="1" x14ac:dyDescent="0.25">
      <c r="A879" s="8"/>
      <c r="B879" s="8"/>
      <c r="C879" s="8"/>
      <c r="D879" s="8"/>
      <c r="E879" s="8"/>
      <c r="F879" s="8"/>
      <c r="G879" s="8"/>
      <c r="H879" s="8"/>
      <c r="I879" s="8"/>
      <c r="J879" s="8"/>
      <c r="K879" s="8"/>
      <c r="L879" s="8"/>
      <c r="M879" s="8"/>
      <c r="N879" s="8"/>
      <c r="O879" s="8"/>
      <c r="P879" s="8"/>
      <c r="Q879" s="8"/>
      <c r="R879" s="8"/>
      <c r="S879" s="8"/>
      <c r="T879" s="8"/>
      <c r="U879" s="8"/>
      <c r="V879" s="8"/>
      <c r="W879" s="8"/>
      <c r="X879" s="8"/>
      <c r="Y879" s="8"/>
      <c r="Z879" s="8"/>
    </row>
    <row r="880" spans="1:26" ht="15.75" customHeight="1" x14ac:dyDescent="0.25">
      <c r="A880" s="8"/>
      <c r="B880" s="8"/>
      <c r="C880" s="8"/>
      <c r="D880" s="8"/>
      <c r="E880" s="8"/>
      <c r="F880" s="8"/>
      <c r="G880" s="8"/>
      <c r="H880" s="8"/>
      <c r="I880" s="8"/>
      <c r="J880" s="8"/>
      <c r="K880" s="8"/>
      <c r="L880" s="8"/>
      <c r="M880" s="8"/>
      <c r="N880" s="8"/>
      <c r="O880" s="8"/>
      <c r="P880" s="8"/>
      <c r="Q880" s="8"/>
      <c r="R880" s="8"/>
      <c r="S880" s="8"/>
      <c r="T880" s="8"/>
      <c r="U880" s="8"/>
      <c r="V880" s="8"/>
      <c r="W880" s="8"/>
      <c r="X880" s="8"/>
      <c r="Y880" s="8"/>
      <c r="Z880" s="8"/>
    </row>
    <row r="881" spans="1:26" ht="15.75" customHeight="1" x14ac:dyDescent="0.25">
      <c r="A881" s="8"/>
      <c r="B881" s="8"/>
      <c r="C881" s="8"/>
      <c r="D881" s="8"/>
      <c r="E881" s="8"/>
      <c r="F881" s="8"/>
      <c r="G881" s="8"/>
      <c r="H881" s="8"/>
      <c r="I881" s="8"/>
      <c r="J881" s="8"/>
      <c r="K881" s="8"/>
      <c r="L881" s="8"/>
      <c r="M881" s="8"/>
      <c r="N881" s="8"/>
      <c r="O881" s="8"/>
      <c r="P881" s="8"/>
      <c r="Q881" s="8"/>
      <c r="R881" s="8"/>
      <c r="S881" s="8"/>
      <c r="T881" s="8"/>
      <c r="U881" s="8"/>
      <c r="V881" s="8"/>
      <c r="W881" s="8"/>
      <c r="X881" s="8"/>
      <c r="Y881" s="8"/>
      <c r="Z881" s="8"/>
    </row>
    <row r="882" spans="1:26" ht="15.75" customHeight="1" x14ac:dyDescent="0.25">
      <c r="A882" s="8"/>
      <c r="B882" s="8"/>
      <c r="C882" s="8"/>
      <c r="D882" s="8"/>
      <c r="E882" s="8"/>
      <c r="F882" s="8"/>
      <c r="G882" s="8"/>
      <c r="H882" s="8"/>
      <c r="I882" s="8"/>
      <c r="J882" s="8"/>
      <c r="K882" s="8"/>
      <c r="L882" s="8"/>
      <c r="M882" s="8"/>
      <c r="N882" s="8"/>
      <c r="O882" s="8"/>
      <c r="P882" s="8"/>
      <c r="Q882" s="8"/>
      <c r="R882" s="8"/>
      <c r="S882" s="8"/>
      <c r="T882" s="8"/>
      <c r="U882" s="8"/>
      <c r="V882" s="8"/>
      <c r="W882" s="8"/>
      <c r="X882" s="8"/>
      <c r="Y882" s="8"/>
      <c r="Z882" s="8"/>
    </row>
    <row r="883" spans="1:26" ht="15.75" customHeight="1" x14ac:dyDescent="0.25">
      <c r="A883" s="8"/>
      <c r="B883" s="8"/>
      <c r="C883" s="8"/>
      <c r="D883" s="8"/>
      <c r="E883" s="8"/>
      <c r="F883" s="8"/>
      <c r="G883" s="8"/>
      <c r="H883" s="8"/>
      <c r="I883" s="8"/>
      <c r="J883" s="8"/>
      <c r="K883" s="8"/>
      <c r="L883" s="8"/>
      <c r="M883" s="8"/>
      <c r="N883" s="8"/>
      <c r="O883" s="8"/>
      <c r="P883" s="8"/>
      <c r="Q883" s="8"/>
      <c r="R883" s="8"/>
      <c r="S883" s="8"/>
      <c r="T883" s="8"/>
      <c r="U883" s="8"/>
      <c r="V883" s="8"/>
      <c r="W883" s="8"/>
      <c r="X883" s="8"/>
      <c r="Y883" s="8"/>
      <c r="Z883" s="8"/>
    </row>
    <row r="884" spans="1:26" ht="15.75" customHeight="1" x14ac:dyDescent="0.25">
      <c r="A884" s="8"/>
      <c r="B884" s="8"/>
      <c r="C884" s="8"/>
      <c r="D884" s="8"/>
      <c r="E884" s="8"/>
      <c r="F884" s="8"/>
      <c r="G884" s="8"/>
      <c r="H884" s="8"/>
      <c r="I884" s="8"/>
      <c r="J884" s="8"/>
      <c r="K884" s="8"/>
      <c r="L884" s="8"/>
      <c r="M884" s="8"/>
      <c r="N884" s="8"/>
      <c r="O884" s="8"/>
      <c r="P884" s="8"/>
      <c r="Q884" s="8"/>
      <c r="R884" s="8"/>
      <c r="S884" s="8"/>
      <c r="T884" s="8"/>
      <c r="U884" s="8"/>
      <c r="V884" s="8"/>
      <c r="W884" s="8"/>
      <c r="X884" s="8"/>
      <c r="Y884" s="8"/>
      <c r="Z884" s="8"/>
    </row>
    <row r="885" spans="1:26" ht="15.75" customHeight="1" x14ac:dyDescent="0.25">
      <c r="A885" s="8"/>
      <c r="B885" s="8"/>
      <c r="C885" s="8"/>
      <c r="D885" s="8"/>
      <c r="E885" s="8"/>
      <c r="F885" s="8"/>
      <c r="G885" s="8"/>
      <c r="H885" s="8"/>
      <c r="I885" s="8"/>
      <c r="J885" s="8"/>
      <c r="K885" s="8"/>
      <c r="L885" s="8"/>
      <c r="M885" s="8"/>
      <c r="N885" s="8"/>
      <c r="O885" s="8"/>
      <c r="P885" s="8"/>
      <c r="Q885" s="8"/>
      <c r="R885" s="8"/>
      <c r="S885" s="8"/>
      <c r="T885" s="8"/>
      <c r="U885" s="8"/>
      <c r="V885" s="8"/>
      <c r="W885" s="8"/>
      <c r="X885" s="8"/>
      <c r="Y885" s="8"/>
      <c r="Z885" s="8"/>
    </row>
    <row r="886" spans="1:26" ht="15.75" customHeight="1" x14ac:dyDescent="0.25">
      <c r="A886" s="8"/>
      <c r="B886" s="8"/>
      <c r="C886" s="8"/>
      <c r="D886" s="8"/>
      <c r="E886" s="8"/>
      <c r="F886" s="8"/>
      <c r="G886" s="8"/>
      <c r="H886" s="8"/>
      <c r="I886" s="8"/>
      <c r="J886" s="8"/>
      <c r="K886" s="8"/>
      <c r="L886" s="8"/>
      <c r="M886" s="8"/>
      <c r="N886" s="8"/>
      <c r="O886" s="8"/>
      <c r="P886" s="8"/>
      <c r="Q886" s="8"/>
      <c r="R886" s="8"/>
      <c r="S886" s="8"/>
      <c r="T886" s="8"/>
      <c r="U886" s="8"/>
      <c r="V886" s="8"/>
      <c r="W886" s="8"/>
      <c r="X886" s="8"/>
      <c r="Y886" s="8"/>
      <c r="Z886" s="8"/>
    </row>
    <row r="887" spans="1:26" ht="15.75" customHeight="1" x14ac:dyDescent="0.25">
      <c r="A887" s="8"/>
      <c r="B887" s="8"/>
      <c r="C887" s="8"/>
      <c r="D887" s="8"/>
      <c r="E887" s="8"/>
      <c r="F887" s="8"/>
      <c r="G887" s="8"/>
      <c r="H887" s="8"/>
      <c r="I887" s="8"/>
      <c r="J887" s="8"/>
      <c r="K887" s="8"/>
      <c r="L887" s="8"/>
      <c r="M887" s="8"/>
      <c r="N887" s="8"/>
      <c r="O887" s="8"/>
      <c r="P887" s="8"/>
      <c r="Q887" s="8"/>
      <c r="R887" s="8"/>
      <c r="S887" s="8"/>
      <c r="T887" s="8"/>
      <c r="U887" s="8"/>
      <c r="V887" s="8"/>
      <c r="W887" s="8"/>
      <c r="X887" s="8"/>
      <c r="Y887" s="8"/>
      <c r="Z887" s="8"/>
    </row>
    <row r="888" spans="1:26" ht="15.75" customHeight="1" x14ac:dyDescent="0.25">
      <c r="A888" s="8"/>
      <c r="B888" s="8"/>
      <c r="C888" s="8"/>
      <c r="D888" s="8"/>
      <c r="E888" s="8"/>
      <c r="F888" s="8"/>
      <c r="G888" s="8"/>
      <c r="H888" s="8"/>
      <c r="I888" s="8"/>
      <c r="J888" s="8"/>
      <c r="K888" s="8"/>
      <c r="L888" s="8"/>
      <c r="M888" s="8"/>
      <c r="N888" s="8"/>
      <c r="O888" s="8"/>
      <c r="P888" s="8"/>
      <c r="Q888" s="8"/>
      <c r="R888" s="8"/>
      <c r="S888" s="8"/>
      <c r="T888" s="8"/>
      <c r="U888" s="8"/>
      <c r="V888" s="8"/>
      <c r="W888" s="8"/>
      <c r="X888" s="8"/>
      <c r="Y888" s="8"/>
      <c r="Z888" s="8"/>
    </row>
    <row r="889" spans="1:26" ht="15.75" customHeight="1" x14ac:dyDescent="0.25">
      <c r="A889" s="8"/>
      <c r="B889" s="8"/>
      <c r="C889" s="8"/>
      <c r="D889" s="8"/>
      <c r="E889" s="8"/>
      <c r="F889" s="8"/>
      <c r="G889" s="8"/>
      <c r="H889" s="8"/>
      <c r="I889" s="8"/>
      <c r="J889" s="8"/>
      <c r="K889" s="8"/>
      <c r="L889" s="8"/>
      <c r="M889" s="8"/>
      <c r="N889" s="8"/>
      <c r="O889" s="8"/>
      <c r="P889" s="8"/>
      <c r="Q889" s="8"/>
      <c r="R889" s="8"/>
      <c r="S889" s="8"/>
      <c r="T889" s="8"/>
      <c r="U889" s="8"/>
      <c r="V889" s="8"/>
      <c r="W889" s="8"/>
      <c r="X889" s="8"/>
      <c r="Y889" s="8"/>
      <c r="Z889" s="8"/>
    </row>
    <row r="890" spans="1:26" ht="15.75" customHeight="1" x14ac:dyDescent="0.25">
      <c r="A890" s="8"/>
      <c r="B890" s="8"/>
      <c r="C890" s="8"/>
      <c r="D890" s="8"/>
      <c r="E890" s="8"/>
      <c r="F890" s="8"/>
      <c r="G890" s="8"/>
      <c r="H890" s="8"/>
      <c r="I890" s="8"/>
      <c r="J890" s="8"/>
      <c r="K890" s="8"/>
      <c r="L890" s="8"/>
      <c r="M890" s="8"/>
      <c r="N890" s="8"/>
      <c r="O890" s="8"/>
      <c r="P890" s="8"/>
      <c r="Q890" s="8"/>
      <c r="R890" s="8"/>
      <c r="S890" s="8"/>
      <c r="T890" s="8"/>
      <c r="U890" s="8"/>
      <c r="V890" s="8"/>
      <c r="W890" s="8"/>
      <c r="X890" s="8"/>
      <c r="Y890" s="8"/>
      <c r="Z890" s="8"/>
    </row>
    <row r="891" spans="1:26" ht="15.75" customHeight="1" x14ac:dyDescent="0.25">
      <c r="A891" s="8"/>
      <c r="B891" s="8"/>
      <c r="C891" s="8"/>
      <c r="D891" s="8"/>
      <c r="E891" s="8"/>
      <c r="F891" s="8"/>
      <c r="G891" s="8"/>
      <c r="H891" s="8"/>
      <c r="I891" s="8"/>
      <c r="J891" s="8"/>
      <c r="K891" s="8"/>
      <c r="L891" s="8"/>
      <c r="M891" s="8"/>
      <c r="N891" s="8"/>
      <c r="O891" s="8"/>
      <c r="P891" s="8"/>
      <c r="Q891" s="8"/>
      <c r="R891" s="8"/>
      <c r="S891" s="8"/>
      <c r="T891" s="8"/>
      <c r="U891" s="8"/>
      <c r="V891" s="8"/>
      <c r="W891" s="8"/>
      <c r="X891" s="8"/>
      <c r="Y891" s="8"/>
      <c r="Z891" s="8"/>
    </row>
    <row r="892" spans="1:26" ht="15.75" customHeight="1" x14ac:dyDescent="0.25">
      <c r="A892" s="8"/>
      <c r="B892" s="8"/>
      <c r="C892" s="8"/>
      <c r="D892" s="8"/>
      <c r="E892" s="8"/>
      <c r="F892" s="8"/>
      <c r="G892" s="8"/>
      <c r="H892" s="8"/>
      <c r="I892" s="8"/>
      <c r="J892" s="8"/>
      <c r="K892" s="8"/>
      <c r="L892" s="8"/>
      <c r="M892" s="8"/>
      <c r="N892" s="8"/>
      <c r="O892" s="8"/>
      <c r="P892" s="8"/>
      <c r="Q892" s="8"/>
      <c r="R892" s="8"/>
      <c r="S892" s="8"/>
      <c r="T892" s="8"/>
      <c r="U892" s="8"/>
      <c r="V892" s="8"/>
      <c r="W892" s="8"/>
      <c r="X892" s="8"/>
      <c r="Y892" s="8"/>
      <c r="Z892" s="8"/>
    </row>
    <row r="893" spans="1:26" ht="15.75" customHeight="1" x14ac:dyDescent="0.25">
      <c r="A893" s="8"/>
      <c r="B893" s="8"/>
      <c r="C893" s="8"/>
      <c r="D893" s="8"/>
      <c r="E893" s="8"/>
      <c r="F893" s="8"/>
      <c r="G893" s="8"/>
      <c r="H893" s="8"/>
      <c r="I893" s="8"/>
      <c r="J893" s="8"/>
      <c r="K893" s="8"/>
      <c r="L893" s="8"/>
      <c r="M893" s="8"/>
      <c r="N893" s="8"/>
      <c r="O893" s="8"/>
      <c r="P893" s="8"/>
      <c r="Q893" s="8"/>
      <c r="R893" s="8"/>
      <c r="S893" s="8"/>
      <c r="T893" s="8"/>
      <c r="U893" s="8"/>
      <c r="V893" s="8"/>
      <c r="W893" s="8"/>
      <c r="X893" s="8"/>
      <c r="Y893" s="8"/>
      <c r="Z893" s="8"/>
    </row>
    <row r="894" spans="1:26" ht="15.75" customHeight="1" x14ac:dyDescent="0.25">
      <c r="A894" s="8"/>
      <c r="B894" s="8"/>
      <c r="C894" s="8"/>
      <c r="D894" s="8"/>
      <c r="E894" s="8"/>
      <c r="F894" s="8"/>
      <c r="G894" s="8"/>
      <c r="H894" s="8"/>
      <c r="I894" s="8"/>
      <c r="J894" s="8"/>
      <c r="K894" s="8"/>
      <c r="L894" s="8"/>
      <c r="M894" s="8"/>
      <c r="N894" s="8"/>
      <c r="O894" s="8"/>
      <c r="P894" s="8"/>
      <c r="Q894" s="8"/>
      <c r="R894" s="8"/>
      <c r="S894" s="8"/>
      <c r="T894" s="8"/>
      <c r="U894" s="8"/>
      <c r="V894" s="8"/>
      <c r="W894" s="8"/>
      <c r="X894" s="8"/>
      <c r="Y894" s="8"/>
      <c r="Z894" s="8"/>
    </row>
    <row r="895" spans="1:26" ht="15.75" customHeight="1" x14ac:dyDescent="0.25">
      <c r="A895" s="8"/>
      <c r="B895" s="8"/>
      <c r="C895" s="8"/>
      <c r="D895" s="8"/>
      <c r="E895" s="8"/>
      <c r="F895" s="8"/>
      <c r="G895" s="8"/>
      <c r="H895" s="8"/>
      <c r="I895" s="8"/>
      <c r="J895" s="8"/>
      <c r="K895" s="8"/>
      <c r="L895" s="8"/>
      <c r="M895" s="8"/>
      <c r="N895" s="8"/>
      <c r="O895" s="8"/>
      <c r="P895" s="8"/>
      <c r="Q895" s="8"/>
      <c r="R895" s="8"/>
      <c r="S895" s="8"/>
      <c r="T895" s="8"/>
      <c r="U895" s="8"/>
      <c r="V895" s="8"/>
      <c r="W895" s="8"/>
      <c r="X895" s="8"/>
      <c r="Y895" s="8"/>
      <c r="Z895" s="8"/>
    </row>
    <row r="896" spans="1:26" ht="15.75" customHeight="1" x14ac:dyDescent="0.25">
      <c r="A896" s="8"/>
      <c r="B896" s="8"/>
      <c r="C896" s="8"/>
      <c r="D896" s="8"/>
      <c r="E896" s="8"/>
      <c r="F896" s="8"/>
      <c r="G896" s="8"/>
      <c r="H896" s="8"/>
      <c r="I896" s="8"/>
      <c r="J896" s="8"/>
      <c r="K896" s="8"/>
      <c r="L896" s="8"/>
      <c r="M896" s="8"/>
      <c r="N896" s="8"/>
      <c r="O896" s="8"/>
      <c r="P896" s="8"/>
      <c r="Q896" s="8"/>
      <c r="R896" s="8"/>
      <c r="S896" s="8"/>
      <c r="T896" s="8"/>
      <c r="U896" s="8"/>
      <c r="V896" s="8"/>
      <c r="W896" s="8"/>
      <c r="X896" s="8"/>
      <c r="Y896" s="8"/>
      <c r="Z896" s="8"/>
    </row>
    <row r="897" spans="1:26" ht="15.75" customHeight="1" x14ac:dyDescent="0.25">
      <c r="A897" s="8"/>
      <c r="B897" s="8"/>
      <c r="C897" s="8"/>
      <c r="D897" s="8"/>
      <c r="E897" s="8"/>
      <c r="F897" s="8"/>
      <c r="G897" s="8"/>
      <c r="H897" s="8"/>
      <c r="I897" s="8"/>
      <c r="J897" s="8"/>
      <c r="K897" s="8"/>
      <c r="L897" s="8"/>
      <c r="M897" s="8"/>
      <c r="N897" s="8"/>
      <c r="O897" s="8"/>
      <c r="P897" s="8"/>
      <c r="Q897" s="8"/>
      <c r="R897" s="8"/>
      <c r="S897" s="8"/>
      <c r="T897" s="8"/>
      <c r="U897" s="8"/>
      <c r="V897" s="8"/>
      <c r="W897" s="8"/>
      <c r="X897" s="8"/>
      <c r="Y897" s="8"/>
      <c r="Z897" s="8"/>
    </row>
    <row r="898" spans="1:26" ht="15.75" customHeight="1" x14ac:dyDescent="0.25">
      <c r="A898" s="8"/>
      <c r="B898" s="8"/>
      <c r="C898" s="8"/>
      <c r="D898" s="8"/>
      <c r="E898" s="8"/>
      <c r="F898" s="8"/>
      <c r="G898" s="8"/>
      <c r="H898" s="8"/>
      <c r="I898" s="8"/>
      <c r="J898" s="8"/>
      <c r="K898" s="8"/>
      <c r="L898" s="8"/>
      <c r="M898" s="8"/>
      <c r="N898" s="8"/>
      <c r="O898" s="8"/>
      <c r="P898" s="8"/>
      <c r="Q898" s="8"/>
      <c r="R898" s="8"/>
      <c r="S898" s="8"/>
      <c r="T898" s="8"/>
      <c r="U898" s="8"/>
      <c r="V898" s="8"/>
      <c r="W898" s="8"/>
      <c r="X898" s="8"/>
      <c r="Y898" s="8"/>
      <c r="Z898" s="8"/>
    </row>
    <row r="899" spans="1:26" ht="15.75" customHeight="1" x14ac:dyDescent="0.25">
      <c r="A899" s="8"/>
      <c r="B899" s="8"/>
      <c r="C899" s="8"/>
      <c r="D899" s="8"/>
      <c r="E899" s="8"/>
      <c r="F899" s="8"/>
      <c r="G899" s="8"/>
      <c r="H899" s="8"/>
      <c r="I899" s="8"/>
      <c r="J899" s="8"/>
      <c r="K899" s="8"/>
      <c r="L899" s="8"/>
      <c r="M899" s="8"/>
      <c r="N899" s="8"/>
      <c r="O899" s="8"/>
      <c r="P899" s="8"/>
      <c r="Q899" s="8"/>
      <c r="R899" s="8"/>
      <c r="S899" s="8"/>
      <c r="T899" s="8"/>
      <c r="U899" s="8"/>
      <c r="V899" s="8"/>
      <c r="W899" s="8"/>
      <c r="X899" s="8"/>
      <c r="Y899" s="8"/>
      <c r="Z899" s="8"/>
    </row>
    <row r="900" spans="1:26" ht="15.75" customHeight="1" x14ac:dyDescent="0.25">
      <c r="A900" s="8"/>
      <c r="B900" s="8"/>
      <c r="C900" s="8"/>
      <c r="D900" s="8"/>
      <c r="E900" s="8"/>
      <c r="F900" s="8"/>
      <c r="G900" s="8"/>
      <c r="H900" s="8"/>
      <c r="I900" s="8"/>
      <c r="J900" s="8"/>
      <c r="K900" s="8"/>
      <c r="L900" s="8"/>
      <c r="M900" s="8"/>
      <c r="N900" s="8"/>
      <c r="O900" s="8"/>
      <c r="P900" s="8"/>
      <c r="Q900" s="8"/>
      <c r="R900" s="8"/>
      <c r="S900" s="8"/>
      <c r="T900" s="8"/>
      <c r="U900" s="8"/>
      <c r="V900" s="8"/>
      <c r="W900" s="8"/>
      <c r="X900" s="8"/>
      <c r="Y900" s="8"/>
      <c r="Z900" s="8"/>
    </row>
    <row r="901" spans="1:26" ht="15.75" customHeight="1" x14ac:dyDescent="0.25">
      <c r="A901" s="8"/>
      <c r="B901" s="8"/>
      <c r="C901" s="8"/>
      <c r="D901" s="8"/>
      <c r="E901" s="8"/>
      <c r="F901" s="8"/>
      <c r="G901" s="8"/>
      <c r="H901" s="8"/>
      <c r="I901" s="8"/>
      <c r="J901" s="8"/>
      <c r="K901" s="8"/>
      <c r="L901" s="8"/>
      <c r="M901" s="8"/>
      <c r="N901" s="8"/>
      <c r="O901" s="8"/>
      <c r="P901" s="8"/>
      <c r="Q901" s="8"/>
      <c r="R901" s="8"/>
      <c r="S901" s="8"/>
      <c r="T901" s="8"/>
      <c r="U901" s="8"/>
      <c r="V901" s="8"/>
      <c r="W901" s="8"/>
      <c r="X901" s="8"/>
      <c r="Y901" s="8"/>
      <c r="Z901" s="8"/>
    </row>
    <row r="902" spans="1:26" ht="15.75" customHeight="1" x14ac:dyDescent="0.25">
      <c r="A902" s="8"/>
      <c r="B902" s="8"/>
      <c r="C902" s="8"/>
      <c r="D902" s="8"/>
      <c r="E902" s="8"/>
      <c r="F902" s="8"/>
      <c r="G902" s="8"/>
      <c r="H902" s="8"/>
      <c r="I902" s="8"/>
      <c r="J902" s="8"/>
      <c r="K902" s="8"/>
      <c r="L902" s="8"/>
      <c r="M902" s="8"/>
      <c r="N902" s="8"/>
      <c r="O902" s="8"/>
      <c r="P902" s="8"/>
      <c r="Q902" s="8"/>
      <c r="R902" s="8"/>
      <c r="S902" s="8"/>
      <c r="T902" s="8"/>
      <c r="U902" s="8"/>
      <c r="V902" s="8"/>
      <c r="W902" s="8"/>
      <c r="X902" s="8"/>
      <c r="Y902" s="8"/>
      <c r="Z902" s="8"/>
    </row>
    <row r="903" spans="1:26" ht="15.75" customHeight="1" x14ac:dyDescent="0.25">
      <c r="A903" s="8"/>
      <c r="B903" s="8"/>
      <c r="C903" s="8"/>
      <c r="D903" s="8"/>
      <c r="E903" s="8"/>
      <c r="F903" s="8"/>
      <c r="G903" s="8"/>
      <c r="H903" s="8"/>
      <c r="I903" s="8"/>
      <c r="J903" s="8"/>
      <c r="K903" s="8"/>
      <c r="L903" s="8"/>
      <c r="M903" s="8"/>
      <c r="N903" s="8"/>
      <c r="O903" s="8"/>
      <c r="P903" s="8"/>
      <c r="Q903" s="8"/>
      <c r="R903" s="8"/>
      <c r="S903" s="8"/>
      <c r="T903" s="8"/>
      <c r="U903" s="8"/>
      <c r="V903" s="8"/>
      <c r="W903" s="8"/>
      <c r="X903" s="8"/>
      <c r="Y903" s="8"/>
      <c r="Z903" s="8"/>
    </row>
    <row r="904" spans="1:26" ht="15.75" customHeight="1" x14ac:dyDescent="0.25">
      <c r="A904" s="8"/>
      <c r="B904" s="8"/>
      <c r="C904" s="8"/>
      <c r="D904" s="8"/>
      <c r="E904" s="8"/>
      <c r="F904" s="8"/>
      <c r="G904" s="8"/>
      <c r="H904" s="8"/>
      <c r="I904" s="8"/>
      <c r="J904" s="8"/>
      <c r="K904" s="8"/>
      <c r="L904" s="8"/>
      <c r="M904" s="8"/>
      <c r="N904" s="8"/>
      <c r="O904" s="8"/>
      <c r="P904" s="8"/>
      <c r="Q904" s="8"/>
      <c r="R904" s="8"/>
      <c r="S904" s="8"/>
      <c r="T904" s="8"/>
      <c r="U904" s="8"/>
      <c r="V904" s="8"/>
      <c r="W904" s="8"/>
      <c r="X904" s="8"/>
      <c r="Y904" s="8"/>
      <c r="Z904" s="8"/>
    </row>
    <row r="905" spans="1:26" ht="15.75" customHeight="1" x14ac:dyDescent="0.25">
      <c r="A905" s="8"/>
      <c r="B905" s="8"/>
      <c r="C905" s="8"/>
      <c r="D905" s="8"/>
      <c r="E905" s="8"/>
      <c r="F905" s="8"/>
      <c r="G905" s="8"/>
      <c r="H905" s="8"/>
      <c r="I905" s="8"/>
      <c r="J905" s="8"/>
      <c r="K905" s="8"/>
      <c r="L905" s="8"/>
      <c r="M905" s="8"/>
      <c r="N905" s="8"/>
      <c r="O905" s="8"/>
      <c r="P905" s="8"/>
      <c r="Q905" s="8"/>
      <c r="R905" s="8"/>
      <c r="S905" s="8"/>
      <c r="T905" s="8"/>
      <c r="U905" s="8"/>
      <c r="V905" s="8"/>
      <c r="W905" s="8"/>
      <c r="X905" s="8"/>
      <c r="Y905" s="8"/>
      <c r="Z905" s="8"/>
    </row>
    <row r="906" spans="1:26" ht="15.75" customHeight="1" x14ac:dyDescent="0.25">
      <c r="A906" s="8"/>
      <c r="B906" s="8"/>
      <c r="C906" s="8"/>
      <c r="D906" s="8"/>
      <c r="E906" s="8"/>
      <c r="F906" s="8"/>
      <c r="G906" s="8"/>
      <c r="H906" s="8"/>
      <c r="I906" s="8"/>
      <c r="J906" s="8"/>
      <c r="K906" s="8"/>
      <c r="L906" s="8"/>
      <c r="M906" s="8"/>
      <c r="N906" s="8"/>
      <c r="O906" s="8"/>
      <c r="P906" s="8"/>
      <c r="Q906" s="8"/>
      <c r="R906" s="8"/>
      <c r="S906" s="8"/>
      <c r="T906" s="8"/>
      <c r="U906" s="8"/>
      <c r="V906" s="8"/>
      <c r="W906" s="8"/>
      <c r="X906" s="8"/>
      <c r="Y906" s="8"/>
      <c r="Z906" s="8"/>
    </row>
    <row r="907" spans="1:26" ht="15.75" customHeight="1" x14ac:dyDescent="0.25">
      <c r="A907" s="8"/>
      <c r="B907" s="8"/>
      <c r="C907" s="8"/>
      <c r="D907" s="8"/>
      <c r="E907" s="8"/>
      <c r="F907" s="8"/>
      <c r="G907" s="8"/>
      <c r="H907" s="8"/>
      <c r="I907" s="8"/>
      <c r="J907" s="8"/>
      <c r="K907" s="8"/>
      <c r="L907" s="8"/>
      <c r="M907" s="8"/>
      <c r="N907" s="8"/>
      <c r="O907" s="8"/>
      <c r="P907" s="8"/>
      <c r="Q907" s="8"/>
      <c r="R907" s="8"/>
      <c r="S907" s="8"/>
      <c r="T907" s="8"/>
      <c r="U907" s="8"/>
      <c r="V907" s="8"/>
      <c r="W907" s="8"/>
      <c r="X907" s="8"/>
      <c r="Y907" s="8"/>
      <c r="Z907" s="8"/>
    </row>
    <row r="908" spans="1:26" ht="15.75" customHeight="1" x14ac:dyDescent="0.25">
      <c r="A908" s="8"/>
      <c r="B908" s="8"/>
      <c r="C908" s="8"/>
      <c r="D908" s="8"/>
      <c r="E908" s="8"/>
      <c r="F908" s="8"/>
      <c r="G908" s="8"/>
      <c r="H908" s="8"/>
      <c r="I908" s="8"/>
      <c r="J908" s="8"/>
      <c r="K908" s="8"/>
      <c r="L908" s="8"/>
      <c r="M908" s="8"/>
      <c r="N908" s="8"/>
      <c r="O908" s="8"/>
      <c r="P908" s="8"/>
      <c r="Q908" s="8"/>
      <c r="R908" s="8"/>
      <c r="S908" s="8"/>
      <c r="T908" s="8"/>
      <c r="U908" s="8"/>
      <c r="V908" s="8"/>
      <c r="W908" s="8"/>
      <c r="X908" s="8"/>
      <c r="Y908" s="8"/>
      <c r="Z908" s="8"/>
    </row>
    <row r="909" spans="1:26" ht="15.75" customHeight="1" x14ac:dyDescent="0.25">
      <c r="A909" s="8"/>
      <c r="B909" s="8"/>
      <c r="C909" s="8"/>
      <c r="D909" s="8"/>
      <c r="E909" s="8"/>
      <c r="F909" s="8"/>
      <c r="G909" s="8"/>
      <c r="H909" s="8"/>
      <c r="I909" s="8"/>
      <c r="J909" s="8"/>
      <c r="K909" s="8"/>
      <c r="L909" s="8"/>
      <c r="M909" s="8"/>
      <c r="N909" s="8"/>
      <c r="O909" s="8"/>
      <c r="P909" s="8"/>
      <c r="Q909" s="8"/>
      <c r="R909" s="8"/>
      <c r="S909" s="8"/>
      <c r="T909" s="8"/>
      <c r="U909" s="8"/>
      <c r="V909" s="8"/>
      <c r="W909" s="8"/>
      <c r="X909" s="8"/>
      <c r="Y909" s="8"/>
      <c r="Z909" s="8"/>
    </row>
    <row r="910" spans="1:26" ht="15.75" customHeight="1" x14ac:dyDescent="0.25">
      <c r="A910" s="8"/>
      <c r="B910" s="8"/>
      <c r="C910" s="8"/>
      <c r="D910" s="8"/>
      <c r="E910" s="8"/>
      <c r="F910" s="8"/>
      <c r="G910" s="8"/>
      <c r="H910" s="8"/>
      <c r="I910" s="8"/>
      <c r="J910" s="8"/>
      <c r="K910" s="8"/>
      <c r="L910" s="8"/>
      <c r="M910" s="8"/>
      <c r="N910" s="8"/>
      <c r="O910" s="8"/>
      <c r="P910" s="8"/>
      <c r="Q910" s="8"/>
      <c r="R910" s="8"/>
      <c r="S910" s="8"/>
      <c r="T910" s="8"/>
      <c r="U910" s="8"/>
      <c r="V910" s="8"/>
      <c r="W910" s="8"/>
      <c r="X910" s="8"/>
      <c r="Y910" s="8"/>
      <c r="Z910" s="8"/>
    </row>
    <row r="911" spans="1:26" ht="15.75" customHeight="1" x14ac:dyDescent="0.25">
      <c r="A911" s="8"/>
      <c r="B911" s="8"/>
      <c r="C911" s="8"/>
      <c r="D911" s="8"/>
      <c r="E911" s="8"/>
      <c r="F911" s="8"/>
      <c r="G911" s="8"/>
      <c r="H911" s="8"/>
      <c r="I911" s="8"/>
      <c r="J911" s="8"/>
      <c r="K911" s="8"/>
      <c r="L911" s="8"/>
      <c r="M911" s="8"/>
      <c r="N911" s="8"/>
      <c r="O911" s="8"/>
      <c r="P911" s="8"/>
      <c r="Q911" s="8"/>
      <c r="R911" s="8"/>
      <c r="S911" s="8"/>
      <c r="T911" s="8"/>
      <c r="U911" s="8"/>
      <c r="V911" s="8"/>
      <c r="W911" s="8"/>
      <c r="X911" s="8"/>
      <c r="Y911" s="8"/>
      <c r="Z911" s="8"/>
    </row>
    <row r="912" spans="1:26" ht="15.75" customHeight="1" x14ac:dyDescent="0.25">
      <c r="A912" s="8"/>
      <c r="B912" s="8"/>
      <c r="C912" s="8"/>
      <c r="D912" s="8"/>
      <c r="E912" s="8"/>
      <c r="F912" s="8"/>
      <c r="G912" s="8"/>
      <c r="H912" s="8"/>
      <c r="I912" s="8"/>
      <c r="J912" s="8"/>
      <c r="K912" s="8"/>
      <c r="L912" s="8"/>
      <c r="M912" s="8"/>
      <c r="N912" s="8"/>
      <c r="O912" s="8"/>
      <c r="P912" s="8"/>
      <c r="Q912" s="8"/>
      <c r="R912" s="8"/>
      <c r="S912" s="8"/>
      <c r="T912" s="8"/>
      <c r="U912" s="8"/>
      <c r="V912" s="8"/>
      <c r="W912" s="8"/>
      <c r="X912" s="8"/>
      <c r="Y912" s="8"/>
      <c r="Z912" s="8"/>
    </row>
    <row r="913" spans="1:26" ht="15.75" customHeight="1" x14ac:dyDescent="0.25">
      <c r="A913" s="8"/>
      <c r="B913" s="8"/>
      <c r="C913" s="8"/>
      <c r="D913" s="8"/>
      <c r="E913" s="8"/>
      <c r="F913" s="8"/>
      <c r="G913" s="8"/>
      <c r="H913" s="8"/>
      <c r="I913" s="8"/>
      <c r="J913" s="8"/>
      <c r="K913" s="8"/>
      <c r="L913" s="8"/>
      <c r="M913" s="8"/>
      <c r="N913" s="8"/>
      <c r="O913" s="8"/>
      <c r="P913" s="8"/>
      <c r="Q913" s="8"/>
      <c r="R913" s="8"/>
      <c r="S913" s="8"/>
      <c r="T913" s="8"/>
      <c r="U913" s="8"/>
      <c r="V913" s="8"/>
      <c r="W913" s="8"/>
      <c r="X913" s="8"/>
      <c r="Y913" s="8"/>
      <c r="Z913" s="8"/>
    </row>
    <row r="914" spans="1:26" ht="15.75" customHeight="1" x14ac:dyDescent="0.25">
      <c r="A914" s="8"/>
      <c r="B914" s="8"/>
      <c r="C914" s="8"/>
      <c r="D914" s="8"/>
      <c r="E914" s="8"/>
      <c r="F914" s="8"/>
      <c r="G914" s="8"/>
      <c r="H914" s="8"/>
      <c r="I914" s="8"/>
      <c r="J914" s="8"/>
      <c r="K914" s="8"/>
      <c r="L914" s="8"/>
      <c r="M914" s="8"/>
      <c r="N914" s="8"/>
      <c r="O914" s="8"/>
      <c r="P914" s="8"/>
      <c r="Q914" s="8"/>
      <c r="R914" s="8"/>
      <c r="S914" s="8"/>
      <c r="T914" s="8"/>
      <c r="U914" s="8"/>
      <c r="V914" s="8"/>
      <c r="W914" s="8"/>
      <c r="X914" s="8"/>
      <c r="Y914" s="8"/>
      <c r="Z914" s="8"/>
    </row>
    <row r="915" spans="1:26" ht="15.75" customHeight="1" x14ac:dyDescent="0.25">
      <c r="A915" s="8"/>
      <c r="B915" s="8"/>
      <c r="C915" s="8"/>
      <c r="D915" s="8"/>
      <c r="E915" s="8"/>
      <c r="F915" s="8"/>
      <c r="G915" s="8"/>
      <c r="H915" s="8"/>
      <c r="I915" s="8"/>
      <c r="J915" s="8"/>
      <c r="K915" s="8"/>
      <c r="L915" s="8"/>
      <c r="M915" s="8"/>
      <c r="N915" s="8"/>
      <c r="O915" s="8"/>
      <c r="P915" s="8"/>
      <c r="Q915" s="8"/>
      <c r="R915" s="8"/>
      <c r="S915" s="8"/>
      <c r="T915" s="8"/>
      <c r="U915" s="8"/>
      <c r="V915" s="8"/>
      <c r="W915" s="8"/>
      <c r="X915" s="8"/>
      <c r="Y915" s="8"/>
      <c r="Z915" s="8"/>
    </row>
    <row r="916" spans="1:26" ht="15.75" customHeight="1" x14ac:dyDescent="0.25">
      <c r="A916" s="8"/>
      <c r="B916" s="8"/>
      <c r="C916" s="8"/>
      <c r="D916" s="8"/>
      <c r="E916" s="8"/>
      <c r="F916" s="8"/>
      <c r="G916" s="8"/>
      <c r="H916" s="8"/>
      <c r="I916" s="8"/>
      <c r="J916" s="8"/>
      <c r="K916" s="8"/>
      <c r="L916" s="8"/>
      <c r="M916" s="8"/>
      <c r="N916" s="8"/>
      <c r="O916" s="8"/>
      <c r="P916" s="8"/>
      <c r="Q916" s="8"/>
      <c r="R916" s="8"/>
      <c r="S916" s="8"/>
      <c r="T916" s="8"/>
      <c r="U916" s="8"/>
      <c r="V916" s="8"/>
      <c r="W916" s="8"/>
      <c r="X916" s="8"/>
      <c r="Y916" s="8"/>
      <c r="Z916" s="8"/>
    </row>
    <row r="917" spans="1:26" ht="15.75" customHeight="1" x14ac:dyDescent="0.25">
      <c r="A917" s="8"/>
      <c r="B917" s="8"/>
      <c r="C917" s="8"/>
      <c r="D917" s="8"/>
      <c r="E917" s="8"/>
      <c r="F917" s="8"/>
      <c r="G917" s="8"/>
      <c r="H917" s="8"/>
      <c r="I917" s="8"/>
      <c r="J917" s="8"/>
      <c r="K917" s="8"/>
      <c r="L917" s="8"/>
      <c r="M917" s="8"/>
      <c r="N917" s="8"/>
      <c r="O917" s="8"/>
      <c r="P917" s="8"/>
      <c r="Q917" s="8"/>
      <c r="R917" s="8"/>
      <c r="S917" s="8"/>
      <c r="T917" s="8"/>
      <c r="U917" s="8"/>
      <c r="V917" s="8"/>
      <c r="W917" s="8"/>
      <c r="X917" s="8"/>
      <c r="Y917" s="8"/>
      <c r="Z917" s="8"/>
    </row>
    <row r="918" spans="1:26" ht="15.75" customHeight="1" x14ac:dyDescent="0.25">
      <c r="A918" s="8"/>
      <c r="B918" s="8"/>
      <c r="C918" s="8"/>
      <c r="D918" s="8"/>
      <c r="E918" s="8"/>
      <c r="F918" s="8"/>
      <c r="G918" s="8"/>
      <c r="H918" s="8"/>
      <c r="I918" s="8"/>
      <c r="J918" s="8"/>
      <c r="K918" s="8"/>
      <c r="L918" s="8"/>
      <c r="M918" s="8"/>
      <c r="N918" s="8"/>
      <c r="O918" s="8"/>
      <c r="P918" s="8"/>
      <c r="Q918" s="8"/>
      <c r="R918" s="8"/>
      <c r="S918" s="8"/>
      <c r="T918" s="8"/>
      <c r="U918" s="8"/>
      <c r="V918" s="8"/>
      <c r="W918" s="8"/>
      <c r="X918" s="8"/>
      <c r="Y918" s="8"/>
      <c r="Z918" s="8"/>
    </row>
    <row r="919" spans="1:26" ht="15.75" customHeight="1" x14ac:dyDescent="0.25">
      <c r="A919" s="8"/>
      <c r="B919" s="8"/>
      <c r="C919" s="8"/>
      <c r="D919" s="8"/>
      <c r="E919" s="8"/>
      <c r="F919" s="8"/>
      <c r="G919" s="8"/>
      <c r="H919" s="8"/>
      <c r="I919" s="8"/>
      <c r="J919" s="8"/>
      <c r="K919" s="8"/>
      <c r="L919" s="8"/>
      <c r="M919" s="8"/>
      <c r="N919" s="8"/>
      <c r="O919" s="8"/>
      <c r="P919" s="8"/>
      <c r="Q919" s="8"/>
      <c r="R919" s="8"/>
      <c r="S919" s="8"/>
      <c r="T919" s="8"/>
      <c r="U919" s="8"/>
      <c r="V919" s="8"/>
      <c r="W919" s="8"/>
      <c r="X919" s="8"/>
      <c r="Y919" s="8"/>
      <c r="Z919" s="8"/>
    </row>
    <row r="920" spans="1:26" ht="15.75" customHeight="1" x14ac:dyDescent="0.25">
      <c r="A920" s="8"/>
      <c r="B920" s="8"/>
      <c r="C920" s="8"/>
      <c r="D920" s="8"/>
      <c r="E920" s="8"/>
      <c r="F920" s="8"/>
      <c r="G920" s="8"/>
      <c r="H920" s="8"/>
      <c r="I920" s="8"/>
      <c r="J920" s="8"/>
      <c r="K920" s="8"/>
      <c r="L920" s="8"/>
      <c r="M920" s="8"/>
      <c r="N920" s="8"/>
      <c r="O920" s="8"/>
      <c r="P920" s="8"/>
      <c r="Q920" s="8"/>
      <c r="R920" s="8"/>
      <c r="S920" s="8"/>
      <c r="T920" s="8"/>
      <c r="U920" s="8"/>
      <c r="V920" s="8"/>
      <c r="W920" s="8"/>
      <c r="X920" s="8"/>
      <c r="Y920" s="8"/>
      <c r="Z920" s="8"/>
    </row>
    <row r="921" spans="1:26" ht="15.75" customHeight="1" x14ac:dyDescent="0.25">
      <c r="A921" s="8"/>
      <c r="B921" s="8"/>
      <c r="C921" s="8"/>
      <c r="D921" s="8"/>
      <c r="E921" s="8"/>
      <c r="F921" s="8"/>
      <c r="G921" s="8"/>
      <c r="H921" s="8"/>
      <c r="I921" s="8"/>
      <c r="J921" s="8"/>
      <c r="K921" s="8"/>
      <c r="L921" s="8"/>
      <c r="M921" s="8"/>
      <c r="N921" s="8"/>
      <c r="O921" s="8"/>
      <c r="P921" s="8"/>
      <c r="Q921" s="8"/>
      <c r="R921" s="8"/>
      <c r="S921" s="8"/>
      <c r="T921" s="8"/>
      <c r="U921" s="8"/>
      <c r="V921" s="8"/>
      <c r="W921" s="8"/>
      <c r="X921" s="8"/>
      <c r="Y921" s="8"/>
      <c r="Z921" s="8"/>
    </row>
    <row r="922" spans="1:26" ht="15.75" customHeight="1" x14ac:dyDescent="0.25">
      <c r="A922" s="8"/>
      <c r="B922" s="8"/>
      <c r="C922" s="8"/>
      <c r="D922" s="8"/>
      <c r="E922" s="8"/>
      <c r="F922" s="8"/>
      <c r="G922" s="8"/>
      <c r="H922" s="8"/>
      <c r="I922" s="8"/>
      <c r="J922" s="8"/>
      <c r="K922" s="8"/>
      <c r="L922" s="8"/>
      <c r="M922" s="8"/>
      <c r="N922" s="8"/>
      <c r="O922" s="8"/>
      <c r="P922" s="8"/>
      <c r="Q922" s="8"/>
      <c r="R922" s="8"/>
      <c r="S922" s="8"/>
      <c r="T922" s="8"/>
      <c r="U922" s="8"/>
      <c r="V922" s="8"/>
      <c r="W922" s="8"/>
      <c r="X922" s="8"/>
      <c r="Y922" s="8"/>
      <c r="Z922" s="8"/>
    </row>
    <row r="923" spans="1:26" ht="15.75" customHeight="1" x14ac:dyDescent="0.25">
      <c r="A923" s="8"/>
      <c r="B923" s="8"/>
      <c r="C923" s="8"/>
      <c r="D923" s="8"/>
      <c r="E923" s="8"/>
      <c r="F923" s="8"/>
      <c r="G923" s="8"/>
      <c r="H923" s="8"/>
      <c r="I923" s="8"/>
      <c r="J923" s="8"/>
      <c r="K923" s="8"/>
      <c r="L923" s="8"/>
      <c r="M923" s="8"/>
      <c r="N923" s="8"/>
      <c r="O923" s="8"/>
      <c r="P923" s="8"/>
      <c r="Q923" s="8"/>
      <c r="R923" s="8"/>
      <c r="S923" s="8"/>
      <c r="T923" s="8"/>
      <c r="U923" s="8"/>
      <c r="V923" s="8"/>
      <c r="W923" s="8"/>
      <c r="X923" s="8"/>
      <c r="Y923" s="8"/>
      <c r="Z923" s="8"/>
    </row>
    <row r="924" spans="1:26" ht="15.75" customHeight="1" x14ac:dyDescent="0.25">
      <c r="A924" s="8"/>
      <c r="B924" s="8"/>
      <c r="C924" s="8"/>
      <c r="D924" s="8"/>
      <c r="E924" s="8"/>
      <c r="F924" s="8"/>
      <c r="G924" s="8"/>
      <c r="H924" s="8"/>
      <c r="I924" s="8"/>
      <c r="J924" s="8"/>
      <c r="K924" s="8"/>
      <c r="L924" s="8"/>
      <c r="M924" s="8"/>
      <c r="N924" s="8"/>
      <c r="O924" s="8"/>
      <c r="P924" s="8"/>
      <c r="Q924" s="8"/>
      <c r="R924" s="8"/>
      <c r="S924" s="8"/>
      <c r="T924" s="8"/>
      <c r="U924" s="8"/>
      <c r="V924" s="8"/>
      <c r="W924" s="8"/>
      <c r="X924" s="8"/>
      <c r="Y924" s="8"/>
      <c r="Z924" s="8"/>
    </row>
    <row r="925" spans="1:26" ht="15.75" customHeight="1" x14ac:dyDescent="0.25">
      <c r="A925" s="8"/>
      <c r="B925" s="8"/>
      <c r="C925" s="8"/>
      <c r="D925" s="8"/>
      <c r="E925" s="8"/>
      <c r="F925" s="8"/>
      <c r="G925" s="8"/>
      <c r="H925" s="8"/>
      <c r="I925" s="8"/>
      <c r="J925" s="8"/>
      <c r="K925" s="8"/>
      <c r="L925" s="8"/>
      <c r="M925" s="8"/>
      <c r="N925" s="8"/>
      <c r="O925" s="8"/>
      <c r="P925" s="8"/>
      <c r="Q925" s="8"/>
      <c r="R925" s="8"/>
      <c r="S925" s="8"/>
      <c r="T925" s="8"/>
      <c r="U925" s="8"/>
      <c r="V925" s="8"/>
      <c r="W925" s="8"/>
      <c r="X925" s="8"/>
      <c r="Y925" s="8"/>
      <c r="Z925" s="8"/>
    </row>
    <row r="926" spans="1:26" ht="15.75" customHeight="1" x14ac:dyDescent="0.25">
      <c r="A926" s="8"/>
      <c r="B926" s="8"/>
      <c r="C926" s="8"/>
      <c r="D926" s="8"/>
      <c r="E926" s="8"/>
      <c r="F926" s="8"/>
      <c r="G926" s="8"/>
      <c r="H926" s="8"/>
      <c r="I926" s="8"/>
      <c r="J926" s="8"/>
      <c r="K926" s="8"/>
      <c r="L926" s="8"/>
      <c r="M926" s="8"/>
      <c r="N926" s="8"/>
      <c r="O926" s="8"/>
      <c r="P926" s="8"/>
      <c r="Q926" s="8"/>
      <c r="R926" s="8"/>
      <c r="S926" s="8"/>
      <c r="T926" s="8"/>
      <c r="U926" s="8"/>
      <c r="V926" s="8"/>
      <c r="W926" s="8"/>
      <c r="X926" s="8"/>
      <c r="Y926" s="8"/>
      <c r="Z926" s="8"/>
    </row>
    <row r="927" spans="1:26" ht="15.75" customHeight="1" x14ac:dyDescent="0.25">
      <c r="A927" s="8"/>
      <c r="B927" s="8"/>
      <c r="C927" s="8"/>
      <c r="D927" s="8"/>
      <c r="E927" s="8"/>
      <c r="F927" s="8"/>
      <c r="G927" s="8"/>
      <c r="H927" s="8"/>
      <c r="I927" s="8"/>
      <c r="J927" s="8"/>
      <c r="K927" s="8"/>
      <c r="L927" s="8"/>
      <c r="M927" s="8"/>
      <c r="N927" s="8"/>
      <c r="O927" s="8"/>
      <c r="P927" s="8"/>
      <c r="Q927" s="8"/>
      <c r="R927" s="8"/>
      <c r="S927" s="8"/>
      <c r="T927" s="8"/>
      <c r="U927" s="8"/>
      <c r="V927" s="8"/>
      <c r="W927" s="8"/>
      <c r="X927" s="8"/>
      <c r="Y927" s="8"/>
      <c r="Z927" s="8"/>
    </row>
    <row r="928" spans="1:26" ht="15.75" customHeight="1" x14ac:dyDescent="0.25">
      <c r="A928" s="8"/>
      <c r="B928" s="8"/>
      <c r="C928" s="8"/>
      <c r="D928" s="8"/>
      <c r="E928" s="8"/>
      <c r="F928" s="8"/>
      <c r="G928" s="8"/>
      <c r="H928" s="8"/>
      <c r="I928" s="8"/>
      <c r="J928" s="8"/>
      <c r="K928" s="8"/>
      <c r="L928" s="8"/>
      <c r="M928" s="8"/>
      <c r="N928" s="8"/>
      <c r="O928" s="8"/>
      <c r="P928" s="8"/>
      <c r="Q928" s="8"/>
      <c r="R928" s="8"/>
      <c r="S928" s="8"/>
      <c r="T928" s="8"/>
      <c r="U928" s="8"/>
      <c r="V928" s="8"/>
      <c r="W928" s="8"/>
      <c r="X928" s="8"/>
      <c r="Y928" s="8"/>
      <c r="Z928" s="8"/>
    </row>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 right="0.7" top="0.75" bottom="0.75" header="0" footer="0"/>
  <pageSetup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ummaryRight="0"/>
  </sheetPr>
  <dimension ref="A1:L214"/>
  <sheetViews>
    <sheetView workbookViewId="0"/>
  </sheetViews>
  <sheetFormatPr baseColWidth="10" defaultColWidth="14.44140625" defaultRowHeight="15" customHeight="1" x14ac:dyDescent="0.25"/>
  <sheetData>
    <row r="1" spans="1:12" ht="15" customHeight="1" x14ac:dyDescent="0.25">
      <c r="A1" s="4">
        <v>54</v>
      </c>
      <c r="B1" s="4">
        <v>108</v>
      </c>
      <c r="C1" s="4">
        <v>212</v>
      </c>
      <c r="D1" s="4">
        <v>59</v>
      </c>
      <c r="E1" s="4">
        <v>2</v>
      </c>
      <c r="F1" s="4">
        <v>29</v>
      </c>
      <c r="G1" s="4">
        <v>48</v>
      </c>
      <c r="H1" s="4">
        <v>74</v>
      </c>
      <c r="I1" s="4">
        <v>34</v>
      </c>
      <c r="K1" s="4">
        <v>6</v>
      </c>
      <c r="L1" s="4">
        <v>6</v>
      </c>
    </row>
    <row r="2" spans="1:12" ht="15" customHeight="1" x14ac:dyDescent="0.25">
      <c r="A2" s="4" t="s">
        <v>34</v>
      </c>
      <c r="B2" s="4" t="s">
        <v>175</v>
      </c>
      <c r="C2" s="4" t="s">
        <v>36</v>
      </c>
      <c r="D2" s="4" t="s">
        <v>1179</v>
      </c>
      <c r="E2" s="4" t="s">
        <v>87</v>
      </c>
      <c r="F2" s="4" t="s">
        <v>236</v>
      </c>
      <c r="G2" s="4" t="s">
        <v>220</v>
      </c>
      <c r="H2" s="4" t="s">
        <v>1181</v>
      </c>
      <c r="I2" s="4" t="s">
        <v>1182</v>
      </c>
      <c r="K2" s="4" t="s">
        <v>211</v>
      </c>
      <c r="L2" s="4" t="s">
        <v>253</v>
      </c>
    </row>
    <row r="3" spans="1:12" ht="15" customHeight="1" x14ac:dyDescent="0.25">
      <c r="A3" s="12" t="s">
        <v>1183</v>
      </c>
      <c r="B3" s="12" t="s">
        <v>175</v>
      </c>
      <c r="C3" s="12" t="s">
        <v>36</v>
      </c>
      <c r="D3" s="12" t="s">
        <v>139</v>
      </c>
      <c r="E3" s="12" t="s">
        <v>87</v>
      </c>
      <c r="F3" s="12" t="s">
        <v>156</v>
      </c>
      <c r="G3" s="12" t="s">
        <v>220</v>
      </c>
      <c r="H3" s="12" t="s">
        <v>186</v>
      </c>
      <c r="I3" s="12" t="s">
        <v>231</v>
      </c>
      <c r="K3" s="12" t="s">
        <v>548</v>
      </c>
      <c r="L3" s="12" t="s">
        <v>1184</v>
      </c>
    </row>
    <row r="4" spans="1:12" ht="15" customHeight="1" x14ac:dyDescent="0.25">
      <c r="A4" s="12" t="s">
        <v>1183</v>
      </c>
      <c r="B4" s="12" t="s">
        <v>175</v>
      </c>
      <c r="C4" s="12" t="s">
        <v>36</v>
      </c>
      <c r="D4" s="12" t="s">
        <v>139</v>
      </c>
      <c r="E4" s="12" t="s">
        <v>87</v>
      </c>
      <c r="F4" s="12" t="s">
        <v>156</v>
      </c>
      <c r="G4" s="12" t="s">
        <v>220</v>
      </c>
      <c r="H4" s="12" t="s">
        <v>186</v>
      </c>
      <c r="I4" s="12" t="s">
        <v>231</v>
      </c>
      <c r="K4" s="12" t="s">
        <v>855</v>
      </c>
      <c r="L4" s="12" t="s">
        <v>1185</v>
      </c>
    </row>
    <row r="5" spans="1:12" ht="15" customHeight="1" x14ac:dyDescent="0.25">
      <c r="A5" s="12" t="s">
        <v>1183</v>
      </c>
      <c r="B5" s="12" t="s">
        <v>175</v>
      </c>
      <c r="C5" s="12" t="s">
        <v>36</v>
      </c>
      <c r="D5" s="12" t="s">
        <v>139</v>
      </c>
      <c r="F5" s="12" t="s">
        <v>156</v>
      </c>
      <c r="G5" s="12" t="s">
        <v>220</v>
      </c>
      <c r="H5" s="12" t="s">
        <v>186</v>
      </c>
      <c r="I5" s="12" t="s">
        <v>231</v>
      </c>
      <c r="K5" s="12" t="s">
        <v>1186</v>
      </c>
      <c r="L5" s="12" t="s">
        <v>1187</v>
      </c>
    </row>
    <row r="6" spans="1:12" ht="15" customHeight="1" x14ac:dyDescent="0.25">
      <c r="A6" s="12" t="s">
        <v>1183</v>
      </c>
      <c r="B6" s="12" t="s">
        <v>175</v>
      </c>
      <c r="C6" s="12" t="s">
        <v>36</v>
      </c>
      <c r="D6" s="12" t="s">
        <v>139</v>
      </c>
      <c r="F6" s="12" t="s">
        <v>156</v>
      </c>
      <c r="G6" s="12" t="s">
        <v>220</v>
      </c>
      <c r="H6" s="12" t="s">
        <v>186</v>
      </c>
      <c r="I6" s="12" t="s">
        <v>231</v>
      </c>
      <c r="K6" s="12" t="s">
        <v>1190</v>
      </c>
      <c r="L6" s="12" t="s">
        <v>1192</v>
      </c>
    </row>
    <row r="7" spans="1:12" ht="15" customHeight="1" x14ac:dyDescent="0.25">
      <c r="A7" s="12" t="s">
        <v>1183</v>
      </c>
      <c r="B7" s="12" t="s">
        <v>175</v>
      </c>
      <c r="C7" s="12" t="s">
        <v>36</v>
      </c>
      <c r="D7" s="12" t="s">
        <v>139</v>
      </c>
      <c r="F7" s="12" t="s">
        <v>156</v>
      </c>
      <c r="G7" s="12" t="s">
        <v>220</v>
      </c>
      <c r="H7" s="12" t="s">
        <v>186</v>
      </c>
      <c r="I7" s="12" t="s">
        <v>231</v>
      </c>
      <c r="K7" s="12" t="s">
        <v>1086</v>
      </c>
      <c r="L7" s="12" t="s">
        <v>1193</v>
      </c>
    </row>
    <row r="8" spans="1:12" ht="15" customHeight="1" x14ac:dyDescent="0.25">
      <c r="A8" s="12" t="s">
        <v>1183</v>
      </c>
      <c r="B8" s="12" t="s">
        <v>175</v>
      </c>
      <c r="C8" s="12" t="s">
        <v>36</v>
      </c>
      <c r="D8" s="12" t="s">
        <v>139</v>
      </c>
      <c r="F8" s="12" t="s">
        <v>156</v>
      </c>
      <c r="G8" s="12" t="s">
        <v>220</v>
      </c>
      <c r="H8" s="12" t="s">
        <v>186</v>
      </c>
      <c r="I8" s="12" t="s">
        <v>231</v>
      </c>
      <c r="K8" s="12" t="s">
        <v>1186</v>
      </c>
      <c r="L8" s="12" t="s">
        <v>1195</v>
      </c>
    </row>
    <row r="9" spans="1:12" ht="15" customHeight="1" x14ac:dyDescent="0.25">
      <c r="A9" s="12" t="s">
        <v>1183</v>
      </c>
      <c r="B9" s="12" t="s">
        <v>175</v>
      </c>
      <c r="C9" s="12" t="s">
        <v>36</v>
      </c>
      <c r="D9" s="12" t="s">
        <v>139</v>
      </c>
      <c r="F9" s="12" t="s">
        <v>156</v>
      </c>
      <c r="G9" s="12" t="s">
        <v>220</v>
      </c>
      <c r="H9" s="12" t="s">
        <v>186</v>
      </c>
      <c r="I9" s="12" t="s">
        <v>231</v>
      </c>
    </row>
    <row r="10" spans="1:12" ht="15" customHeight="1" x14ac:dyDescent="0.25">
      <c r="A10" s="12" t="s">
        <v>1183</v>
      </c>
      <c r="B10" s="12" t="s">
        <v>175</v>
      </c>
      <c r="C10" s="12" t="s">
        <v>36</v>
      </c>
      <c r="D10" s="12" t="s">
        <v>139</v>
      </c>
      <c r="F10" s="12" t="s">
        <v>156</v>
      </c>
      <c r="G10" s="12" t="s">
        <v>220</v>
      </c>
      <c r="H10" s="12" t="s">
        <v>186</v>
      </c>
      <c r="I10" s="12" t="s">
        <v>231</v>
      </c>
    </row>
    <row r="11" spans="1:12" ht="15" customHeight="1" x14ac:dyDescent="0.25">
      <c r="A11" s="12" t="s">
        <v>1183</v>
      </c>
      <c r="B11" s="12" t="s">
        <v>175</v>
      </c>
      <c r="C11" s="12" t="s">
        <v>36</v>
      </c>
      <c r="D11" s="12" t="s">
        <v>139</v>
      </c>
      <c r="F11" s="12" t="s">
        <v>156</v>
      </c>
      <c r="G11" s="12" t="s">
        <v>220</v>
      </c>
      <c r="H11" s="12" t="s">
        <v>186</v>
      </c>
      <c r="I11" s="12" t="s">
        <v>231</v>
      </c>
    </row>
    <row r="12" spans="1:12" ht="15" customHeight="1" x14ac:dyDescent="0.25">
      <c r="A12" s="12" t="s">
        <v>1183</v>
      </c>
      <c r="B12" s="12" t="s">
        <v>175</v>
      </c>
      <c r="C12" s="12" t="s">
        <v>36</v>
      </c>
      <c r="D12" s="12" t="s">
        <v>139</v>
      </c>
      <c r="F12" s="12" t="s">
        <v>156</v>
      </c>
      <c r="G12" s="12" t="s">
        <v>220</v>
      </c>
      <c r="H12" s="12" t="s">
        <v>186</v>
      </c>
      <c r="I12" s="12" t="s">
        <v>231</v>
      </c>
    </row>
    <row r="13" spans="1:12" ht="15" customHeight="1" x14ac:dyDescent="0.25">
      <c r="A13" s="12" t="s">
        <v>1183</v>
      </c>
      <c r="B13" s="12" t="s">
        <v>175</v>
      </c>
      <c r="C13" s="12" t="s">
        <v>36</v>
      </c>
      <c r="D13" s="12" t="s">
        <v>139</v>
      </c>
      <c r="F13" s="12" t="s">
        <v>156</v>
      </c>
      <c r="G13" s="12" t="s">
        <v>220</v>
      </c>
      <c r="H13" s="12" t="s">
        <v>186</v>
      </c>
      <c r="I13" s="12" t="s">
        <v>231</v>
      </c>
    </row>
    <row r="14" spans="1:12" ht="15" customHeight="1" x14ac:dyDescent="0.25">
      <c r="A14" s="12" t="s">
        <v>1183</v>
      </c>
      <c r="B14" s="12" t="s">
        <v>175</v>
      </c>
      <c r="C14" s="12" t="s">
        <v>36</v>
      </c>
      <c r="D14" s="12" t="s">
        <v>139</v>
      </c>
      <c r="F14" s="12" t="s">
        <v>1203</v>
      </c>
      <c r="G14" s="12" t="s">
        <v>220</v>
      </c>
      <c r="H14" s="12" t="s">
        <v>186</v>
      </c>
      <c r="I14" s="12" t="s">
        <v>231</v>
      </c>
    </row>
    <row r="15" spans="1:12" ht="15" customHeight="1" x14ac:dyDescent="0.25">
      <c r="A15" s="12" t="s">
        <v>1183</v>
      </c>
      <c r="B15" s="12" t="s">
        <v>175</v>
      </c>
      <c r="C15" s="12" t="s">
        <v>36</v>
      </c>
      <c r="D15" s="12" t="s">
        <v>139</v>
      </c>
      <c r="F15" s="12" t="s">
        <v>1203</v>
      </c>
      <c r="G15" s="12" t="s">
        <v>220</v>
      </c>
      <c r="H15" s="12" t="s">
        <v>186</v>
      </c>
      <c r="I15" s="12" t="s">
        <v>231</v>
      </c>
    </row>
    <row r="16" spans="1:12" ht="15" customHeight="1" x14ac:dyDescent="0.25">
      <c r="A16" s="12" t="s">
        <v>1183</v>
      </c>
      <c r="B16" s="12" t="s">
        <v>175</v>
      </c>
      <c r="C16" s="12" t="s">
        <v>36</v>
      </c>
      <c r="D16" s="12" t="s">
        <v>139</v>
      </c>
      <c r="F16" s="12" t="s">
        <v>156</v>
      </c>
      <c r="G16" s="12" t="s">
        <v>220</v>
      </c>
      <c r="H16" s="12" t="s">
        <v>186</v>
      </c>
      <c r="I16" s="12" t="s">
        <v>231</v>
      </c>
    </row>
    <row r="17" spans="1:9" ht="15" customHeight="1" x14ac:dyDescent="0.25">
      <c r="A17" s="12" t="s">
        <v>1183</v>
      </c>
      <c r="B17" s="12" t="s">
        <v>175</v>
      </c>
      <c r="C17" s="12" t="s">
        <v>36</v>
      </c>
      <c r="D17" s="12" t="s">
        <v>139</v>
      </c>
      <c r="F17" s="12" t="s">
        <v>156</v>
      </c>
      <c r="G17" s="12" t="s">
        <v>220</v>
      </c>
      <c r="H17" s="12" t="s">
        <v>186</v>
      </c>
      <c r="I17" s="12" t="s">
        <v>231</v>
      </c>
    </row>
    <row r="18" spans="1:9" ht="15" customHeight="1" x14ac:dyDescent="0.25">
      <c r="A18" s="12" t="s">
        <v>1183</v>
      </c>
      <c r="B18" s="12" t="s">
        <v>175</v>
      </c>
      <c r="C18" s="12" t="s">
        <v>36</v>
      </c>
      <c r="D18" s="12" t="s">
        <v>139</v>
      </c>
      <c r="F18" s="12" t="s">
        <v>156</v>
      </c>
      <c r="G18" s="12" t="s">
        <v>220</v>
      </c>
      <c r="H18" s="12" t="s">
        <v>186</v>
      </c>
      <c r="I18" s="12" t="s">
        <v>231</v>
      </c>
    </row>
    <row r="19" spans="1:9" ht="15" customHeight="1" x14ac:dyDescent="0.25">
      <c r="A19" s="12" t="s">
        <v>1183</v>
      </c>
      <c r="B19" s="12" t="s">
        <v>175</v>
      </c>
      <c r="C19" s="12" t="s">
        <v>36</v>
      </c>
      <c r="D19" s="12" t="s">
        <v>139</v>
      </c>
      <c r="F19" s="12" t="s">
        <v>156</v>
      </c>
      <c r="G19" s="12" t="s">
        <v>220</v>
      </c>
      <c r="H19" s="12" t="s">
        <v>186</v>
      </c>
      <c r="I19" s="12" t="s">
        <v>231</v>
      </c>
    </row>
    <row r="20" spans="1:9" ht="15" customHeight="1" x14ac:dyDescent="0.25">
      <c r="A20" s="12" t="s">
        <v>1183</v>
      </c>
      <c r="B20" s="12" t="s">
        <v>175</v>
      </c>
      <c r="C20" s="12" t="s">
        <v>36</v>
      </c>
      <c r="D20" s="12" t="s">
        <v>139</v>
      </c>
      <c r="F20" s="12" t="s">
        <v>156</v>
      </c>
      <c r="G20" s="12" t="s">
        <v>220</v>
      </c>
      <c r="H20" s="12" t="s">
        <v>186</v>
      </c>
      <c r="I20" s="12" t="s">
        <v>1210</v>
      </c>
    </row>
    <row r="21" spans="1:9" ht="15" customHeight="1" x14ac:dyDescent="0.25">
      <c r="A21" s="12" t="s">
        <v>1183</v>
      </c>
      <c r="B21" s="12" t="s">
        <v>175</v>
      </c>
      <c r="C21" s="12" t="s">
        <v>36</v>
      </c>
      <c r="D21" s="12" t="s">
        <v>139</v>
      </c>
      <c r="F21" s="12" t="s">
        <v>156</v>
      </c>
      <c r="G21" s="12" t="s">
        <v>220</v>
      </c>
      <c r="H21" s="12" t="s">
        <v>186</v>
      </c>
      <c r="I21" s="12" t="s">
        <v>231</v>
      </c>
    </row>
    <row r="22" spans="1:9" ht="15" customHeight="1" x14ac:dyDescent="0.25">
      <c r="A22" s="12" t="s">
        <v>1183</v>
      </c>
      <c r="B22" s="12" t="s">
        <v>175</v>
      </c>
      <c r="C22" s="12" t="s">
        <v>36</v>
      </c>
      <c r="D22" s="12" t="s">
        <v>139</v>
      </c>
      <c r="F22" s="12" t="s">
        <v>156</v>
      </c>
      <c r="G22" s="12" t="s">
        <v>220</v>
      </c>
      <c r="H22" s="12" t="s">
        <v>186</v>
      </c>
      <c r="I22" s="12" t="s">
        <v>1213</v>
      </c>
    </row>
    <row r="23" spans="1:9" ht="15" customHeight="1" x14ac:dyDescent="0.25">
      <c r="A23" s="12" t="s">
        <v>1183</v>
      </c>
      <c r="B23" s="12" t="s">
        <v>175</v>
      </c>
      <c r="C23" s="12" t="s">
        <v>36</v>
      </c>
      <c r="D23" s="12" t="s">
        <v>139</v>
      </c>
      <c r="F23" s="12" t="s">
        <v>156</v>
      </c>
      <c r="G23" s="12" t="s">
        <v>220</v>
      </c>
      <c r="H23" s="12" t="s">
        <v>186</v>
      </c>
      <c r="I23" s="12" t="s">
        <v>231</v>
      </c>
    </row>
    <row r="24" spans="1:9" ht="15" customHeight="1" x14ac:dyDescent="0.25">
      <c r="A24" s="12" t="s">
        <v>1183</v>
      </c>
      <c r="B24" s="12" t="s">
        <v>175</v>
      </c>
      <c r="C24" s="12" t="s">
        <v>36</v>
      </c>
      <c r="D24" s="12" t="s">
        <v>139</v>
      </c>
      <c r="F24" s="12" t="s">
        <v>156</v>
      </c>
      <c r="G24" s="12" t="s">
        <v>220</v>
      </c>
      <c r="H24" s="12" t="s">
        <v>186</v>
      </c>
      <c r="I24" s="12" t="s">
        <v>231</v>
      </c>
    </row>
    <row r="25" spans="1:9" ht="15" customHeight="1" x14ac:dyDescent="0.25">
      <c r="A25" s="12" t="s">
        <v>1183</v>
      </c>
      <c r="B25" s="12" t="s">
        <v>175</v>
      </c>
      <c r="C25" s="12" t="s">
        <v>36</v>
      </c>
      <c r="D25" s="12" t="s">
        <v>139</v>
      </c>
      <c r="F25" s="12" t="s">
        <v>156</v>
      </c>
      <c r="G25" s="12" t="s">
        <v>220</v>
      </c>
      <c r="H25" s="12" t="s">
        <v>186</v>
      </c>
      <c r="I25" s="12" t="s">
        <v>231</v>
      </c>
    </row>
    <row r="26" spans="1:9" ht="15" customHeight="1" x14ac:dyDescent="0.25">
      <c r="A26" s="12" t="s">
        <v>1183</v>
      </c>
      <c r="B26" s="12" t="s">
        <v>175</v>
      </c>
      <c r="C26" s="12" t="s">
        <v>36</v>
      </c>
      <c r="D26" s="12" t="s">
        <v>139</v>
      </c>
      <c r="F26" s="12" t="s">
        <v>156</v>
      </c>
      <c r="G26" s="12" t="s">
        <v>220</v>
      </c>
      <c r="H26" s="12" t="s">
        <v>186</v>
      </c>
      <c r="I26" s="12" t="s">
        <v>231</v>
      </c>
    </row>
    <row r="27" spans="1:9" ht="15" customHeight="1" x14ac:dyDescent="0.25">
      <c r="A27" s="12" t="s">
        <v>1183</v>
      </c>
      <c r="B27" s="12" t="s">
        <v>175</v>
      </c>
      <c r="C27" s="12" t="s">
        <v>36</v>
      </c>
      <c r="D27" s="12" t="s">
        <v>139</v>
      </c>
      <c r="F27" s="12" t="s">
        <v>156</v>
      </c>
      <c r="G27" s="12" t="s">
        <v>220</v>
      </c>
      <c r="H27" s="12" t="s">
        <v>186</v>
      </c>
      <c r="I27" s="12" t="s">
        <v>231</v>
      </c>
    </row>
    <row r="28" spans="1:9" ht="15" customHeight="1" x14ac:dyDescent="0.25">
      <c r="A28" s="12" t="s">
        <v>1183</v>
      </c>
      <c r="B28" s="12" t="s">
        <v>175</v>
      </c>
      <c r="C28" s="12" t="s">
        <v>36</v>
      </c>
      <c r="D28" s="12" t="s">
        <v>139</v>
      </c>
      <c r="F28" s="12" t="s">
        <v>156</v>
      </c>
      <c r="G28" s="12" t="s">
        <v>220</v>
      </c>
      <c r="H28" s="12" t="s">
        <v>186</v>
      </c>
      <c r="I28" s="12" t="s">
        <v>1221</v>
      </c>
    </row>
    <row r="29" spans="1:9" ht="15" customHeight="1" x14ac:dyDescent="0.25">
      <c r="A29" s="12" t="s">
        <v>1183</v>
      </c>
      <c r="B29" s="12" t="s">
        <v>175</v>
      </c>
      <c r="C29" s="12" t="s">
        <v>36</v>
      </c>
      <c r="D29" s="12" t="s">
        <v>139</v>
      </c>
      <c r="F29" s="12" t="s">
        <v>156</v>
      </c>
      <c r="G29" s="12" t="s">
        <v>220</v>
      </c>
      <c r="H29" s="12" t="s">
        <v>186</v>
      </c>
      <c r="I29" s="12" t="s">
        <v>231</v>
      </c>
    </row>
    <row r="30" spans="1:9" ht="13.2" x14ac:dyDescent="0.25">
      <c r="A30" s="12" t="s">
        <v>1183</v>
      </c>
      <c r="B30" s="12" t="s">
        <v>175</v>
      </c>
      <c r="C30" s="12" t="s">
        <v>36</v>
      </c>
      <c r="D30" s="12" t="s">
        <v>139</v>
      </c>
      <c r="F30" s="12" t="s">
        <v>156</v>
      </c>
      <c r="G30" s="12" t="s">
        <v>220</v>
      </c>
      <c r="H30" s="12" t="s">
        <v>186</v>
      </c>
      <c r="I30" s="12" t="s">
        <v>231</v>
      </c>
    </row>
    <row r="31" spans="1:9" ht="13.2" x14ac:dyDescent="0.25">
      <c r="A31" s="12" t="s">
        <v>1183</v>
      </c>
      <c r="B31" s="12" t="s">
        <v>175</v>
      </c>
      <c r="C31" s="12" t="s">
        <v>36</v>
      </c>
      <c r="D31" s="12" t="s">
        <v>139</v>
      </c>
      <c r="F31" s="12" t="s">
        <v>156</v>
      </c>
      <c r="G31" s="12" t="s">
        <v>220</v>
      </c>
      <c r="H31" s="12" t="s">
        <v>186</v>
      </c>
      <c r="I31" s="12" t="s">
        <v>1226</v>
      </c>
    </row>
    <row r="32" spans="1:9" ht="13.2" x14ac:dyDescent="0.25">
      <c r="A32" s="12" t="s">
        <v>1183</v>
      </c>
      <c r="B32" s="12" t="s">
        <v>175</v>
      </c>
      <c r="C32" s="12" t="s">
        <v>36</v>
      </c>
      <c r="D32" s="12" t="s">
        <v>139</v>
      </c>
      <c r="G32" s="12" t="s">
        <v>220</v>
      </c>
      <c r="H32" s="12" t="s">
        <v>186</v>
      </c>
      <c r="I32" s="12" t="s">
        <v>1227</v>
      </c>
    </row>
    <row r="33" spans="1:9" ht="13.2" x14ac:dyDescent="0.25">
      <c r="A33" s="12" t="s">
        <v>1183</v>
      </c>
      <c r="B33" s="12" t="s">
        <v>175</v>
      </c>
      <c r="C33" s="12" t="s">
        <v>36</v>
      </c>
      <c r="D33" s="12" t="s">
        <v>139</v>
      </c>
      <c r="G33" s="12" t="s">
        <v>220</v>
      </c>
      <c r="H33" s="12" t="s">
        <v>186</v>
      </c>
      <c r="I33" s="12" t="s">
        <v>231</v>
      </c>
    </row>
    <row r="34" spans="1:9" ht="13.2" x14ac:dyDescent="0.25">
      <c r="A34" s="12" t="s">
        <v>1183</v>
      </c>
      <c r="B34" s="12" t="s">
        <v>175</v>
      </c>
      <c r="C34" s="12" t="s">
        <v>36</v>
      </c>
      <c r="D34" s="12" t="s">
        <v>139</v>
      </c>
      <c r="G34" s="12" t="s">
        <v>220</v>
      </c>
      <c r="H34" s="12" t="s">
        <v>186</v>
      </c>
      <c r="I34" s="12" t="s">
        <v>231</v>
      </c>
    </row>
    <row r="35" spans="1:9" ht="13.2" x14ac:dyDescent="0.25">
      <c r="A35" s="12" t="s">
        <v>1183</v>
      </c>
      <c r="B35" s="12" t="s">
        <v>175</v>
      </c>
      <c r="C35" s="12" t="s">
        <v>36</v>
      </c>
      <c r="D35" s="12" t="s">
        <v>139</v>
      </c>
      <c r="G35" s="12" t="s">
        <v>220</v>
      </c>
      <c r="H35" s="12" t="s">
        <v>186</v>
      </c>
      <c r="I35" s="12" t="s">
        <v>231</v>
      </c>
    </row>
    <row r="36" spans="1:9" ht="13.2" x14ac:dyDescent="0.25">
      <c r="A36" s="12" t="s">
        <v>1183</v>
      </c>
      <c r="B36" s="12" t="s">
        <v>175</v>
      </c>
      <c r="C36" s="12" t="s">
        <v>36</v>
      </c>
      <c r="D36" s="12" t="s">
        <v>139</v>
      </c>
      <c r="G36" s="12" t="s">
        <v>220</v>
      </c>
      <c r="H36" s="12" t="s">
        <v>186</v>
      </c>
      <c r="I36" s="12" t="s">
        <v>1233</v>
      </c>
    </row>
    <row r="37" spans="1:9" ht="13.2" x14ac:dyDescent="0.25">
      <c r="A37" s="12" t="s">
        <v>1183</v>
      </c>
      <c r="B37" s="12" t="s">
        <v>175</v>
      </c>
      <c r="C37" s="12" t="s">
        <v>36</v>
      </c>
      <c r="D37" s="12" t="s">
        <v>139</v>
      </c>
      <c r="G37" s="12" t="s">
        <v>220</v>
      </c>
      <c r="H37" s="12" t="s">
        <v>186</v>
      </c>
    </row>
    <row r="38" spans="1:9" ht="13.2" x14ac:dyDescent="0.25">
      <c r="A38" s="12" t="s">
        <v>1183</v>
      </c>
      <c r="B38" s="12" t="s">
        <v>175</v>
      </c>
      <c r="C38" s="12" t="s">
        <v>36</v>
      </c>
      <c r="D38" s="12" t="s">
        <v>139</v>
      </c>
      <c r="G38" s="12" t="s">
        <v>220</v>
      </c>
      <c r="H38" s="12" t="s">
        <v>186</v>
      </c>
    </row>
    <row r="39" spans="1:9" ht="13.2" x14ac:dyDescent="0.25">
      <c r="A39" s="12" t="s">
        <v>1183</v>
      </c>
      <c r="B39" s="12" t="s">
        <v>175</v>
      </c>
      <c r="C39" s="12" t="s">
        <v>36</v>
      </c>
      <c r="D39" s="12" t="s">
        <v>139</v>
      </c>
      <c r="G39" s="12" t="s">
        <v>220</v>
      </c>
      <c r="H39" s="12" t="s">
        <v>186</v>
      </c>
    </row>
    <row r="40" spans="1:9" ht="13.2" x14ac:dyDescent="0.25">
      <c r="A40" s="12" t="s">
        <v>1183</v>
      </c>
      <c r="B40" s="12" t="s">
        <v>175</v>
      </c>
      <c r="C40" s="12" t="s">
        <v>36</v>
      </c>
      <c r="D40" s="12" t="s">
        <v>139</v>
      </c>
      <c r="G40" s="12" t="s">
        <v>220</v>
      </c>
      <c r="H40" s="12" t="s">
        <v>186</v>
      </c>
    </row>
    <row r="41" spans="1:9" ht="13.2" x14ac:dyDescent="0.25">
      <c r="A41" s="12" t="s">
        <v>1183</v>
      </c>
      <c r="B41" s="12" t="s">
        <v>175</v>
      </c>
      <c r="C41" s="12" t="s">
        <v>36</v>
      </c>
      <c r="D41" s="12" t="s">
        <v>139</v>
      </c>
      <c r="G41" s="12" t="s">
        <v>220</v>
      </c>
      <c r="H41" s="12" t="s">
        <v>186</v>
      </c>
    </row>
    <row r="42" spans="1:9" ht="13.2" x14ac:dyDescent="0.25">
      <c r="A42" s="12" t="s">
        <v>1183</v>
      </c>
      <c r="B42" s="12" t="s">
        <v>175</v>
      </c>
      <c r="C42" s="12" t="s">
        <v>36</v>
      </c>
      <c r="D42" s="12" t="s">
        <v>139</v>
      </c>
      <c r="G42" s="12" t="s">
        <v>220</v>
      </c>
      <c r="H42" s="12" t="s">
        <v>186</v>
      </c>
    </row>
    <row r="43" spans="1:9" ht="13.2" x14ac:dyDescent="0.25">
      <c r="A43" s="12" t="s">
        <v>1183</v>
      </c>
      <c r="B43" s="12" t="s">
        <v>175</v>
      </c>
      <c r="C43" s="12" t="s">
        <v>36</v>
      </c>
      <c r="D43" s="12" t="s">
        <v>139</v>
      </c>
      <c r="G43" s="12" t="s">
        <v>220</v>
      </c>
      <c r="H43" s="12" t="s">
        <v>186</v>
      </c>
    </row>
    <row r="44" spans="1:9" ht="13.2" x14ac:dyDescent="0.25">
      <c r="A44" s="12" t="s">
        <v>1183</v>
      </c>
      <c r="B44" s="12" t="s">
        <v>175</v>
      </c>
      <c r="C44" s="12" t="s">
        <v>36</v>
      </c>
      <c r="D44" s="12" t="s">
        <v>139</v>
      </c>
      <c r="G44" s="12" t="s">
        <v>220</v>
      </c>
      <c r="H44" s="12" t="s">
        <v>186</v>
      </c>
    </row>
    <row r="45" spans="1:9" ht="13.2" x14ac:dyDescent="0.25">
      <c r="A45" s="12" t="s">
        <v>1183</v>
      </c>
      <c r="B45" s="12" t="s">
        <v>175</v>
      </c>
      <c r="C45" s="12" t="s">
        <v>36</v>
      </c>
      <c r="D45" s="12" t="s">
        <v>139</v>
      </c>
      <c r="G45" s="12" t="s">
        <v>220</v>
      </c>
      <c r="H45" s="12" t="s">
        <v>186</v>
      </c>
    </row>
    <row r="46" spans="1:9" ht="13.2" x14ac:dyDescent="0.25">
      <c r="A46" s="12" t="s">
        <v>1183</v>
      </c>
      <c r="B46" s="12" t="s">
        <v>175</v>
      </c>
      <c r="C46" s="12" t="s">
        <v>36</v>
      </c>
      <c r="D46" s="12" t="s">
        <v>139</v>
      </c>
      <c r="G46" s="12" t="s">
        <v>220</v>
      </c>
      <c r="H46" s="12" t="s">
        <v>186</v>
      </c>
    </row>
    <row r="47" spans="1:9" ht="13.2" x14ac:dyDescent="0.25">
      <c r="A47" s="12" t="s">
        <v>1183</v>
      </c>
      <c r="B47" s="12" t="s">
        <v>175</v>
      </c>
      <c r="C47" s="12" t="s">
        <v>36</v>
      </c>
      <c r="D47" s="12" t="s">
        <v>139</v>
      </c>
      <c r="G47" s="12" t="s">
        <v>220</v>
      </c>
      <c r="H47" s="12" t="s">
        <v>186</v>
      </c>
    </row>
    <row r="48" spans="1:9" ht="13.2" x14ac:dyDescent="0.25">
      <c r="A48" s="12" t="s">
        <v>1183</v>
      </c>
      <c r="B48" s="12" t="s">
        <v>175</v>
      </c>
      <c r="C48" s="12" t="s">
        <v>36</v>
      </c>
      <c r="D48" s="12" t="s">
        <v>139</v>
      </c>
      <c r="G48" s="12" t="s">
        <v>220</v>
      </c>
      <c r="H48" s="12" t="s">
        <v>186</v>
      </c>
    </row>
    <row r="49" spans="1:8" ht="13.2" x14ac:dyDescent="0.25">
      <c r="A49" s="12" t="s">
        <v>1183</v>
      </c>
      <c r="B49" s="12" t="s">
        <v>175</v>
      </c>
      <c r="C49" s="12" t="s">
        <v>36</v>
      </c>
      <c r="D49" s="12" t="s">
        <v>139</v>
      </c>
      <c r="G49" s="12" t="s">
        <v>220</v>
      </c>
      <c r="H49" s="12" t="s">
        <v>186</v>
      </c>
    </row>
    <row r="50" spans="1:8" ht="13.2" x14ac:dyDescent="0.25">
      <c r="A50" s="12" t="s">
        <v>1183</v>
      </c>
      <c r="B50" s="12" t="s">
        <v>175</v>
      </c>
      <c r="C50" s="12" t="s">
        <v>36</v>
      </c>
      <c r="D50" s="12" t="s">
        <v>139</v>
      </c>
      <c r="G50" s="12" t="s">
        <v>220</v>
      </c>
      <c r="H50" s="12" t="s">
        <v>186</v>
      </c>
    </row>
    <row r="51" spans="1:8" ht="13.2" x14ac:dyDescent="0.25">
      <c r="A51" s="12" t="s">
        <v>1183</v>
      </c>
      <c r="B51" s="12" t="s">
        <v>175</v>
      </c>
      <c r="C51" s="12" t="s">
        <v>36</v>
      </c>
      <c r="D51" s="12" t="s">
        <v>139</v>
      </c>
      <c r="H51" s="12" t="s">
        <v>186</v>
      </c>
    </row>
    <row r="52" spans="1:8" ht="13.2" x14ac:dyDescent="0.25">
      <c r="A52" s="12" t="s">
        <v>1183</v>
      </c>
      <c r="B52" s="12" t="s">
        <v>175</v>
      </c>
      <c r="C52" s="12" t="s">
        <v>36</v>
      </c>
      <c r="D52" s="12" t="s">
        <v>139</v>
      </c>
      <c r="H52" s="12" t="s">
        <v>186</v>
      </c>
    </row>
    <row r="53" spans="1:8" ht="13.2" x14ac:dyDescent="0.25">
      <c r="A53" s="12" t="s">
        <v>1183</v>
      </c>
      <c r="B53" s="12" t="s">
        <v>175</v>
      </c>
      <c r="C53" s="12" t="s">
        <v>36</v>
      </c>
      <c r="D53" s="12" t="s">
        <v>139</v>
      </c>
      <c r="H53" s="12" t="s">
        <v>186</v>
      </c>
    </row>
    <row r="54" spans="1:8" ht="13.2" x14ac:dyDescent="0.25">
      <c r="A54" s="12" t="s">
        <v>1183</v>
      </c>
      <c r="B54" s="12" t="s">
        <v>175</v>
      </c>
      <c r="C54" s="12" t="s">
        <v>36</v>
      </c>
      <c r="D54" s="12" t="s">
        <v>139</v>
      </c>
      <c r="H54" s="12" t="s">
        <v>186</v>
      </c>
    </row>
    <row r="55" spans="1:8" ht="13.2" x14ac:dyDescent="0.25">
      <c r="A55" s="12" t="s">
        <v>1183</v>
      </c>
      <c r="B55" s="12" t="s">
        <v>175</v>
      </c>
      <c r="C55" s="12" t="s">
        <v>36</v>
      </c>
      <c r="D55" s="12" t="s">
        <v>139</v>
      </c>
      <c r="H55" s="12" t="s">
        <v>186</v>
      </c>
    </row>
    <row r="56" spans="1:8" ht="13.2" x14ac:dyDescent="0.25">
      <c r="A56" s="12" t="s">
        <v>1183</v>
      </c>
      <c r="B56" s="12" t="s">
        <v>175</v>
      </c>
      <c r="C56" s="12" t="s">
        <v>36</v>
      </c>
      <c r="D56" s="12" t="s">
        <v>139</v>
      </c>
      <c r="H56" s="12" t="s">
        <v>186</v>
      </c>
    </row>
    <row r="57" spans="1:8" ht="13.2" x14ac:dyDescent="0.25">
      <c r="B57" s="12" t="s">
        <v>175</v>
      </c>
      <c r="C57" s="12" t="s">
        <v>36</v>
      </c>
      <c r="D57" s="12" t="s">
        <v>139</v>
      </c>
      <c r="H57" s="12" t="s">
        <v>186</v>
      </c>
    </row>
    <row r="58" spans="1:8" ht="13.2" x14ac:dyDescent="0.25">
      <c r="B58" s="12" t="s">
        <v>175</v>
      </c>
      <c r="C58" s="12" t="s">
        <v>36</v>
      </c>
      <c r="D58" s="12" t="s">
        <v>139</v>
      </c>
      <c r="H58" s="12" t="s">
        <v>186</v>
      </c>
    </row>
    <row r="59" spans="1:8" ht="13.2" x14ac:dyDescent="0.25">
      <c r="B59" s="12" t="s">
        <v>175</v>
      </c>
      <c r="C59" s="12" t="s">
        <v>36</v>
      </c>
      <c r="D59" s="12" t="s">
        <v>139</v>
      </c>
      <c r="H59" s="12" t="s">
        <v>186</v>
      </c>
    </row>
    <row r="60" spans="1:8" ht="13.2" x14ac:dyDescent="0.25">
      <c r="B60" s="12" t="s">
        <v>175</v>
      </c>
      <c r="C60" s="12" t="s">
        <v>36</v>
      </c>
      <c r="D60" s="12" t="s">
        <v>139</v>
      </c>
      <c r="H60" s="12" t="s">
        <v>186</v>
      </c>
    </row>
    <row r="61" spans="1:8" ht="13.2" x14ac:dyDescent="0.25">
      <c r="B61" s="12" t="s">
        <v>175</v>
      </c>
      <c r="C61" s="12" t="s">
        <v>36</v>
      </c>
      <c r="D61" s="12" t="s">
        <v>139</v>
      </c>
      <c r="H61" s="12" t="s">
        <v>186</v>
      </c>
    </row>
    <row r="62" spans="1:8" ht="13.2" x14ac:dyDescent="0.25">
      <c r="B62" s="12" t="s">
        <v>175</v>
      </c>
      <c r="C62" s="12" t="s">
        <v>36</v>
      </c>
      <c r="H62" s="12" t="s">
        <v>186</v>
      </c>
    </row>
    <row r="63" spans="1:8" ht="13.2" x14ac:dyDescent="0.25">
      <c r="B63" s="12" t="s">
        <v>175</v>
      </c>
      <c r="C63" s="12" t="s">
        <v>36</v>
      </c>
      <c r="H63" s="12" t="s">
        <v>186</v>
      </c>
    </row>
    <row r="64" spans="1:8" ht="13.2" x14ac:dyDescent="0.25">
      <c r="B64" s="12" t="s">
        <v>175</v>
      </c>
      <c r="C64" s="12" t="s">
        <v>36</v>
      </c>
      <c r="H64" s="12" t="s">
        <v>186</v>
      </c>
    </row>
    <row r="65" spans="2:8" ht="13.2" x14ac:dyDescent="0.25">
      <c r="B65" s="12" t="s">
        <v>175</v>
      </c>
      <c r="C65" s="12" t="s">
        <v>36</v>
      </c>
      <c r="H65" s="12" t="s">
        <v>186</v>
      </c>
    </row>
    <row r="66" spans="2:8" ht="13.2" x14ac:dyDescent="0.25">
      <c r="B66" s="12" t="s">
        <v>175</v>
      </c>
      <c r="C66" s="12" t="s">
        <v>36</v>
      </c>
      <c r="H66" s="12" t="s">
        <v>186</v>
      </c>
    </row>
    <row r="67" spans="2:8" ht="13.2" x14ac:dyDescent="0.25">
      <c r="B67" s="12" t="s">
        <v>175</v>
      </c>
      <c r="C67" s="12" t="s">
        <v>36</v>
      </c>
      <c r="H67" s="12" t="s">
        <v>186</v>
      </c>
    </row>
    <row r="68" spans="2:8" ht="13.2" x14ac:dyDescent="0.25">
      <c r="B68" s="12" t="s">
        <v>175</v>
      </c>
      <c r="C68" s="12" t="s">
        <v>36</v>
      </c>
      <c r="H68" s="12" t="s">
        <v>186</v>
      </c>
    </row>
    <row r="69" spans="2:8" ht="13.2" x14ac:dyDescent="0.25">
      <c r="B69" s="12" t="s">
        <v>175</v>
      </c>
      <c r="C69" s="12" t="s">
        <v>36</v>
      </c>
      <c r="H69" s="12" t="s">
        <v>186</v>
      </c>
    </row>
    <row r="70" spans="2:8" ht="13.2" x14ac:dyDescent="0.25">
      <c r="B70" s="12" t="s">
        <v>175</v>
      </c>
      <c r="C70" s="12" t="s">
        <v>36</v>
      </c>
      <c r="H70" s="12" t="s">
        <v>186</v>
      </c>
    </row>
    <row r="71" spans="2:8" ht="13.2" x14ac:dyDescent="0.25">
      <c r="B71" s="12" t="s">
        <v>175</v>
      </c>
      <c r="C71" s="12" t="s">
        <v>36</v>
      </c>
      <c r="H71" s="12" t="s">
        <v>186</v>
      </c>
    </row>
    <row r="72" spans="2:8" ht="13.2" x14ac:dyDescent="0.25">
      <c r="B72" s="12" t="s">
        <v>175</v>
      </c>
      <c r="C72" s="12" t="s">
        <v>36</v>
      </c>
      <c r="H72" s="12" t="s">
        <v>186</v>
      </c>
    </row>
    <row r="73" spans="2:8" ht="13.2" x14ac:dyDescent="0.25">
      <c r="B73" s="12" t="s">
        <v>175</v>
      </c>
      <c r="C73" s="12" t="s">
        <v>36</v>
      </c>
      <c r="H73" s="12" t="s">
        <v>186</v>
      </c>
    </row>
    <row r="74" spans="2:8" ht="13.2" x14ac:dyDescent="0.25">
      <c r="B74" s="12" t="s">
        <v>175</v>
      </c>
      <c r="C74" s="12" t="s">
        <v>36</v>
      </c>
      <c r="H74" s="12" t="s">
        <v>186</v>
      </c>
    </row>
    <row r="75" spans="2:8" ht="13.2" x14ac:dyDescent="0.25">
      <c r="B75" s="12" t="s">
        <v>175</v>
      </c>
      <c r="C75" s="12" t="s">
        <v>36</v>
      </c>
      <c r="H75" s="12" t="s">
        <v>186</v>
      </c>
    </row>
    <row r="76" spans="2:8" ht="13.2" x14ac:dyDescent="0.25">
      <c r="B76" s="12" t="s">
        <v>175</v>
      </c>
      <c r="C76" s="12" t="s">
        <v>36</v>
      </c>
      <c r="H76" s="12" t="s">
        <v>186</v>
      </c>
    </row>
    <row r="77" spans="2:8" ht="13.2" x14ac:dyDescent="0.25">
      <c r="B77" s="12" t="s">
        <v>175</v>
      </c>
      <c r="C77" s="12" t="s">
        <v>36</v>
      </c>
    </row>
    <row r="78" spans="2:8" ht="13.2" x14ac:dyDescent="0.25">
      <c r="B78" s="12" t="s">
        <v>175</v>
      </c>
      <c r="C78" s="12" t="s">
        <v>36</v>
      </c>
    </row>
    <row r="79" spans="2:8" ht="13.2" x14ac:dyDescent="0.25">
      <c r="B79" s="12" t="s">
        <v>175</v>
      </c>
      <c r="C79" s="12" t="s">
        <v>36</v>
      </c>
    </row>
    <row r="80" spans="2:8" ht="13.2" x14ac:dyDescent="0.25">
      <c r="B80" s="12" t="s">
        <v>175</v>
      </c>
      <c r="C80" s="12" t="s">
        <v>36</v>
      </c>
    </row>
    <row r="81" spans="2:3" ht="13.2" x14ac:dyDescent="0.25">
      <c r="B81" s="12" t="s">
        <v>175</v>
      </c>
      <c r="C81" s="12" t="s">
        <v>36</v>
      </c>
    </row>
    <row r="82" spans="2:3" ht="13.2" x14ac:dyDescent="0.25">
      <c r="B82" s="12" t="s">
        <v>175</v>
      </c>
      <c r="C82" s="12" t="s">
        <v>36</v>
      </c>
    </row>
    <row r="83" spans="2:3" ht="13.2" x14ac:dyDescent="0.25">
      <c r="B83" s="12" t="s">
        <v>175</v>
      </c>
      <c r="C83" s="12" t="s">
        <v>36</v>
      </c>
    </row>
    <row r="84" spans="2:3" ht="13.2" x14ac:dyDescent="0.25">
      <c r="B84" s="12" t="s">
        <v>175</v>
      </c>
      <c r="C84" s="12" t="s">
        <v>36</v>
      </c>
    </row>
    <row r="85" spans="2:3" ht="13.2" x14ac:dyDescent="0.25">
      <c r="B85" s="12" t="s">
        <v>175</v>
      </c>
      <c r="C85" s="12" t="s">
        <v>36</v>
      </c>
    </row>
    <row r="86" spans="2:3" ht="13.2" x14ac:dyDescent="0.25">
      <c r="B86" s="12" t="s">
        <v>175</v>
      </c>
      <c r="C86" s="12" t="s">
        <v>36</v>
      </c>
    </row>
    <row r="87" spans="2:3" ht="13.2" x14ac:dyDescent="0.25">
      <c r="B87" s="12" t="s">
        <v>175</v>
      </c>
      <c r="C87" s="12" t="s">
        <v>36</v>
      </c>
    </row>
    <row r="88" spans="2:3" ht="13.2" x14ac:dyDescent="0.25">
      <c r="B88" s="12" t="s">
        <v>175</v>
      </c>
      <c r="C88" s="12" t="s">
        <v>36</v>
      </c>
    </row>
    <row r="89" spans="2:3" ht="13.2" x14ac:dyDescent="0.25">
      <c r="B89" s="12" t="s">
        <v>175</v>
      </c>
      <c r="C89" s="12" t="s">
        <v>36</v>
      </c>
    </row>
    <row r="90" spans="2:3" ht="13.2" x14ac:dyDescent="0.25">
      <c r="B90" s="12" t="s">
        <v>175</v>
      </c>
      <c r="C90" s="12" t="s">
        <v>36</v>
      </c>
    </row>
    <row r="91" spans="2:3" ht="13.2" x14ac:dyDescent="0.25">
      <c r="B91" s="12" t="s">
        <v>175</v>
      </c>
      <c r="C91" s="12" t="s">
        <v>36</v>
      </c>
    </row>
    <row r="92" spans="2:3" ht="13.2" x14ac:dyDescent="0.25">
      <c r="B92" s="12" t="s">
        <v>175</v>
      </c>
      <c r="C92" s="12" t="s">
        <v>36</v>
      </c>
    </row>
    <row r="93" spans="2:3" ht="13.2" x14ac:dyDescent="0.25">
      <c r="B93" s="12" t="s">
        <v>175</v>
      </c>
      <c r="C93" s="12" t="s">
        <v>36</v>
      </c>
    </row>
    <row r="94" spans="2:3" ht="13.2" x14ac:dyDescent="0.25">
      <c r="B94" s="12" t="s">
        <v>175</v>
      </c>
      <c r="C94" s="12" t="s">
        <v>36</v>
      </c>
    </row>
    <row r="95" spans="2:3" ht="13.2" x14ac:dyDescent="0.25">
      <c r="B95" s="12" t="s">
        <v>175</v>
      </c>
      <c r="C95" s="12" t="s">
        <v>36</v>
      </c>
    </row>
    <row r="96" spans="2:3" ht="13.2" x14ac:dyDescent="0.25">
      <c r="B96" s="12" t="s">
        <v>175</v>
      </c>
      <c r="C96" s="12" t="s">
        <v>36</v>
      </c>
    </row>
    <row r="97" spans="2:3" ht="13.2" x14ac:dyDescent="0.25">
      <c r="B97" s="12" t="s">
        <v>175</v>
      </c>
      <c r="C97" s="12" t="s">
        <v>36</v>
      </c>
    </row>
    <row r="98" spans="2:3" ht="13.2" x14ac:dyDescent="0.25">
      <c r="B98" s="12" t="s">
        <v>175</v>
      </c>
      <c r="C98" s="12" t="s">
        <v>36</v>
      </c>
    </row>
    <row r="99" spans="2:3" ht="13.2" x14ac:dyDescent="0.25">
      <c r="B99" s="12" t="s">
        <v>175</v>
      </c>
      <c r="C99" s="12" t="s">
        <v>36</v>
      </c>
    </row>
    <row r="100" spans="2:3" ht="13.2" x14ac:dyDescent="0.25">
      <c r="B100" s="12" t="s">
        <v>175</v>
      </c>
      <c r="C100" s="12" t="s">
        <v>36</v>
      </c>
    </row>
    <row r="101" spans="2:3" ht="13.2" x14ac:dyDescent="0.25">
      <c r="B101" s="12" t="s">
        <v>175</v>
      </c>
      <c r="C101" s="12" t="s">
        <v>36</v>
      </c>
    </row>
    <row r="102" spans="2:3" ht="13.2" x14ac:dyDescent="0.25">
      <c r="B102" s="12" t="s">
        <v>175</v>
      </c>
      <c r="C102" s="12" t="s">
        <v>36</v>
      </c>
    </row>
    <row r="103" spans="2:3" ht="13.2" x14ac:dyDescent="0.25">
      <c r="B103" s="12" t="s">
        <v>175</v>
      </c>
      <c r="C103" s="12" t="s">
        <v>36</v>
      </c>
    </row>
    <row r="104" spans="2:3" ht="13.2" x14ac:dyDescent="0.25">
      <c r="B104" s="12" t="s">
        <v>175</v>
      </c>
      <c r="C104" s="12" t="s">
        <v>36</v>
      </c>
    </row>
    <row r="105" spans="2:3" ht="13.2" x14ac:dyDescent="0.25">
      <c r="B105" s="12" t="s">
        <v>175</v>
      </c>
      <c r="C105" s="12" t="s">
        <v>36</v>
      </c>
    </row>
    <row r="106" spans="2:3" ht="13.2" x14ac:dyDescent="0.25">
      <c r="B106" s="12" t="s">
        <v>175</v>
      </c>
      <c r="C106" s="12" t="s">
        <v>36</v>
      </c>
    </row>
    <row r="107" spans="2:3" ht="13.2" x14ac:dyDescent="0.25">
      <c r="B107" s="12" t="s">
        <v>175</v>
      </c>
      <c r="C107" s="12" t="s">
        <v>36</v>
      </c>
    </row>
    <row r="108" spans="2:3" ht="13.2" x14ac:dyDescent="0.25">
      <c r="B108" s="12" t="s">
        <v>175</v>
      </c>
      <c r="C108" s="12" t="s">
        <v>36</v>
      </c>
    </row>
    <row r="109" spans="2:3" ht="13.2" x14ac:dyDescent="0.25">
      <c r="B109" s="12" t="s">
        <v>175</v>
      </c>
      <c r="C109" s="12" t="s">
        <v>36</v>
      </c>
    </row>
    <row r="110" spans="2:3" ht="13.2" x14ac:dyDescent="0.25">
      <c r="B110" s="12" t="s">
        <v>175</v>
      </c>
      <c r="C110" s="12" t="s">
        <v>36</v>
      </c>
    </row>
    <row r="111" spans="2:3" ht="13.2" x14ac:dyDescent="0.25">
      <c r="C111" s="12" t="s">
        <v>36</v>
      </c>
    </row>
    <row r="112" spans="2:3" ht="13.2" x14ac:dyDescent="0.25">
      <c r="C112" s="12" t="s">
        <v>36</v>
      </c>
    </row>
    <row r="113" spans="3:3" ht="13.2" x14ac:dyDescent="0.25">
      <c r="C113" s="12" t="s">
        <v>36</v>
      </c>
    </row>
    <row r="114" spans="3:3" ht="13.2" x14ac:dyDescent="0.25">
      <c r="C114" s="12" t="s">
        <v>36</v>
      </c>
    </row>
    <row r="115" spans="3:3" ht="13.2" x14ac:dyDescent="0.25">
      <c r="C115" s="12" t="s">
        <v>36</v>
      </c>
    </row>
    <row r="116" spans="3:3" ht="13.2" x14ac:dyDescent="0.25">
      <c r="C116" s="12" t="s">
        <v>36</v>
      </c>
    </row>
    <row r="117" spans="3:3" ht="13.2" x14ac:dyDescent="0.25">
      <c r="C117" s="12" t="s">
        <v>36</v>
      </c>
    </row>
    <row r="118" spans="3:3" ht="13.2" x14ac:dyDescent="0.25">
      <c r="C118" s="12" t="s">
        <v>36</v>
      </c>
    </row>
    <row r="119" spans="3:3" ht="13.2" x14ac:dyDescent="0.25">
      <c r="C119" s="12" t="s">
        <v>36</v>
      </c>
    </row>
    <row r="120" spans="3:3" ht="13.2" x14ac:dyDescent="0.25">
      <c r="C120" s="12" t="s">
        <v>36</v>
      </c>
    </row>
    <row r="121" spans="3:3" ht="13.2" x14ac:dyDescent="0.25">
      <c r="C121" s="12" t="s">
        <v>36</v>
      </c>
    </row>
    <row r="122" spans="3:3" ht="13.2" x14ac:dyDescent="0.25">
      <c r="C122" s="12" t="s">
        <v>36</v>
      </c>
    </row>
    <row r="123" spans="3:3" ht="13.2" x14ac:dyDescent="0.25">
      <c r="C123" s="12" t="s">
        <v>36</v>
      </c>
    </row>
    <row r="124" spans="3:3" ht="13.2" x14ac:dyDescent="0.25">
      <c r="C124" s="12" t="s">
        <v>36</v>
      </c>
    </row>
    <row r="125" spans="3:3" ht="13.2" x14ac:dyDescent="0.25">
      <c r="C125" s="12" t="s">
        <v>36</v>
      </c>
    </row>
    <row r="126" spans="3:3" ht="13.2" x14ac:dyDescent="0.25">
      <c r="C126" s="12" t="s">
        <v>36</v>
      </c>
    </row>
    <row r="127" spans="3:3" ht="13.2" x14ac:dyDescent="0.25">
      <c r="C127" s="12" t="s">
        <v>36</v>
      </c>
    </row>
    <row r="128" spans="3:3" ht="13.2" x14ac:dyDescent="0.25">
      <c r="C128" s="12" t="s">
        <v>36</v>
      </c>
    </row>
    <row r="129" spans="3:4" ht="13.2" x14ac:dyDescent="0.25">
      <c r="C129" s="12" t="s">
        <v>36</v>
      </c>
    </row>
    <row r="130" spans="3:4" ht="13.2" x14ac:dyDescent="0.25">
      <c r="C130" s="12" t="s">
        <v>36</v>
      </c>
    </row>
    <row r="131" spans="3:4" ht="13.2" x14ac:dyDescent="0.25">
      <c r="C131" s="12" t="s">
        <v>36</v>
      </c>
    </row>
    <row r="132" spans="3:4" ht="13.2" x14ac:dyDescent="0.25">
      <c r="C132" s="12" t="s">
        <v>36</v>
      </c>
    </row>
    <row r="133" spans="3:4" ht="13.2" x14ac:dyDescent="0.25">
      <c r="C133" s="12" t="s">
        <v>36</v>
      </c>
    </row>
    <row r="134" spans="3:4" ht="13.2" x14ac:dyDescent="0.25">
      <c r="C134" s="12" t="s">
        <v>36</v>
      </c>
    </row>
    <row r="135" spans="3:4" ht="13.2" x14ac:dyDescent="0.25">
      <c r="C135" s="12" t="s">
        <v>36</v>
      </c>
    </row>
    <row r="136" spans="3:4" ht="13.2" x14ac:dyDescent="0.25">
      <c r="C136" s="12" t="s">
        <v>36</v>
      </c>
    </row>
    <row r="137" spans="3:4" ht="13.2" x14ac:dyDescent="0.25">
      <c r="C137" s="12" t="s">
        <v>36</v>
      </c>
    </row>
    <row r="138" spans="3:4" ht="13.2" x14ac:dyDescent="0.25">
      <c r="C138" s="12" t="s">
        <v>36</v>
      </c>
    </row>
    <row r="139" spans="3:4" ht="13.2" x14ac:dyDescent="0.25">
      <c r="C139" s="12" t="s">
        <v>36</v>
      </c>
    </row>
    <row r="140" spans="3:4" ht="13.2" x14ac:dyDescent="0.25">
      <c r="C140" s="12" t="s">
        <v>36</v>
      </c>
    </row>
    <row r="141" spans="3:4" ht="13.2" x14ac:dyDescent="0.25">
      <c r="C141" s="12" t="s">
        <v>36</v>
      </c>
      <c r="D141" s="12"/>
    </row>
    <row r="142" spans="3:4" ht="13.2" x14ac:dyDescent="0.25">
      <c r="C142" s="12" t="s">
        <v>36</v>
      </c>
    </row>
    <row r="143" spans="3:4" ht="13.2" x14ac:dyDescent="0.25">
      <c r="C143" s="12" t="s">
        <v>36</v>
      </c>
    </row>
    <row r="144" spans="3:4" ht="13.2" x14ac:dyDescent="0.25">
      <c r="C144" s="12" t="s">
        <v>36</v>
      </c>
    </row>
    <row r="145" spans="3:3" ht="13.2" x14ac:dyDescent="0.25">
      <c r="C145" s="12" t="s">
        <v>36</v>
      </c>
    </row>
    <row r="146" spans="3:3" ht="13.2" x14ac:dyDescent="0.25">
      <c r="C146" s="12" t="s">
        <v>36</v>
      </c>
    </row>
    <row r="147" spans="3:3" ht="13.2" x14ac:dyDescent="0.25">
      <c r="C147" s="12" t="s">
        <v>36</v>
      </c>
    </row>
    <row r="148" spans="3:3" ht="13.2" x14ac:dyDescent="0.25">
      <c r="C148" s="12" t="s">
        <v>36</v>
      </c>
    </row>
    <row r="149" spans="3:3" ht="13.2" x14ac:dyDescent="0.25">
      <c r="C149" s="12" t="s">
        <v>36</v>
      </c>
    </row>
    <row r="150" spans="3:3" ht="13.2" x14ac:dyDescent="0.25">
      <c r="C150" s="12" t="s">
        <v>36</v>
      </c>
    </row>
    <row r="151" spans="3:3" ht="13.2" x14ac:dyDescent="0.25">
      <c r="C151" s="12" t="s">
        <v>36</v>
      </c>
    </row>
    <row r="152" spans="3:3" ht="13.2" x14ac:dyDescent="0.25">
      <c r="C152" s="12" t="s">
        <v>36</v>
      </c>
    </row>
    <row r="153" spans="3:3" ht="13.2" x14ac:dyDescent="0.25">
      <c r="C153" s="12" t="s">
        <v>36</v>
      </c>
    </row>
    <row r="154" spans="3:3" ht="13.2" x14ac:dyDescent="0.25">
      <c r="C154" s="12" t="s">
        <v>36</v>
      </c>
    </row>
    <row r="155" spans="3:3" ht="13.2" x14ac:dyDescent="0.25">
      <c r="C155" s="12" t="s">
        <v>36</v>
      </c>
    </row>
    <row r="156" spans="3:3" ht="13.2" x14ac:dyDescent="0.25">
      <c r="C156" s="12" t="s">
        <v>36</v>
      </c>
    </row>
    <row r="157" spans="3:3" ht="13.2" x14ac:dyDescent="0.25">
      <c r="C157" s="12" t="s">
        <v>36</v>
      </c>
    </row>
    <row r="158" spans="3:3" ht="13.2" x14ac:dyDescent="0.25">
      <c r="C158" s="12" t="s">
        <v>36</v>
      </c>
    </row>
    <row r="159" spans="3:3" ht="13.2" x14ac:dyDescent="0.25">
      <c r="C159" s="12" t="s">
        <v>36</v>
      </c>
    </row>
    <row r="160" spans="3:3" ht="13.2" x14ac:dyDescent="0.25">
      <c r="C160" s="12" t="s">
        <v>36</v>
      </c>
    </row>
    <row r="161" spans="3:3" ht="13.2" x14ac:dyDescent="0.25">
      <c r="C161" s="12" t="s">
        <v>36</v>
      </c>
    </row>
    <row r="162" spans="3:3" ht="13.2" x14ac:dyDescent="0.25">
      <c r="C162" s="12" t="s">
        <v>36</v>
      </c>
    </row>
    <row r="163" spans="3:3" ht="13.2" x14ac:dyDescent="0.25">
      <c r="C163" s="12" t="s">
        <v>36</v>
      </c>
    </row>
    <row r="164" spans="3:3" ht="13.2" x14ac:dyDescent="0.25">
      <c r="C164" s="12" t="s">
        <v>36</v>
      </c>
    </row>
    <row r="165" spans="3:3" ht="13.2" x14ac:dyDescent="0.25">
      <c r="C165" s="12" t="s">
        <v>36</v>
      </c>
    </row>
    <row r="166" spans="3:3" ht="13.2" x14ac:dyDescent="0.25">
      <c r="C166" s="12" t="s">
        <v>36</v>
      </c>
    </row>
    <row r="167" spans="3:3" ht="13.2" x14ac:dyDescent="0.25">
      <c r="C167" s="12" t="s">
        <v>36</v>
      </c>
    </row>
    <row r="168" spans="3:3" ht="13.2" x14ac:dyDescent="0.25">
      <c r="C168" s="12" t="s">
        <v>36</v>
      </c>
    </row>
    <row r="169" spans="3:3" ht="13.2" x14ac:dyDescent="0.25">
      <c r="C169" s="12" t="s">
        <v>36</v>
      </c>
    </row>
    <row r="170" spans="3:3" ht="13.2" x14ac:dyDescent="0.25">
      <c r="C170" s="12" t="s">
        <v>36</v>
      </c>
    </row>
    <row r="171" spans="3:3" ht="13.2" x14ac:dyDescent="0.25">
      <c r="C171" s="12" t="s">
        <v>36</v>
      </c>
    </row>
    <row r="172" spans="3:3" ht="13.2" x14ac:dyDescent="0.25">
      <c r="C172" s="12" t="s">
        <v>36</v>
      </c>
    </row>
    <row r="173" spans="3:3" ht="13.2" x14ac:dyDescent="0.25">
      <c r="C173" s="12" t="s">
        <v>36</v>
      </c>
    </row>
    <row r="174" spans="3:3" ht="13.2" x14ac:dyDescent="0.25">
      <c r="C174" s="12" t="s">
        <v>36</v>
      </c>
    </row>
    <row r="175" spans="3:3" ht="13.2" x14ac:dyDescent="0.25">
      <c r="C175" s="12" t="s">
        <v>36</v>
      </c>
    </row>
    <row r="176" spans="3:3" ht="13.2" x14ac:dyDescent="0.25">
      <c r="C176" s="12" t="s">
        <v>36</v>
      </c>
    </row>
    <row r="177" spans="3:3" ht="13.2" x14ac:dyDescent="0.25">
      <c r="C177" s="12" t="s">
        <v>36</v>
      </c>
    </row>
    <row r="178" spans="3:3" ht="13.2" x14ac:dyDescent="0.25">
      <c r="C178" s="12" t="s">
        <v>36</v>
      </c>
    </row>
    <row r="179" spans="3:3" ht="13.2" x14ac:dyDescent="0.25">
      <c r="C179" s="12" t="s">
        <v>36</v>
      </c>
    </row>
    <row r="180" spans="3:3" ht="13.2" x14ac:dyDescent="0.25">
      <c r="C180" s="12" t="s">
        <v>36</v>
      </c>
    </row>
    <row r="181" spans="3:3" ht="13.2" x14ac:dyDescent="0.25">
      <c r="C181" s="12" t="s">
        <v>36</v>
      </c>
    </row>
    <row r="182" spans="3:3" ht="13.2" x14ac:dyDescent="0.25">
      <c r="C182" s="12" t="s">
        <v>36</v>
      </c>
    </row>
    <row r="183" spans="3:3" ht="13.2" x14ac:dyDescent="0.25">
      <c r="C183" s="12" t="s">
        <v>36</v>
      </c>
    </row>
    <row r="184" spans="3:3" ht="13.2" x14ac:dyDescent="0.25">
      <c r="C184" s="12" t="s">
        <v>36</v>
      </c>
    </row>
    <row r="185" spans="3:3" ht="13.2" x14ac:dyDescent="0.25">
      <c r="C185" s="12" t="s">
        <v>36</v>
      </c>
    </row>
    <row r="186" spans="3:3" ht="13.2" x14ac:dyDescent="0.25">
      <c r="C186" s="12" t="s">
        <v>36</v>
      </c>
    </row>
    <row r="187" spans="3:3" ht="13.2" x14ac:dyDescent="0.25">
      <c r="C187" s="12" t="s">
        <v>36</v>
      </c>
    </row>
    <row r="188" spans="3:3" ht="13.2" x14ac:dyDescent="0.25">
      <c r="C188" s="12" t="s">
        <v>36</v>
      </c>
    </row>
    <row r="189" spans="3:3" ht="13.2" x14ac:dyDescent="0.25">
      <c r="C189" s="12" t="s">
        <v>36</v>
      </c>
    </row>
    <row r="190" spans="3:3" ht="13.2" x14ac:dyDescent="0.25">
      <c r="C190" s="12" t="s">
        <v>36</v>
      </c>
    </row>
    <row r="191" spans="3:3" ht="13.2" x14ac:dyDescent="0.25">
      <c r="C191" s="12" t="s">
        <v>36</v>
      </c>
    </row>
    <row r="192" spans="3:3" ht="13.2" x14ac:dyDescent="0.25">
      <c r="C192" s="12" t="s">
        <v>36</v>
      </c>
    </row>
    <row r="193" spans="3:3" ht="13.2" x14ac:dyDescent="0.25">
      <c r="C193" s="12" t="s">
        <v>36</v>
      </c>
    </row>
    <row r="194" spans="3:3" ht="13.2" x14ac:dyDescent="0.25">
      <c r="C194" s="12" t="s">
        <v>36</v>
      </c>
    </row>
    <row r="195" spans="3:3" ht="13.2" x14ac:dyDescent="0.25">
      <c r="C195" s="12" t="s">
        <v>36</v>
      </c>
    </row>
    <row r="196" spans="3:3" ht="13.2" x14ac:dyDescent="0.25">
      <c r="C196" s="12" t="s">
        <v>36</v>
      </c>
    </row>
    <row r="197" spans="3:3" ht="13.2" x14ac:dyDescent="0.25">
      <c r="C197" s="12" t="s">
        <v>36</v>
      </c>
    </row>
    <row r="198" spans="3:3" ht="13.2" x14ac:dyDescent="0.25">
      <c r="C198" s="12" t="s">
        <v>36</v>
      </c>
    </row>
    <row r="199" spans="3:3" ht="13.2" x14ac:dyDescent="0.25">
      <c r="C199" s="12" t="s">
        <v>36</v>
      </c>
    </row>
    <row r="200" spans="3:3" ht="13.2" x14ac:dyDescent="0.25">
      <c r="C200" s="12" t="s">
        <v>36</v>
      </c>
    </row>
    <row r="201" spans="3:3" ht="13.2" x14ac:dyDescent="0.25">
      <c r="C201" s="12" t="s">
        <v>36</v>
      </c>
    </row>
    <row r="202" spans="3:3" ht="13.2" x14ac:dyDescent="0.25">
      <c r="C202" s="12" t="s">
        <v>36</v>
      </c>
    </row>
    <row r="203" spans="3:3" ht="13.2" x14ac:dyDescent="0.25">
      <c r="C203" s="12" t="s">
        <v>36</v>
      </c>
    </row>
    <row r="204" spans="3:3" ht="13.2" x14ac:dyDescent="0.25">
      <c r="C204" s="12" t="s">
        <v>36</v>
      </c>
    </row>
    <row r="205" spans="3:3" ht="13.2" x14ac:dyDescent="0.25">
      <c r="C205" s="12" t="s">
        <v>36</v>
      </c>
    </row>
    <row r="206" spans="3:3" ht="13.2" x14ac:dyDescent="0.25">
      <c r="C206" s="12" t="s">
        <v>36</v>
      </c>
    </row>
    <row r="207" spans="3:3" ht="13.2" x14ac:dyDescent="0.25">
      <c r="C207" s="12" t="s">
        <v>36</v>
      </c>
    </row>
    <row r="208" spans="3:3" ht="13.2" x14ac:dyDescent="0.25">
      <c r="C208" s="12" t="s">
        <v>36</v>
      </c>
    </row>
    <row r="209" spans="3:3" ht="13.2" x14ac:dyDescent="0.25">
      <c r="C209" s="12" t="s">
        <v>36</v>
      </c>
    </row>
    <row r="210" spans="3:3" ht="13.2" x14ac:dyDescent="0.25">
      <c r="C210" s="12" t="s">
        <v>36</v>
      </c>
    </row>
    <row r="211" spans="3:3" ht="13.2" x14ac:dyDescent="0.25">
      <c r="C211" s="12" t="s">
        <v>36</v>
      </c>
    </row>
    <row r="212" spans="3:3" ht="13.2" x14ac:dyDescent="0.25">
      <c r="C212" s="12" t="s">
        <v>36</v>
      </c>
    </row>
    <row r="213" spans="3:3" ht="13.2" x14ac:dyDescent="0.25">
      <c r="C213" s="12" t="s">
        <v>36</v>
      </c>
    </row>
    <row r="214" spans="3:3" ht="13.2" x14ac:dyDescent="0.25">
      <c r="C214" s="12" t="s">
        <v>36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ummaryRight="0"/>
  </sheetPr>
  <dimension ref="A1:AM1104"/>
  <sheetViews>
    <sheetView workbookViewId="0">
      <pane ySplit="1" topLeftCell="A2" activePane="bottomLeft" state="frozen"/>
      <selection pane="bottomLeft" activeCell="B3" sqref="B3"/>
    </sheetView>
  </sheetViews>
  <sheetFormatPr baseColWidth="10" defaultColWidth="14.44140625" defaultRowHeight="15" customHeight="1" x14ac:dyDescent="0.25"/>
  <cols>
    <col min="1" max="5" width="14.44140625" customWidth="1"/>
    <col min="19" max="19" width="6.5546875" customWidth="1"/>
    <col min="21" max="21" width="6.5546875" customWidth="1"/>
    <col min="23" max="23" width="6.5546875" customWidth="1"/>
    <col min="25" max="25" width="6.5546875" customWidth="1"/>
    <col min="27" max="27" width="6.5546875" customWidth="1"/>
    <col min="29" max="29" width="6.5546875" customWidth="1"/>
    <col min="31" max="31" width="6.5546875" customWidth="1"/>
    <col min="33" max="33" width="6.5546875" customWidth="1"/>
    <col min="35" max="35" width="6.5546875" customWidth="1"/>
    <col min="37" max="37" width="6.5546875" customWidth="1"/>
    <col min="38" max="38" width="17" customWidth="1"/>
    <col min="39" max="39" width="6.5546875" customWidth="1"/>
  </cols>
  <sheetData>
    <row r="1" spans="1:39" ht="15.75" customHeight="1" x14ac:dyDescent="0.25">
      <c r="A1" s="6" t="s">
        <v>1349</v>
      </c>
      <c r="C1" s="2" t="s">
        <v>1350</v>
      </c>
      <c r="D1" s="2" t="s">
        <v>1352</v>
      </c>
      <c r="E1" s="2" t="s">
        <v>1353</v>
      </c>
      <c r="F1" s="2" t="s">
        <v>1354</v>
      </c>
      <c r="G1" s="2" t="s">
        <v>1355</v>
      </c>
      <c r="H1" s="2" t="s">
        <v>1356</v>
      </c>
      <c r="I1" s="2" t="s">
        <v>1357</v>
      </c>
      <c r="J1" s="2" t="s">
        <v>1358</v>
      </c>
      <c r="K1" s="2" t="s">
        <v>1359</v>
      </c>
      <c r="L1" s="2" t="s">
        <v>1360</v>
      </c>
      <c r="M1" s="2" t="s">
        <v>1361</v>
      </c>
      <c r="N1" s="12"/>
      <c r="O1" s="4" t="s">
        <v>1362</v>
      </c>
      <c r="P1" s="4" t="s">
        <v>8</v>
      </c>
      <c r="Q1" s="4" t="s">
        <v>1365</v>
      </c>
      <c r="R1" s="2" t="s">
        <v>1350</v>
      </c>
      <c r="S1" s="2" t="s">
        <v>8</v>
      </c>
      <c r="T1" s="2" t="s">
        <v>1352</v>
      </c>
      <c r="U1" s="2" t="s">
        <v>8</v>
      </c>
      <c r="V1" s="2" t="s">
        <v>1353</v>
      </c>
      <c r="W1" s="2" t="s">
        <v>8</v>
      </c>
      <c r="X1" s="2" t="s">
        <v>1354</v>
      </c>
      <c r="Y1" s="2" t="s">
        <v>8</v>
      </c>
      <c r="Z1" s="2" t="s">
        <v>1355</v>
      </c>
      <c r="AA1" s="2" t="s">
        <v>8</v>
      </c>
      <c r="AB1" s="2" t="s">
        <v>1356</v>
      </c>
      <c r="AC1" s="2" t="s">
        <v>8</v>
      </c>
      <c r="AD1" s="2" t="s">
        <v>1357</v>
      </c>
      <c r="AE1" s="2" t="s">
        <v>8</v>
      </c>
      <c r="AF1" s="2" t="s">
        <v>1358</v>
      </c>
      <c r="AG1" s="2" t="s">
        <v>8</v>
      </c>
      <c r="AH1" s="2" t="s">
        <v>1359</v>
      </c>
      <c r="AI1" s="2" t="s">
        <v>8</v>
      </c>
      <c r="AJ1" s="2" t="s">
        <v>1360</v>
      </c>
      <c r="AK1" s="2" t="s">
        <v>8</v>
      </c>
      <c r="AL1" s="2" t="s">
        <v>1361</v>
      </c>
      <c r="AM1" s="2" t="s">
        <v>8</v>
      </c>
    </row>
    <row r="2" spans="1:39" ht="15.75" customHeight="1" x14ac:dyDescent="0.25">
      <c r="A2" s="6" t="s">
        <v>1369</v>
      </c>
      <c r="C2" s="8" t="s">
        <v>1371</v>
      </c>
      <c r="D2" s="6" t="s">
        <v>1373</v>
      </c>
      <c r="E2" s="6" t="s">
        <v>1374</v>
      </c>
      <c r="F2" s="6" t="s">
        <v>1375</v>
      </c>
      <c r="G2" s="6" t="s">
        <v>1376</v>
      </c>
      <c r="H2" s="6" t="s">
        <v>1377</v>
      </c>
      <c r="I2" s="8" t="s">
        <v>1378</v>
      </c>
      <c r="J2" s="6" t="s">
        <v>1379</v>
      </c>
      <c r="K2" s="6" t="s">
        <v>1380</v>
      </c>
      <c r="L2" s="6" t="s">
        <v>238</v>
      </c>
      <c r="M2" s="6" t="s">
        <v>1381</v>
      </c>
      <c r="O2" t="s">
        <v>142</v>
      </c>
      <c r="P2" s="13">
        <v>116</v>
      </c>
      <c r="R2" t="str">
        <f ca="1">IFERROR(__xludf.DUMMYFUNCTION("UNIQUE(C2:C1104)"),"Arcane Missiles")</f>
        <v>Arcane Missiles</v>
      </c>
      <c r="S2" s="15">
        <f ca="1">COUNTIF(C2:C1104, R2)</f>
        <v>3</v>
      </c>
      <c r="T2" t="str">
        <f ca="1">IFERROR(__xludf.DUMMYFUNCTION("unique(D2:D1104)"),"Illusory Cleaver")</f>
        <v>Illusory Cleaver</v>
      </c>
      <c r="U2" s="15">
        <f ca="1">COUNTIF(D2:D1104, T2)</f>
        <v>15</v>
      </c>
      <c r="V2" t="str">
        <f ca="1">IFERROR(__xludf.DUMMYFUNCTION("unique(E2:E1104)"),"Black Hole")</f>
        <v>Black Hole</v>
      </c>
      <c r="W2" s="15">
        <f ca="1">COUNTIF(E2:E1104, V2)</f>
        <v>40</v>
      </c>
      <c r="X2" t="str">
        <f ca="1">IFERROR(__xludf.DUMMYFUNCTION("UNIQUE(F2:F1104)"),"""Armored"" Scrats")</f>
        <v>"Armored" Scrats</v>
      </c>
      <c r="Y2" s="15">
        <f ca="1">COUNTIF(F2:F1104,X2)</f>
        <v>2</v>
      </c>
      <c r="Z2" t="str">
        <f ca="1">IFERROR(__xludf.DUMMYFUNCTION("unique(G2:G1104)"),"Assassin")</f>
        <v>Assassin</v>
      </c>
      <c r="AA2" s="15">
        <f ca="1">COUNTIF(G2:G1104, Z2)</f>
        <v>66</v>
      </c>
      <c r="AB2" t="str">
        <f ca="1">IFERROR(__xludf.DUMMYFUNCTION("unique(H2:H1104)"),"A.I.M. Bot")</f>
        <v>A.I.M. Bot</v>
      </c>
      <c r="AC2" s="15">
        <f ca="1">COUNTIF(H2:H1104, AB2)</f>
        <v>1</v>
      </c>
      <c r="AD2" t="str">
        <f ca="1">IFERROR(__xludf.DUMMYFUNCTION("UNIQUE(I2:I1104)"),"Armored Escort")</f>
        <v>Armored Escort</v>
      </c>
      <c r="AE2" s="15">
        <f ca="1">COUNTIF(I2:I1104, AD2)</f>
        <v>36</v>
      </c>
      <c r="AF2" t="str">
        <f ca="1">IFERROR(__xludf.DUMMYFUNCTION("UNIQUE(J2:J1104)"),"Beam of DOOM")</f>
        <v>Beam of DOOM</v>
      </c>
      <c r="AG2" s="15">
        <f ca="1">COUNTIF(J2:J1104, AF2)</f>
        <v>42</v>
      </c>
      <c r="AH2" t="str">
        <f ca="1">IFERROR(__xludf.DUMMYFUNCTION("unique(K2:K1104)"),"Commander Azali")</f>
        <v>Commander Azali</v>
      </c>
      <c r="AI2">
        <f ca="1">COUNTIF(K2:K1104, AH2)</f>
        <v>30</v>
      </c>
      <c r="AJ2" t="str">
        <f ca="1">IFERROR(__xludf.DUMMYFUNCTION("UNIQUE(L2:L1104)"),"Colossus")</f>
        <v>Colossus</v>
      </c>
      <c r="AK2">
        <f ca="1">COUNTIF(L2:L1104, AJ2)</f>
        <v>69</v>
      </c>
      <c r="AL2" t="str">
        <f ca="1">IFERROR(__xludf.DUMMYFUNCTION("unique(M2:M1104)"),"Lord-Sentinel Thelec")</f>
        <v>Lord-Sentinel Thelec</v>
      </c>
      <c r="AM2">
        <f ca="1">COUNTIF(M2:M1104,AL2)</f>
        <v>23</v>
      </c>
    </row>
    <row r="3" spans="1:39" ht="15.75" customHeight="1" x14ac:dyDescent="0.25">
      <c r="A3" s="6" t="s">
        <v>1369</v>
      </c>
      <c r="C3" t="s">
        <v>1371</v>
      </c>
      <c r="D3" s="6" t="s">
        <v>1373</v>
      </c>
      <c r="E3" s="6" t="s">
        <v>1374</v>
      </c>
      <c r="F3" s="6" t="s">
        <v>1375</v>
      </c>
      <c r="G3" s="6" t="s">
        <v>1376</v>
      </c>
      <c r="H3" s="8" t="s">
        <v>1441</v>
      </c>
      <c r="I3" s="6" t="s">
        <v>1378</v>
      </c>
      <c r="J3" s="6" t="s">
        <v>1379</v>
      </c>
      <c r="K3" s="6" t="s">
        <v>1380</v>
      </c>
      <c r="L3" s="6" t="s">
        <v>238</v>
      </c>
      <c r="M3" s="6" t="s">
        <v>1381</v>
      </c>
      <c r="O3" t="s">
        <v>176</v>
      </c>
      <c r="P3" s="13">
        <v>114</v>
      </c>
      <c r="R3" t="str">
        <f ca="1">IFERROR(__xludf.DUMMYFUNCTION("""COMPUTED_VALUE"""),"Blood Imps")</f>
        <v>Blood Imps</v>
      </c>
      <c r="S3" s="15">
        <f ca="1">COUNTIF(C2:C1104, R3)</f>
        <v>18</v>
      </c>
      <c r="T3" t="str">
        <f ca="1">IFERROR(__xludf.DUMMYFUNCTION("""COMPUTED_VALUE"""),"Mana Puff")</f>
        <v>Mana Puff</v>
      </c>
      <c r="U3" s="15">
        <f ca="1">COUNTIF(D2:D1104, T3)</f>
        <v>32</v>
      </c>
      <c r="V3" t="str">
        <f ca="1">IFERROR(__xludf.DUMMYFUNCTION("""COMPUTED_VALUE"""),"Blast Entry")</f>
        <v>Blast Entry</v>
      </c>
      <c r="W3" s="15">
        <f ca="1">COUNTIF(E2:E1104, V3)</f>
        <v>2</v>
      </c>
      <c r="X3" t="str">
        <f ca="1">IFERROR(__xludf.DUMMYFUNCTION("""COMPUTED_VALUE"""),"Arcane Golem")</f>
        <v>Arcane Golem</v>
      </c>
      <c r="Y3" s="15">
        <f ca="1">COUNTIF(F2:F1104,X3)</f>
        <v>26</v>
      </c>
      <c r="Z3" t="str">
        <f ca="1">IFERROR(__xludf.DUMMYFUNCTION("""COMPUTED_VALUE"""),"Blind Date")</f>
        <v>Blind Date</v>
      </c>
      <c r="AA3" s="15">
        <f ca="1">COUNTIF(G2:G1104, Z3)</f>
        <v>47</v>
      </c>
      <c r="AB3" t="str">
        <f ca="1">IFERROR(__xludf.DUMMYFUNCTION("""COMPUTED_VALUE"""),"Annihilator")</f>
        <v>Annihilator</v>
      </c>
      <c r="AC3" s="15">
        <f ca="1">COUNTIF(H2:H1104, AB3)</f>
        <v>59</v>
      </c>
      <c r="AD3" t="str">
        <f ca="1">IFERROR(__xludf.DUMMYFUNCTION("""COMPUTED_VALUE"""),"AtG Drone X8")</f>
        <v>AtG Drone X8</v>
      </c>
      <c r="AE3" s="15">
        <f ca="1">COUNTIF(I2:I1104, AD3)</f>
        <v>6</v>
      </c>
      <c r="AF3" t="str">
        <f ca="1">IFERROR(__xludf.DUMMYFUNCTION("""COMPUTED_VALUE"""),"Blue Golem")</f>
        <v>Blue Golem</v>
      </c>
      <c r="AG3" s="15">
        <f ca="1">COUNTIF(J2:J1104, AF3)</f>
        <v>37</v>
      </c>
      <c r="AH3" t="str">
        <f ca="1">IFERROR(__xludf.DUMMYFUNCTION("""COMPUTED_VALUE"""),"Drone Force One")</f>
        <v>Drone Force One</v>
      </c>
      <c r="AI3">
        <f ca="1">COUNTIF(K2:K1104, AH3)</f>
        <v>4</v>
      </c>
      <c r="AJ3" t="str">
        <f ca="1">IFERROR(__xludf.DUMMYFUNCTION("""COMPUTED_VALUE"""),"Red Golem")</f>
        <v>Red Golem</v>
      </c>
      <c r="AK3">
        <f ca="1">COUNTIF(L2:L1104,AJ3)</f>
        <v>14</v>
      </c>
      <c r="AL3" t="str">
        <f ca="1">IFERROR(__xludf.DUMMYFUNCTION("""COMPUTED_VALUE"""),"")</f>
        <v/>
      </c>
    </row>
    <row r="4" spans="1:39" ht="15.75" customHeight="1" x14ac:dyDescent="0.25">
      <c r="A4" s="6" t="s">
        <v>1476</v>
      </c>
      <c r="C4" s="6" t="s">
        <v>1371</v>
      </c>
      <c r="D4" s="6" t="s">
        <v>1373</v>
      </c>
      <c r="E4" s="6" t="s">
        <v>1374</v>
      </c>
      <c r="F4" s="6" t="s">
        <v>107</v>
      </c>
      <c r="G4" s="6" t="s">
        <v>1376</v>
      </c>
      <c r="H4" s="8" t="s">
        <v>1441</v>
      </c>
      <c r="I4" s="6" t="s">
        <v>1378</v>
      </c>
      <c r="J4" s="6" t="s">
        <v>1379</v>
      </c>
      <c r="K4" s="6" t="s">
        <v>1380</v>
      </c>
      <c r="L4" s="6" t="s">
        <v>238</v>
      </c>
      <c r="M4" s="6" t="s">
        <v>1381</v>
      </c>
      <c r="O4" t="s">
        <v>188</v>
      </c>
      <c r="P4" s="12">
        <v>103</v>
      </c>
      <c r="R4" t="str">
        <f ca="1">IFERROR(__xludf.DUMMYFUNCTION("""COMPUTED_VALUE"""),"Burn the Bridges")</f>
        <v>Burn the Bridges</v>
      </c>
      <c r="S4" s="15">
        <f ca="1">COUNTIF(C2:C1104, R4)</f>
        <v>5</v>
      </c>
      <c r="T4" t="str">
        <f ca="1">IFERROR(__xludf.DUMMYFUNCTION("""COMPUTED_VALUE"""),"Scrat Pack")</f>
        <v>Scrat Pack</v>
      </c>
      <c r="U4" s="15">
        <f ca="1">COUNTIF(D2:D1104, T4)</f>
        <v>37</v>
      </c>
      <c r="V4" t="str">
        <f ca="1">IFERROR(__xludf.DUMMYFUNCTION("""COMPUTED_VALUE"""),"Boomer")</f>
        <v>Boomer</v>
      </c>
      <c r="W4" s="15">
        <f ca="1">COUNTIF(E2:E1104, V4)</f>
        <v>4</v>
      </c>
      <c r="X4" t="str">
        <f ca="1">IFERROR(__xludf.DUMMYFUNCTION("""COMPUTED_VALUE"""),"Banner Man")</f>
        <v>Banner Man</v>
      </c>
      <c r="Y4" s="15">
        <f ca="1">COUNTIF(F2:F1104,X4)</f>
        <v>16</v>
      </c>
      <c r="Z4" t="str">
        <f ca="1">IFERROR(__xludf.DUMMYFUNCTION("""COMPUTED_VALUE"""),"Bounty Sniper")</f>
        <v>Bounty Sniper</v>
      </c>
      <c r="AA4" s="15">
        <f ca="1">COUNTIF(G2:G1104, Z4)</f>
        <v>17</v>
      </c>
      <c r="AB4" t="str">
        <f ca="1">IFERROR(__xludf.DUMMYFUNCTION("""COMPUTED_VALUE"""),"Arcane Bolt")</f>
        <v>Arcane Bolt</v>
      </c>
      <c r="AC4" s="15">
        <f ca="1">COUNTIF(H2:H1104, AB4)</f>
        <v>5</v>
      </c>
      <c r="AD4" t="str">
        <f ca="1">IFERROR(__xludf.DUMMYFUNCTION("""COMPUTED_VALUE"""),"Cleaver")</f>
        <v>Cleaver</v>
      </c>
      <c r="AE4" s="15">
        <f ca="1">COUNTIF(I2:I1104, AD4)</f>
        <v>67</v>
      </c>
      <c r="AF4" t="str">
        <f ca="1">IFERROR(__xludf.DUMMYFUNCTION("""COMPUTED_VALUE"""),"Dragon Pack")</f>
        <v>Dragon Pack</v>
      </c>
      <c r="AG4" s="15">
        <f ca="1">COUNTIF(J2:J1104, AF4)</f>
        <v>4</v>
      </c>
      <c r="AH4" t="str">
        <f ca="1">IFERROR(__xludf.DUMMYFUNCTION("""COMPUTED_VALUE"""),"Future Present")</f>
        <v>Future Present</v>
      </c>
      <c r="AI4">
        <f ca="1">COUNTIF(K2:K1104, AH4)</f>
        <v>32</v>
      </c>
      <c r="AJ4" t="str">
        <f ca="1">IFERROR(__xludf.DUMMYFUNCTION("""COMPUTED_VALUE"""),"")</f>
        <v/>
      </c>
    </row>
    <row r="5" spans="1:39" ht="15.75" customHeight="1" x14ac:dyDescent="0.25">
      <c r="A5" s="6" t="s">
        <v>1514</v>
      </c>
      <c r="C5" s="6" t="s">
        <v>1515</v>
      </c>
      <c r="D5" s="6" t="s">
        <v>1373</v>
      </c>
      <c r="E5" s="6" t="s">
        <v>1374</v>
      </c>
      <c r="F5" s="6" t="s">
        <v>107</v>
      </c>
      <c r="G5" s="6" t="s">
        <v>1376</v>
      </c>
      <c r="H5" s="8" t="s">
        <v>1441</v>
      </c>
      <c r="I5" s="6" t="s">
        <v>1378</v>
      </c>
      <c r="J5" s="6" t="s">
        <v>1379</v>
      </c>
      <c r="K5" s="6" t="s">
        <v>1380</v>
      </c>
      <c r="L5" s="6" t="s">
        <v>238</v>
      </c>
      <c r="M5" s="6" t="s">
        <v>1381</v>
      </c>
      <c r="O5" t="s">
        <v>197</v>
      </c>
      <c r="P5" s="13">
        <v>93</v>
      </c>
      <c r="R5" t="str">
        <f ca="1">IFERROR(__xludf.DUMMYFUNCTION("""COMPUTED_VALUE"""),"Mordar's Tombstone")</f>
        <v>Mordar's Tombstone</v>
      </c>
      <c r="S5" s="15">
        <f ca="1">COUNTIF(C2:C1104, R5)</f>
        <v>3</v>
      </c>
      <c r="T5" t="str">
        <f ca="1">IFERROR(__xludf.DUMMYFUNCTION("""COMPUTED_VALUE"""),"Screaming Scrat")</f>
        <v>Screaming Scrat</v>
      </c>
      <c r="U5" s="15">
        <f ca="1">COUNTIF(D2:D1104, T5)</f>
        <v>20</v>
      </c>
      <c r="V5" t="str">
        <f ca="1">IFERROR(__xludf.DUMMYFUNCTION("""COMPUTED_VALUE"""),"Bridge Buddies")</f>
        <v>Bridge Buddies</v>
      </c>
      <c r="W5" s="15">
        <f ca="1">COUNTIF(E2:E1104, V5)</f>
        <v>13</v>
      </c>
      <c r="X5" t="str">
        <f ca="1">IFERROR(__xludf.DUMMYFUNCTION("""COMPUTED_VALUE"""),"Bazooka Scrat")</f>
        <v>Bazooka Scrat</v>
      </c>
      <c r="Y5" s="15">
        <f ca="1">COUNTIF(F2:F1104,X5)</f>
        <v>11</v>
      </c>
      <c r="Z5" t="str">
        <f ca="1">IFERROR(__xludf.DUMMYFUNCTION("""COMPUTED_VALUE"""),"Bridge Shrine")</f>
        <v>Bridge Shrine</v>
      </c>
      <c r="AA5" s="15">
        <f ca="1">COUNTIF(G2:G1104, Z5)</f>
        <v>11</v>
      </c>
      <c r="AB5" t="str">
        <f ca="1">IFERROR(__xludf.DUMMYFUNCTION("""COMPUTED_VALUE"""),"Battle Shi-Hou")</f>
        <v>Battle Shi-Hou</v>
      </c>
      <c r="AC5" s="15">
        <f ca="1">COUNTIF(H2:H1104, AB5)</f>
        <v>10</v>
      </c>
      <c r="AD5" t="str">
        <f ca="1">IFERROR(__xludf.DUMMYFUNCTION("""COMPUTED_VALUE"""),"Crossbow Guild")</f>
        <v>Crossbow Guild</v>
      </c>
      <c r="AE5" s="15">
        <f ca="1">COUNTIF(I2:I1104, AD5)</f>
        <v>57</v>
      </c>
      <c r="AF5" t="str">
        <f ca="1">IFERROR(__xludf.DUMMYFUNCTION("""COMPUTED_VALUE"""),"Empowered Soul Stealer")</f>
        <v>Empowered Soul Stealer</v>
      </c>
      <c r="AG5" s="15">
        <f ca="1">COUNTIF(J2:J1104, AF5)</f>
        <v>13</v>
      </c>
      <c r="AH5" t="str">
        <f ca="1">IFERROR(__xludf.DUMMYFUNCTION("""COMPUTED_VALUE"""),"Gor'Rakk Brutes")</f>
        <v>Gor'Rakk Brutes</v>
      </c>
      <c r="AI5">
        <f ca="1">COUNTIF(K2:K1104, AH5)</f>
        <v>7</v>
      </c>
    </row>
    <row r="6" spans="1:39" ht="15.75" customHeight="1" x14ac:dyDescent="0.25">
      <c r="A6" s="6" t="s">
        <v>1539</v>
      </c>
      <c r="C6" s="6" t="s">
        <v>1515</v>
      </c>
      <c r="D6" s="6" t="s">
        <v>1373</v>
      </c>
      <c r="E6" s="6" t="s">
        <v>1374</v>
      </c>
      <c r="F6" s="6" t="s">
        <v>107</v>
      </c>
      <c r="G6" s="6" t="s">
        <v>1376</v>
      </c>
      <c r="H6" s="8" t="s">
        <v>1441</v>
      </c>
      <c r="I6" s="6" t="s">
        <v>1378</v>
      </c>
      <c r="J6" s="6" t="s">
        <v>1379</v>
      </c>
      <c r="K6" s="6" t="s">
        <v>1380</v>
      </c>
      <c r="L6" s="6" t="s">
        <v>238</v>
      </c>
      <c r="M6" s="6" t="s">
        <v>1381</v>
      </c>
      <c r="O6" t="s">
        <v>209</v>
      </c>
      <c r="P6" s="16">
        <v>86</v>
      </c>
      <c r="R6" t="str">
        <f ca="1">IFERROR(__xludf.DUMMYFUNCTION("""COMPUTED_VALUE"""),"More Dakka!")</f>
        <v>More Dakka!</v>
      </c>
      <c r="S6" s="15">
        <f ca="1">COUNTIF(C2:C1104, R6)</f>
        <v>1</v>
      </c>
      <c r="T6" t="str">
        <f ca="1">IFERROR(__xludf.DUMMYFUNCTION("""COMPUTED_VALUE"""),"")</f>
        <v/>
      </c>
      <c r="U6" s="15"/>
      <c r="V6" t="str">
        <f ca="1">IFERROR(__xludf.DUMMYFUNCTION("""COMPUTED_VALUE"""),"Call to Arms")</f>
        <v>Call to Arms</v>
      </c>
      <c r="W6" s="15">
        <f ca="1">COUNTIF(E2:E1104, V6)</f>
        <v>4</v>
      </c>
      <c r="X6" t="str">
        <f ca="1">IFERROR(__xludf.DUMMYFUNCTION("""COMPUTED_VALUE"""),"Brutish Betrayer")</f>
        <v>Brutish Betrayer</v>
      </c>
      <c r="Y6" s="15">
        <f ca="1">COUNTIF(F2:F1104,X6)</f>
        <v>2</v>
      </c>
      <c r="Z6" t="str">
        <f ca="1">IFERROR(__xludf.DUMMYFUNCTION("""COMPUTED_VALUE"""),"Cannon Roller")</f>
        <v>Cannon Roller</v>
      </c>
      <c r="AA6" s="15">
        <f ca="1">COUNTIF(G2:G1104, Z6)</f>
        <v>8</v>
      </c>
      <c r="AB6" t="str">
        <f ca="1">IFERROR(__xludf.DUMMYFUNCTION("""COMPUTED_VALUE"""),"Blastmancer")</f>
        <v>Blastmancer</v>
      </c>
      <c r="AC6" s="15">
        <f ca="1">COUNTIF(H2:H1104, AB6)</f>
        <v>37</v>
      </c>
      <c r="AD6" t="str">
        <f ca="1">IFERROR(__xludf.DUMMYFUNCTION("""COMPUTED_VALUE"""),"Demon Warrior")</f>
        <v>Demon Warrior</v>
      </c>
      <c r="AE6" s="15">
        <f ca="1">COUNTIF(I2:I1104, AD6)</f>
        <v>33</v>
      </c>
      <c r="AF6" t="str">
        <f ca="1">IFERROR(__xludf.DUMMYFUNCTION("""COMPUTED_VALUE"""),"Harbringer")</f>
        <v>Harbringer</v>
      </c>
      <c r="AG6" s="15">
        <f ca="1">COUNTIF(J2:J1104, AF6)</f>
        <v>103</v>
      </c>
      <c r="AH6" t="str">
        <f ca="1">IFERROR(__xludf.DUMMYFUNCTION("""COMPUTED_VALUE"""),"Troubadour")</f>
        <v>Troubadour</v>
      </c>
      <c r="AI6">
        <f ca="1">COUNTIF(K2:K1104, AH6)</f>
        <v>25</v>
      </c>
    </row>
    <row r="7" spans="1:39" ht="15.75" customHeight="1" x14ac:dyDescent="0.25">
      <c r="A7" s="6" t="s">
        <v>1571</v>
      </c>
      <c r="C7" s="6" t="s">
        <v>1515</v>
      </c>
      <c r="D7" s="6" t="s">
        <v>1373</v>
      </c>
      <c r="E7" s="6" t="s">
        <v>1374</v>
      </c>
      <c r="F7" s="6" t="s">
        <v>107</v>
      </c>
      <c r="G7" s="6" t="s">
        <v>1376</v>
      </c>
      <c r="H7" s="6" t="s">
        <v>1441</v>
      </c>
      <c r="I7" s="6" t="s">
        <v>1378</v>
      </c>
      <c r="J7" s="6" t="s">
        <v>1379</v>
      </c>
      <c r="K7" s="6" t="s">
        <v>1380</v>
      </c>
      <c r="L7" s="6" t="s">
        <v>238</v>
      </c>
      <c r="M7" s="6" t="s">
        <v>1381</v>
      </c>
      <c r="O7" t="s">
        <v>222</v>
      </c>
      <c r="P7" s="13">
        <v>79</v>
      </c>
      <c r="R7" t="str">
        <f ca="1">IFERROR(__xludf.DUMMYFUNCTION("""COMPUTED_VALUE"""),"Shield Totem")</f>
        <v>Shield Totem</v>
      </c>
      <c r="S7" s="15">
        <f ca="1">COUNTIF(C2:C1104, R7)</f>
        <v>3</v>
      </c>
      <c r="U7" s="15"/>
      <c r="V7" t="str">
        <f ca="1">IFERROR(__xludf.DUMMYFUNCTION("""COMPUTED_VALUE"""),"Combustion")</f>
        <v>Combustion</v>
      </c>
      <c r="W7" s="15">
        <f ca="1">COUNTIF(E2:E1104, V7)</f>
        <v>13</v>
      </c>
      <c r="X7" t="str">
        <f ca="1">IFERROR(__xludf.DUMMYFUNCTION("""COMPUTED_VALUE"""),"Cheese Date")</f>
        <v>Cheese Date</v>
      </c>
      <c r="Y7" s="15">
        <f ca="1">COUNTIF(F2:F1104,X7)</f>
        <v>27</v>
      </c>
      <c r="Z7" t="str">
        <f ca="1">IFERROR(__xludf.DUMMYFUNCTION("""COMPUTED_VALUE"""),"Chain Lightning")</f>
        <v>Chain Lightning</v>
      </c>
      <c r="AA7" s="15">
        <f ca="1">COUNTIF(G2:G1104, Z7)</f>
        <v>40</v>
      </c>
      <c r="AB7" t="str">
        <f ca="1">IFERROR(__xludf.DUMMYFUNCTION("""COMPUTED_VALUE"""),"Crystal Construct")</f>
        <v>Crystal Construct</v>
      </c>
      <c r="AC7" s="15">
        <f ca="1">COUNTIF(H2:H1104, AB7)</f>
        <v>28</v>
      </c>
      <c r="AD7" t="str">
        <f ca="1">IFERROR(__xludf.DUMMYFUNCTION("""COMPUTED_VALUE"""),"Guardian")</f>
        <v>Guardian</v>
      </c>
      <c r="AE7" s="15">
        <f ca="1">COUNTIF(I2:I1104, AD7)</f>
        <v>27</v>
      </c>
      <c r="AF7" t="str">
        <f ca="1">IFERROR(__xludf.DUMMYFUNCTION("""COMPUTED_VALUE"""),"Last Stand")</f>
        <v>Last Stand</v>
      </c>
      <c r="AG7" s="15">
        <f ca="1">COUNTIF(J2:J1104, AF7)</f>
        <v>27</v>
      </c>
      <c r="AH7" t="str">
        <f ca="1">IFERROR(__xludf.DUMMYFUNCTION("""COMPUTED_VALUE"""),"")</f>
        <v/>
      </c>
    </row>
    <row r="8" spans="1:39" ht="15.75" customHeight="1" x14ac:dyDescent="0.25">
      <c r="A8" s="6" t="s">
        <v>1571</v>
      </c>
      <c r="C8" s="6" t="s">
        <v>1515</v>
      </c>
      <c r="D8" s="6" t="s">
        <v>1373</v>
      </c>
      <c r="E8" s="6" t="s">
        <v>1374</v>
      </c>
      <c r="F8" s="6" t="s">
        <v>107</v>
      </c>
      <c r="G8" s="6" t="s">
        <v>1376</v>
      </c>
      <c r="H8" s="6" t="s">
        <v>1441</v>
      </c>
      <c r="I8" s="6" t="s">
        <v>1378</v>
      </c>
      <c r="J8" s="6" t="s">
        <v>1379</v>
      </c>
      <c r="K8" s="6" t="s">
        <v>1380</v>
      </c>
      <c r="L8" s="6" t="s">
        <v>238</v>
      </c>
      <c r="M8" s="6" t="s">
        <v>1381</v>
      </c>
      <c r="O8" t="s">
        <v>232</v>
      </c>
      <c r="P8" s="16">
        <v>70</v>
      </c>
      <c r="R8" t="str">
        <f ca="1">IFERROR(__xludf.DUMMYFUNCTION("""COMPUTED_VALUE"""),"Trick Swap")</f>
        <v>Trick Swap</v>
      </c>
      <c r="S8" s="15">
        <f ca="1">COUNTIF(C2:C1104, R8)</f>
        <v>3</v>
      </c>
      <c r="U8" s="15"/>
      <c r="V8" t="str">
        <f ca="1">IFERROR(__xludf.DUMMYFUNCTION("""COMPUTED_VALUE"""),"Crossbow Dudes")</f>
        <v>Crossbow Dudes</v>
      </c>
      <c r="W8" s="15">
        <f ca="1">COUNTIF(E2:E1104, V8)</f>
        <v>10</v>
      </c>
      <c r="X8" t="str">
        <f ca="1">IFERROR(__xludf.DUMMYFUNCTION("""COMPUTED_VALUE"""),"Clear Skies")</f>
        <v>Clear Skies</v>
      </c>
      <c r="Y8" s="15">
        <f ca="1">COUNTIF(F2:F1104,X8)</f>
        <v>2</v>
      </c>
      <c r="Z8" t="str">
        <f ca="1">IFERROR(__xludf.DUMMYFUNCTION("""COMPUTED_VALUE"""),"Crystal Sentry")</f>
        <v>Crystal Sentry</v>
      </c>
      <c r="AA8" s="15">
        <f ca="1">COUNTIF(G2:G1104, Z8)</f>
        <v>10</v>
      </c>
      <c r="AB8" t="str">
        <f ca="1">IFERROR(__xludf.DUMMYFUNCTION("""COMPUTED_VALUE"""),"Defenso Chopper")</f>
        <v>Defenso Chopper</v>
      </c>
      <c r="AC8" s="15">
        <f ca="1">COUNTIF(H2:H1104, AB8)</f>
        <v>58</v>
      </c>
      <c r="AD8" t="str">
        <f ca="1">IFERROR(__xludf.DUMMYFUNCTION("""COMPUTED_VALUE"""),"Rabid Prowler")</f>
        <v>Rabid Prowler</v>
      </c>
      <c r="AE8" s="15">
        <f ca="1">COUNTIF(I2:I1104, AD8)</f>
        <v>20</v>
      </c>
      <c r="AF8" t="str">
        <f ca="1">IFERROR(__xludf.DUMMYFUNCTION("""COMPUTED_VALUE"""),"Shars'Rakk Twins")</f>
        <v>Shars'Rakk Twins</v>
      </c>
      <c r="AG8" s="15">
        <f ca="1">COUNTIF(J2:J1104, AF8)</f>
        <v>22</v>
      </c>
    </row>
    <row r="9" spans="1:39" ht="15.75" customHeight="1" x14ac:dyDescent="0.25">
      <c r="A9" s="6" t="s">
        <v>1571</v>
      </c>
      <c r="C9" s="6" t="s">
        <v>1515</v>
      </c>
      <c r="D9" s="6" t="s">
        <v>1373</v>
      </c>
      <c r="E9" s="6" t="s">
        <v>1374</v>
      </c>
      <c r="F9" s="6" t="s">
        <v>107</v>
      </c>
      <c r="G9" s="6" t="s">
        <v>1376</v>
      </c>
      <c r="H9" s="6" t="s">
        <v>1441</v>
      </c>
      <c r="I9" s="6" t="s">
        <v>1378</v>
      </c>
      <c r="J9" s="6" t="s">
        <v>1379</v>
      </c>
      <c r="K9" s="6" t="s">
        <v>1380</v>
      </c>
      <c r="L9" s="6" t="s">
        <v>238</v>
      </c>
      <c r="M9" s="6" t="s">
        <v>1381</v>
      </c>
      <c r="O9" s="12" t="s">
        <v>238</v>
      </c>
      <c r="P9" s="12">
        <v>69</v>
      </c>
      <c r="R9" t="str">
        <f ca="1">IFERROR(__xludf.DUMMYFUNCTION("""COMPUTED_VALUE"""),"")</f>
        <v/>
      </c>
      <c r="S9" s="15"/>
      <c r="U9" s="15"/>
      <c r="V9" t="str">
        <f ca="1">IFERROR(__xludf.DUMMYFUNCTION("""COMPUTED_VALUE"""),"Disruptor Puffs")</f>
        <v>Disruptor Puffs</v>
      </c>
      <c r="W9" s="15">
        <f ca="1">COUNTIF(E2:E1104, V9)</f>
        <v>7</v>
      </c>
      <c r="X9" t="str">
        <f ca="1">IFERROR(__xludf.DUMMYFUNCTION("""COMPUTED_VALUE"""),"Crystal Arcanist")</f>
        <v>Crystal Arcanist</v>
      </c>
      <c r="Y9" s="15">
        <f ca="1">COUNTIF(F2:F1104,X9)</f>
        <v>14</v>
      </c>
      <c r="Z9" t="str">
        <f ca="1">IFERROR(__xludf.DUMMYFUNCTION("""COMPUTED_VALUE"""),"Dragon Nest")</f>
        <v>Dragon Nest</v>
      </c>
      <c r="AA9" s="15">
        <f ca="1">COUNTIF(G2:G1104, Z9)</f>
        <v>10</v>
      </c>
      <c r="AB9" t="str">
        <f ca="1">IFERROR(__xludf.DUMMYFUNCTION("""COMPUTED_VALUE"""),"Divine Warrior")</f>
        <v>Divine Warrior</v>
      </c>
      <c r="AC9" s="15">
        <f ca="1">COUNTIF(H2:H1104, AB9)</f>
        <v>114</v>
      </c>
      <c r="AD9" t="str">
        <f ca="1">IFERROR(__xludf.DUMMYFUNCTION("""COMPUTED_VALUE"""),"Rabid prowler")</f>
        <v>Rabid prowler</v>
      </c>
      <c r="AE9" s="15">
        <f ca="1">COUNTIF(I2:I1104, AD9)</f>
        <v>20</v>
      </c>
      <c r="AF9" t="str">
        <f ca="1">IFERROR(__xludf.DUMMYFUNCTION("""COMPUTED_VALUE"""),"")</f>
        <v/>
      </c>
      <c r="AG9" s="15"/>
    </row>
    <row r="10" spans="1:39" ht="15.75" customHeight="1" x14ac:dyDescent="0.25">
      <c r="A10" s="6" t="s">
        <v>1627</v>
      </c>
      <c r="C10" s="6" t="s">
        <v>1515</v>
      </c>
      <c r="D10" s="6" t="s">
        <v>1373</v>
      </c>
      <c r="E10" s="6" t="s">
        <v>1374</v>
      </c>
      <c r="F10" s="6" t="s">
        <v>107</v>
      </c>
      <c r="G10" s="6" t="s">
        <v>1376</v>
      </c>
      <c r="H10" s="6" t="s">
        <v>1441</v>
      </c>
      <c r="I10" s="6" t="s">
        <v>1378</v>
      </c>
      <c r="J10" s="6" t="s">
        <v>1379</v>
      </c>
      <c r="K10" s="6" t="s">
        <v>1380</v>
      </c>
      <c r="L10" s="6" t="s">
        <v>238</v>
      </c>
      <c r="M10" s="6" t="s">
        <v>1381</v>
      </c>
      <c r="O10" t="s">
        <v>246</v>
      </c>
      <c r="P10" s="12">
        <v>67</v>
      </c>
      <c r="S10" s="15"/>
      <c r="U10" s="15"/>
      <c r="V10" t="str">
        <f ca="1">IFERROR(__xludf.DUMMYFUNCTION("""COMPUTED_VALUE"""),"Elite Swarmer")</f>
        <v>Elite Swarmer</v>
      </c>
      <c r="W10" s="15">
        <f ca="1">COUNTIF(E2:E1104, V10)</f>
        <v>10</v>
      </c>
      <c r="X10" t="str">
        <f ca="1">IFERROR(__xludf.DUMMYFUNCTION("""COMPUTED_VALUE"""),"Crystal Archers")</f>
        <v>Crystal Archers</v>
      </c>
      <c r="Y10" s="15">
        <f ca="1">COUNTIF(F2:F1104,X10)</f>
        <v>65</v>
      </c>
      <c r="Z10" t="str">
        <f ca="1">IFERROR(__xludf.DUMMYFUNCTION("""COMPUTED_VALUE"""),"Drone Buzzers")</f>
        <v>Drone Buzzers</v>
      </c>
      <c r="AA10" s="15">
        <f ca="1">COUNTIF(G2:G1104, Z10)</f>
        <v>17</v>
      </c>
      <c r="AB10" t="str">
        <f ca="1">IFERROR(__xludf.DUMMYFUNCTION("""COMPUTED_VALUE"""),"Dragon Ball")</f>
        <v>Dragon Ball</v>
      </c>
      <c r="AC10" s="15">
        <f ca="1">COUNTIF(H2:H1104, AB10)</f>
        <v>60</v>
      </c>
      <c r="AD10" t="str">
        <f ca="1">IFERROR(__xludf.DUMMYFUNCTION("""COMPUTED_VALUE"""),"Styxi")</f>
        <v>Styxi</v>
      </c>
      <c r="AE10" s="15">
        <f ca="1">COUNTIF(I2:I1104, AD10)</f>
        <v>38</v>
      </c>
      <c r="AG10" s="15"/>
    </row>
    <row r="11" spans="1:39" ht="15.75" customHeight="1" x14ac:dyDescent="0.25">
      <c r="A11" s="6" t="s">
        <v>1627</v>
      </c>
      <c r="C11" s="6" t="s">
        <v>1515</v>
      </c>
      <c r="D11" s="6" t="s">
        <v>1373</v>
      </c>
      <c r="E11" s="6" t="s">
        <v>1374</v>
      </c>
      <c r="F11" s="6" t="s">
        <v>107</v>
      </c>
      <c r="G11" s="6" t="s">
        <v>1376</v>
      </c>
      <c r="H11" s="6" t="s">
        <v>1441</v>
      </c>
      <c r="I11" s="6" t="s">
        <v>1378</v>
      </c>
      <c r="J11" s="6" t="s">
        <v>1379</v>
      </c>
      <c r="K11" s="6" t="s">
        <v>1380</v>
      </c>
      <c r="L11" s="6" t="s">
        <v>238</v>
      </c>
      <c r="M11" s="6" t="s">
        <v>1381</v>
      </c>
      <c r="O11" s="12" t="s">
        <v>1376</v>
      </c>
      <c r="P11" s="12">
        <v>66</v>
      </c>
      <c r="S11" s="15"/>
      <c r="U11" s="15"/>
      <c r="V11" t="str">
        <f ca="1">IFERROR(__xludf.DUMMYFUNCTION("""COMPUTED_VALUE"""),"Grenadier")</f>
        <v>Grenadier</v>
      </c>
      <c r="W11" s="15">
        <f ca="1">COUNTIF(E2:E1104, V11)</f>
        <v>4</v>
      </c>
      <c r="X11" t="str">
        <f ca="1">IFERROR(__xludf.DUMMYFUNCTION("""COMPUTED_VALUE"""),"Cursebearer")</f>
        <v>Cursebearer</v>
      </c>
      <c r="Y11" s="15">
        <f ca="1">COUNTIF(F2:F1104,X11)</f>
        <v>40</v>
      </c>
      <c r="Z11" t="str">
        <f ca="1">IFERROR(__xludf.DUMMYFUNCTION("""COMPUTED_VALUE"""),"Drone Walker")</f>
        <v>Drone Walker</v>
      </c>
      <c r="AA11" s="15">
        <f ca="1">COUNTIF(G2:G1104, Z11)</f>
        <v>4</v>
      </c>
      <c r="AB11" t="str">
        <f ca="1">IFERROR(__xludf.DUMMYFUNCTION("""COMPUTED_VALUE"""),"Gax the World Bomb")</f>
        <v>Gax the World Bomb</v>
      </c>
      <c r="AC11" s="15">
        <f ca="1">COUNTIF(H2:H1104, AB11)</f>
        <v>15</v>
      </c>
      <c r="AD11" t="str">
        <f ca="1">IFERROR(__xludf.DUMMYFUNCTION("""COMPUTED_VALUE"""),"")</f>
        <v/>
      </c>
      <c r="AE11" s="15"/>
      <c r="AG11" s="15"/>
    </row>
    <row r="12" spans="1:39" ht="15.75" customHeight="1" x14ac:dyDescent="0.25">
      <c r="A12" s="6" t="s">
        <v>1627</v>
      </c>
      <c r="C12" s="6" t="s">
        <v>1515</v>
      </c>
      <c r="D12" s="6" t="s">
        <v>1373</v>
      </c>
      <c r="E12" s="6" t="s">
        <v>1374</v>
      </c>
      <c r="F12" s="6" t="s">
        <v>107</v>
      </c>
      <c r="G12" s="6" t="s">
        <v>1376</v>
      </c>
      <c r="H12" s="8" t="s">
        <v>1441</v>
      </c>
      <c r="I12" s="6" t="s">
        <v>1378</v>
      </c>
      <c r="J12" s="6" t="s">
        <v>1379</v>
      </c>
      <c r="K12" s="6" t="s">
        <v>1380</v>
      </c>
      <c r="L12" s="6" t="s">
        <v>238</v>
      </c>
      <c r="M12" s="6" t="s">
        <v>1381</v>
      </c>
      <c r="O12" t="s">
        <v>1657</v>
      </c>
      <c r="P12" s="16">
        <v>66</v>
      </c>
      <c r="S12" s="15"/>
      <c r="U12" s="15"/>
      <c r="V12" t="str">
        <f ca="1">IFERROR(__xludf.DUMMYFUNCTION("""COMPUTED_VALUE"""),"Heal Puff")</f>
        <v>Heal Puff</v>
      </c>
      <c r="W12" s="15">
        <f ca="1">COUNTIF(E2:E1104, V12)</f>
        <v>17</v>
      </c>
      <c r="X12" t="str">
        <f ca="1">IFERROR(__xludf.DUMMYFUNCTION("""COMPUTED_VALUE"""),"Daggerfall")</f>
        <v>Daggerfall</v>
      </c>
      <c r="Y12" s="15">
        <f ca="1">COUNTIF(F2:F1104,X12)</f>
        <v>61</v>
      </c>
      <c r="Z12" t="str">
        <f ca="1">IFERROR(__xludf.DUMMYFUNCTION("""COMPUTED_VALUE"""),"Fire Imp")</f>
        <v>Fire Imp</v>
      </c>
      <c r="AA12" s="15">
        <f ca="1">COUNTIF(G2:G1104, Z12)</f>
        <v>70</v>
      </c>
      <c r="AB12" t="str">
        <f ca="1">IFERROR(__xludf.DUMMYFUNCTION("""COMPUTED_VALUE"""),"Incubus")</f>
        <v>Incubus</v>
      </c>
      <c r="AC12" s="15">
        <f ca="1">COUNTIF(H2:H1104, AB12)</f>
        <v>59</v>
      </c>
      <c r="AE12" s="15"/>
      <c r="AG12" s="15"/>
    </row>
    <row r="13" spans="1:39" ht="15.75" customHeight="1" x14ac:dyDescent="0.25">
      <c r="A13" s="6" t="s">
        <v>1627</v>
      </c>
      <c r="C13" s="6" t="s">
        <v>1515</v>
      </c>
      <c r="D13" s="6" t="s">
        <v>1373</v>
      </c>
      <c r="E13" s="6" t="s">
        <v>1374</v>
      </c>
      <c r="F13" s="6" t="s">
        <v>107</v>
      </c>
      <c r="G13" s="6" t="s">
        <v>1376</v>
      </c>
      <c r="H13" s="8" t="s">
        <v>1441</v>
      </c>
      <c r="I13" s="6" t="s">
        <v>1378</v>
      </c>
      <c r="J13" s="6" t="s">
        <v>1379</v>
      </c>
      <c r="K13" s="6" t="s">
        <v>1380</v>
      </c>
      <c r="L13" s="6" t="s">
        <v>238</v>
      </c>
      <c r="M13" s="6" t="s">
        <v>1381</v>
      </c>
      <c r="O13" t="s">
        <v>1679</v>
      </c>
      <c r="P13" s="13">
        <v>65</v>
      </c>
      <c r="S13" s="15"/>
      <c r="U13" s="15"/>
      <c r="V13" t="str">
        <f ca="1">IFERROR(__xludf.DUMMYFUNCTION("""COMPUTED_VALUE"""),"Mana Puff Madness")</f>
        <v>Mana Puff Madness</v>
      </c>
      <c r="W13" s="15">
        <f ca="1">COUNTIF(E2:E1104, V13)</f>
        <v>22</v>
      </c>
      <c r="X13" t="str">
        <f ca="1">IFERROR(__xludf.DUMMYFUNCTION("""COMPUTED_VALUE"""),"Dragon Whelp")</f>
        <v>Dragon Whelp</v>
      </c>
      <c r="Y13" s="15">
        <f ca="1">COUNTIF(F2:F1104,X13)</f>
        <v>32</v>
      </c>
      <c r="Z13" t="str">
        <f ca="1">IFERROR(__xludf.DUMMYFUNCTION("""COMPUTED_VALUE"""),"Fireball")</f>
        <v>Fireball</v>
      </c>
      <c r="AA13" s="15">
        <f ca="1">COUNTIF(G2:G1104, Z13)</f>
        <v>28</v>
      </c>
      <c r="AB13" t="str">
        <f ca="1">IFERROR(__xludf.DUMMYFUNCTION("""COMPUTED_VALUE"""),"Infiltration")</f>
        <v>Infiltration</v>
      </c>
      <c r="AC13" s="15">
        <f ca="1">COUNTIF(H2:H1104, AB13)</f>
        <v>22</v>
      </c>
      <c r="AE13" s="15"/>
      <c r="AG13" s="15"/>
    </row>
    <row r="14" spans="1:39" ht="15.75" customHeight="1" x14ac:dyDescent="0.25">
      <c r="A14" s="6" t="s">
        <v>1627</v>
      </c>
      <c r="C14" s="6" t="s">
        <v>1515</v>
      </c>
      <c r="D14" s="6" t="s">
        <v>1373</v>
      </c>
      <c r="E14" s="6" t="s">
        <v>1374</v>
      </c>
      <c r="F14" s="6" t="s">
        <v>107</v>
      </c>
      <c r="G14" s="6" t="s">
        <v>1376</v>
      </c>
      <c r="H14" s="8" t="s">
        <v>1441</v>
      </c>
      <c r="I14" s="6" t="s">
        <v>1378</v>
      </c>
      <c r="J14" s="6" t="s">
        <v>1379</v>
      </c>
      <c r="K14" s="6" t="s">
        <v>1380</v>
      </c>
      <c r="L14" s="6" t="s">
        <v>238</v>
      </c>
      <c r="M14" s="6" t="s">
        <v>1381</v>
      </c>
      <c r="O14" t="s">
        <v>1692</v>
      </c>
      <c r="P14" s="13">
        <v>61</v>
      </c>
      <c r="S14" s="15"/>
      <c r="U14" s="15"/>
      <c r="V14" t="str">
        <f ca="1">IFERROR(__xludf.DUMMYFUNCTION("""COMPUTED_VALUE"""),"Propeller Scrats")</f>
        <v>Propeller Scrats</v>
      </c>
      <c r="W14" s="15">
        <f ca="1">COUNTIF(E2:E1104, V14)</f>
        <v>3</v>
      </c>
      <c r="X14" t="str">
        <f ca="1">IFERROR(__xludf.DUMMYFUNCTION("""COMPUTED_VALUE"""),"Gambler's Ball")</f>
        <v>Gambler's Ball</v>
      </c>
      <c r="Y14" s="15">
        <f ca="1">COUNTIF(F2:F1104,X14)</f>
        <v>2</v>
      </c>
      <c r="Z14" t="str">
        <f ca="1">IFERROR(__xludf.DUMMYFUNCTION("""COMPUTED_VALUE"""),"Flightless Dragons")</f>
        <v>Flightless Dragons</v>
      </c>
      <c r="AA14" s="15">
        <f ca="1">COUNTIF(G2:G1104, Z14)</f>
        <v>15</v>
      </c>
      <c r="AB14" t="str">
        <f ca="1">IFERROR(__xludf.DUMMYFUNCTION("""COMPUTED_VALUE"""),"Laser Turret")</f>
        <v>Laser Turret</v>
      </c>
      <c r="AC14" s="15">
        <f ca="1">COUNTIF(H2:H1104, AB14)</f>
        <v>5</v>
      </c>
      <c r="AE14" s="15"/>
      <c r="AG14" s="15"/>
    </row>
    <row r="15" spans="1:39" ht="15.75" customHeight="1" x14ac:dyDescent="0.25">
      <c r="A15" s="6" t="s">
        <v>1627</v>
      </c>
      <c r="C15" s="6" t="s">
        <v>1515</v>
      </c>
      <c r="D15" s="6" t="s">
        <v>1373</v>
      </c>
      <c r="E15" s="6" t="s">
        <v>1374</v>
      </c>
      <c r="F15" s="6" t="s">
        <v>107</v>
      </c>
      <c r="G15" s="6" t="s">
        <v>1376</v>
      </c>
      <c r="H15" s="8" t="s">
        <v>1441</v>
      </c>
      <c r="I15" s="6" t="s">
        <v>1378</v>
      </c>
      <c r="J15" s="6" t="s">
        <v>1379</v>
      </c>
      <c r="K15" s="6" t="s">
        <v>1380</v>
      </c>
      <c r="L15" s="6" t="s">
        <v>238</v>
      </c>
      <c r="M15" s="6" t="s">
        <v>1381</v>
      </c>
      <c r="O15" t="s">
        <v>1704</v>
      </c>
      <c r="P15" s="13">
        <v>60</v>
      </c>
      <c r="S15" s="15"/>
      <c r="U15" s="15"/>
      <c r="V15" t="str">
        <f ca="1">IFERROR(__xludf.DUMMYFUNCTION("""COMPUTED_VALUE"""),"Ravenous Swarmers")</f>
        <v>Ravenous Swarmers</v>
      </c>
      <c r="W15" s="15">
        <f ca="1">COUNTIF(E2:E1104, V15)</f>
        <v>1</v>
      </c>
      <c r="X15" t="str">
        <f ca="1">IFERROR(__xludf.DUMMYFUNCTION("""COMPUTED_VALUE"""),"Ghost Turret")</f>
        <v>Ghost Turret</v>
      </c>
      <c r="Y15" s="15">
        <f ca="1">COUNTIF(F2:F1104,X15)</f>
        <v>1</v>
      </c>
      <c r="Z15" t="str">
        <f ca="1">IFERROR(__xludf.DUMMYFUNCTION("""COMPUTED_VALUE"""),"Future Past")</f>
        <v>Future Past</v>
      </c>
      <c r="AA15" s="15">
        <f ca="1">COUNTIF(G2:G1104, Z15)</f>
        <v>21</v>
      </c>
      <c r="AB15" t="str">
        <f ca="1">IFERROR(__xludf.DUMMYFUNCTION("""COMPUTED_VALUE"""),"Legionnaires")</f>
        <v>Legionnaires</v>
      </c>
      <c r="AC15" s="15">
        <f ca="1">COUNTIF(H2:H1104, AB15)</f>
        <v>7</v>
      </c>
      <c r="AE15" s="15"/>
      <c r="AG15" s="15"/>
    </row>
    <row r="16" spans="1:39" ht="15.75" customHeight="1" x14ac:dyDescent="0.25">
      <c r="A16" s="6" t="s">
        <v>1714</v>
      </c>
      <c r="C16" s="6" t="s">
        <v>1515</v>
      </c>
      <c r="D16" s="6" t="s">
        <v>1373</v>
      </c>
      <c r="E16" s="6" t="s">
        <v>1374</v>
      </c>
      <c r="F16" s="6" t="s">
        <v>107</v>
      </c>
      <c r="G16" s="6" t="s">
        <v>1376</v>
      </c>
      <c r="H16" s="8" t="s">
        <v>1441</v>
      </c>
      <c r="I16" s="6" t="s">
        <v>1378</v>
      </c>
      <c r="J16" s="6" t="s">
        <v>1379</v>
      </c>
      <c r="K16" s="6" t="s">
        <v>1380</v>
      </c>
      <c r="L16" s="6" t="s">
        <v>238</v>
      </c>
      <c r="M16" s="6" t="s">
        <v>1381</v>
      </c>
      <c r="O16" t="s">
        <v>1441</v>
      </c>
      <c r="P16" s="13">
        <v>59</v>
      </c>
      <c r="S16" s="15"/>
      <c r="U16" s="15"/>
      <c r="V16" s="22" t="str">
        <f ca="1">IFERROR(__xludf.DUMMYFUNCTION("""COMPUTED_VALUE"""),"S.T.INT")</f>
        <v>S.T.INT</v>
      </c>
      <c r="W16" s="15">
        <f ca="1">COUNTIF(E2:E1104, V16)</f>
        <v>10</v>
      </c>
      <c r="X16" t="str">
        <f ca="1">IFERROR(__xludf.DUMMYFUNCTION("""COMPUTED_VALUE"""),"Gor'Rakk Sacrifice")</f>
        <v>Gor'Rakk Sacrifice</v>
      </c>
      <c r="Y16" s="15">
        <f ca="1">COUNTIF(F2:F1104,X16)</f>
        <v>18</v>
      </c>
      <c r="Z16" t="str">
        <f ca="1">IFERROR(__xludf.DUMMYFUNCTION("""COMPUTED_VALUE"""),"Ghost")</f>
        <v>Ghost</v>
      </c>
      <c r="AA16" s="15">
        <f ca="1">COUNTIF(G2:G1104, Z16)</f>
        <v>20</v>
      </c>
      <c r="AB16" t="str">
        <f ca="1">IFERROR(__xludf.DUMMYFUNCTION("""COMPUTED_VALUE"""),"Living Statue")</f>
        <v>Living Statue</v>
      </c>
      <c r="AC16" s="15">
        <f ca="1">COUNTIF(H2:H1104, AB16)</f>
        <v>34</v>
      </c>
      <c r="AE16" s="15"/>
      <c r="AG16" s="15"/>
    </row>
    <row r="17" spans="1:33" ht="15.75" customHeight="1" x14ac:dyDescent="0.25">
      <c r="A17" s="6" t="s">
        <v>1750</v>
      </c>
      <c r="C17" s="6" t="s">
        <v>1515</v>
      </c>
      <c r="D17" s="6" t="s">
        <v>1751</v>
      </c>
      <c r="E17" s="6" t="s">
        <v>1374</v>
      </c>
      <c r="F17" s="6" t="s">
        <v>107</v>
      </c>
      <c r="G17" s="6" t="s">
        <v>1376</v>
      </c>
      <c r="H17" s="8" t="s">
        <v>1441</v>
      </c>
      <c r="I17" s="6" t="s">
        <v>1378</v>
      </c>
      <c r="J17" s="6" t="s">
        <v>1379</v>
      </c>
      <c r="K17" s="6" t="s">
        <v>1380</v>
      </c>
      <c r="L17" s="6" t="s">
        <v>238</v>
      </c>
      <c r="M17" s="6" t="s">
        <v>1381</v>
      </c>
      <c r="O17" t="s">
        <v>1752</v>
      </c>
      <c r="P17" s="13">
        <v>59</v>
      </c>
      <c r="S17" s="15"/>
      <c r="U17" s="15"/>
      <c r="V17" t="str">
        <f ca="1">IFERROR(__xludf.DUMMYFUNCTION("""COMPUTED_VALUE"""),"Shock Rock")</f>
        <v>Shock Rock</v>
      </c>
      <c r="W17" s="15">
        <f ca="1">COUNTIF(E2:E1104, V17)</f>
        <v>28</v>
      </c>
      <c r="X17" t="str">
        <f ca="1">IFERROR(__xludf.DUMMYFUNCTION("""COMPUTED_VALUE"""),"Healing Fireball")</f>
        <v>Healing Fireball</v>
      </c>
      <c r="Y17" s="15">
        <f ca="1">COUNTIF(F2:F1104,X17)</f>
        <v>21</v>
      </c>
      <c r="Z17" t="str">
        <f ca="1">IFERROR(__xludf.DUMMYFUNCTION("""COMPUTED_VALUE"""),"Hypnotize")</f>
        <v>Hypnotize</v>
      </c>
      <c r="AA17" s="15">
        <f ca="1">COUNTIF(G2:G1104, Z17)</f>
        <v>28</v>
      </c>
      <c r="AB17" t="str">
        <f ca="1">IFERROR(__xludf.DUMMYFUNCTION("""COMPUTED_VALUE"""),"Magma Storm")</f>
        <v>Magma Storm</v>
      </c>
      <c r="AC17" s="15">
        <f ca="1">COUNTIF(H2:H1104, AB17)</f>
        <v>11</v>
      </c>
      <c r="AE17" s="15"/>
      <c r="AG17" s="15"/>
    </row>
    <row r="18" spans="1:33" ht="15.75" customHeight="1" x14ac:dyDescent="0.25">
      <c r="A18" s="6" t="s">
        <v>1750</v>
      </c>
      <c r="C18" s="6" t="s">
        <v>1515</v>
      </c>
      <c r="D18" s="6" t="s">
        <v>1751</v>
      </c>
      <c r="E18" s="6" t="s">
        <v>1374</v>
      </c>
      <c r="F18" s="6" t="s">
        <v>107</v>
      </c>
      <c r="G18" s="6" t="s">
        <v>1376</v>
      </c>
      <c r="H18" s="8" t="s">
        <v>1441</v>
      </c>
      <c r="I18" s="6" t="s">
        <v>1378</v>
      </c>
      <c r="J18" s="6" t="s">
        <v>1379</v>
      </c>
      <c r="K18" s="6" t="s">
        <v>1380</v>
      </c>
      <c r="L18" s="6" t="s">
        <v>238</v>
      </c>
      <c r="M18" s="6" t="s">
        <v>1381</v>
      </c>
      <c r="O18" t="s">
        <v>1765</v>
      </c>
      <c r="P18" s="13">
        <v>58</v>
      </c>
      <c r="S18" s="15"/>
      <c r="U18" s="15"/>
      <c r="V18" t="str">
        <f ca="1">IFERROR(__xludf.DUMMYFUNCTION("""COMPUTED_VALUE"""),"Swarmers")</f>
        <v>Swarmers</v>
      </c>
      <c r="W18" s="15">
        <f ca="1">COUNTIF(E2:E1104, V18)</f>
        <v>13</v>
      </c>
      <c r="X18" t="str">
        <f ca="1">IFERROR(__xludf.DUMMYFUNCTION("""COMPUTED_VALUE"""),"Healing Shrine")</f>
        <v>Healing Shrine</v>
      </c>
      <c r="Y18" s="15">
        <f ca="1">COUNTIF(F2:F1104,X18)</f>
        <v>8</v>
      </c>
      <c r="Z18" t="str">
        <f ca="1">IFERROR(__xludf.DUMMYFUNCTION("""COMPUTED_VALUE"""),"Lightning Bolt")</f>
        <v>Lightning Bolt</v>
      </c>
      <c r="AA18" s="15">
        <f ca="1">COUNTIF(G2:G1104, Z18)</f>
        <v>18</v>
      </c>
      <c r="AB18" t="str">
        <f ca="1">IFERROR(__xludf.DUMMYFUNCTION("""COMPUTED_VALUE"""),"Prowler")</f>
        <v>Prowler</v>
      </c>
      <c r="AC18" s="15">
        <f ca="1">COUNTIF(H2:H1104, AB18)</f>
        <v>58</v>
      </c>
      <c r="AE18" s="15"/>
      <c r="AG18" s="15"/>
    </row>
    <row r="19" spans="1:33" ht="15.75" customHeight="1" x14ac:dyDescent="0.25">
      <c r="A19" s="6" t="s">
        <v>1750</v>
      </c>
      <c r="C19" s="6" t="s">
        <v>1515</v>
      </c>
      <c r="D19" s="6" t="s">
        <v>1751</v>
      </c>
      <c r="E19" s="6" t="s">
        <v>1374</v>
      </c>
      <c r="F19" s="6" t="s">
        <v>107</v>
      </c>
      <c r="G19" s="6" t="s">
        <v>1376</v>
      </c>
      <c r="H19" s="8" t="s">
        <v>1441</v>
      </c>
      <c r="I19" s="6" t="s">
        <v>1378</v>
      </c>
      <c r="J19" s="6" t="s">
        <v>1379</v>
      </c>
      <c r="K19" s="6" t="s">
        <v>1380</v>
      </c>
      <c r="L19" s="6" t="s">
        <v>238</v>
      </c>
      <c r="M19" s="6" t="s">
        <v>1381</v>
      </c>
      <c r="O19" t="s">
        <v>1778</v>
      </c>
      <c r="P19" s="13">
        <v>58</v>
      </c>
      <c r="S19" s="15"/>
      <c r="U19" s="15"/>
      <c r="V19" t="str">
        <f ca="1">IFERROR(__xludf.DUMMYFUNCTION("""COMPUTED_VALUE"""),"Wall")</f>
        <v>Wall</v>
      </c>
      <c r="W19" s="15">
        <f ca="1">COUNTIF(E2:E1104, V19)</f>
        <v>10</v>
      </c>
      <c r="X19" t="str">
        <f ca="1">IFERROR(__xludf.DUMMYFUNCTION("""COMPUTED_VALUE"""),"Lost Leggionnaires")</f>
        <v>Lost Leggionnaires</v>
      </c>
      <c r="Y19" s="15">
        <f ca="1">COUNTIF(F2:F1104,X19)</f>
        <v>4</v>
      </c>
      <c r="Z19" t="str">
        <f ca="1">IFERROR(__xludf.DUMMYFUNCTION("""COMPUTED_VALUE"""),"Magma Cannon")</f>
        <v>Magma Cannon</v>
      </c>
      <c r="AA19" s="15">
        <f ca="1">COUNTIF(G2:G1104, Z19)</f>
        <v>3</v>
      </c>
      <c r="AB19" t="str">
        <f ca="1">IFERROR(__xludf.DUMMYFUNCTION("""COMPUTED_VALUE"""),"Scott the Sensitive Savage")</f>
        <v>Scott the Sensitive Savage</v>
      </c>
      <c r="AC19" s="15">
        <f ca="1">COUNTIF(H2:H1104, AB19)</f>
        <v>45</v>
      </c>
      <c r="AE19" s="15"/>
      <c r="AG19" s="15"/>
    </row>
    <row r="20" spans="1:33" ht="15.75" customHeight="1" x14ac:dyDescent="0.25">
      <c r="A20" s="6" t="s">
        <v>1790</v>
      </c>
      <c r="C20" s="6" t="s">
        <v>1515</v>
      </c>
      <c r="D20" s="6" t="s">
        <v>1751</v>
      </c>
      <c r="E20" s="6" t="s">
        <v>1374</v>
      </c>
      <c r="F20" s="6" t="s">
        <v>107</v>
      </c>
      <c r="G20" s="6" t="s">
        <v>1376</v>
      </c>
      <c r="H20" s="8" t="s">
        <v>1441</v>
      </c>
      <c r="I20" s="6" t="s">
        <v>1378</v>
      </c>
      <c r="J20" s="6" t="s">
        <v>1379</v>
      </c>
      <c r="K20" s="6" t="s">
        <v>1380</v>
      </c>
      <c r="L20" s="6" t="s">
        <v>238</v>
      </c>
      <c r="M20" s="6" t="s">
        <v>1381</v>
      </c>
      <c r="O20" t="s">
        <v>1794</v>
      </c>
      <c r="P20" s="12">
        <v>57</v>
      </c>
      <c r="S20" s="15"/>
      <c r="U20" s="15"/>
      <c r="V20" t="str">
        <f ca="1">IFERROR(__xludf.DUMMYFUNCTION("""COMPUTED_VALUE"""),"Zeppelin Bomber")</f>
        <v>Zeppelin Bomber</v>
      </c>
      <c r="W20" s="15">
        <f ca="1">COUNTIF(E2:E1104, V20)</f>
        <v>2</v>
      </c>
      <c r="X20" t="str">
        <f ca="1">IFERROR(__xludf.DUMMYFUNCTION("""COMPUTED_VALUE"""),"Netherstep")</f>
        <v>Netherstep</v>
      </c>
      <c r="Y20" s="15">
        <f ca="1">COUNTIF(F2:F1104,X20)</f>
        <v>20</v>
      </c>
      <c r="Z20" t="str">
        <f ca="1">IFERROR(__xludf.DUMMYFUNCTION("""COMPUTED_VALUE"""),"Morgrul the Swarmer King")</f>
        <v>Morgrul the Swarmer King</v>
      </c>
      <c r="AA20" s="15">
        <f ca="1">COUNTIF(G2:G1104, Z20)</f>
        <v>66</v>
      </c>
      <c r="AB20" t="str">
        <f ca="1">IFERROR(__xludf.DUMMYFUNCTION("""COMPUTED_VALUE"""),"Scrat Launcher")</f>
        <v>Scrat Launcher</v>
      </c>
      <c r="AC20" s="15">
        <f ca="1">COUNTIF(H2:H1104, AB20)</f>
        <v>16</v>
      </c>
      <c r="AE20" s="15"/>
      <c r="AG20" s="15"/>
    </row>
    <row r="21" spans="1:33" ht="15.75" customHeight="1" x14ac:dyDescent="0.25">
      <c r="A21" s="6" t="s">
        <v>1790</v>
      </c>
      <c r="C21" s="6" t="s">
        <v>1515</v>
      </c>
      <c r="D21" s="6" t="s">
        <v>1751</v>
      </c>
      <c r="E21" s="6" t="s">
        <v>1374</v>
      </c>
      <c r="F21" s="6" t="s">
        <v>107</v>
      </c>
      <c r="G21" s="6" t="s">
        <v>1376</v>
      </c>
      <c r="H21" s="8" t="s">
        <v>1441</v>
      </c>
      <c r="I21" s="6" t="s">
        <v>1378</v>
      </c>
      <c r="J21" s="6" t="s">
        <v>1379</v>
      </c>
      <c r="K21" s="6" t="s">
        <v>1380</v>
      </c>
      <c r="L21" s="6" t="s">
        <v>238</v>
      </c>
      <c r="M21" s="6" t="s">
        <v>1381</v>
      </c>
      <c r="O21" t="s">
        <v>1815</v>
      </c>
      <c r="P21" s="13">
        <v>55</v>
      </c>
      <c r="S21" s="15"/>
      <c r="U21" s="15"/>
      <c r="V21" t="str">
        <f ca="1">IFERROR(__xludf.DUMMYFUNCTION("""COMPUTED_VALUE"""),"")</f>
        <v/>
      </c>
      <c r="W21" s="15"/>
      <c r="X21" t="str">
        <f ca="1">IFERROR(__xludf.DUMMYFUNCTION("""COMPUTED_VALUE"""),"Plasma Marines")</f>
        <v>Plasma Marines</v>
      </c>
      <c r="Y21" s="15">
        <f ca="1">COUNTIF(F2:F1104,X21)</f>
        <v>93</v>
      </c>
      <c r="Z21" t="str">
        <f ca="1">IFERROR(__xludf.DUMMYFUNCTION("""COMPUTED_VALUE"""),"Musketeer")</f>
        <v>Musketeer</v>
      </c>
      <c r="AA21" s="15">
        <f ca="1">COUNTIF(G2:G1104, Z21)</f>
        <v>32</v>
      </c>
      <c r="AB21" t="str">
        <f ca="1">IFERROR(__xludf.DUMMYFUNCTION("""COMPUTED_VALUE"""),"Scrat Tank")</f>
        <v>Scrat Tank</v>
      </c>
      <c r="AC21" s="15">
        <f ca="1">COUNTIF(H2:H1104, AB21)</f>
        <v>32</v>
      </c>
      <c r="AE21" s="15"/>
      <c r="AG21" s="15"/>
    </row>
    <row r="22" spans="1:33" ht="15.75" customHeight="1" x14ac:dyDescent="0.25">
      <c r="A22" s="6" t="s">
        <v>1790</v>
      </c>
      <c r="C22" s="6" t="s">
        <v>1515</v>
      </c>
      <c r="D22" s="6" t="s">
        <v>1751</v>
      </c>
      <c r="E22" s="6" t="s">
        <v>1374</v>
      </c>
      <c r="F22" s="6" t="s">
        <v>107</v>
      </c>
      <c r="G22" s="6" t="s">
        <v>1376</v>
      </c>
      <c r="H22" s="8" t="s">
        <v>1441</v>
      </c>
      <c r="I22" s="6" t="s">
        <v>1378</v>
      </c>
      <c r="J22" s="6" t="s">
        <v>1379</v>
      </c>
      <c r="K22" s="6" t="s">
        <v>1380</v>
      </c>
      <c r="L22" s="6" t="s">
        <v>238</v>
      </c>
      <c r="M22" s="6" t="s">
        <v>1381</v>
      </c>
      <c r="O22" t="s">
        <v>1829</v>
      </c>
      <c r="P22" s="16">
        <v>47</v>
      </c>
      <c r="S22" s="15"/>
      <c r="U22" s="15"/>
      <c r="W22" s="15"/>
      <c r="X22" t="str">
        <f ca="1">IFERROR(__xludf.DUMMYFUNCTION("""COMPUTED_VALUE"""),"Rampage")</f>
        <v>Rampage</v>
      </c>
      <c r="Y22" s="15">
        <f ca="1">COUNTIF(F2:F1104,X22)</f>
        <v>8</v>
      </c>
      <c r="Z22" t="str">
        <f ca="1">IFERROR(__xludf.DUMMYFUNCTION("""COMPUTED_VALUE"""),"Priestess")</f>
        <v>Priestess</v>
      </c>
      <c r="AA22" s="15">
        <f ca="1">COUNTIF(G2:G1104, Z22)</f>
        <v>30</v>
      </c>
      <c r="AB22" t="str">
        <f ca="1">IFERROR(__xludf.DUMMYFUNCTION("""COMPUTED_VALUE"""),"Sniper Squad")</f>
        <v>Sniper Squad</v>
      </c>
      <c r="AC22" s="15">
        <f ca="1">COUNTIF(H2:H1104, AB22)</f>
        <v>20</v>
      </c>
      <c r="AE22" s="15"/>
      <c r="AG22" s="15"/>
    </row>
    <row r="23" spans="1:33" ht="15.75" customHeight="1" x14ac:dyDescent="0.25">
      <c r="A23" s="6" t="s">
        <v>1790</v>
      </c>
      <c r="C23" s="6" t="s">
        <v>1844</v>
      </c>
      <c r="D23" s="6" t="s">
        <v>1751</v>
      </c>
      <c r="E23" s="6" t="s">
        <v>1374</v>
      </c>
      <c r="F23" s="6" t="s">
        <v>107</v>
      </c>
      <c r="G23" s="6" t="s">
        <v>1376</v>
      </c>
      <c r="H23" s="6" t="s">
        <v>1441</v>
      </c>
      <c r="I23" s="6" t="s">
        <v>1378</v>
      </c>
      <c r="J23" s="6" t="s">
        <v>1379</v>
      </c>
      <c r="K23" s="6" t="s">
        <v>1380</v>
      </c>
      <c r="L23" s="6" t="s">
        <v>238</v>
      </c>
      <c r="M23" s="6" t="s">
        <v>1381</v>
      </c>
      <c r="O23" t="s">
        <v>1846</v>
      </c>
      <c r="P23" s="13">
        <v>45</v>
      </c>
      <c r="S23" s="15"/>
      <c r="U23" s="15"/>
      <c r="W23" s="15"/>
      <c r="X23" t="str">
        <f ca="1">IFERROR(__xludf.DUMMYFUNCTION("""COMPUTED_VALUE"""),"Re-Boomer")</f>
        <v>Re-Boomer</v>
      </c>
      <c r="Y23" s="15">
        <f ca="1">COUNTIF(F2:F1104,X23)</f>
        <v>27</v>
      </c>
      <c r="Z23" t="str">
        <f ca="1">IFERROR(__xludf.DUMMYFUNCTION("""COMPUTED_VALUE"""),"Propeller Horde")</f>
        <v>Propeller Horde</v>
      </c>
      <c r="AA23" s="15">
        <f ca="1">COUNTIF(G2:G1104, Z23)</f>
        <v>18</v>
      </c>
      <c r="AB23" t="str">
        <f ca="1">IFERROR(__xludf.DUMMYFUNCTION("""COMPUTED_VALUE"""),"Soul Stealer")</f>
        <v>Soul Stealer</v>
      </c>
      <c r="AC23" s="15">
        <f ca="1">COUNTIF(H2:H1104, AB23)</f>
        <v>40</v>
      </c>
      <c r="AE23" s="15"/>
      <c r="AG23" s="15"/>
    </row>
    <row r="24" spans="1:33" ht="15.75" customHeight="1" x14ac:dyDescent="0.25">
      <c r="A24" s="6" t="s">
        <v>1790</v>
      </c>
      <c r="C24" s="6" t="s">
        <v>1844</v>
      </c>
      <c r="D24" s="6" t="s">
        <v>1751</v>
      </c>
      <c r="E24" s="6" t="s">
        <v>1374</v>
      </c>
      <c r="F24" s="6" t="s">
        <v>107</v>
      </c>
      <c r="G24" s="6" t="s">
        <v>1376</v>
      </c>
      <c r="H24" s="8" t="s">
        <v>1441</v>
      </c>
      <c r="I24" s="6" t="s">
        <v>1378</v>
      </c>
      <c r="J24" s="6" t="s">
        <v>1379</v>
      </c>
      <c r="K24" s="6" t="s">
        <v>1380</v>
      </c>
      <c r="L24" s="6" t="s">
        <v>238</v>
      </c>
      <c r="M24" s="6" t="s">
        <v>1381</v>
      </c>
      <c r="O24" t="s">
        <v>1856</v>
      </c>
      <c r="P24" s="16">
        <v>45</v>
      </c>
      <c r="S24" s="15"/>
      <c r="U24" s="15"/>
      <c r="W24" s="15"/>
      <c r="X24" t="str">
        <f ca="1">IFERROR(__xludf.DUMMYFUNCTION("""COMPUTED_VALUE"""),"Scrat Horde")</f>
        <v>Scrat Horde</v>
      </c>
      <c r="Y24" s="15">
        <f ca="1">COUNTIF(F2:F1104,X24)</f>
        <v>38</v>
      </c>
      <c r="Z24" t="str">
        <f ca="1">IFERROR(__xludf.DUMMYFUNCTION("""COMPUTED_VALUE"""),"Raging Reinforcements")</f>
        <v>Raging Reinforcements</v>
      </c>
      <c r="AA24" s="15">
        <f ca="1">COUNTIF(G2:G1104, Z24)</f>
        <v>6</v>
      </c>
      <c r="AB24" t="str">
        <f ca="1">IFERROR(__xludf.DUMMYFUNCTION("""COMPUTED_VALUE"""),"Spiritmancer")</f>
        <v>Spiritmancer</v>
      </c>
      <c r="AC24" s="15">
        <f ca="1">COUNTIF(H2:H1104, AB24)</f>
        <v>55</v>
      </c>
      <c r="AE24" s="15"/>
      <c r="AG24" s="15"/>
    </row>
    <row r="25" spans="1:33" ht="15.75" customHeight="1" x14ac:dyDescent="0.25">
      <c r="A25" s="6" t="s">
        <v>1790</v>
      </c>
      <c r="C25" s="6" t="s">
        <v>1844</v>
      </c>
      <c r="D25" s="6" t="s">
        <v>1751</v>
      </c>
      <c r="E25" s="6" t="s">
        <v>1374</v>
      </c>
      <c r="F25" s="6" t="s">
        <v>107</v>
      </c>
      <c r="G25" s="6" t="s">
        <v>1376</v>
      </c>
      <c r="H25" s="8" t="s">
        <v>1441</v>
      </c>
      <c r="I25" s="6" t="s">
        <v>1378</v>
      </c>
      <c r="J25" s="6" t="s">
        <v>1379</v>
      </c>
      <c r="K25" s="6" t="s">
        <v>1380</v>
      </c>
      <c r="L25" s="6" t="s">
        <v>238</v>
      </c>
      <c r="M25" s="2"/>
      <c r="O25" t="s">
        <v>1872</v>
      </c>
      <c r="P25" s="16">
        <v>43</v>
      </c>
      <c r="S25" s="15"/>
      <c r="U25" s="15"/>
      <c r="W25" s="15"/>
      <c r="X25" t="str">
        <f ca="1">IFERROR(__xludf.DUMMYFUNCTION("""COMPUTED_VALUE"""),"Snake Druid")</f>
        <v>Snake Druid</v>
      </c>
      <c r="Y25" s="15">
        <f ca="1">COUNTIF(F2:F1104,X25)</f>
        <v>6</v>
      </c>
      <c r="Z25" t="str">
        <f ca="1">IFERROR(__xludf.DUMMYFUNCTION("""COMPUTED_VALUE"""),"Rammer")</f>
        <v>Rammer</v>
      </c>
      <c r="AA25" s="15">
        <f ca="1">COUNTIF(G2:G1104, Z25)</f>
        <v>43</v>
      </c>
      <c r="AB25" t="str">
        <f ca="1">IFERROR(__xludf.DUMMYFUNCTION("""COMPUTED_VALUE"""),"Succubus")</f>
        <v>Succubus</v>
      </c>
      <c r="AC25" s="15">
        <f ca="1">COUNTIF(H2:H1104, AB25)</f>
        <v>79</v>
      </c>
      <c r="AE25" s="15"/>
      <c r="AG25" s="15"/>
    </row>
    <row r="26" spans="1:33" ht="15.75" customHeight="1" x14ac:dyDescent="0.25">
      <c r="A26" s="6" t="s">
        <v>1790</v>
      </c>
      <c r="C26" s="6" t="s">
        <v>1844</v>
      </c>
      <c r="D26" s="6" t="s">
        <v>1751</v>
      </c>
      <c r="E26" s="6" t="s">
        <v>1374</v>
      </c>
      <c r="F26" s="6" t="s">
        <v>107</v>
      </c>
      <c r="G26" s="6" t="s">
        <v>1376</v>
      </c>
      <c r="H26" s="6" t="s">
        <v>1441</v>
      </c>
      <c r="I26" s="6" t="s">
        <v>1378</v>
      </c>
      <c r="J26" s="6" t="s">
        <v>1379</v>
      </c>
      <c r="K26" s="6" t="s">
        <v>1380</v>
      </c>
      <c r="L26" s="6" t="s">
        <v>238</v>
      </c>
      <c r="M26" s="2"/>
      <c r="O26" s="12" t="s">
        <v>1379</v>
      </c>
      <c r="P26" s="12">
        <v>42</v>
      </c>
      <c r="S26" s="15"/>
      <c r="U26" s="15"/>
      <c r="W26" s="15"/>
      <c r="X26" t="str">
        <f ca="1">IFERROR(__xludf.DUMMYFUNCTION("""COMPUTED_VALUE"""),"Sniper Scrat")</f>
        <v>Sniper Scrat</v>
      </c>
      <c r="Y26" s="15">
        <f ca="1">COUNTIF(F2:F1104,X26)</f>
        <v>28</v>
      </c>
      <c r="Z26" t="str">
        <f ca="1">IFERROR(__xludf.DUMMYFUNCTION("""COMPUTED_VALUE"""),"Spear Throwers")</f>
        <v>Spear Throwers</v>
      </c>
      <c r="AA26" s="15">
        <f ca="1">COUNTIF(G2:G1104, Z26)</f>
        <v>21</v>
      </c>
      <c r="AB26" t="str">
        <f ca="1">IFERROR(__xludf.DUMMYFUNCTION("""COMPUTED_VALUE"""),"Swarmer Totem")</f>
        <v>Swarmer Totem</v>
      </c>
      <c r="AC26" s="15">
        <f ca="1">COUNTIF(H2:H1104, AB26)</f>
        <v>8</v>
      </c>
      <c r="AE26" s="15"/>
      <c r="AG26" s="15"/>
    </row>
    <row r="27" spans="1:33" ht="15.75" customHeight="1" x14ac:dyDescent="0.25">
      <c r="A27" s="6" t="s">
        <v>1790</v>
      </c>
      <c r="C27" s="6" t="s">
        <v>1844</v>
      </c>
      <c r="D27" s="6" t="s">
        <v>1751</v>
      </c>
      <c r="E27" s="6" t="s">
        <v>1374</v>
      </c>
      <c r="F27" s="6" t="s">
        <v>107</v>
      </c>
      <c r="G27" s="6" t="s">
        <v>1376</v>
      </c>
      <c r="H27" t="s">
        <v>1441</v>
      </c>
      <c r="I27" s="6" t="s">
        <v>1378</v>
      </c>
      <c r="J27" s="6" t="s">
        <v>1379</v>
      </c>
      <c r="K27" t="s">
        <v>1380</v>
      </c>
      <c r="L27" s="6" t="s">
        <v>238</v>
      </c>
      <c r="M27" s="2"/>
      <c r="O27" s="12" t="s">
        <v>1374</v>
      </c>
      <c r="P27" s="12">
        <v>40</v>
      </c>
      <c r="S27" s="15"/>
      <c r="U27" s="15"/>
      <c r="W27" s="15"/>
      <c r="X27" t="str">
        <f ca="1">IFERROR(__xludf.DUMMYFUNCTION("""COMPUTED_VALUE"""),"Stun Blast")</f>
        <v>Stun Blast</v>
      </c>
      <c r="Y27" s="15">
        <f ca="1">COUNTIF(F2:F1104,X27)</f>
        <v>5</v>
      </c>
      <c r="Z27" t="str">
        <f ca="1">IFERROR(__xludf.DUMMYFUNCTION("""COMPUTED_VALUE"""),"Spirit Infusion")</f>
        <v>Spirit Infusion</v>
      </c>
      <c r="AA27" s="15">
        <f ca="1">COUNTIF(G2:G1104, Z27)</f>
        <v>5</v>
      </c>
      <c r="AB27" t="str">
        <f ca="1">IFERROR(__xludf.DUMMYFUNCTION("""COMPUTED_VALUE"""),"Wizard Puff")</f>
        <v>Wizard Puff</v>
      </c>
      <c r="AC27" s="15">
        <f ca="1">COUNTIF(H2:H1104, AB27)</f>
        <v>28</v>
      </c>
      <c r="AE27" s="15"/>
      <c r="AG27" s="15"/>
    </row>
    <row r="28" spans="1:33" ht="15.75" customHeight="1" x14ac:dyDescent="0.25">
      <c r="A28" s="6" t="s">
        <v>1790</v>
      </c>
      <c r="C28" s="6" t="s">
        <v>1909</v>
      </c>
      <c r="D28" s="6" t="s">
        <v>1751</v>
      </c>
      <c r="E28" s="6" t="s">
        <v>1374</v>
      </c>
      <c r="F28" s="6" t="s">
        <v>107</v>
      </c>
      <c r="G28" s="6" t="s">
        <v>1376</v>
      </c>
      <c r="H28" s="6" t="s">
        <v>1441</v>
      </c>
      <c r="I28" s="6" t="s">
        <v>1378</v>
      </c>
      <c r="J28" s="6" t="s">
        <v>1379</v>
      </c>
      <c r="K28" t="s">
        <v>1380</v>
      </c>
      <c r="L28" s="6" t="s">
        <v>238</v>
      </c>
      <c r="M28" s="2"/>
      <c r="O28" t="s">
        <v>1910</v>
      </c>
      <c r="P28" s="16">
        <v>40</v>
      </c>
      <c r="S28" s="15"/>
      <c r="U28" s="15"/>
      <c r="W28" s="15"/>
      <c r="X28" t="str">
        <f ca="1">IFERROR(__xludf.DUMMYFUNCTION("""COMPUTED_VALUE"""),"Sun Burn")</f>
        <v>Sun Burn</v>
      </c>
      <c r="Y28" s="15">
        <f ca="1">COUNTIF(F2:F1104,X28)</f>
        <v>6</v>
      </c>
      <c r="Z28" t="str">
        <f ca="1">IFERROR(__xludf.DUMMYFUNCTION("""COMPUTED_VALUE"""),"Stun Lancers")</f>
        <v>Stun Lancers</v>
      </c>
      <c r="AA28" s="15">
        <f ca="1">COUNTIF(G2:G1104, Z28)</f>
        <v>86</v>
      </c>
      <c r="AB28" t="str">
        <f ca="1">IFERROR(__xludf.DUMMYFUNCTION("""COMPUTED_VALUE"""),"")</f>
        <v/>
      </c>
      <c r="AC28" s="15"/>
      <c r="AE28" s="15"/>
      <c r="AG28" s="15"/>
    </row>
    <row r="29" spans="1:33" ht="15.75" customHeight="1" x14ac:dyDescent="0.25">
      <c r="A29" s="6" t="s">
        <v>1790</v>
      </c>
      <c r="C29" s="6" t="s">
        <v>1909</v>
      </c>
      <c r="D29" s="6" t="s">
        <v>1751</v>
      </c>
      <c r="E29" s="6" t="s">
        <v>1374</v>
      </c>
      <c r="F29" s="6" t="s">
        <v>107</v>
      </c>
      <c r="G29" s="6" t="s">
        <v>1376</v>
      </c>
      <c r="H29" s="6" t="s">
        <v>1441</v>
      </c>
      <c r="I29" s="6" t="s">
        <v>1378</v>
      </c>
      <c r="J29" s="6" t="s">
        <v>1379</v>
      </c>
      <c r="K29" s="6" t="s">
        <v>1380</v>
      </c>
      <c r="L29" s="6" t="s">
        <v>238</v>
      </c>
      <c r="M29" s="2"/>
      <c r="O29" t="s">
        <v>1922</v>
      </c>
      <c r="P29" s="13">
        <v>40</v>
      </c>
      <c r="S29" s="15"/>
      <c r="U29" s="15"/>
      <c r="W29" s="15"/>
      <c r="X29" t="str">
        <f ca="1">IFERROR(__xludf.DUMMYFUNCTION("""COMPUTED_VALUE"""),"Tantrum Throwers")</f>
        <v>Tantrum Throwers</v>
      </c>
      <c r="Y29" s="15">
        <f ca="1">COUNTIF(F2:F1104,X29)</f>
        <v>9</v>
      </c>
      <c r="Z29" t="str">
        <f ca="1">IFERROR(__xludf.DUMMYFUNCTION("""COMPUTED_VALUE"""),"Tranquil Shi-Hou")</f>
        <v>Tranquil Shi-Hou</v>
      </c>
      <c r="AA29" s="15">
        <f ca="1">COUNTIF(G2:G1104, Z29)</f>
        <v>13</v>
      </c>
      <c r="AC29" s="15"/>
      <c r="AE29" s="15"/>
      <c r="AG29" s="15"/>
    </row>
    <row r="30" spans="1:33" ht="15.75" customHeight="1" x14ac:dyDescent="0.25">
      <c r="A30" s="6" t="s">
        <v>1790</v>
      </c>
      <c r="C30" s="6" t="s">
        <v>1909</v>
      </c>
      <c r="D30" s="6" t="s">
        <v>1751</v>
      </c>
      <c r="E30" s="6" t="s">
        <v>1374</v>
      </c>
      <c r="F30" s="6" t="s">
        <v>1931</v>
      </c>
      <c r="G30" s="6" t="s">
        <v>1376</v>
      </c>
      <c r="H30" s="6" t="s">
        <v>1441</v>
      </c>
      <c r="I30" s="6" t="s">
        <v>1378</v>
      </c>
      <c r="J30" s="6" t="s">
        <v>1379</v>
      </c>
      <c r="K30" s="6" t="s">
        <v>1380</v>
      </c>
      <c r="L30" s="6" t="s">
        <v>238</v>
      </c>
      <c r="M30" s="2"/>
      <c r="O30" t="s">
        <v>1932</v>
      </c>
      <c r="P30" s="13">
        <v>40</v>
      </c>
      <c r="S30" s="15"/>
      <c r="U30" s="15"/>
      <c r="W30" s="15"/>
      <c r="X30" t="str">
        <f ca="1">IFERROR(__xludf.DUMMYFUNCTION("""COMPUTED_VALUE"""),"Walking Blind Date")</f>
        <v>Walking Blind Date</v>
      </c>
      <c r="Y30" s="15">
        <f ca="1">COUNTIF(F2:F1104,X30)</f>
        <v>31</v>
      </c>
      <c r="Z30" t="str">
        <f ca="1">IFERROR(__xludf.DUMMYFUNCTION("""COMPUTED_VALUE"""),"Undying Skeleton")</f>
        <v>Undying Skeleton</v>
      </c>
      <c r="AA30" s="15">
        <f ca="1">COUNTIF(G2:G1104, Z30)</f>
        <v>25</v>
      </c>
      <c r="AC30" s="15"/>
      <c r="AE30" s="15"/>
      <c r="AG30" s="15"/>
    </row>
    <row r="31" spans="1:33" ht="15.75" customHeight="1" x14ac:dyDescent="0.25">
      <c r="A31" s="6" t="s">
        <v>1790</v>
      </c>
      <c r="C31" s="6" t="s">
        <v>1941</v>
      </c>
      <c r="D31" s="6" t="s">
        <v>1751</v>
      </c>
      <c r="E31" s="6" t="s">
        <v>1374</v>
      </c>
      <c r="F31" s="6" t="s">
        <v>1931</v>
      </c>
      <c r="G31" s="6" t="s">
        <v>1376</v>
      </c>
      <c r="H31" s="6" t="s">
        <v>1441</v>
      </c>
      <c r="I31" s="6" t="s">
        <v>1378</v>
      </c>
      <c r="J31" s="6" t="s">
        <v>1379</v>
      </c>
      <c r="K31" s="6" t="s">
        <v>1380</v>
      </c>
      <c r="L31" s="6" t="s">
        <v>238</v>
      </c>
      <c r="M31" s="2"/>
      <c r="O31" t="s">
        <v>1942</v>
      </c>
      <c r="P31" s="13">
        <v>38</v>
      </c>
      <c r="S31" s="15"/>
      <c r="U31" s="15"/>
      <c r="W31" s="15"/>
      <c r="X31" t="str">
        <f ca="1">IFERROR(__xludf.DUMMYFUNCTION("""COMPUTED_VALUE"""),"Warrior")</f>
        <v>Warrior</v>
      </c>
      <c r="Y31" s="15">
        <f ca="1">COUNTIF(F2:F1104,X31)</f>
        <v>10</v>
      </c>
      <c r="Z31" t="str">
        <f ca="1">IFERROR(__xludf.DUMMYFUNCTION("""COMPUTED_VALUE"""),"Wheel of Doom")</f>
        <v>Wheel of Doom</v>
      </c>
      <c r="AA31" s="15">
        <f ca="1">COUNTIF(G2:G1104, Z31)</f>
        <v>24</v>
      </c>
      <c r="AC31" s="15"/>
      <c r="AE31" s="15"/>
      <c r="AG31" s="15"/>
    </row>
    <row r="32" spans="1:33" ht="15.75" customHeight="1" x14ac:dyDescent="0.25">
      <c r="A32" s="6" t="s">
        <v>1790</v>
      </c>
      <c r="C32" s="6" t="s">
        <v>1951</v>
      </c>
      <c r="D32" s="6" t="s">
        <v>1751</v>
      </c>
      <c r="E32" s="6" t="s">
        <v>1374</v>
      </c>
      <c r="F32" s="6" t="s">
        <v>1931</v>
      </c>
      <c r="G32" s="6" t="s">
        <v>1376</v>
      </c>
      <c r="H32" s="8" t="s">
        <v>1441</v>
      </c>
      <c r="I32" s="6" t="s">
        <v>1378</v>
      </c>
      <c r="J32" s="6" t="s">
        <v>1379</v>
      </c>
      <c r="K32" s="6" t="s">
        <v>1953</v>
      </c>
      <c r="L32" s="6" t="s">
        <v>238</v>
      </c>
      <c r="M32" s="2"/>
      <c r="O32" t="s">
        <v>1954</v>
      </c>
      <c r="P32" s="12">
        <v>38</v>
      </c>
      <c r="S32" s="15"/>
      <c r="U32" s="15"/>
      <c r="W32" s="15"/>
      <c r="X32" t="str">
        <f ca="1">IFERROR(__xludf.DUMMYFUNCTION("""COMPUTED_VALUE"""),"Xiao Long")</f>
        <v>Xiao Long</v>
      </c>
      <c r="Y32" s="15">
        <f ca="1">COUNTIF(F2:F1104,X32)</f>
        <v>116</v>
      </c>
      <c r="Z32" t="str">
        <f ca="1">IFERROR(__xludf.DUMMYFUNCTION("""COMPUTED_VALUE"""),"Whirly Scrat")</f>
        <v>Whirly Scrat</v>
      </c>
      <c r="AA32" s="15">
        <f ca="1">COUNTIF(G2:G1104, Z32)</f>
        <v>45</v>
      </c>
      <c r="AC32" s="15"/>
      <c r="AE32" s="15"/>
      <c r="AG32" s="15"/>
    </row>
    <row r="33" spans="1:33" ht="15.75" customHeight="1" x14ac:dyDescent="0.25">
      <c r="A33" s="6" t="s">
        <v>1790</v>
      </c>
      <c r="C33" s="6" t="s">
        <v>1951</v>
      </c>
      <c r="D33" s="6" t="s">
        <v>1751</v>
      </c>
      <c r="E33" s="6" t="s">
        <v>1374</v>
      </c>
      <c r="F33" s="6" t="s">
        <v>1931</v>
      </c>
      <c r="G33" s="6" t="s">
        <v>1376</v>
      </c>
      <c r="H33" s="6" t="s">
        <v>1441</v>
      </c>
      <c r="I33" s="6" t="s">
        <v>1378</v>
      </c>
      <c r="J33" s="6" t="s">
        <v>1379</v>
      </c>
      <c r="K33" s="6" t="s">
        <v>1953</v>
      </c>
      <c r="L33" s="6" t="s">
        <v>238</v>
      </c>
      <c r="M33" s="2"/>
      <c r="O33" t="s">
        <v>1965</v>
      </c>
      <c r="P33" s="13">
        <v>37</v>
      </c>
      <c r="S33" s="15"/>
      <c r="U33" s="15"/>
      <c r="W33" s="15"/>
      <c r="X33" t="str">
        <f ca="1">IFERROR(__xludf.DUMMYFUNCTION("""COMPUTED_VALUE"""),"")</f>
        <v/>
      </c>
      <c r="Y33" s="15"/>
      <c r="Z33" t="str">
        <f ca="1">IFERROR(__xludf.DUMMYFUNCTION("""COMPUTED_VALUE"""),"")</f>
        <v/>
      </c>
      <c r="AA33" s="15"/>
      <c r="AC33" s="15"/>
      <c r="AE33" s="15"/>
      <c r="AG33" s="15"/>
    </row>
    <row r="34" spans="1:33" ht="15.75" customHeight="1" x14ac:dyDescent="0.25">
      <c r="A34" s="6" t="s">
        <v>1790</v>
      </c>
      <c r="C34" s="6" t="s">
        <v>1951</v>
      </c>
      <c r="D34" s="6" t="s">
        <v>1751</v>
      </c>
      <c r="E34" s="6" t="s">
        <v>1374</v>
      </c>
      <c r="F34" s="6" t="s">
        <v>1931</v>
      </c>
      <c r="G34" s="6" t="s">
        <v>1376</v>
      </c>
      <c r="H34" s="6" t="s">
        <v>1441</v>
      </c>
      <c r="I34" t="s">
        <v>1378</v>
      </c>
      <c r="J34" s="6" t="s">
        <v>1379</v>
      </c>
      <c r="K34" s="6" t="s">
        <v>1953</v>
      </c>
      <c r="L34" s="6" t="s">
        <v>238</v>
      </c>
      <c r="M34" s="2"/>
      <c r="O34" t="s">
        <v>1974</v>
      </c>
      <c r="P34" s="12">
        <v>37</v>
      </c>
      <c r="S34" s="15"/>
      <c r="U34" s="15"/>
      <c r="W34" s="15"/>
      <c r="Y34" s="15"/>
      <c r="AA34" s="15"/>
      <c r="AC34" s="15"/>
      <c r="AE34" s="15"/>
      <c r="AG34" s="15"/>
    </row>
    <row r="35" spans="1:33" ht="15.75" customHeight="1" x14ac:dyDescent="0.25">
      <c r="A35" s="6" t="s">
        <v>1975</v>
      </c>
      <c r="C35" s="6" t="s">
        <v>1976</v>
      </c>
      <c r="D35" s="6" t="s">
        <v>1751</v>
      </c>
      <c r="E35" s="6" t="s">
        <v>1374</v>
      </c>
      <c r="F35" s="6" t="s">
        <v>1931</v>
      </c>
      <c r="G35" s="6" t="s">
        <v>1376</v>
      </c>
      <c r="H35" s="8" t="s">
        <v>1441</v>
      </c>
      <c r="I35" s="6" t="s">
        <v>1378</v>
      </c>
      <c r="J35" s="6" t="s">
        <v>1379</v>
      </c>
      <c r="K35" s="6" t="s">
        <v>1953</v>
      </c>
      <c r="L35" s="6" t="s">
        <v>238</v>
      </c>
      <c r="M35" s="2"/>
      <c r="O35" t="s">
        <v>1980</v>
      </c>
      <c r="P35" s="12">
        <v>37</v>
      </c>
      <c r="S35" s="15"/>
      <c r="U35" s="15"/>
      <c r="W35" s="15"/>
      <c r="Y35" s="15"/>
      <c r="AA35" s="15"/>
      <c r="AC35" s="15"/>
      <c r="AE35" s="15"/>
      <c r="AG35" s="15"/>
    </row>
    <row r="36" spans="1:33" ht="15.75" customHeight="1" x14ac:dyDescent="0.25">
      <c r="A36" s="6" t="s">
        <v>1975</v>
      </c>
      <c r="C36" s="6" t="s">
        <v>1976</v>
      </c>
      <c r="D36" s="6" t="s">
        <v>1751</v>
      </c>
      <c r="E36" s="6" t="s">
        <v>1374</v>
      </c>
      <c r="F36" s="6" t="s">
        <v>1931</v>
      </c>
      <c r="G36" s="6" t="s">
        <v>1376</v>
      </c>
      <c r="H36" s="6" t="s">
        <v>1441</v>
      </c>
      <c r="I36" s="6" t="s">
        <v>1378</v>
      </c>
      <c r="J36" s="6" t="s">
        <v>1379</v>
      </c>
      <c r="K36" s="6" t="s">
        <v>1982</v>
      </c>
      <c r="L36" s="6" t="s">
        <v>238</v>
      </c>
      <c r="M36" s="2"/>
      <c r="O36" s="12" t="s">
        <v>1378</v>
      </c>
      <c r="P36" s="12">
        <v>36</v>
      </c>
      <c r="S36" s="15"/>
      <c r="U36" s="15"/>
      <c r="W36" s="15"/>
      <c r="Y36" s="15"/>
      <c r="AA36" s="15"/>
      <c r="AC36" s="15"/>
      <c r="AE36" s="15"/>
      <c r="AG36" s="15"/>
    </row>
    <row r="37" spans="1:33" ht="15.75" customHeight="1" x14ac:dyDescent="0.25">
      <c r="A37" s="6" t="s">
        <v>1975</v>
      </c>
      <c r="C37" s="6" t="s">
        <v>1976</v>
      </c>
      <c r="D37" s="6" t="s">
        <v>1751</v>
      </c>
      <c r="E37" s="6" t="s">
        <v>1374</v>
      </c>
      <c r="F37" s="6" t="s">
        <v>1931</v>
      </c>
      <c r="G37" s="6" t="s">
        <v>1376</v>
      </c>
      <c r="H37" s="6" t="s">
        <v>1441</v>
      </c>
      <c r="I37" s="6" t="s">
        <v>1378</v>
      </c>
      <c r="J37" s="6" t="s">
        <v>1379</v>
      </c>
      <c r="K37" s="6" t="s">
        <v>1982</v>
      </c>
      <c r="L37" s="6" t="s">
        <v>238</v>
      </c>
      <c r="O37" t="s">
        <v>1986</v>
      </c>
      <c r="P37" s="13">
        <v>34</v>
      </c>
      <c r="S37" s="15"/>
      <c r="U37" s="15"/>
      <c r="W37" s="15"/>
      <c r="Y37" s="15"/>
      <c r="AA37" s="15"/>
      <c r="AC37" s="15"/>
      <c r="AE37" s="15"/>
      <c r="AG37" s="15"/>
    </row>
    <row r="38" spans="1:33" ht="15.75" customHeight="1" x14ac:dyDescent="0.25">
      <c r="A38" s="6" t="s">
        <v>1975</v>
      </c>
      <c r="C38" s="2"/>
      <c r="D38" s="6" t="s">
        <v>1751</v>
      </c>
      <c r="E38" s="6" t="s">
        <v>1374</v>
      </c>
      <c r="F38" s="6" t="s">
        <v>1931</v>
      </c>
      <c r="G38" s="6" t="s">
        <v>1376</v>
      </c>
      <c r="H38" s="6" t="s">
        <v>1441</v>
      </c>
      <c r="I38" s="6" t="s">
        <v>1987</v>
      </c>
      <c r="J38" s="6" t="s">
        <v>1379</v>
      </c>
      <c r="K38" s="6" t="s">
        <v>1982</v>
      </c>
      <c r="L38" s="6" t="s">
        <v>238</v>
      </c>
      <c r="O38" t="s">
        <v>546</v>
      </c>
      <c r="P38" s="12">
        <v>33</v>
      </c>
      <c r="S38" s="15"/>
      <c r="U38" s="15"/>
      <c r="W38" s="15"/>
      <c r="Y38" s="15"/>
      <c r="AA38" s="15"/>
      <c r="AC38" s="15"/>
      <c r="AE38" s="15"/>
      <c r="AG38" s="15"/>
    </row>
    <row r="39" spans="1:33" ht="15.75" customHeight="1" x14ac:dyDescent="0.25">
      <c r="A39" s="6" t="s">
        <v>1975</v>
      </c>
      <c r="C39" s="2"/>
      <c r="D39" s="6" t="s">
        <v>1751</v>
      </c>
      <c r="E39" s="6" t="s">
        <v>1374</v>
      </c>
      <c r="F39" s="6" t="s">
        <v>1931</v>
      </c>
      <c r="G39" s="6" t="s">
        <v>1376</v>
      </c>
      <c r="H39" s="6" t="s">
        <v>1441</v>
      </c>
      <c r="I39" s="6" t="s">
        <v>1987</v>
      </c>
      <c r="J39" s="6" t="s">
        <v>1379</v>
      </c>
      <c r="K39" s="6" t="s">
        <v>1982</v>
      </c>
      <c r="L39" s="6" t="s">
        <v>238</v>
      </c>
      <c r="O39" t="s">
        <v>1991</v>
      </c>
      <c r="P39" s="13">
        <v>32</v>
      </c>
      <c r="S39" s="15"/>
      <c r="U39" s="15"/>
      <c r="W39" s="15"/>
      <c r="Y39" s="15"/>
      <c r="AA39" s="15"/>
      <c r="AC39" s="15"/>
      <c r="AE39" s="15"/>
      <c r="AG39" s="15"/>
    </row>
    <row r="40" spans="1:33" ht="15.75" customHeight="1" x14ac:dyDescent="0.25">
      <c r="A40" s="6" t="s">
        <v>1975</v>
      </c>
      <c r="C40" s="2"/>
      <c r="D40" s="6" t="s">
        <v>1751</v>
      </c>
      <c r="E40" t="s">
        <v>1374</v>
      </c>
      <c r="F40" s="6" t="s">
        <v>1931</v>
      </c>
      <c r="G40" s="6" t="s">
        <v>1376</v>
      </c>
      <c r="H40" s="8" t="s">
        <v>1441</v>
      </c>
      <c r="I40" s="6" t="s">
        <v>1987</v>
      </c>
      <c r="J40" s="6" t="s">
        <v>1379</v>
      </c>
      <c r="K40" s="6" t="s">
        <v>1982</v>
      </c>
      <c r="L40" s="6" t="s">
        <v>238</v>
      </c>
      <c r="O40" t="s">
        <v>1982</v>
      </c>
      <c r="P40" s="12">
        <v>32</v>
      </c>
      <c r="S40" s="15"/>
      <c r="U40" s="15"/>
      <c r="W40" s="15"/>
      <c r="Y40" s="15"/>
      <c r="AA40" s="15"/>
      <c r="AC40" s="15"/>
      <c r="AE40" s="15"/>
      <c r="AG40" s="15"/>
    </row>
    <row r="41" spans="1:33" ht="15.75" customHeight="1" x14ac:dyDescent="0.25">
      <c r="A41" s="6" t="s">
        <v>1975</v>
      </c>
      <c r="C41" s="2"/>
      <c r="D41" s="6" t="s">
        <v>1751</v>
      </c>
      <c r="E41" s="6" t="s">
        <v>1374</v>
      </c>
      <c r="F41" s="6" t="s">
        <v>1931</v>
      </c>
      <c r="G41" s="6" t="s">
        <v>1376</v>
      </c>
      <c r="H41" s="8" t="s">
        <v>1441</v>
      </c>
      <c r="I41" s="6" t="s">
        <v>1987</v>
      </c>
      <c r="J41" s="6" t="s">
        <v>1379</v>
      </c>
      <c r="K41" s="6" t="s">
        <v>1982</v>
      </c>
      <c r="L41" s="6" t="s">
        <v>238</v>
      </c>
      <c r="O41" t="s">
        <v>1751</v>
      </c>
      <c r="P41" s="12">
        <v>32</v>
      </c>
      <c r="S41" s="15"/>
      <c r="U41" s="15"/>
      <c r="W41" s="15"/>
      <c r="Y41" s="15"/>
      <c r="AA41" s="15"/>
      <c r="AC41" s="15"/>
      <c r="AE41" s="15"/>
      <c r="AG41" s="15"/>
    </row>
    <row r="42" spans="1:33" ht="15.75" customHeight="1" x14ac:dyDescent="0.25">
      <c r="A42" s="6" t="s">
        <v>1975</v>
      </c>
      <c r="C42" s="2"/>
      <c r="D42" s="6" t="s">
        <v>1751</v>
      </c>
      <c r="E42" s="6" t="s">
        <v>1998</v>
      </c>
      <c r="F42" s="6" t="s">
        <v>1931</v>
      </c>
      <c r="G42" s="6" t="s">
        <v>1376</v>
      </c>
      <c r="H42" s="8" t="s">
        <v>1441</v>
      </c>
      <c r="I42" s="6" t="s">
        <v>1987</v>
      </c>
      <c r="J42" s="6" t="s">
        <v>1379</v>
      </c>
      <c r="K42" s="6" t="s">
        <v>1982</v>
      </c>
      <c r="L42" s="6" t="s">
        <v>238</v>
      </c>
      <c r="O42" t="s">
        <v>2000</v>
      </c>
      <c r="P42" s="16">
        <v>32</v>
      </c>
      <c r="S42" s="15"/>
      <c r="U42" s="15"/>
      <c r="W42" s="15"/>
      <c r="Y42" s="15"/>
      <c r="AA42" s="15"/>
      <c r="AC42" s="15"/>
      <c r="AE42" s="15"/>
      <c r="AG42" s="15"/>
    </row>
    <row r="43" spans="1:33" ht="15.75" customHeight="1" x14ac:dyDescent="0.25">
      <c r="A43" s="6" t="s">
        <v>2001</v>
      </c>
      <c r="C43" s="2"/>
      <c r="D43" s="6" t="s">
        <v>1751</v>
      </c>
      <c r="E43" s="6" t="s">
        <v>1998</v>
      </c>
      <c r="F43" s="6" t="s">
        <v>1931</v>
      </c>
      <c r="G43" s="6" t="s">
        <v>1376</v>
      </c>
      <c r="H43" s="8" t="s">
        <v>1441</v>
      </c>
      <c r="I43" s="6" t="s">
        <v>1987</v>
      </c>
      <c r="J43" s="6" t="s">
        <v>1379</v>
      </c>
      <c r="K43" s="6" t="s">
        <v>1982</v>
      </c>
      <c r="L43" s="6" t="s">
        <v>238</v>
      </c>
      <c r="O43" t="s">
        <v>2005</v>
      </c>
      <c r="P43" s="13">
        <v>32</v>
      </c>
      <c r="S43" s="15"/>
      <c r="U43" s="15"/>
      <c r="W43" s="15"/>
      <c r="Y43" s="15"/>
      <c r="AA43" s="15"/>
      <c r="AC43" s="15"/>
      <c r="AE43" s="15"/>
      <c r="AG43" s="15"/>
    </row>
    <row r="44" spans="1:33" ht="15.75" customHeight="1" x14ac:dyDescent="0.25">
      <c r="A44" s="6" t="s">
        <v>2001</v>
      </c>
      <c r="C44" s="2"/>
      <c r="D44" s="6" t="s">
        <v>1751</v>
      </c>
      <c r="E44" s="6" t="s">
        <v>2007</v>
      </c>
      <c r="F44" s="6" t="s">
        <v>1931</v>
      </c>
      <c r="G44" s="6" t="s">
        <v>1376</v>
      </c>
      <c r="H44" s="8" t="s">
        <v>1441</v>
      </c>
      <c r="I44" s="6" t="s">
        <v>246</v>
      </c>
      <c r="J44" s="6" t="s">
        <v>1974</v>
      </c>
      <c r="K44" s="6" t="s">
        <v>1982</v>
      </c>
      <c r="L44" s="6" t="s">
        <v>238</v>
      </c>
      <c r="O44" t="s">
        <v>2009</v>
      </c>
      <c r="P44" s="13">
        <v>31</v>
      </c>
      <c r="S44" s="15"/>
      <c r="U44" s="15"/>
      <c r="W44" s="15"/>
      <c r="Y44" s="15"/>
      <c r="AA44" s="15"/>
      <c r="AC44" s="15"/>
      <c r="AE44" s="15"/>
      <c r="AG44" s="15"/>
    </row>
    <row r="45" spans="1:33" ht="15.75" customHeight="1" x14ac:dyDescent="0.25">
      <c r="A45" s="6" t="s">
        <v>2001</v>
      </c>
      <c r="C45" s="2"/>
      <c r="D45" s="6" t="s">
        <v>1751</v>
      </c>
      <c r="E45" s="6" t="s">
        <v>2007</v>
      </c>
      <c r="F45" s="6" t="s">
        <v>1931</v>
      </c>
      <c r="G45" s="6" t="s">
        <v>1376</v>
      </c>
      <c r="H45" s="8" t="s">
        <v>1441</v>
      </c>
      <c r="I45" s="6" t="s">
        <v>246</v>
      </c>
      <c r="J45" s="6" t="s">
        <v>1974</v>
      </c>
      <c r="K45" s="6" t="s">
        <v>1982</v>
      </c>
      <c r="L45" s="6" t="s">
        <v>238</v>
      </c>
      <c r="O45" s="12" t="s">
        <v>1380</v>
      </c>
      <c r="P45" s="12">
        <v>30</v>
      </c>
      <c r="S45" s="15"/>
      <c r="U45" s="15"/>
      <c r="W45" s="15"/>
      <c r="Y45" s="15"/>
      <c r="AA45" s="15"/>
      <c r="AC45" s="15"/>
      <c r="AE45" s="15"/>
      <c r="AG45" s="15"/>
    </row>
    <row r="46" spans="1:33" ht="15.75" customHeight="1" x14ac:dyDescent="0.25">
      <c r="A46" s="6" t="s">
        <v>2001</v>
      </c>
      <c r="C46" s="2"/>
      <c r="D46" s="6" t="s">
        <v>1751</v>
      </c>
      <c r="E46" s="6" t="s">
        <v>2007</v>
      </c>
      <c r="F46" s="6" t="s">
        <v>2016</v>
      </c>
      <c r="G46" s="6" t="s">
        <v>1376</v>
      </c>
      <c r="H46" s="8" t="s">
        <v>1441</v>
      </c>
      <c r="I46" s="6" t="s">
        <v>246</v>
      </c>
      <c r="J46" s="6" t="s">
        <v>1974</v>
      </c>
      <c r="K46" s="6" t="s">
        <v>1982</v>
      </c>
      <c r="L46" s="6" t="s">
        <v>238</v>
      </c>
      <c r="O46" t="s">
        <v>2019</v>
      </c>
      <c r="P46" s="16">
        <v>30</v>
      </c>
      <c r="S46" s="15"/>
      <c r="U46" s="15"/>
      <c r="W46" s="15"/>
      <c r="Y46" s="15"/>
      <c r="AA46" s="15"/>
      <c r="AC46" s="15"/>
      <c r="AE46" s="15"/>
      <c r="AG46" s="15"/>
    </row>
    <row r="47" spans="1:33" ht="15.75" customHeight="1" x14ac:dyDescent="0.25">
      <c r="A47" s="6" t="s">
        <v>2001</v>
      </c>
      <c r="C47" s="2"/>
      <c r="D47" s="6" t="s">
        <v>1751</v>
      </c>
      <c r="E47" s="6" t="s">
        <v>2007</v>
      </c>
      <c r="F47" s="6" t="s">
        <v>2016</v>
      </c>
      <c r="G47" s="6" t="s">
        <v>1376</v>
      </c>
      <c r="H47" s="8" t="s">
        <v>1441</v>
      </c>
      <c r="I47" s="6" t="s">
        <v>246</v>
      </c>
      <c r="J47" s="6" t="s">
        <v>1974</v>
      </c>
      <c r="K47" s="6" t="s">
        <v>1982</v>
      </c>
      <c r="L47" s="6" t="s">
        <v>238</v>
      </c>
      <c r="O47" t="s">
        <v>2021</v>
      </c>
      <c r="P47" s="13">
        <v>28</v>
      </c>
      <c r="S47" s="15"/>
      <c r="U47" s="15"/>
      <c r="W47" s="15"/>
      <c r="Y47" s="15"/>
      <c r="AA47" s="15"/>
      <c r="AC47" s="15"/>
      <c r="AE47" s="15"/>
      <c r="AG47" s="15"/>
    </row>
    <row r="48" spans="1:33" ht="15.75" customHeight="1" x14ac:dyDescent="0.25">
      <c r="A48" s="6" t="s">
        <v>2001</v>
      </c>
      <c r="C48" s="2"/>
      <c r="D48" s="6" t="s">
        <v>1751</v>
      </c>
      <c r="E48" s="6" t="s">
        <v>2024</v>
      </c>
      <c r="F48" s="6" t="s">
        <v>2016</v>
      </c>
      <c r="G48" s="6" t="s">
        <v>1376</v>
      </c>
      <c r="H48" s="8" t="s">
        <v>1441</v>
      </c>
      <c r="I48" s="6" t="s">
        <v>246</v>
      </c>
      <c r="J48" s="6" t="s">
        <v>1974</v>
      </c>
      <c r="K48" s="6" t="s">
        <v>1982</v>
      </c>
      <c r="L48" s="6" t="s">
        <v>238</v>
      </c>
      <c r="O48" t="s">
        <v>2025</v>
      </c>
      <c r="P48" s="16">
        <v>28</v>
      </c>
      <c r="S48" s="15"/>
      <c r="U48" s="15"/>
      <c r="W48" s="15"/>
      <c r="Y48" s="15"/>
      <c r="AA48" s="15"/>
      <c r="AC48" s="15"/>
      <c r="AE48" s="15"/>
      <c r="AG48" s="15"/>
    </row>
    <row r="49" spans="1:33" ht="15.75" customHeight="1" x14ac:dyDescent="0.25">
      <c r="A49" s="6" t="s">
        <v>2001</v>
      </c>
      <c r="C49" s="2"/>
      <c r="D49" s="6" t="s">
        <v>1980</v>
      </c>
      <c r="E49" s="6" t="s">
        <v>2024</v>
      </c>
      <c r="F49" s="6" t="s">
        <v>2016</v>
      </c>
      <c r="G49" s="6" t="s">
        <v>1376</v>
      </c>
      <c r="H49" s="8" t="s">
        <v>1441</v>
      </c>
      <c r="I49" s="6" t="s">
        <v>246</v>
      </c>
      <c r="J49" s="6" t="s">
        <v>1974</v>
      </c>
      <c r="K49" s="6" t="s">
        <v>1982</v>
      </c>
      <c r="L49" s="6" t="s">
        <v>238</v>
      </c>
      <c r="O49" t="s">
        <v>2028</v>
      </c>
      <c r="P49" s="16">
        <v>28</v>
      </c>
      <c r="S49" s="15"/>
      <c r="U49" s="15"/>
      <c r="W49" s="15"/>
      <c r="Y49" s="15"/>
      <c r="AA49" s="15"/>
      <c r="AC49" s="15"/>
      <c r="AE49" s="15"/>
      <c r="AG49" s="15"/>
    </row>
    <row r="50" spans="1:33" ht="15.75" customHeight="1" x14ac:dyDescent="0.25">
      <c r="A50" t="s">
        <v>2030</v>
      </c>
      <c r="D50" s="6" t="s">
        <v>1980</v>
      </c>
      <c r="E50" s="6" t="s">
        <v>2024</v>
      </c>
      <c r="F50" s="6" t="s">
        <v>2016</v>
      </c>
      <c r="G50" s="6" t="s">
        <v>1376</v>
      </c>
      <c r="H50" s="8" t="s">
        <v>1441</v>
      </c>
      <c r="I50" s="6" t="s">
        <v>246</v>
      </c>
      <c r="J50" s="6" t="s">
        <v>1974</v>
      </c>
      <c r="K50" s="6" t="s">
        <v>1982</v>
      </c>
      <c r="L50" s="6" t="s">
        <v>238</v>
      </c>
      <c r="O50" t="s">
        <v>2031</v>
      </c>
      <c r="P50" s="12">
        <v>28</v>
      </c>
      <c r="S50" s="15"/>
      <c r="U50" s="15"/>
      <c r="W50" s="15"/>
      <c r="Y50" s="15"/>
      <c r="AA50" s="15"/>
      <c r="AC50" s="15"/>
      <c r="AE50" s="15"/>
      <c r="AG50" s="15"/>
    </row>
    <row r="51" spans="1:33" ht="15.75" customHeight="1" x14ac:dyDescent="0.25">
      <c r="A51" s="6" t="s">
        <v>2030</v>
      </c>
      <c r="D51" s="6" t="s">
        <v>1980</v>
      </c>
      <c r="E51" s="6" t="s">
        <v>2024</v>
      </c>
      <c r="F51" s="6" t="s">
        <v>2016</v>
      </c>
      <c r="G51" s="6" t="s">
        <v>1376</v>
      </c>
      <c r="H51" s="8" t="s">
        <v>1441</v>
      </c>
      <c r="I51" s="6" t="s">
        <v>246</v>
      </c>
      <c r="J51" s="6" t="s">
        <v>1974</v>
      </c>
      <c r="K51" s="6" t="s">
        <v>1982</v>
      </c>
      <c r="L51" s="6" t="s">
        <v>238</v>
      </c>
      <c r="O51" t="s">
        <v>2035</v>
      </c>
      <c r="P51" s="13">
        <v>28</v>
      </c>
      <c r="S51" s="15"/>
      <c r="U51" s="15"/>
      <c r="W51" s="15"/>
      <c r="Y51" s="15"/>
      <c r="AA51" s="15"/>
      <c r="AC51" s="15"/>
      <c r="AE51" s="15"/>
      <c r="AG51" s="15"/>
    </row>
    <row r="52" spans="1:33" ht="15.75" customHeight="1" x14ac:dyDescent="0.25">
      <c r="A52" s="6" t="s">
        <v>2030</v>
      </c>
      <c r="D52" s="6" t="s">
        <v>1980</v>
      </c>
      <c r="E52" s="6" t="s">
        <v>2024</v>
      </c>
      <c r="F52" s="6" t="s">
        <v>2016</v>
      </c>
      <c r="G52" s="6" t="s">
        <v>1376</v>
      </c>
      <c r="H52" s="8" t="s">
        <v>1441</v>
      </c>
      <c r="I52" s="6" t="s">
        <v>246</v>
      </c>
      <c r="J52" s="6" t="s">
        <v>1974</v>
      </c>
      <c r="K52" s="6" t="s">
        <v>1982</v>
      </c>
      <c r="L52" s="6" t="s">
        <v>238</v>
      </c>
      <c r="O52" t="s">
        <v>2037</v>
      </c>
      <c r="P52" s="13">
        <v>28</v>
      </c>
      <c r="S52" s="15"/>
      <c r="U52" s="15"/>
      <c r="W52" s="15"/>
      <c r="Y52" s="15"/>
      <c r="AA52" s="15"/>
      <c r="AC52" s="15"/>
      <c r="AE52" s="15"/>
      <c r="AG52" s="15"/>
    </row>
    <row r="53" spans="1:33" ht="15.75" customHeight="1" x14ac:dyDescent="0.25">
      <c r="A53" s="8" t="s">
        <v>2030</v>
      </c>
      <c r="D53" s="6" t="s">
        <v>1980</v>
      </c>
      <c r="E53" s="6" t="s">
        <v>2024</v>
      </c>
      <c r="F53" s="6" t="s">
        <v>2016</v>
      </c>
      <c r="G53" s="6" t="s">
        <v>1376</v>
      </c>
      <c r="H53" s="8" t="s">
        <v>1441</v>
      </c>
      <c r="I53" s="6" t="s">
        <v>246</v>
      </c>
      <c r="J53" s="6" t="s">
        <v>1974</v>
      </c>
      <c r="K53" s="6" t="s">
        <v>1982</v>
      </c>
      <c r="L53" s="6" t="s">
        <v>238</v>
      </c>
      <c r="O53" t="s">
        <v>2038</v>
      </c>
      <c r="P53" s="13">
        <v>27</v>
      </c>
      <c r="S53" s="15"/>
      <c r="U53" s="15"/>
      <c r="W53" s="15"/>
      <c r="Y53" s="15"/>
      <c r="AA53" s="15"/>
      <c r="AC53" s="15"/>
      <c r="AE53" s="15"/>
      <c r="AG53" s="15"/>
    </row>
    <row r="54" spans="1:33" ht="15.75" customHeight="1" x14ac:dyDescent="0.25">
      <c r="A54" s="8" t="s">
        <v>2030</v>
      </c>
      <c r="D54" s="6" t="s">
        <v>1980</v>
      </c>
      <c r="E54" s="6" t="s">
        <v>2024</v>
      </c>
      <c r="F54" s="6" t="s">
        <v>2016</v>
      </c>
      <c r="G54" s="6" t="s">
        <v>1376</v>
      </c>
      <c r="H54" s="8" t="s">
        <v>1441</v>
      </c>
      <c r="I54" s="6" t="s">
        <v>246</v>
      </c>
      <c r="J54" s="6" t="s">
        <v>1974</v>
      </c>
      <c r="K54" s="6" t="s">
        <v>1982</v>
      </c>
      <c r="L54" s="6" t="s">
        <v>238</v>
      </c>
      <c r="O54" t="s">
        <v>2040</v>
      </c>
      <c r="P54" s="12">
        <v>27</v>
      </c>
      <c r="S54" s="15"/>
      <c r="U54" s="15"/>
      <c r="W54" s="15"/>
      <c r="Y54" s="15"/>
      <c r="AA54" s="15"/>
      <c r="AC54" s="15"/>
      <c r="AE54" s="15"/>
      <c r="AG54" s="15"/>
    </row>
    <row r="55" spans="1:33" ht="15.75" customHeight="1" x14ac:dyDescent="0.25">
      <c r="A55" s="8" t="s">
        <v>2030</v>
      </c>
      <c r="D55" s="6" t="s">
        <v>1980</v>
      </c>
      <c r="E55" s="6" t="s">
        <v>2024</v>
      </c>
      <c r="F55" s="6" t="s">
        <v>2016</v>
      </c>
      <c r="G55" s="6" t="s">
        <v>1376</v>
      </c>
      <c r="H55" s="8" t="s">
        <v>1441</v>
      </c>
      <c r="I55" s="6" t="s">
        <v>246</v>
      </c>
      <c r="J55" s="6" t="s">
        <v>1974</v>
      </c>
      <c r="K55" s="6" t="s">
        <v>1982</v>
      </c>
      <c r="L55" s="6" t="s">
        <v>238</v>
      </c>
      <c r="O55" t="s">
        <v>2045</v>
      </c>
      <c r="P55" s="12">
        <v>27</v>
      </c>
      <c r="S55" s="15"/>
      <c r="U55" s="15"/>
      <c r="W55" s="15"/>
      <c r="Y55" s="15"/>
      <c r="AA55" s="15"/>
      <c r="AC55" s="15"/>
      <c r="AE55" s="15"/>
      <c r="AG55" s="15"/>
    </row>
    <row r="56" spans="1:33" ht="15.75" customHeight="1" x14ac:dyDescent="0.25">
      <c r="A56" s="6" t="s">
        <v>2046</v>
      </c>
      <c r="D56" s="6" t="s">
        <v>1980</v>
      </c>
      <c r="E56" s="6" t="s">
        <v>2024</v>
      </c>
      <c r="F56" s="6" t="s">
        <v>2016</v>
      </c>
      <c r="G56" s="6" t="s">
        <v>1376</v>
      </c>
      <c r="H56" s="6" t="s">
        <v>1441</v>
      </c>
      <c r="I56" s="6" t="s">
        <v>246</v>
      </c>
      <c r="J56" s="6" t="s">
        <v>1974</v>
      </c>
      <c r="K56" s="6" t="s">
        <v>1982</v>
      </c>
      <c r="L56" s="6" t="s">
        <v>238</v>
      </c>
      <c r="O56" t="s">
        <v>2049</v>
      </c>
      <c r="P56" s="13">
        <v>27</v>
      </c>
      <c r="S56" s="15"/>
      <c r="U56" s="15"/>
      <c r="W56" s="15"/>
      <c r="Y56" s="15"/>
      <c r="AA56" s="15"/>
      <c r="AC56" s="15"/>
      <c r="AE56" s="15"/>
      <c r="AG56" s="15"/>
    </row>
    <row r="57" spans="1:33" ht="15.75" customHeight="1" x14ac:dyDescent="0.25">
      <c r="A57" t="s">
        <v>2052</v>
      </c>
      <c r="D57" s="6" t="s">
        <v>1980</v>
      </c>
      <c r="E57" s="6" t="s">
        <v>2024</v>
      </c>
      <c r="F57" s="6" t="s">
        <v>2053</v>
      </c>
      <c r="G57" t="s">
        <v>1376</v>
      </c>
      <c r="H57" s="8" t="s">
        <v>1441</v>
      </c>
      <c r="I57" s="6" t="s">
        <v>246</v>
      </c>
      <c r="J57" s="6" t="s">
        <v>1974</v>
      </c>
      <c r="K57" s="6" t="s">
        <v>1982</v>
      </c>
      <c r="L57" s="6" t="s">
        <v>238</v>
      </c>
      <c r="O57" t="s">
        <v>107</v>
      </c>
      <c r="P57" s="13">
        <v>26</v>
      </c>
      <c r="S57" s="15"/>
      <c r="U57" s="15"/>
      <c r="W57" s="15"/>
      <c r="Y57" s="15"/>
      <c r="AA57" s="15"/>
      <c r="AC57" s="15"/>
      <c r="AE57" s="15"/>
      <c r="AG57" s="15"/>
    </row>
    <row r="58" spans="1:33" ht="15.75" customHeight="1" x14ac:dyDescent="0.25">
      <c r="A58" t="s">
        <v>2052</v>
      </c>
      <c r="D58" s="6" t="s">
        <v>1980</v>
      </c>
      <c r="E58" s="6" t="s">
        <v>2024</v>
      </c>
      <c r="F58" s="6" t="s">
        <v>2053</v>
      </c>
      <c r="G58" s="6" t="s">
        <v>1376</v>
      </c>
      <c r="H58" s="8" t="s">
        <v>1441</v>
      </c>
      <c r="I58" s="6" t="s">
        <v>246</v>
      </c>
      <c r="J58" s="6" t="s">
        <v>1974</v>
      </c>
      <c r="K58" s="6" t="s">
        <v>1982</v>
      </c>
      <c r="L58" s="6" t="s">
        <v>238</v>
      </c>
      <c r="O58" t="s">
        <v>2058</v>
      </c>
      <c r="P58" s="12">
        <v>25</v>
      </c>
      <c r="S58" s="15"/>
      <c r="U58" s="15"/>
      <c r="W58" s="15"/>
      <c r="Y58" s="15"/>
      <c r="AA58" s="15"/>
      <c r="AC58" s="15"/>
      <c r="AE58" s="15"/>
      <c r="AG58" s="15"/>
    </row>
    <row r="59" spans="1:33" ht="15.75" customHeight="1" x14ac:dyDescent="0.25">
      <c r="A59" s="6" t="s">
        <v>2059</v>
      </c>
      <c r="D59" s="6" t="s">
        <v>1980</v>
      </c>
      <c r="E59" t="s">
        <v>2024</v>
      </c>
      <c r="F59" t="s">
        <v>2038</v>
      </c>
      <c r="G59" t="s">
        <v>1376</v>
      </c>
      <c r="H59" s="6" t="s">
        <v>1441</v>
      </c>
      <c r="I59" s="6" t="s">
        <v>246</v>
      </c>
      <c r="J59" s="6" t="s">
        <v>1974</v>
      </c>
      <c r="K59" s="6" t="s">
        <v>1982</v>
      </c>
      <c r="L59" s="6" t="s">
        <v>238</v>
      </c>
      <c r="O59" t="s">
        <v>2060</v>
      </c>
      <c r="P59" s="16">
        <v>25</v>
      </c>
      <c r="S59" s="15"/>
      <c r="U59" s="15"/>
      <c r="W59" s="15"/>
      <c r="Y59" s="15"/>
      <c r="AA59" s="15"/>
      <c r="AC59" s="15"/>
      <c r="AE59" s="15"/>
      <c r="AG59" s="15"/>
    </row>
    <row r="60" spans="1:33" ht="15.75" customHeight="1" x14ac:dyDescent="0.25">
      <c r="A60" s="6" t="s">
        <v>2061</v>
      </c>
      <c r="D60" s="6" t="s">
        <v>1980</v>
      </c>
      <c r="E60" s="6" t="s">
        <v>2024</v>
      </c>
      <c r="F60" t="s">
        <v>2038</v>
      </c>
      <c r="G60" s="6" t="s">
        <v>1376</v>
      </c>
      <c r="H60" s="6" t="s">
        <v>1441</v>
      </c>
      <c r="I60" s="6" t="s">
        <v>246</v>
      </c>
      <c r="J60" s="6" t="s">
        <v>1974</v>
      </c>
      <c r="K60" s="6" t="s">
        <v>1982</v>
      </c>
      <c r="L60" s="6" t="s">
        <v>238</v>
      </c>
      <c r="O60" t="s">
        <v>2062</v>
      </c>
      <c r="P60" s="16">
        <v>24</v>
      </c>
      <c r="S60" s="15"/>
      <c r="U60" s="15"/>
      <c r="W60" s="15"/>
      <c r="Y60" s="15"/>
      <c r="AA60" s="15"/>
      <c r="AC60" s="15"/>
      <c r="AE60" s="15"/>
      <c r="AG60" s="15"/>
    </row>
    <row r="61" spans="1:33" ht="15.75" customHeight="1" x14ac:dyDescent="0.25">
      <c r="A61" s="6" t="s">
        <v>2063</v>
      </c>
      <c r="D61" s="6" t="s">
        <v>1980</v>
      </c>
      <c r="E61" s="6" t="s">
        <v>2064</v>
      </c>
      <c r="F61" s="6" t="s">
        <v>2038</v>
      </c>
      <c r="G61" s="6" t="s">
        <v>1376</v>
      </c>
      <c r="H61" s="6" t="s">
        <v>1441</v>
      </c>
      <c r="I61" s="6" t="s">
        <v>246</v>
      </c>
      <c r="J61" s="6" t="s">
        <v>1974</v>
      </c>
      <c r="K61" s="6" t="s">
        <v>1982</v>
      </c>
      <c r="L61" s="6" t="s">
        <v>238</v>
      </c>
      <c r="O61" s="12" t="s">
        <v>1381</v>
      </c>
      <c r="P61" s="12">
        <v>23</v>
      </c>
      <c r="S61" s="15"/>
      <c r="U61" s="15"/>
      <c r="W61" s="15"/>
      <c r="Y61" s="15"/>
      <c r="AA61" s="15"/>
      <c r="AC61" s="15"/>
      <c r="AE61" s="15"/>
      <c r="AG61" s="15"/>
    </row>
    <row r="62" spans="1:33" ht="15.75" customHeight="1" x14ac:dyDescent="0.25">
      <c r="A62" s="6" t="s">
        <v>2063</v>
      </c>
      <c r="D62" s="6" t="s">
        <v>1980</v>
      </c>
      <c r="E62" s="6" t="s">
        <v>2064</v>
      </c>
      <c r="F62" s="6" t="s">
        <v>2038</v>
      </c>
      <c r="G62" s="6" t="s">
        <v>1376</v>
      </c>
      <c r="H62" s="6" t="s">
        <v>2065</v>
      </c>
      <c r="I62" s="6" t="s">
        <v>246</v>
      </c>
      <c r="J62" s="6" t="s">
        <v>1974</v>
      </c>
      <c r="K62" s="6" t="s">
        <v>1982</v>
      </c>
      <c r="L62" t="s">
        <v>238</v>
      </c>
      <c r="O62" t="s">
        <v>2067</v>
      </c>
      <c r="P62" s="13">
        <v>22</v>
      </c>
      <c r="S62" s="15"/>
      <c r="U62" s="15"/>
      <c r="W62" s="15"/>
      <c r="Y62" s="15"/>
      <c r="AA62" s="15"/>
      <c r="AC62" s="15"/>
      <c r="AE62" s="15"/>
      <c r="AG62" s="15"/>
    </row>
    <row r="63" spans="1:33" ht="15.75" customHeight="1" x14ac:dyDescent="0.25">
      <c r="A63" s="6" t="s">
        <v>2063</v>
      </c>
      <c r="D63" s="6" t="s">
        <v>1980</v>
      </c>
      <c r="E63" s="6" t="s">
        <v>2064</v>
      </c>
      <c r="F63" s="6" t="s">
        <v>2038</v>
      </c>
      <c r="G63" s="6" t="s">
        <v>1376</v>
      </c>
      <c r="H63" s="6" t="s">
        <v>2065</v>
      </c>
      <c r="I63" s="6" t="s">
        <v>246</v>
      </c>
      <c r="J63" s="6" t="s">
        <v>1974</v>
      </c>
      <c r="K63" s="6" t="s">
        <v>1982</v>
      </c>
      <c r="L63" t="s">
        <v>238</v>
      </c>
      <c r="O63" t="s">
        <v>2070</v>
      </c>
      <c r="P63" s="12">
        <v>22</v>
      </c>
      <c r="S63" s="15"/>
      <c r="U63" s="15"/>
      <c r="W63" s="15"/>
      <c r="Y63" s="15"/>
      <c r="AA63" s="15"/>
      <c r="AC63" s="15"/>
      <c r="AE63" s="15"/>
      <c r="AG63" s="15"/>
    </row>
    <row r="64" spans="1:33" ht="15.75" customHeight="1" x14ac:dyDescent="0.25">
      <c r="A64" s="6" t="s">
        <v>2063</v>
      </c>
      <c r="D64" s="6" t="s">
        <v>1980</v>
      </c>
      <c r="E64" s="6" t="s">
        <v>2064</v>
      </c>
      <c r="F64" s="6" t="s">
        <v>2038</v>
      </c>
      <c r="G64" t="s">
        <v>1376</v>
      </c>
      <c r="H64" s="6" t="s">
        <v>2065</v>
      </c>
      <c r="I64" s="6" t="s">
        <v>246</v>
      </c>
      <c r="J64" s="6" t="s">
        <v>1974</v>
      </c>
      <c r="K64" s="6" t="s">
        <v>1982</v>
      </c>
      <c r="L64" t="s">
        <v>238</v>
      </c>
      <c r="O64" t="s">
        <v>2071</v>
      </c>
      <c r="P64" s="12">
        <v>22</v>
      </c>
      <c r="S64" s="15"/>
      <c r="U64" s="15"/>
      <c r="W64" s="15"/>
      <c r="Y64" s="15"/>
      <c r="AA64" s="15"/>
      <c r="AC64" s="15"/>
      <c r="AE64" s="15"/>
      <c r="AG64" s="15"/>
    </row>
    <row r="65" spans="1:33" ht="15.75" customHeight="1" x14ac:dyDescent="0.25">
      <c r="A65" s="6" t="s">
        <v>2063</v>
      </c>
      <c r="D65" s="6" t="s">
        <v>1980</v>
      </c>
      <c r="E65" s="6" t="s">
        <v>2074</v>
      </c>
      <c r="F65" s="6" t="s">
        <v>2038</v>
      </c>
      <c r="G65" s="6" t="s">
        <v>1376</v>
      </c>
      <c r="H65" s="6" t="s">
        <v>2065</v>
      </c>
      <c r="I65" s="6" t="s">
        <v>246</v>
      </c>
      <c r="J65" s="6" t="s">
        <v>1974</v>
      </c>
      <c r="K65" s="6" t="s">
        <v>1982</v>
      </c>
      <c r="L65" s="6" t="s">
        <v>238</v>
      </c>
      <c r="O65" t="s">
        <v>2076</v>
      </c>
      <c r="P65" s="16">
        <v>21</v>
      </c>
      <c r="S65" s="15"/>
      <c r="U65" s="15"/>
      <c r="W65" s="15"/>
      <c r="Y65" s="15"/>
      <c r="AA65" s="15"/>
      <c r="AC65" s="15"/>
      <c r="AE65" s="15"/>
      <c r="AG65" s="15"/>
    </row>
    <row r="66" spans="1:33" ht="15.75" customHeight="1" x14ac:dyDescent="0.25">
      <c r="A66" s="6" t="s">
        <v>2063</v>
      </c>
      <c r="D66" s="6" t="s">
        <v>1980</v>
      </c>
      <c r="E66" s="6" t="s">
        <v>2074</v>
      </c>
      <c r="F66" s="6" t="s">
        <v>2038</v>
      </c>
      <c r="G66" t="s">
        <v>1376</v>
      </c>
      <c r="H66" t="s">
        <v>2065</v>
      </c>
      <c r="I66" s="6" t="s">
        <v>246</v>
      </c>
      <c r="J66" s="6" t="s">
        <v>1974</v>
      </c>
      <c r="K66" s="6" t="s">
        <v>1982</v>
      </c>
      <c r="L66" t="s">
        <v>238</v>
      </c>
      <c r="O66" t="s">
        <v>2078</v>
      </c>
      <c r="P66" s="13">
        <v>21</v>
      </c>
      <c r="S66" s="15"/>
      <c r="U66" s="15"/>
      <c r="W66" s="15"/>
      <c r="Y66" s="15"/>
      <c r="AA66" s="15"/>
      <c r="AC66" s="15"/>
      <c r="AE66" s="15"/>
      <c r="AG66" s="15"/>
    </row>
    <row r="67" spans="1:33" ht="15.75" customHeight="1" x14ac:dyDescent="0.25">
      <c r="A67" s="6" t="s">
        <v>2063</v>
      </c>
      <c r="D67" s="6" t="s">
        <v>1980</v>
      </c>
      <c r="E67" s="6" t="s">
        <v>2074</v>
      </c>
      <c r="F67" s="6" t="s">
        <v>2038</v>
      </c>
      <c r="G67" t="s">
        <v>1376</v>
      </c>
      <c r="H67" t="s">
        <v>2081</v>
      </c>
      <c r="I67" s="6" t="s">
        <v>246</v>
      </c>
      <c r="J67" s="6" t="s">
        <v>1974</v>
      </c>
      <c r="K67" s="6" t="s">
        <v>1982</v>
      </c>
      <c r="L67" s="6" t="s">
        <v>238</v>
      </c>
      <c r="O67" t="s">
        <v>2082</v>
      </c>
      <c r="P67" s="16">
        <v>21</v>
      </c>
      <c r="S67" s="15"/>
      <c r="U67" s="15"/>
      <c r="W67" s="15"/>
      <c r="Y67" s="15"/>
      <c r="AA67" s="15"/>
      <c r="AC67" s="15"/>
      <c r="AE67" s="15"/>
      <c r="AG67" s="15"/>
    </row>
    <row r="68" spans="1:33" ht="15.75" customHeight="1" x14ac:dyDescent="0.25">
      <c r="A68" s="6" t="s">
        <v>2063</v>
      </c>
      <c r="D68" s="6" t="s">
        <v>1980</v>
      </c>
      <c r="E68" s="6" t="s">
        <v>2074</v>
      </c>
      <c r="F68" s="6" t="s">
        <v>2038</v>
      </c>
      <c r="G68" s="6" t="s">
        <v>1829</v>
      </c>
      <c r="H68" s="6" t="s">
        <v>2081</v>
      </c>
      <c r="I68" s="6" t="s">
        <v>246</v>
      </c>
      <c r="J68" t="s">
        <v>1974</v>
      </c>
      <c r="K68" s="8" t="s">
        <v>2084</v>
      </c>
      <c r="L68" t="s">
        <v>238</v>
      </c>
      <c r="O68" t="s">
        <v>2085</v>
      </c>
      <c r="P68" s="16">
        <v>20</v>
      </c>
      <c r="S68" s="15"/>
      <c r="U68" s="15"/>
      <c r="W68" s="15"/>
      <c r="Y68" s="15"/>
      <c r="AA68" s="15"/>
      <c r="AC68" s="15"/>
      <c r="AE68" s="15"/>
      <c r="AG68" s="15"/>
    </row>
    <row r="69" spans="1:33" ht="15.75" customHeight="1" x14ac:dyDescent="0.25">
      <c r="A69" s="6" t="s">
        <v>2063</v>
      </c>
      <c r="D69" s="6" t="s">
        <v>1980</v>
      </c>
      <c r="E69" s="6" t="s">
        <v>2074</v>
      </c>
      <c r="F69" s="6" t="s">
        <v>2038</v>
      </c>
      <c r="G69" s="6" t="s">
        <v>1829</v>
      </c>
      <c r="H69" s="6" t="s">
        <v>2081</v>
      </c>
      <c r="I69" s="6" t="s">
        <v>246</v>
      </c>
      <c r="J69" s="6" t="s">
        <v>1974</v>
      </c>
      <c r="K69" s="6" t="s">
        <v>2084</v>
      </c>
      <c r="L69" t="s">
        <v>238</v>
      </c>
      <c r="O69" t="s">
        <v>2088</v>
      </c>
      <c r="P69" s="13">
        <v>20</v>
      </c>
      <c r="S69" s="15"/>
      <c r="U69" s="15"/>
      <c r="W69" s="15"/>
      <c r="Y69" s="15"/>
      <c r="AA69" s="15"/>
      <c r="AC69" s="15"/>
      <c r="AE69" s="15"/>
      <c r="AG69" s="15"/>
    </row>
    <row r="70" spans="1:33" ht="15.75" customHeight="1" x14ac:dyDescent="0.25">
      <c r="A70" s="6" t="s">
        <v>2063</v>
      </c>
      <c r="D70" s="6" t="s">
        <v>1980</v>
      </c>
      <c r="E70" s="6" t="s">
        <v>2074</v>
      </c>
      <c r="F70" s="6" t="s">
        <v>2038</v>
      </c>
      <c r="G70" s="6" t="s">
        <v>1829</v>
      </c>
      <c r="H70" s="6" t="s">
        <v>2081</v>
      </c>
      <c r="I70" s="6" t="s">
        <v>246</v>
      </c>
      <c r="J70" s="6" t="s">
        <v>1974</v>
      </c>
      <c r="K70" s="6" t="s">
        <v>2084</v>
      </c>
      <c r="L70" s="6" t="s">
        <v>238</v>
      </c>
      <c r="O70" t="s">
        <v>2089</v>
      </c>
      <c r="P70" s="12">
        <v>20</v>
      </c>
      <c r="S70" s="15"/>
      <c r="U70" s="15"/>
      <c r="W70" s="15"/>
      <c r="Y70" s="15"/>
      <c r="AA70" s="15"/>
      <c r="AC70" s="15"/>
      <c r="AE70" s="15"/>
      <c r="AG70" s="15"/>
    </row>
    <row r="71" spans="1:33" ht="15.75" customHeight="1" x14ac:dyDescent="0.25">
      <c r="A71" s="6" t="s">
        <v>2063</v>
      </c>
      <c r="D71" s="6" t="s">
        <v>1980</v>
      </c>
      <c r="E71" s="6" t="s">
        <v>2074</v>
      </c>
      <c r="F71" s="6" t="s">
        <v>2038</v>
      </c>
      <c r="G71" s="6" t="s">
        <v>1829</v>
      </c>
      <c r="H71" s="6" t="s">
        <v>2081</v>
      </c>
      <c r="I71" s="6" t="s">
        <v>246</v>
      </c>
      <c r="J71" s="6" t="s">
        <v>1974</v>
      </c>
      <c r="K71" s="6" t="s">
        <v>2084</v>
      </c>
      <c r="L71" s="6" t="s">
        <v>2092</v>
      </c>
      <c r="O71" t="s">
        <v>2093</v>
      </c>
      <c r="P71" s="12">
        <v>20</v>
      </c>
      <c r="S71" s="15"/>
      <c r="U71" s="15"/>
      <c r="W71" s="15"/>
      <c r="Y71" s="15"/>
      <c r="AA71" s="15"/>
      <c r="AC71" s="15"/>
      <c r="AE71" s="15"/>
      <c r="AG71" s="15"/>
    </row>
    <row r="72" spans="1:33" ht="15.75" customHeight="1" x14ac:dyDescent="0.25">
      <c r="A72" s="6" t="s">
        <v>81</v>
      </c>
      <c r="D72" s="6" t="s">
        <v>1980</v>
      </c>
      <c r="E72" s="6" t="s">
        <v>2074</v>
      </c>
      <c r="F72" s="6" t="s">
        <v>2038</v>
      </c>
      <c r="G72" s="6" t="s">
        <v>1829</v>
      </c>
      <c r="H72" t="s">
        <v>2081</v>
      </c>
      <c r="I72" s="6" t="s">
        <v>246</v>
      </c>
      <c r="J72" s="6" t="s">
        <v>1974</v>
      </c>
      <c r="K72" s="6" t="s">
        <v>2084</v>
      </c>
      <c r="L72" s="6" t="s">
        <v>2092</v>
      </c>
      <c r="O72" t="s">
        <v>2094</v>
      </c>
      <c r="P72" s="12">
        <v>20</v>
      </c>
      <c r="S72" s="15"/>
      <c r="U72" s="15"/>
      <c r="W72" s="15"/>
      <c r="Y72" s="15"/>
      <c r="AA72" s="15"/>
      <c r="AC72" s="15"/>
      <c r="AE72" s="15"/>
      <c r="AG72" s="15"/>
    </row>
    <row r="73" spans="1:33" ht="15.75" customHeight="1" x14ac:dyDescent="0.25">
      <c r="A73" s="6" t="s">
        <v>81</v>
      </c>
      <c r="D73" s="6" t="s">
        <v>1980</v>
      </c>
      <c r="E73" s="6" t="s">
        <v>2074</v>
      </c>
      <c r="F73" s="6" t="s">
        <v>2038</v>
      </c>
      <c r="G73" s="6" t="s">
        <v>1829</v>
      </c>
      <c r="H73" t="s">
        <v>2081</v>
      </c>
      <c r="I73" s="6" t="s">
        <v>246</v>
      </c>
      <c r="J73" s="6" t="s">
        <v>1974</v>
      </c>
      <c r="K73" s="6" t="s">
        <v>2084</v>
      </c>
      <c r="L73" s="6" t="s">
        <v>2092</v>
      </c>
      <c r="O73" t="s">
        <v>2097</v>
      </c>
      <c r="P73" s="13">
        <v>20</v>
      </c>
      <c r="S73" s="15"/>
      <c r="U73" s="15"/>
      <c r="W73" s="15"/>
      <c r="Y73" s="15"/>
      <c r="AA73" s="15"/>
      <c r="AC73" s="15"/>
      <c r="AE73" s="15"/>
      <c r="AG73" s="15"/>
    </row>
    <row r="74" spans="1:33" ht="15.75" customHeight="1" x14ac:dyDescent="0.25">
      <c r="A74" s="6" t="s">
        <v>81</v>
      </c>
      <c r="D74" s="6" t="s">
        <v>1980</v>
      </c>
      <c r="E74" s="6" t="s">
        <v>2074</v>
      </c>
      <c r="F74" s="6" t="s">
        <v>2038</v>
      </c>
      <c r="G74" s="6" t="s">
        <v>1829</v>
      </c>
      <c r="H74" t="s">
        <v>2081</v>
      </c>
      <c r="I74" s="6" t="s">
        <v>246</v>
      </c>
      <c r="J74" s="6" t="s">
        <v>1974</v>
      </c>
      <c r="K74" s="6" t="s">
        <v>2084</v>
      </c>
      <c r="L74" s="6" t="s">
        <v>2092</v>
      </c>
      <c r="O74" t="s">
        <v>1515</v>
      </c>
      <c r="P74" s="12">
        <v>18</v>
      </c>
      <c r="S74" s="15"/>
      <c r="U74" s="15"/>
      <c r="W74" s="15"/>
      <c r="Y74" s="15"/>
      <c r="AA74" s="15"/>
      <c r="AC74" s="15"/>
      <c r="AE74" s="15"/>
      <c r="AG74" s="15"/>
    </row>
    <row r="75" spans="1:33" ht="15.75" customHeight="1" x14ac:dyDescent="0.25">
      <c r="A75" s="6" t="s">
        <v>86</v>
      </c>
      <c r="D75" s="6" t="s">
        <v>1980</v>
      </c>
      <c r="E75" s="6" t="s">
        <v>2074</v>
      </c>
      <c r="F75" s="6" t="s">
        <v>2038</v>
      </c>
      <c r="G75" s="6" t="s">
        <v>1829</v>
      </c>
      <c r="H75" t="s">
        <v>2081</v>
      </c>
      <c r="I75" s="6" t="s">
        <v>246</v>
      </c>
      <c r="J75" t="s">
        <v>1974</v>
      </c>
      <c r="K75" s="6" t="s">
        <v>2058</v>
      </c>
      <c r="L75" s="6" t="s">
        <v>2092</v>
      </c>
      <c r="O75" t="s">
        <v>2100</v>
      </c>
      <c r="P75" s="13">
        <v>18</v>
      </c>
      <c r="S75" s="15"/>
      <c r="U75" s="15"/>
      <c r="W75" s="15"/>
      <c r="Y75" s="15"/>
      <c r="AA75" s="15"/>
      <c r="AC75" s="15"/>
      <c r="AE75" s="15"/>
      <c r="AG75" s="15"/>
    </row>
    <row r="76" spans="1:33" ht="15.75" customHeight="1" x14ac:dyDescent="0.25">
      <c r="A76" s="6" t="s">
        <v>81</v>
      </c>
      <c r="D76" s="6" t="s">
        <v>1980</v>
      </c>
      <c r="E76" s="6" t="s">
        <v>2074</v>
      </c>
      <c r="F76" s="6" t="s">
        <v>2038</v>
      </c>
      <c r="G76" s="6" t="s">
        <v>1829</v>
      </c>
      <c r="H76" t="s">
        <v>2081</v>
      </c>
      <c r="I76" s="6" t="s">
        <v>246</v>
      </c>
      <c r="J76" s="6" t="s">
        <v>1974</v>
      </c>
      <c r="K76" s="6" t="s">
        <v>2058</v>
      </c>
      <c r="L76" s="6" t="s">
        <v>2092</v>
      </c>
      <c r="O76" t="s">
        <v>2101</v>
      </c>
      <c r="P76" s="16">
        <v>18</v>
      </c>
      <c r="S76" s="15"/>
      <c r="U76" s="15"/>
      <c r="W76" s="15"/>
      <c r="Y76" s="15"/>
      <c r="AA76" s="15"/>
      <c r="AC76" s="15"/>
      <c r="AE76" s="15"/>
      <c r="AG76" s="15"/>
    </row>
    <row r="77" spans="1:33" ht="15.75" customHeight="1" x14ac:dyDescent="0.25">
      <c r="A77" s="6" t="s">
        <v>81</v>
      </c>
      <c r="D77" s="6" t="s">
        <v>1980</v>
      </c>
      <c r="E77" t="s">
        <v>2074</v>
      </c>
      <c r="F77" s="6" t="s">
        <v>2038</v>
      </c>
      <c r="G77" s="6" t="s">
        <v>1829</v>
      </c>
      <c r="H77" s="6" t="s">
        <v>1965</v>
      </c>
      <c r="I77" s="6" t="s">
        <v>246</v>
      </c>
      <c r="J77" s="6" t="s">
        <v>1974</v>
      </c>
      <c r="K77" s="6" t="s">
        <v>2058</v>
      </c>
      <c r="L77" s="6" t="s">
        <v>2092</v>
      </c>
      <c r="O77" t="s">
        <v>2104</v>
      </c>
      <c r="P77" s="16">
        <v>18</v>
      </c>
      <c r="S77" s="15"/>
      <c r="U77" s="15"/>
      <c r="W77" s="15"/>
      <c r="Y77" s="15"/>
      <c r="AA77" s="15"/>
      <c r="AC77" s="15"/>
      <c r="AE77" s="15"/>
      <c r="AG77" s="15"/>
    </row>
    <row r="78" spans="1:33" ht="15.75" customHeight="1" x14ac:dyDescent="0.25">
      <c r="A78" s="6" t="s">
        <v>81</v>
      </c>
      <c r="D78" s="6" t="s">
        <v>1980</v>
      </c>
      <c r="E78" s="6" t="s">
        <v>2105</v>
      </c>
      <c r="F78" s="6" t="s">
        <v>2038</v>
      </c>
      <c r="G78" s="6" t="s">
        <v>1829</v>
      </c>
      <c r="H78" s="6" t="s">
        <v>1965</v>
      </c>
      <c r="I78" s="6" t="s">
        <v>246</v>
      </c>
      <c r="J78" t="s">
        <v>1974</v>
      </c>
      <c r="K78" s="6" t="s">
        <v>2058</v>
      </c>
      <c r="L78" s="6" t="s">
        <v>2092</v>
      </c>
      <c r="O78" t="s">
        <v>2106</v>
      </c>
      <c r="P78" s="16">
        <v>17</v>
      </c>
      <c r="S78" s="15"/>
      <c r="U78" s="15"/>
      <c r="W78" s="15"/>
      <c r="Y78" s="15"/>
      <c r="AA78" s="15"/>
      <c r="AC78" s="15"/>
      <c r="AE78" s="15"/>
      <c r="AG78" s="15"/>
    </row>
    <row r="79" spans="1:33" ht="15.75" customHeight="1" x14ac:dyDescent="0.25">
      <c r="A79" s="6" t="s">
        <v>81</v>
      </c>
      <c r="D79" s="6" t="s">
        <v>1980</v>
      </c>
      <c r="E79" s="6" t="s">
        <v>2105</v>
      </c>
      <c r="F79" s="6" t="s">
        <v>2038</v>
      </c>
      <c r="G79" s="6" t="s">
        <v>1829</v>
      </c>
      <c r="H79" s="6" t="s">
        <v>1965</v>
      </c>
      <c r="I79" s="6" t="s">
        <v>246</v>
      </c>
      <c r="J79" s="6" t="s">
        <v>1974</v>
      </c>
      <c r="K79" s="6" t="s">
        <v>2058</v>
      </c>
      <c r="L79" s="6" t="s">
        <v>2092</v>
      </c>
      <c r="O79" t="s">
        <v>2109</v>
      </c>
      <c r="P79" s="16">
        <v>17</v>
      </c>
      <c r="S79" s="15"/>
      <c r="U79" s="15"/>
      <c r="W79" s="15"/>
      <c r="Y79" s="15"/>
      <c r="AA79" s="15"/>
      <c r="AC79" s="15"/>
      <c r="AE79" s="15"/>
      <c r="AG79" s="15"/>
    </row>
    <row r="80" spans="1:33" ht="15.75" customHeight="1" x14ac:dyDescent="0.25">
      <c r="A80" s="6" t="s">
        <v>81</v>
      </c>
      <c r="D80" s="6" t="s">
        <v>1980</v>
      </c>
      <c r="E80" s="6" t="s">
        <v>2105</v>
      </c>
      <c r="F80" s="6" t="s">
        <v>2038</v>
      </c>
      <c r="G80" s="6" t="s">
        <v>1829</v>
      </c>
      <c r="H80" s="6" t="s">
        <v>1965</v>
      </c>
      <c r="I80" s="6" t="s">
        <v>246</v>
      </c>
      <c r="J80" s="6" t="s">
        <v>1974</v>
      </c>
      <c r="K80" s="6" t="s">
        <v>2058</v>
      </c>
      <c r="L80" s="6" t="s">
        <v>2092</v>
      </c>
      <c r="O80" t="s">
        <v>2110</v>
      </c>
      <c r="P80" s="12">
        <v>17</v>
      </c>
      <c r="S80" s="15"/>
      <c r="U80" s="15"/>
      <c r="W80" s="15"/>
      <c r="Y80" s="15"/>
      <c r="AA80" s="15"/>
      <c r="AC80" s="15"/>
      <c r="AE80" s="15"/>
      <c r="AG80" s="15"/>
    </row>
    <row r="81" spans="1:33" ht="15.75" customHeight="1" x14ac:dyDescent="0.25">
      <c r="A81" s="6" t="s">
        <v>81</v>
      </c>
      <c r="D81" t="s">
        <v>1980</v>
      </c>
      <c r="E81" s="6" t="s">
        <v>2105</v>
      </c>
      <c r="F81" s="6" t="s">
        <v>2038</v>
      </c>
      <c r="G81" s="6" t="s">
        <v>1829</v>
      </c>
      <c r="H81" s="6" t="s">
        <v>1965</v>
      </c>
      <c r="I81" s="6" t="s">
        <v>246</v>
      </c>
      <c r="J81" s="6" t="s">
        <v>2112</v>
      </c>
      <c r="K81" s="6" t="s">
        <v>2058</v>
      </c>
      <c r="L81" s="6" t="s">
        <v>2092</v>
      </c>
      <c r="O81" t="s">
        <v>1931</v>
      </c>
      <c r="P81" s="13">
        <v>16</v>
      </c>
      <c r="S81" s="15"/>
      <c r="U81" s="15"/>
      <c r="W81" s="15"/>
      <c r="Y81" s="15"/>
      <c r="AA81" s="15"/>
      <c r="AC81" s="15"/>
      <c r="AE81" s="15"/>
      <c r="AG81" s="15"/>
    </row>
    <row r="82" spans="1:33" ht="15.75" customHeight="1" x14ac:dyDescent="0.25">
      <c r="A82" s="6" t="s">
        <v>81</v>
      </c>
      <c r="D82" s="6" t="s">
        <v>1980</v>
      </c>
      <c r="E82" s="6" t="s">
        <v>2105</v>
      </c>
      <c r="F82" s="6" t="s">
        <v>2038</v>
      </c>
      <c r="G82" s="6" t="s">
        <v>1829</v>
      </c>
      <c r="H82" s="6" t="s">
        <v>1965</v>
      </c>
      <c r="I82" s="6" t="s">
        <v>246</v>
      </c>
      <c r="J82" s="6" t="s">
        <v>2112</v>
      </c>
      <c r="K82" s="6" t="s">
        <v>2058</v>
      </c>
      <c r="L82" s="6" t="s">
        <v>2092</v>
      </c>
      <c r="O82" t="s">
        <v>2113</v>
      </c>
      <c r="P82" s="13">
        <v>16</v>
      </c>
      <c r="S82" s="15"/>
      <c r="U82" s="15"/>
      <c r="W82" s="15"/>
      <c r="Y82" s="15"/>
      <c r="AA82" s="15"/>
      <c r="AC82" s="15"/>
      <c r="AE82" s="15"/>
      <c r="AG82" s="15"/>
    </row>
    <row r="83" spans="1:33" ht="15.75" customHeight="1" x14ac:dyDescent="0.25">
      <c r="A83" s="6" t="s">
        <v>81</v>
      </c>
      <c r="D83" s="6" t="s">
        <v>1980</v>
      </c>
      <c r="E83" s="6" t="s">
        <v>2105</v>
      </c>
      <c r="F83" s="6" t="s">
        <v>2038</v>
      </c>
      <c r="G83" s="6" t="s">
        <v>1829</v>
      </c>
      <c r="H83" s="6" t="s">
        <v>1965</v>
      </c>
      <c r="I83" s="6" t="s">
        <v>246</v>
      </c>
      <c r="J83" s="6" t="s">
        <v>2112</v>
      </c>
      <c r="K83" s="6" t="s">
        <v>2058</v>
      </c>
      <c r="L83" s="6" t="s">
        <v>2092</v>
      </c>
      <c r="O83" t="s">
        <v>2115</v>
      </c>
      <c r="P83" s="16">
        <v>15</v>
      </c>
      <c r="S83" s="15"/>
      <c r="U83" s="15"/>
      <c r="W83" s="15"/>
      <c r="Y83" s="15"/>
      <c r="AA83" s="15"/>
      <c r="AC83" s="15"/>
      <c r="AE83" s="15"/>
      <c r="AG83" s="15"/>
    </row>
    <row r="84" spans="1:33" ht="15.75" customHeight="1" x14ac:dyDescent="0.25">
      <c r="A84" s="6" t="s">
        <v>81</v>
      </c>
      <c r="D84" s="6" t="s">
        <v>1980</v>
      </c>
      <c r="E84" s="6" t="s">
        <v>2105</v>
      </c>
      <c r="F84" t="s">
        <v>2038</v>
      </c>
      <c r="G84" s="6" t="s">
        <v>1829</v>
      </c>
      <c r="H84" s="6" t="s">
        <v>1965</v>
      </c>
      <c r="I84" s="6" t="s">
        <v>246</v>
      </c>
      <c r="J84" s="6" t="s">
        <v>2112</v>
      </c>
      <c r="K84" s="6" t="s">
        <v>2058</v>
      </c>
      <c r="L84" s="6" t="s">
        <v>2092</v>
      </c>
      <c r="O84" t="s">
        <v>2119</v>
      </c>
      <c r="P84" s="13">
        <v>15</v>
      </c>
      <c r="S84" s="15"/>
      <c r="U84" s="15"/>
      <c r="W84" s="15"/>
      <c r="Y84" s="15"/>
      <c r="AA84" s="15"/>
      <c r="AC84" s="15"/>
      <c r="AE84" s="15"/>
      <c r="AG84" s="15"/>
    </row>
    <row r="85" spans="1:33" ht="15.75" customHeight="1" x14ac:dyDescent="0.25">
      <c r="A85" s="6" t="s">
        <v>81</v>
      </c>
      <c r="D85" s="6" t="s">
        <v>1980</v>
      </c>
      <c r="E85" s="6" t="s">
        <v>2105</v>
      </c>
      <c r="F85" s="6" t="s">
        <v>2038</v>
      </c>
      <c r="G85" s="6" t="s">
        <v>1829</v>
      </c>
      <c r="H85" s="6" t="s">
        <v>1965</v>
      </c>
      <c r="I85" s="6" t="s">
        <v>246</v>
      </c>
      <c r="J85" s="6" t="s">
        <v>2122</v>
      </c>
      <c r="K85" s="6" t="s">
        <v>2058</v>
      </c>
      <c r="L85" s="2"/>
      <c r="O85" s="12" t="s">
        <v>1373</v>
      </c>
      <c r="P85" s="12">
        <v>15</v>
      </c>
      <c r="S85" s="15"/>
      <c r="U85" s="15"/>
      <c r="W85" s="15"/>
      <c r="Y85" s="15"/>
      <c r="AA85" s="15"/>
      <c r="AC85" s="15"/>
      <c r="AE85" s="15"/>
      <c r="AG85" s="15"/>
    </row>
    <row r="86" spans="1:33" ht="15.75" customHeight="1" x14ac:dyDescent="0.25">
      <c r="A86" s="6" t="s">
        <v>81</v>
      </c>
      <c r="D86" s="6" t="s">
        <v>2094</v>
      </c>
      <c r="E86" s="6" t="s">
        <v>2105</v>
      </c>
      <c r="F86" s="6" t="s">
        <v>2124</v>
      </c>
      <c r="G86" s="6" t="s">
        <v>1829</v>
      </c>
      <c r="H86" s="6" t="s">
        <v>1965</v>
      </c>
      <c r="I86" s="6" t="s">
        <v>246</v>
      </c>
      <c r="J86" s="6" t="s">
        <v>2122</v>
      </c>
      <c r="K86" s="6" t="s">
        <v>2058</v>
      </c>
      <c r="L86" s="2"/>
      <c r="O86" t="s">
        <v>2126</v>
      </c>
      <c r="P86" s="13">
        <v>14</v>
      </c>
      <c r="S86" s="15"/>
      <c r="U86" s="15"/>
      <c r="W86" s="15"/>
      <c r="Y86" s="15"/>
      <c r="AA86" s="15"/>
      <c r="AC86" s="15"/>
      <c r="AE86" s="15"/>
      <c r="AG86" s="15"/>
    </row>
    <row r="87" spans="1:33" ht="15.75" customHeight="1" x14ac:dyDescent="0.25">
      <c r="A87" s="6" t="s">
        <v>81</v>
      </c>
      <c r="D87" s="6" t="s">
        <v>2094</v>
      </c>
      <c r="E87" t="s">
        <v>2105</v>
      </c>
      <c r="F87" t="s">
        <v>2124</v>
      </c>
      <c r="G87" s="6" t="s">
        <v>1829</v>
      </c>
      <c r="H87" s="6" t="s">
        <v>1965</v>
      </c>
      <c r="I87" s="6" t="s">
        <v>246</v>
      </c>
      <c r="J87" s="6" t="s">
        <v>2122</v>
      </c>
      <c r="K87" s="6" t="s">
        <v>2058</v>
      </c>
      <c r="L87" s="2"/>
      <c r="O87" t="s">
        <v>2092</v>
      </c>
      <c r="P87" s="12">
        <v>14</v>
      </c>
      <c r="S87" s="15"/>
      <c r="U87" s="15"/>
      <c r="W87" s="15"/>
      <c r="Y87" s="15"/>
      <c r="AA87" s="15"/>
      <c r="AC87" s="15"/>
      <c r="AE87" s="15"/>
      <c r="AG87" s="15"/>
    </row>
    <row r="88" spans="1:33" ht="15.75" customHeight="1" x14ac:dyDescent="0.25">
      <c r="A88" s="6" t="s">
        <v>81</v>
      </c>
      <c r="D88" s="6" t="s">
        <v>2094</v>
      </c>
      <c r="E88" s="6" t="s">
        <v>2130</v>
      </c>
      <c r="F88" s="6" t="s">
        <v>2126</v>
      </c>
      <c r="G88" s="6" t="s">
        <v>1829</v>
      </c>
      <c r="H88" s="6" t="s">
        <v>1965</v>
      </c>
      <c r="I88" s="6" t="s">
        <v>246</v>
      </c>
      <c r="J88" s="6" t="s">
        <v>2122</v>
      </c>
      <c r="K88" s="6" t="s">
        <v>2058</v>
      </c>
      <c r="L88" s="2"/>
      <c r="O88" t="s">
        <v>2024</v>
      </c>
      <c r="P88" s="12">
        <v>13</v>
      </c>
      <c r="S88" s="15"/>
      <c r="U88" s="15"/>
      <c r="W88" s="15"/>
      <c r="Y88" s="15"/>
      <c r="AA88" s="15"/>
      <c r="AC88" s="15"/>
      <c r="AE88" s="15"/>
      <c r="AG88" s="15"/>
    </row>
    <row r="89" spans="1:33" ht="15.75" customHeight="1" x14ac:dyDescent="0.25">
      <c r="A89" s="6" t="s">
        <v>81</v>
      </c>
      <c r="D89" s="6" t="s">
        <v>2094</v>
      </c>
      <c r="E89" s="6" t="s">
        <v>2130</v>
      </c>
      <c r="F89" s="6" t="s">
        <v>2126</v>
      </c>
      <c r="G89" s="6" t="s">
        <v>1829</v>
      </c>
      <c r="H89" s="6" t="s">
        <v>1965</v>
      </c>
      <c r="I89" s="6" t="s">
        <v>246</v>
      </c>
      <c r="J89" s="6" t="s">
        <v>2122</v>
      </c>
      <c r="K89" s="6" t="s">
        <v>2058</v>
      </c>
      <c r="L89" s="2"/>
      <c r="O89" t="s">
        <v>2074</v>
      </c>
      <c r="P89" s="12">
        <v>13</v>
      </c>
      <c r="S89" s="15"/>
      <c r="U89" s="15"/>
      <c r="W89" s="15"/>
      <c r="Y89" s="15"/>
      <c r="AA89" s="15"/>
      <c r="AC89" s="15"/>
      <c r="AE89" s="15"/>
      <c r="AG89" s="15"/>
    </row>
    <row r="90" spans="1:33" ht="15.75" customHeight="1" x14ac:dyDescent="0.25">
      <c r="A90" s="6" t="s">
        <v>81</v>
      </c>
      <c r="D90" s="6" t="s">
        <v>2094</v>
      </c>
      <c r="E90" s="6" t="s">
        <v>2130</v>
      </c>
      <c r="F90" s="6" t="s">
        <v>2126</v>
      </c>
      <c r="G90" s="6" t="s">
        <v>1829</v>
      </c>
      <c r="H90" s="6" t="s">
        <v>1965</v>
      </c>
      <c r="I90" s="6" t="s">
        <v>246</v>
      </c>
      <c r="J90" s="6" t="s">
        <v>2122</v>
      </c>
      <c r="K90" s="6" t="s">
        <v>2058</v>
      </c>
      <c r="L90" s="2"/>
      <c r="O90" t="s">
        <v>2122</v>
      </c>
      <c r="P90" s="12">
        <v>13</v>
      </c>
      <c r="S90" s="15"/>
      <c r="U90" s="15"/>
      <c r="W90" s="15"/>
      <c r="Y90" s="15"/>
      <c r="AA90" s="15"/>
      <c r="AC90" s="15"/>
      <c r="AE90" s="15"/>
      <c r="AG90" s="15"/>
    </row>
    <row r="91" spans="1:33" ht="15.75" customHeight="1" x14ac:dyDescent="0.25">
      <c r="A91" s="6" t="s">
        <v>81</v>
      </c>
      <c r="D91" s="6" t="s">
        <v>2094</v>
      </c>
      <c r="E91" s="6" t="s">
        <v>2130</v>
      </c>
      <c r="F91" s="6" t="s">
        <v>2126</v>
      </c>
      <c r="G91" s="6" t="s">
        <v>1829</v>
      </c>
      <c r="H91" s="6" t="s">
        <v>1965</v>
      </c>
      <c r="I91" s="6" t="s">
        <v>246</v>
      </c>
      <c r="J91" s="6" t="s">
        <v>2122</v>
      </c>
      <c r="K91" s="6" t="s">
        <v>2058</v>
      </c>
      <c r="L91" s="2"/>
      <c r="O91" t="s">
        <v>2135</v>
      </c>
      <c r="P91" s="12">
        <v>13</v>
      </c>
      <c r="S91" s="15"/>
      <c r="U91" s="15"/>
      <c r="W91" s="15"/>
      <c r="Y91" s="15"/>
      <c r="AA91" s="15"/>
      <c r="AC91" s="15"/>
      <c r="AE91" s="15"/>
      <c r="AG91" s="15"/>
    </row>
    <row r="92" spans="1:33" ht="15.75" customHeight="1" x14ac:dyDescent="0.25">
      <c r="A92" s="6" t="s">
        <v>81</v>
      </c>
      <c r="D92" s="6" t="s">
        <v>2094</v>
      </c>
      <c r="E92" s="6" t="s">
        <v>2130</v>
      </c>
      <c r="F92" s="6" t="s">
        <v>2126</v>
      </c>
      <c r="G92" s="6" t="s">
        <v>1829</v>
      </c>
      <c r="H92" s="6" t="s">
        <v>1965</v>
      </c>
      <c r="I92" s="6" t="s">
        <v>246</v>
      </c>
      <c r="J92" s="6" t="s">
        <v>2122</v>
      </c>
      <c r="K92" s="6" t="s">
        <v>2058</v>
      </c>
      <c r="L92" s="2"/>
      <c r="O92" t="s">
        <v>2137</v>
      </c>
      <c r="P92" s="16">
        <v>13</v>
      </c>
      <c r="S92" s="15"/>
      <c r="U92" s="15"/>
      <c r="W92" s="15"/>
      <c r="Y92" s="15"/>
      <c r="AA92" s="15"/>
      <c r="AC92" s="15"/>
      <c r="AE92" s="15"/>
      <c r="AG92" s="15"/>
    </row>
    <row r="93" spans="1:33" ht="15.75" customHeight="1" x14ac:dyDescent="0.25">
      <c r="A93" s="6" t="s">
        <v>81</v>
      </c>
      <c r="D93" s="6" t="s">
        <v>2094</v>
      </c>
      <c r="E93" s="6" t="s">
        <v>2130</v>
      </c>
      <c r="F93" s="6" t="s">
        <v>2126</v>
      </c>
      <c r="G93" s="6" t="s">
        <v>1829</v>
      </c>
      <c r="H93" s="6" t="s">
        <v>1965</v>
      </c>
      <c r="I93" s="6" t="s">
        <v>246</v>
      </c>
      <c r="J93" s="6" t="s">
        <v>2122</v>
      </c>
      <c r="K93" s="6" t="s">
        <v>2058</v>
      </c>
      <c r="L93" s="2"/>
      <c r="O93" t="s">
        <v>2016</v>
      </c>
      <c r="P93" s="13">
        <v>11</v>
      </c>
      <c r="S93" s="15"/>
      <c r="U93" s="15"/>
      <c r="W93" s="15"/>
      <c r="Y93" s="15"/>
      <c r="AA93" s="15"/>
      <c r="AC93" s="15"/>
      <c r="AE93" s="15"/>
      <c r="AG93" s="15"/>
    </row>
    <row r="94" spans="1:33" ht="15.75" customHeight="1" x14ac:dyDescent="0.25">
      <c r="A94" s="6" t="s">
        <v>81</v>
      </c>
      <c r="D94" s="6" t="s">
        <v>2094</v>
      </c>
      <c r="E94" s="6" t="s">
        <v>2130</v>
      </c>
      <c r="F94" s="6" t="s">
        <v>2126</v>
      </c>
      <c r="G94" s="6" t="s">
        <v>1829</v>
      </c>
      <c r="H94" s="6" t="s">
        <v>1965</v>
      </c>
      <c r="I94" s="6" t="s">
        <v>246</v>
      </c>
      <c r="J94" s="6" t="s">
        <v>2122</v>
      </c>
      <c r="K94" s="6" t="s">
        <v>2058</v>
      </c>
      <c r="L94" s="2"/>
      <c r="O94" t="s">
        <v>2141</v>
      </c>
      <c r="P94" s="16">
        <v>11</v>
      </c>
      <c r="S94" s="15"/>
      <c r="U94" s="15"/>
      <c r="W94" s="15"/>
      <c r="Y94" s="15"/>
      <c r="AA94" s="15"/>
      <c r="AC94" s="15"/>
      <c r="AE94" s="15"/>
      <c r="AG94" s="15"/>
    </row>
    <row r="95" spans="1:33" ht="15.75" customHeight="1" x14ac:dyDescent="0.25">
      <c r="A95" s="6" t="s">
        <v>81</v>
      </c>
      <c r="D95" s="6" t="s">
        <v>2094</v>
      </c>
      <c r="E95" s="6" t="s">
        <v>2142</v>
      </c>
      <c r="F95" s="6" t="s">
        <v>2126</v>
      </c>
      <c r="G95" s="6" t="s">
        <v>1829</v>
      </c>
      <c r="H95" s="6" t="s">
        <v>1965</v>
      </c>
      <c r="I95" s="6" t="s">
        <v>246</v>
      </c>
      <c r="J95" s="6" t="s">
        <v>2122</v>
      </c>
      <c r="K95" s="6" t="s">
        <v>2058</v>
      </c>
      <c r="L95" s="2"/>
      <c r="O95" t="s">
        <v>2145</v>
      </c>
      <c r="P95" s="13">
        <v>11</v>
      </c>
      <c r="S95" s="15"/>
      <c r="U95" s="15"/>
      <c r="W95" s="15"/>
      <c r="Y95" s="15"/>
      <c r="AA95" s="15"/>
      <c r="AC95" s="15"/>
      <c r="AE95" s="15"/>
      <c r="AG95" s="15"/>
    </row>
    <row r="96" spans="1:33" ht="15.75" customHeight="1" x14ac:dyDescent="0.25">
      <c r="A96" s="6" t="s">
        <v>81</v>
      </c>
      <c r="D96" s="6" t="s">
        <v>2094</v>
      </c>
      <c r="E96" s="6" t="s">
        <v>2142</v>
      </c>
      <c r="F96" s="6" t="s">
        <v>2126</v>
      </c>
      <c r="G96" s="6" t="s">
        <v>1829</v>
      </c>
      <c r="H96" s="6" t="s">
        <v>1965</v>
      </c>
      <c r="I96" s="6" t="s">
        <v>246</v>
      </c>
      <c r="J96" s="6" t="s">
        <v>2122</v>
      </c>
      <c r="K96" s="6" t="s">
        <v>2058</v>
      </c>
      <c r="L96" s="2"/>
      <c r="O96" t="s">
        <v>2081</v>
      </c>
      <c r="P96" s="13">
        <v>10</v>
      </c>
      <c r="S96" s="15"/>
      <c r="U96" s="15"/>
      <c r="W96" s="15"/>
      <c r="Y96" s="15"/>
      <c r="AA96" s="15"/>
      <c r="AC96" s="15"/>
      <c r="AE96" s="15"/>
      <c r="AG96" s="15"/>
    </row>
    <row r="97" spans="1:33" ht="15.75" customHeight="1" x14ac:dyDescent="0.25">
      <c r="A97" s="6" t="s">
        <v>81</v>
      </c>
      <c r="D97" s="6" t="s">
        <v>2094</v>
      </c>
      <c r="E97" s="6" t="s">
        <v>2142</v>
      </c>
      <c r="F97" s="8" t="s">
        <v>2126</v>
      </c>
      <c r="G97" s="6" t="s">
        <v>1829</v>
      </c>
      <c r="H97" s="6" t="s">
        <v>1965</v>
      </c>
      <c r="I97" s="6" t="s">
        <v>246</v>
      </c>
      <c r="J97" s="6" t="s">
        <v>2122</v>
      </c>
      <c r="K97" s="6" t="s">
        <v>2058</v>
      </c>
      <c r="O97" t="s">
        <v>2105</v>
      </c>
      <c r="P97" s="12">
        <v>10</v>
      </c>
      <c r="S97" s="15"/>
      <c r="U97" s="15"/>
      <c r="W97" s="15"/>
      <c r="Y97" s="15"/>
      <c r="AA97" s="15"/>
      <c r="AC97" s="15"/>
      <c r="AE97" s="15"/>
      <c r="AG97" s="15"/>
    </row>
    <row r="98" spans="1:33" ht="15.75" customHeight="1" x14ac:dyDescent="0.25">
      <c r="A98" s="6" t="s">
        <v>81</v>
      </c>
      <c r="D98" s="6" t="s">
        <v>2094</v>
      </c>
      <c r="E98" s="6" t="s">
        <v>2142</v>
      </c>
      <c r="F98" t="s">
        <v>2126</v>
      </c>
      <c r="G98" s="6" t="s">
        <v>1829</v>
      </c>
      <c r="H98" s="6" t="s">
        <v>1965</v>
      </c>
      <c r="I98" s="6" t="s">
        <v>246</v>
      </c>
      <c r="J98" s="6" t="s">
        <v>188</v>
      </c>
      <c r="K98" s="6" t="s">
        <v>2058</v>
      </c>
      <c r="O98" t="s">
        <v>2149</v>
      </c>
      <c r="P98" s="16">
        <v>10</v>
      </c>
      <c r="S98" s="15"/>
      <c r="U98" s="15"/>
      <c r="W98" s="15"/>
      <c r="Y98" s="15"/>
      <c r="AA98" s="15"/>
      <c r="AC98" s="15"/>
      <c r="AE98" s="15"/>
      <c r="AG98" s="15"/>
    </row>
    <row r="99" spans="1:33" ht="15.75" customHeight="1" x14ac:dyDescent="0.25">
      <c r="A99" s="6" t="s">
        <v>81</v>
      </c>
      <c r="D99" s="6" t="s">
        <v>2094</v>
      </c>
      <c r="E99" s="6" t="s">
        <v>2142</v>
      </c>
      <c r="F99" s="6" t="s">
        <v>2126</v>
      </c>
      <c r="G99" s="6" t="s">
        <v>1829</v>
      </c>
      <c r="H99" s="6" t="s">
        <v>1965</v>
      </c>
      <c r="I99" s="6" t="s">
        <v>246</v>
      </c>
      <c r="J99" s="6" t="s">
        <v>188</v>
      </c>
      <c r="K99" s="6" t="s">
        <v>2058</v>
      </c>
      <c r="O99" t="s">
        <v>2153</v>
      </c>
      <c r="P99" s="16">
        <v>10</v>
      </c>
      <c r="S99" s="15"/>
      <c r="U99" s="15"/>
      <c r="W99" s="15"/>
      <c r="Y99" s="15"/>
      <c r="AA99" s="15"/>
      <c r="AC99" s="15"/>
      <c r="AE99" s="15"/>
      <c r="AG99" s="15"/>
    </row>
    <row r="100" spans="1:33" ht="15.75" customHeight="1" x14ac:dyDescent="0.25">
      <c r="A100" s="6" t="s">
        <v>2154</v>
      </c>
      <c r="D100" s="6" t="s">
        <v>2094</v>
      </c>
      <c r="E100" s="6" t="s">
        <v>2142</v>
      </c>
      <c r="F100" s="6" t="s">
        <v>2126</v>
      </c>
      <c r="G100" s="6" t="s">
        <v>1829</v>
      </c>
      <c r="H100" s="6" t="s">
        <v>1965</v>
      </c>
      <c r="I100" s="6" t="s">
        <v>246</v>
      </c>
      <c r="J100" t="s">
        <v>188</v>
      </c>
      <c r="K100" s="2"/>
      <c r="O100" t="s">
        <v>2142</v>
      </c>
      <c r="P100" s="12">
        <v>10</v>
      </c>
      <c r="S100" s="15"/>
      <c r="U100" s="15"/>
      <c r="W100" s="15"/>
      <c r="Y100" s="15"/>
      <c r="AA100" s="15"/>
      <c r="AC100" s="15"/>
      <c r="AE100" s="15"/>
      <c r="AG100" s="15"/>
    </row>
    <row r="101" spans="1:33" ht="15.75" customHeight="1" x14ac:dyDescent="0.25">
      <c r="A101" t="s">
        <v>2158</v>
      </c>
      <c r="D101" s="6" t="s">
        <v>2094</v>
      </c>
      <c r="E101" s="6" t="s">
        <v>2142</v>
      </c>
      <c r="F101" s="6" t="s">
        <v>2126</v>
      </c>
      <c r="G101" s="6" t="s">
        <v>1829</v>
      </c>
      <c r="H101" s="6" t="s">
        <v>1965</v>
      </c>
      <c r="I101" s="6" t="s">
        <v>246</v>
      </c>
      <c r="J101" t="s">
        <v>188</v>
      </c>
      <c r="K101" s="2"/>
      <c r="O101" s="22" t="s">
        <v>2159</v>
      </c>
      <c r="P101" s="12">
        <v>10</v>
      </c>
      <c r="S101" s="15"/>
      <c r="U101" s="15"/>
      <c r="W101" s="15"/>
      <c r="Y101" s="15"/>
      <c r="AA101" s="15"/>
      <c r="AC101" s="15"/>
      <c r="AE101" s="15"/>
      <c r="AG101" s="15"/>
    </row>
    <row r="102" spans="1:33" ht="15.75" customHeight="1" x14ac:dyDescent="0.25">
      <c r="A102" s="6" t="s">
        <v>2166</v>
      </c>
      <c r="D102" s="6" t="s">
        <v>2094</v>
      </c>
      <c r="E102" s="6" t="s">
        <v>2142</v>
      </c>
      <c r="F102" s="6" t="s">
        <v>1679</v>
      </c>
      <c r="G102" s="6" t="s">
        <v>1829</v>
      </c>
      <c r="H102" s="6" t="s">
        <v>1965</v>
      </c>
      <c r="I102" s="8" t="s">
        <v>246</v>
      </c>
      <c r="J102" t="s">
        <v>188</v>
      </c>
      <c r="K102" s="2"/>
      <c r="O102" t="s">
        <v>2169</v>
      </c>
      <c r="P102" s="12">
        <v>10</v>
      </c>
      <c r="S102" s="15"/>
      <c r="U102" s="15"/>
      <c r="W102" s="15"/>
      <c r="Y102" s="15"/>
      <c r="AA102" s="15"/>
      <c r="AC102" s="15"/>
      <c r="AE102" s="15"/>
      <c r="AG102" s="15"/>
    </row>
    <row r="103" spans="1:33" ht="15.75" customHeight="1" x14ac:dyDescent="0.25">
      <c r="A103" s="6" t="s">
        <v>2170</v>
      </c>
      <c r="D103" s="6" t="s">
        <v>2094</v>
      </c>
      <c r="E103" s="6" t="s">
        <v>2142</v>
      </c>
      <c r="F103" s="6" t="s">
        <v>1679</v>
      </c>
      <c r="G103" s="6" t="s">
        <v>1829</v>
      </c>
      <c r="H103" s="6" t="s">
        <v>1965</v>
      </c>
      <c r="I103" t="s">
        <v>246</v>
      </c>
      <c r="J103" s="6" t="s">
        <v>188</v>
      </c>
      <c r="K103" s="2"/>
      <c r="O103" t="s">
        <v>2171</v>
      </c>
      <c r="P103" s="13">
        <v>10</v>
      </c>
      <c r="S103" s="15"/>
      <c r="U103" s="15"/>
      <c r="W103" s="15"/>
      <c r="Y103" s="15"/>
      <c r="AA103" s="15"/>
      <c r="AC103" s="15"/>
      <c r="AE103" s="15"/>
      <c r="AG103" s="15"/>
    </row>
    <row r="104" spans="1:33" ht="15.75" customHeight="1" x14ac:dyDescent="0.25">
      <c r="A104" s="6" t="s">
        <v>2173</v>
      </c>
      <c r="D104" s="6" t="s">
        <v>2094</v>
      </c>
      <c r="E104" s="6" t="s">
        <v>2142</v>
      </c>
      <c r="F104" s="6" t="s">
        <v>1679</v>
      </c>
      <c r="G104" s="6" t="s">
        <v>1829</v>
      </c>
      <c r="H104" s="6" t="s">
        <v>1965</v>
      </c>
      <c r="I104" t="s">
        <v>246</v>
      </c>
      <c r="J104" s="6" t="s">
        <v>188</v>
      </c>
      <c r="K104" s="2"/>
      <c r="O104" t="s">
        <v>2175</v>
      </c>
      <c r="P104" s="13">
        <v>9</v>
      </c>
      <c r="S104" s="15"/>
      <c r="U104" s="15"/>
      <c r="W104" s="15"/>
      <c r="Y104" s="15"/>
      <c r="AA104" s="15"/>
      <c r="AC104" s="15"/>
      <c r="AE104" s="15"/>
      <c r="AG104" s="15"/>
    </row>
    <row r="105" spans="1:33" ht="15.75" customHeight="1" x14ac:dyDescent="0.25">
      <c r="A105" s="6" t="s">
        <v>2173</v>
      </c>
      <c r="D105" s="6" t="s">
        <v>2094</v>
      </c>
      <c r="E105" s="6" t="s">
        <v>2176</v>
      </c>
      <c r="F105" s="6" t="s">
        <v>1679</v>
      </c>
      <c r="G105" s="6" t="s">
        <v>1829</v>
      </c>
      <c r="H105" s="6" t="s">
        <v>1965</v>
      </c>
      <c r="I105" s="6" t="s">
        <v>246</v>
      </c>
      <c r="J105" s="6" t="s">
        <v>188</v>
      </c>
      <c r="K105" s="2"/>
      <c r="O105" t="s">
        <v>2177</v>
      </c>
      <c r="P105" s="16">
        <v>8</v>
      </c>
      <c r="S105" s="15"/>
      <c r="U105" s="15"/>
      <c r="W105" s="15"/>
      <c r="Y105" s="15"/>
      <c r="AA105" s="15"/>
      <c r="AC105" s="15"/>
      <c r="AE105" s="15"/>
      <c r="AG105" s="15"/>
    </row>
    <row r="106" spans="1:33" ht="15.75" customHeight="1" x14ac:dyDescent="0.25">
      <c r="A106" s="6" t="s">
        <v>2173</v>
      </c>
      <c r="D106" s="2"/>
      <c r="E106" s="6" t="s">
        <v>2176</v>
      </c>
      <c r="F106" s="6" t="s">
        <v>1679</v>
      </c>
      <c r="G106" s="6" t="s">
        <v>1829</v>
      </c>
      <c r="H106" s="6" t="s">
        <v>1965</v>
      </c>
      <c r="I106" s="6" t="s">
        <v>246</v>
      </c>
      <c r="J106" s="6" t="s">
        <v>188</v>
      </c>
      <c r="K106" s="2"/>
      <c r="O106" t="s">
        <v>2179</v>
      </c>
      <c r="P106" s="13">
        <v>8</v>
      </c>
      <c r="S106" s="15"/>
      <c r="U106" s="15"/>
      <c r="W106" s="15"/>
      <c r="Y106" s="15"/>
      <c r="AA106" s="15"/>
      <c r="AC106" s="15"/>
      <c r="AE106" s="15"/>
      <c r="AG106" s="15"/>
    </row>
    <row r="107" spans="1:33" ht="15.75" customHeight="1" x14ac:dyDescent="0.25">
      <c r="A107" s="6" t="s">
        <v>2180</v>
      </c>
      <c r="D107" s="2"/>
      <c r="E107" s="6" t="s">
        <v>2176</v>
      </c>
      <c r="F107" s="6" t="s">
        <v>1679</v>
      </c>
      <c r="G107" s="6" t="s">
        <v>1829</v>
      </c>
      <c r="H107" s="6" t="s">
        <v>1965</v>
      </c>
      <c r="I107" t="s">
        <v>246</v>
      </c>
      <c r="J107" s="6" t="s">
        <v>188</v>
      </c>
      <c r="K107" s="2"/>
      <c r="O107" t="s">
        <v>2182</v>
      </c>
      <c r="P107" s="13">
        <v>8</v>
      </c>
      <c r="S107" s="15"/>
      <c r="U107" s="15"/>
      <c r="W107" s="15"/>
      <c r="Y107" s="15"/>
      <c r="AA107" s="15"/>
      <c r="AC107" s="15"/>
      <c r="AE107" s="15"/>
      <c r="AG107" s="15"/>
    </row>
    <row r="108" spans="1:33" ht="15.75" customHeight="1" x14ac:dyDescent="0.25">
      <c r="A108" s="6"/>
      <c r="D108" s="2"/>
      <c r="E108" s="6" t="s">
        <v>2176</v>
      </c>
      <c r="F108" s="6" t="s">
        <v>1679</v>
      </c>
      <c r="G108" s="6" t="s">
        <v>1829</v>
      </c>
      <c r="H108" s="6" t="s">
        <v>1965</v>
      </c>
      <c r="I108" t="s">
        <v>246</v>
      </c>
      <c r="J108" s="6" t="s">
        <v>188</v>
      </c>
      <c r="K108" s="2"/>
      <c r="O108" t="s">
        <v>2184</v>
      </c>
      <c r="P108" s="13">
        <v>8</v>
      </c>
      <c r="S108" s="15"/>
      <c r="U108" s="15"/>
      <c r="W108" s="15"/>
      <c r="Y108" s="15"/>
      <c r="AA108" s="15"/>
      <c r="AC108" s="15"/>
      <c r="AE108" s="15"/>
      <c r="AG108" s="15"/>
    </row>
    <row r="109" spans="1:33" ht="15.75" customHeight="1" x14ac:dyDescent="0.25">
      <c r="A109" s="6"/>
      <c r="B109" s="6"/>
      <c r="D109" s="2"/>
      <c r="E109" s="6" t="s">
        <v>2110</v>
      </c>
      <c r="F109" s="6" t="s">
        <v>1679</v>
      </c>
      <c r="G109" s="6" t="s">
        <v>1829</v>
      </c>
      <c r="H109" s="6" t="s">
        <v>1965</v>
      </c>
      <c r="I109" t="s">
        <v>246</v>
      </c>
      <c r="J109" s="6" t="s">
        <v>188</v>
      </c>
      <c r="K109" s="2"/>
      <c r="O109" t="s">
        <v>2130</v>
      </c>
      <c r="P109" s="12">
        <v>7</v>
      </c>
      <c r="S109" s="15"/>
      <c r="U109" s="15"/>
      <c r="W109" s="15"/>
      <c r="Y109" s="15"/>
      <c r="AA109" s="15"/>
      <c r="AC109" s="15"/>
      <c r="AE109" s="15"/>
      <c r="AG109" s="15"/>
    </row>
    <row r="110" spans="1:33" ht="15.75" customHeight="1" x14ac:dyDescent="0.25">
      <c r="A110" s="6"/>
      <c r="D110" s="2"/>
      <c r="E110" s="6" t="s">
        <v>2110</v>
      </c>
      <c r="F110" s="6" t="s">
        <v>1679</v>
      </c>
      <c r="G110" s="6" t="s">
        <v>1829</v>
      </c>
      <c r="H110" s="6" t="s">
        <v>1965</v>
      </c>
      <c r="I110" s="6" t="s">
        <v>246</v>
      </c>
      <c r="J110" s="6" t="s">
        <v>188</v>
      </c>
      <c r="O110" t="s">
        <v>2084</v>
      </c>
      <c r="P110" s="12">
        <v>7</v>
      </c>
      <c r="S110" s="15"/>
      <c r="U110" s="15"/>
      <c r="W110" s="15"/>
      <c r="Y110" s="15"/>
      <c r="AA110" s="15"/>
      <c r="AC110" s="15"/>
      <c r="AE110" s="15"/>
      <c r="AG110" s="15"/>
    </row>
    <row r="111" spans="1:33" ht="15.75" customHeight="1" x14ac:dyDescent="0.25">
      <c r="A111" s="6"/>
      <c r="D111" s="2"/>
      <c r="E111" s="6" t="s">
        <v>2110</v>
      </c>
      <c r="F111" s="6" t="s">
        <v>1679</v>
      </c>
      <c r="G111" s="6" t="s">
        <v>1829</v>
      </c>
      <c r="H111" s="6" t="s">
        <v>1965</v>
      </c>
      <c r="I111" s="6" t="s">
        <v>1794</v>
      </c>
      <c r="J111" s="6" t="s">
        <v>188</v>
      </c>
      <c r="O111" t="s">
        <v>2188</v>
      </c>
      <c r="P111" s="13">
        <v>7</v>
      </c>
      <c r="S111" s="15"/>
      <c r="U111" s="15"/>
      <c r="W111" s="15"/>
      <c r="Y111" s="15"/>
      <c r="AA111" s="15"/>
      <c r="AC111" s="15"/>
      <c r="AE111" s="15"/>
      <c r="AG111" s="15"/>
    </row>
    <row r="112" spans="1:33" ht="15.75" customHeight="1" x14ac:dyDescent="0.25">
      <c r="A112" s="6"/>
      <c r="D112" s="2"/>
      <c r="E112" s="6" t="s">
        <v>2110</v>
      </c>
      <c r="F112" s="6" t="s">
        <v>1679</v>
      </c>
      <c r="G112" s="6" t="s">
        <v>1829</v>
      </c>
      <c r="H112" t="s">
        <v>1965</v>
      </c>
      <c r="I112" s="6" t="s">
        <v>1794</v>
      </c>
      <c r="J112" s="6" t="s">
        <v>188</v>
      </c>
      <c r="O112" t="s">
        <v>1987</v>
      </c>
      <c r="P112" s="12">
        <v>6</v>
      </c>
      <c r="S112" s="15"/>
      <c r="U112" s="15"/>
      <c r="W112" s="15"/>
      <c r="Y112" s="15"/>
      <c r="AA112" s="15"/>
      <c r="AC112" s="15"/>
      <c r="AE112" s="15"/>
      <c r="AG112" s="15"/>
    </row>
    <row r="113" spans="1:33" ht="15.75" customHeight="1" x14ac:dyDescent="0.25">
      <c r="A113" s="6"/>
      <c r="D113" s="2"/>
      <c r="E113" s="6" t="s">
        <v>2110</v>
      </c>
      <c r="F113" s="6" t="s">
        <v>1679</v>
      </c>
      <c r="G113" t="s">
        <v>1829</v>
      </c>
      <c r="H113" t="s">
        <v>1965</v>
      </c>
      <c r="I113" s="6" t="s">
        <v>1794</v>
      </c>
      <c r="J113" s="6" t="s">
        <v>188</v>
      </c>
      <c r="O113" t="s">
        <v>2191</v>
      </c>
      <c r="P113" s="16">
        <v>6</v>
      </c>
      <c r="S113" s="15"/>
      <c r="U113" s="15"/>
      <c r="W113" s="15"/>
      <c r="Y113" s="15"/>
      <c r="AA113" s="15"/>
      <c r="AC113" s="15"/>
      <c r="AE113" s="15"/>
      <c r="AG113" s="15"/>
    </row>
    <row r="114" spans="1:33" ht="15.75" customHeight="1" x14ac:dyDescent="0.25">
      <c r="A114" s="6"/>
      <c r="D114" s="2"/>
      <c r="E114" s="6" t="s">
        <v>2110</v>
      </c>
      <c r="F114" s="6" t="s">
        <v>1679</v>
      </c>
      <c r="G114" s="6" t="s">
        <v>1829</v>
      </c>
      <c r="H114" s="6" t="s">
        <v>2021</v>
      </c>
      <c r="I114" s="6" t="s">
        <v>1794</v>
      </c>
      <c r="J114" s="6" t="s">
        <v>188</v>
      </c>
      <c r="O114" t="s">
        <v>2194</v>
      </c>
      <c r="P114" s="13">
        <v>6</v>
      </c>
      <c r="S114" s="15"/>
      <c r="U114" s="15"/>
      <c r="W114" s="15"/>
      <c r="Y114" s="15"/>
      <c r="AA114" s="15"/>
      <c r="AC114" s="15"/>
      <c r="AE114" s="15"/>
      <c r="AG114" s="15"/>
    </row>
    <row r="115" spans="1:33" ht="15.75" customHeight="1" x14ac:dyDescent="0.25">
      <c r="A115" s="6"/>
      <c r="D115" s="2"/>
      <c r="E115" s="6" t="s">
        <v>2110</v>
      </c>
      <c r="F115" s="6" t="s">
        <v>1679</v>
      </c>
      <c r="G115" t="s">
        <v>2106</v>
      </c>
      <c r="H115" s="8" t="s">
        <v>2021</v>
      </c>
      <c r="I115" s="6" t="s">
        <v>1794</v>
      </c>
      <c r="J115" s="6" t="s">
        <v>188</v>
      </c>
      <c r="O115" t="s">
        <v>2196</v>
      </c>
      <c r="P115" s="13">
        <v>6</v>
      </c>
      <c r="S115" s="15"/>
      <c r="U115" s="15"/>
      <c r="W115" s="15"/>
      <c r="Y115" s="15"/>
      <c r="AA115" s="15"/>
      <c r="AC115" s="15"/>
      <c r="AE115" s="15"/>
      <c r="AG115" s="15"/>
    </row>
    <row r="116" spans="1:33" ht="15.75" customHeight="1" x14ac:dyDescent="0.25">
      <c r="A116" s="6"/>
      <c r="E116" s="6" t="s">
        <v>2110</v>
      </c>
      <c r="F116" s="6" t="s">
        <v>1679</v>
      </c>
      <c r="G116" t="s">
        <v>2106</v>
      </c>
      <c r="H116" s="8" t="s">
        <v>2021</v>
      </c>
      <c r="I116" s="6" t="s">
        <v>1794</v>
      </c>
      <c r="J116" s="6" t="s">
        <v>188</v>
      </c>
      <c r="O116" t="s">
        <v>2065</v>
      </c>
      <c r="P116" s="13">
        <v>5</v>
      </c>
      <c r="S116" s="15"/>
      <c r="U116" s="15"/>
      <c r="W116" s="15"/>
      <c r="Y116" s="15"/>
      <c r="AA116" s="15"/>
      <c r="AC116" s="15"/>
      <c r="AE116" s="15"/>
      <c r="AG116" s="15"/>
    </row>
    <row r="117" spans="1:33" ht="15.75" customHeight="1" x14ac:dyDescent="0.25">
      <c r="E117" s="6" t="s">
        <v>2110</v>
      </c>
      <c r="F117" s="6" t="s">
        <v>1679</v>
      </c>
      <c r="G117" s="6" t="s">
        <v>2106</v>
      </c>
      <c r="H117" s="8" t="s">
        <v>2021</v>
      </c>
      <c r="I117" s="6" t="s">
        <v>1794</v>
      </c>
      <c r="J117" s="6" t="s">
        <v>188</v>
      </c>
      <c r="O117" t="s">
        <v>1844</v>
      </c>
      <c r="P117" s="12">
        <v>5</v>
      </c>
      <c r="S117" s="15"/>
      <c r="U117" s="15"/>
      <c r="W117" s="15"/>
      <c r="Y117" s="15"/>
      <c r="AA117" s="15"/>
      <c r="AC117" s="15"/>
      <c r="AE117" s="15"/>
      <c r="AG117" s="15"/>
    </row>
    <row r="118" spans="1:33" ht="15.75" customHeight="1" x14ac:dyDescent="0.25">
      <c r="E118" s="6" t="s">
        <v>2110</v>
      </c>
      <c r="F118" s="6" t="s">
        <v>1679</v>
      </c>
      <c r="G118" s="6" t="s">
        <v>2106</v>
      </c>
      <c r="H118" s="8" t="s">
        <v>2021</v>
      </c>
      <c r="I118" s="6" t="s">
        <v>1794</v>
      </c>
      <c r="J118" s="6" t="s">
        <v>188</v>
      </c>
      <c r="O118" t="s">
        <v>2198</v>
      </c>
      <c r="P118" s="13">
        <v>5</v>
      </c>
      <c r="S118" s="15"/>
      <c r="U118" s="15"/>
      <c r="W118" s="15"/>
      <c r="Y118" s="15"/>
      <c r="AA118" s="15"/>
      <c r="AC118" s="15"/>
      <c r="AE118" s="15"/>
      <c r="AG118" s="15"/>
    </row>
    <row r="119" spans="1:33" ht="15.75" customHeight="1" x14ac:dyDescent="0.25">
      <c r="E119" s="6" t="s">
        <v>2110</v>
      </c>
      <c r="F119" s="6" t="s">
        <v>1679</v>
      </c>
      <c r="G119" s="6" t="s">
        <v>2106</v>
      </c>
      <c r="H119" s="8" t="s">
        <v>2021</v>
      </c>
      <c r="I119" s="6" t="s">
        <v>1794</v>
      </c>
      <c r="J119" s="6" t="s">
        <v>188</v>
      </c>
      <c r="O119" t="s">
        <v>2199</v>
      </c>
      <c r="P119" s="16">
        <v>5</v>
      </c>
      <c r="S119" s="15"/>
      <c r="U119" s="15"/>
      <c r="W119" s="15"/>
      <c r="Y119" s="15"/>
      <c r="AA119" s="15"/>
      <c r="AC119" s="15"/>
      <c r="AE119" s="15"/>
      <c r="AG119" s="15"/>
    </row>
    <row r="120" spans="1:33" ht="15.75" customHeight="1" x14ac:dyDescent="0.25">
      <c r="E120" s="6" t="s">
        <v>2110</v>
      </c>
      <c r="F120" s="6" t="s">
        <v>1679</v>
      </c>
      <c r="G120" s="6" t="s">
        <v>2106</v>
      </c>
      <c r="H120" s="8" t="s">
        <v>2021</v>
      </c>
      <c r="I120" s="6" t="s">
        <v>1794</v>
      </c>
      <c r="J120" s="6" t="s">
        <v>188</v>
      </c>
      <c r="O120" t="s">
        <v>2203</v>
      </c>
      <c r="P120" s="13">
        <v>5</v>
      </c>
      <c r="S120" s="15"/>
      <c r="U120" s="15"/>
      <c r="W120" s="15"/>
      <c r="Y120" s="15"/>
      <c r="AA120" s="15"/>
      <c r="AC120" s="15"/>
      <c r="AE120" s="15"/>
      <c r="AG120" s="15"/>
    </row>
    <row r="121" spans="1:33" ht="15.75" customHeight="1" x14ac:dyDescent="0.25">
      <c r="E121" s="6" t="s">
        <v>2110</v>
      </c>
      <c r="F121" s="6" t="s">
        <v>1679</v>
      </c>
      <c r="G121" s="6" t="s">
        <v>2106</v>
      </c>
      <c r="H121" s="8" t="s">
        <v>2021</v>
      </c>
      <c r="I121" s="6" t="s">
        <v>1794</v>
      </c>
      <c r="J121" s="6" t="s">
        <v>188</v>
      </c>
      <c r="O121" t="s">
        <v>2007</v>
      </c>
      <c r="P121" s="12">
        <v>4</v>
      </c>
      <c r="S121" s="15"/>
      <c r="U121" s="15"/>
      <c r="W121" s="15"/>
      <c r="Y121" s="15"/>
      <c r="AA121" s="15"/>
      <c r="AC121" s="15"/>
      <c r="AE121" s="15"/>
      <c r="AG121" s="15"/>
    </row>
    <row r="122" spans="1:33" ht="15.75" customHeight="1" x14ac:dyDescent="0.25">
      <c r="E122" s="6" t="s">
        <v>2110</v>
      </c>
      <c r="F122" s="6" t="s">
        <v>1679</v>
      </c>
      <c r="G122" s="6" t="s">
        <v>2106</v>
      </c>
      <c r="H122" s="8" t="s">
        <v>2021</v>
      </c>
      <c r="I122" s="6" t="s">
        <v>1794</v>
      </c>
      <c r="J122" s="6" t="s">
        <v>188</v>
      </c>
      <c r="O122" t="s">
        <v>2064</v>
      </c>
      <c r="P122" s="12">
        <v>4</v>
      </c>
      <c r="S122" s="15"/>
      <c r="U122" s="15"/>
      <c r="W122" s="15"/>
      <c r="Y122" s="15"/>
      <c r="AA122" s="15"/>
      <c r="AC122" s="15"/>
      <c r="AE122" s="15"/>
      <c r="AG122" s="15"/>
    </row>
    <row r="123" spans="1:33" ht="15.75" customHeight="1" x14ac:dyDescent="0.25">
      <c r="E123" s="6" t="s">
        <v>2110</v>
      </c>
      <c r="F123" s="6" t="s">
        <v>1679</v>
      </c>
      <c r="G123" s="6" t="s">
        <v>2106</v>
      </c>
      <c r="H123" s="8" t="s">
        <v>2021</v>
      </c>
      <c r="I123" s="6" t="s">
        <v>1794</v>
      </c>
      <c r="J123" s="6" t="s">
        <v>188</v>
      </c>
      <c r="O123" t="s">
        <v>2112</v>
      </c>
      <c r="P123" s="12">
        <v>4</v>
      </c>
      <c r="S123" s="15"/>
      <c r="U123" s="15"/>
      <c r="W123" s="15"/>
      <c r="Y123" s="15"/>
      <c r="AA123" s="15"/>
      <c r="AC123" s="15"/>
      <c r="AE123" s="15"/>
      <c r="AG123" s="15"/>
    </row>
    <row r="124" spans="1:33" ht="15.75" customHeight="1" x14ac:dyDescent="0.25">
      <c r="E124" s="6" t="s">
        <v>2110</v>
      </c>
      <c r="F124" s="6" t="s">
        <v>1679</v>
      </c>
      <c r="G124" s="6" t="s">
        <v>2106</v>
      </c>
      <c r="H124" s="8" t="s">
        <v>2021</v>
      </c>
      <c r="I124" s="6" t="s">
        <v>1794</v>
      </c>
      <c r="J124" s="6" t="s">
        <v>188</v>
      </c>
      <c r="O124" t="s">
        <v>1953</v>
      </c>
      <c r="P124" s="12">
        <v>4</v>
      </c>
      <c r="S124" s="15"/>
      <c r="U124" s="15"/>
      <c r="W124" s="15"/>
      <c r="Y124" s="15"/>
      <c r="AA124" s="15"/>
      <c r="AC124" s="15"/>
      <c r="AE124" s="15"/>
      <c r="AG124" s="15"/>
    </row>
    <row r="125" spans="1:33" ht="15.75" customHeight="1" x14ac:dyDescent="0.25">
      <c r="E125" s="6" t="s">
        <v>2110</v>
      </c>
      <c r="F125" s="6" t="s">
        <v>1679</v>
      </c>
      <c r="G125" s="6" t="s">
        <v>2106</v>
      </c>
      <c r="H125" s="8" t="s">
        <v>2021</v>
      </c>
      <c r="I125" s="6" t="s">
        <v>1794</v>
      </c>
      <c r="J125" s="6" t="s">
        <v>188</v>
      </c>
      <c r="O125" t="s">
        <v>2209</v>
      </c>
      <c r="P125" s="16">
        <v>4</v>
      </c>
      <c r="S125" s="15"/>
      <c r="U125" s="15"/>
      <c r="W125" s="15"/>
      <c r="Y125" s="15"/>
      <c r="AA125" s="15"/>
      <c r="AC125" s="15"/>
      <c r="AE125" s="15"/>
      <c r="AG125" s="15"/>
    </row>
    <row r="126" spans="1:33" ht="15.75" customHeight="1" x14ac:dyDescent="0.25">
      <c r="E126" s="6" t="s">
        <v>2070</v>
      </c>
      <c r="F126" s="6" t="s">
        <v>1679</v>
      </c>
      <c r="G126" s="6" t="s">
        <v>2106</v>
      </c>
      <c r="H126" s="8" t="s">
        <v>2021</v>
      </c>
      <c r="I126" s="6" t="s">
        <v>1794</v>
      </c>
      <c r="J126" s="6" t="s">
        <v>188</v>
      </c>
      <c r="O126" t="s">
        <v>2176</v>
      </c>
      <c r="P126" s="12">
        <v>4</v>
      </c>
      <c r="S126" s="15"/>
      <c r="U126" s="15"/>
      <c r="W126" s="15"/>
      <c r="Y126" s="15"/>
      <c r="AA126" s="15"/>
      <c r="AC126" s="15"/>
      <c r="AE126" s="15"/>
      <c r="AG126" s="15"/>
    </row>
    <row r="127" spans="1:33" ht="15.75" customHeight="1" x14ac:dyDescent="0.25">
      <c r="E127" s="6" t="s">
        <v>2070</v>
      </c>
      <c r="F127" s="6" t="s">
        <v>1679</v>
      </c>
      <c r="G127" s="6" t="s">
        <v>2106</v>
      </c>
      <c r="H127" s="8" t="s">
        <v>2021</v>
      </c>
      <c r="I127" s="6" t="s">
        <v>1794</v>
      </c>
      <c r="J127" s="6" t="s">
        <v>188</v>
      </c>
      <c r="O127" t="s">
        <v>2212</v>
      </c>
      <c r="P127" s="13">
        <v>4</v>
      </c>
      <c r="S127" s="15"/>
      <c r="U127" s="15"/>
      <c r="W127" s="15"/>
      <c r="Y127" s="15"/>
      <c r="AA127" s="15"/>
      <c r="AC127" s="15"/>
      <c r="AE127" s="15"/>
      <c r="AG127" s="15"/>
    </row>
    <row r="128" spans="1:33" ht="15.75" customHeight="1" x14ac:dyDescent="0.25">
      <c r="E128" s="6" t="s">
        <v>2070</v>
      </c>
      <c r="F128" s="6" t="s">
        <v>1679</v>
      </c>
      <c r="G128" t="s">
        <v>2106</v>
      </c>
      <c r="H128" s="8" t="s">
        <v>2021</v>
      </c>
      <c r="I128" s="6" t="s">
        <v>1794</v>
      </c>
      <c r="J128" s="6" t="s">
        <v>188</v>
      </c>
      <c r="O128" s="12" t="s">
        <v>1371</v>
      </c>
      <c r="P128" s="12">
        <v>3</v>
      </c>
      <c r="S128" s="15"/>
      <c r="U128" s="15"/>
      <c r="W128" s="15"/>
      <c r="Y128" s="15"/>
      <c r="AA128" s="15"/>
      <c r="AC128" s="15"/>
      <c r="AE128" s="15"/>
      <c r="AG128" s="15"/>
    </row>
    <row r="129" spans="5:33" ht="15.75" customHeight="1" x14ac:dyDescent="0.25">
      <c r="E129" s="6" t="s">
        <v>2070</v>
      </c>
      <c r="F129" s="6" t="s">
        <v>1679</v>
      </c>
      <c r="G129" s="6" t="s">
        <v>2106</v>
      </c>
      <c r="H129" s="8" t="s">
        <v>2021</v>
      </c>
      <c r="I129" s="6" t="s">
        <v>1794</v>
      </c>
      <c r="J129" s="6" t="s">
        <v>188</v>
      </c>
      <c r="O129" t="s">
        <v>2216</v>
      </c>
      <c r="P129" s="16">
        <v>3</v>
      </c>
      <c r="S129" s="15"/>
      <c r="U129" s="15"/>
      <c r="W129" s="15"/>
      <c r="Y129" s="15"/>
      <c r="AA129" s="15"/>
      <c r="AC129" s="15"/>
      <c r="AE129" s="15"/>
      <c r="AG129" s="15"/>
    </row>
    <row r="130" spans="5:33" ht="15.75" customHeight="1" x14ac:dyDescent="0.25">
      <c r="E130" s="6" t="s">
        <v>2070</v>
      </c>
      <c r="F130" s="6" t="s">
        <v>1679</v>
      </c>
      <c r="G130" s="6" t="s">
        <v>2106</v>
      </c>
      <c r="H130" s="8" t="s">
        <v>2021</v>
      </c>
      <c r="I130" s="6" t="s">
        <v>1794</v>
      </c>
      <c r="J130" s="6" t="s">
        <v>188</v>
      </c>
      <c r="O130" t="s">
        <v>1909</v>
      </c>
      <c r="P130" s="12">
        <v>3</v>
      </c>
      <c r="S130" s="15"/>
      <c r="U130" s="15"/>
      <c r="W130" s="15"/>
      <c r="Y130" s="15"/>
      <c r="AA130" s="15"/>
      <c r="AC130" s="15"/>
      <c r="AE130" s="15"/>
      <c r="AG130" s="15"/>
    </row>
    <row r="131" spans="5:33" ht="15.75" customHeight="1" x14ac:dyDescent="0.25">
      <c r="E131" s="6" t="s">
        <v>2070</v>
      </c>
      <c r="F131" s="6" t="s">
        <v>1679</v>
      </c>
      <c r="G131" s="6" t="s">
        <v>2106</v>
      </c>
      <c r="H131" s="8" t="s">
        <v>2021</v>
      </c>
      <c r="I131" s="6" t="s">
        <v>1794</v>
      </c>
      <c r="J131" s="6" t="s">
        <v>188</v>
      </c>
      <c r="O131" t="s">
        <v>2220</v>
      </c>
      <c r="P131" s="12">
        <v>3</v>
      </c>
      <c r="S131" s="15"/>
      <c r="U131" s="15"/>
      <c r="W131" s="15"/>
      <c r="Y131" s="15"/>
      <c r="AA131" s="15"/>
      <c r="AC131" s="15"/>
      <c r="AE131" s="15"/>
      <c r="AG131" s="15"/>
    </row>
    <row r="132" spans="5:33" ht="15.75" customHeight="1" x14ac:dyDescent="0.25">
      <c r="E132" s="6" t="s">
        <v>2070</v>
      </c>
      <c r="F132" s="6" t="s">
        <v>1679</v>
      </c>
      <c r="G132" s="6" t="s">
        <v>2141</v>
      </c>
      <c r="H132" s="8" t="s">
        <v>2021</v>
      </c>
      <c r="I132" s="6" t="s">
        <v>1794</v>
      </c>
      <c r="J132" s="6" t="s">
        <v>188</v>
      </c>
      <c r="O132" t="s">
        <v>1951</v>
      </c>
      <c r="P132" s="12">
        <v>3</v>
      </c>
      <c r="S132" s="15"/>
      <c r="U132" s="15"/>
      <c r="W132" s="15"/>
      <c r="Y132" s="15"/>
      <c r="AA132" s="15"/>
      <c r="AC132" s="15"/>
      <c r="AE132" s="15"/>
      <c r="AG132" s="15"/>
    </row>
    <row r="133" spans="5:33" ht="15.75" customHeight="1" x14ac:dyDescent="0.25">
      <c r="E133" s="6" t="s">
        <v>2070</v>
      </c>
      <c r="F133" s="6" t="s">
        <v>1679</v>
      </c>
      <c r="G133" s="6" t="s">
        <v>2141</v>
      </c>
      <c r="H133" s="8" t="s">
        <v>2021</v>
      </c>
      <c r="I133" s="6" t="s">
        <v>1794</v>
      </c>
      <c r="J133" s="6" t="s">
        <v>188</v>
      </c>
      <c r="O133" t="s">
        <v>1976</v>
      </c>
      <c r="P133" s="12">
        <v>3</v>
      </c>
      <c r="S133" s="15"/>
      <c r="U133" s="15"/>
      <c r="W133" s="15"/>
      <c r="Y133" s="15"/>
      <c r="AA133" s="15"/>
      <c r="AC133" s="15"/>
      <c r="AE133" s="15"/>
      <c r="AG133" s="15"/>
    </row>
    <row r="134" spans="5:33" ht="15.75" customHeight="1" x14ac:dyDescent="0.25">
      <c r="E134" s="6" t="s">
        <v>2070</v>
      </c>
      <c r="F134" s="6" t="s">
        <v>1679</v>
      </c>
      <c r="G134" s="6" t="s">
        <v>2141</v>
      </c>
      <c r="H134" s="8" t="s">
        <v>2021</v>
      </c>
      <c r="I134" s="6" t="s">
        <v>1794</v>
      </c>
      <c r="J134" s="6" t="s">
        <v>188</v>
      </c>
      <c r="O134" s="12" t="s">
        <v>1375</v>
      </c>
      <c r="P134" s="12">
        <v>2</v>
      </c>
      <c r="S134" s="15"/>
      <c r="U134" s="15"/>
      <c r="W134" s="15"/>
      <c r="Y134" s="15"/>
      <c r="AA134" s="15"/>
      <c r="AC134" s="15"/>
      <c r="AE134" s="15"/>
      <c r="AG134" s="15"/>
    </row>
    <row r="135" spans="5:33" ht="15.75" customHeight="1" x14ac:dyDescent="0.25">
      <c r="E135" s="6" t="s">
        <v>2070</v>
      </c>
      <c r="F135" s="6" t="s">
        <v>1679</v>
      </c>
      <c r="G135" s="6" t="s">
        <v>2141</v>
      </c>
      <c r="H135" s="8" t="s">
        <v>2021</v>
      </c>
      <c r="I135" s="6" t="s">
        <v>1794</v>
      </c>
      <c r="J135" s="6" t="s">
        <v>188</v>
      </c>
      <c r="O135" t="s">
        <v>1998</v>
      </c>
      <c r="P135" s="12">
        <v>2</v>
      </c>
      <c r="S135" s="15"/>
      <c r="U135" s="15"/>
      <c r="W135" s="15"/>
      <c r="Y135" s="15"/>
      <c r="AA135" s="15"/>
      <c r="AC135" s="15"/>
      <c r="AE135" s="15"/>
      <c r="AG135" s="15"/>
    </row>
    <row r="136" spans="5:33" ht="15.75" customHeight="1" x14ac:dyDescent="0.25">
      <c r="E136" s="6" t="s">
        <v>2070</v>
      </c>
      <c r="F136" s="6" t="s">
        <v>1679</v>
      </c>
      <c r="G136" s="6" t="s">
        <v>2141</v>
      </c>
      <c r="H136" s="6" t="s">
        <v>2021</v>
      </c>
      <c r="I136" s="6" t="s">
        <v>1794</v>
      </c>
      <c r="J136" s="6" t="s">
        <v>188</v>
      </c>
      <c r="O136" t="s">
        <v>2053</v>
      </c>
      <c r="P136" s="13">
        <v>2</v>
      </c>
      <c r="S136" s="15"/>
      <c r="U136" s="15"/>
      <c r="W136" s="15"/>
      <c r="Y136" s="15"/>
      <c r="AA136" s="15"/>
      <c r="AC136" s="15"/>
      <c r="AE136" s="15"/>
      <c r="AG136" s="15"/>
    </row>
    <row r="137" spans="5:33" ht="15.75" customHeight="1" x14ac:dyDescent="0.25">
      <c r="E137" s="6" t="s">
        <v>2070</v>
      </c>
      <c r="F137" s="6" t="s">
        <v>1679</v>
      </c>
      <c r="G137" s="6" t="s">
        <v>2141</v>
      </c>
      <c r="H137" s="6" t="s">
        <v>2021</v>
      </c>
      <c r="I137" s="6" t="s">
        <v>1794</v>
      </c>
      <c r="J137" s="6" t="s">
        <v>188</v>
      </c>
      <c r="O137" t="s">
        <v>2124</v>
      </c>
      <c r="P137" s="13">
        <v>2</v>
      </c>
      <c r="S137" s="15"/>
      <c r="U137" s="15"/>
      <c r="W137" s="15"/>
      <c r="Y137" s="15"/>
      <c r="AA137" s="15"/>
      <c r="AC137" s="15"/>
      <c r="AE137" s="15"/>
      <c r="AG137" s="15"/>
    </row>
    <row r="138" spans="5:33" ht="15.75" customHeight="1" x14ac:dyDescent="0.25">
      <c r="E138" s="6" t="s">
        <v>2070</v>
      </c>
      <c r="F138" s="6" t="s">
        <v>1679</v>
      </c>
      <c r="G138" s="6" t="s">
        <v>2141</v>
      </c>
      <c r="H138" s="6" t="s">
        <v>2021</v>
      </c>
      <c r="I138" s="6" t="s">
        <v>1794</v>
      </c>
      <c r="J138" s="6" t="s">
        <v>188</v>
      </c>
      <c r="O138" t="s">
        <v>2234</v>
      </c>
      <c r="P138" s="13">
        <v>2</v>
      </c>
      <c r="S138" s="15"/>
      <c r="U138" s="15"/>
      <c r="W138" s="15"/>
      <c r="Y138" s="15"/>
      <c r="AA138" s="15"/>
      <c r="AC138" s="15"/>
      <c r="AE138" s="15"/>
      <c r="AG138" s="15"/>
    </row>
    <row r="139" spans="5:33" ht="15.75" customHeight="1" x14ac:dyDescent="0.25">
      <c r="E139" s="6" t="s">
        <v>2070</v>
      </c>
      <c r="F139" s="6" t="s">
        <v>1679</v>
      </c>
      <c r="G139" s="6" t="s">
        <v>2141</v>
      </c>
      <c r="H139" s="6" t="s">
        <v>2021</v>
      </c>
      <c r="I139" s="6" t="s">
        <v>1794</v>
      </c>
      <c r="J139" s="6" t="s">
        <v>188</v>
      </c>
      <c r="O139" t="s">
        <v>2238</v>
      </c>
      <c r="P139" s="12">
        <v>2</v>
      </c>
      <c r="S139" s="15"/>
      <c r="U139" s="15"/>
      <c r="W139" s="15"/>
      <c r="Y139" s="15"/>
      <c r="AA139" s="15"/>
      <c r="AC139" s="15"/>
      <c r="AE139" s="15"/>
      <c r="AG139" s="15"/>
    </row>
    <row r="140" spans="5:33" ht="15.75" customHeight="1" x14ac:dyDescent="0.25">
      <c r="E140" s="6" t="s">
        <v>2070</v>
      </c>
      <c r="F140" s="6" t="s">
        <v>1679</v>
      </c>
      <c r="G140" s="6" t="s">
        <v>2141</v>
      </c>
      <c r="H140" s="6" t="s">
        <v>2021</v>
      </c>
      <c r="I140" s="6" t="s">
        <v>1794</v>
      </c>
      <c r="J140" s="6" t="s">
        <v>188</v>
      </c>
      <c r="O140" s="12" t="s">
        <v>1377</v>
      </c>
      <c r="P140" s="12">
        <v>1</v>
      </c>
      <c r="S140" s="15"/>
      <c r="U140" s="15"/>
      <c r="W140" s="15"/>
      <c r="Y140" s="15"/>
      <c r="AA140" s="15"/>
      <c r="AC140" s="15"/>
      <c r="AE140" s="15"/>
      <c r="AG140" s="15"/>
    </row>
    <row r="141" spans="5:33" ht="15.75" customHeight="1" x14ac:dyDescent="0.25">
      <c r="E141" s="6" t="s">
        <v>2070</v>
      </c>
      <c r="F141" s="6" t="s">
        <v>1679</v>
      </c>
      <c r="G141" s="6" t="s">
        <v>2141</v>
      </c>
      <c r="H141" s="6" t="s">
        <v>2021</v>
      </c>
      <c r="I141" s="6" t="s">
        <v>1794</v>
      </c>
      <c r="J141" s="6" t="s">
        <v>188</v>
      </c>
      <c r="O141" t="s">
        <v>2243</v>
      </c>
      <c r="P141" s="13">
        <v>1</v>
      </c>
      <c r="S141" s="15"/>
      <c r="U141" s="15"/>
      <c r="W141" s="15"/>
      <c r="Y141" s="15"/>
      <c r="AA141" s="15"/>
      <c r="AC141" s="15"/>
      <c r="AE141" s="15"/>
      <c r="AG141" s="15"/>
    </row>
    <row r="142" spans="5:33" ht="15.75" customHeight="1" x14ac:dyDescent="0.25">
      <c r="E142" s="6" t="s">
        <v>2070</v>
      </c>
      <c r="F142" s="6" t="s">
        <v>1679</v>
      </c>
      <c r="G142" s="6" t="s">
        <v>2141</v>
      </c>
      <c r="H142" s="11" t="s">
        <v>1765</v>
      </c>
      <c r="I142" s="6" t="s">
        <v>1794</v>
      </c>
      <c r="J142" s="6" t="s">
        <v>188</v>
      </c>
      <c r="O142" t="s">
        <v>1941</v>
      </c>
      <c r="P142" s="12">
        <v>1</v>
      </c>
      <c r="S142" s="15"/>
      <c r="U142" s="15"/>
      <c r="W142" s="15"/>
      <c r="Y142" s="15"/>
      <c r="AA142" s="15"/>
      <c r="AC142" s="15"/>
      <c r="AE142" s="15"/>
      <c r="AG142" s="15"/>
    </row>
    <row r="143" spans="5:33" ht="15.75" customHeight="1" x14ac:dyDescent="0.25">
      <c r="E143" s="6" t="s">
        <v>2070</v>
      </c>
      <c r="F143" s="6" t="s">
        <v>1679</v>
      </c>
      <c r="G143" s="6" t="s">
        <v>2177</v>
      </c>
      <c r="H143" s="11" t="s">
        <v>1765</v>
      </c>
      <c r="I143" s="6" t="s">
        <v>1794</v>
      </c>
      <c r="J143" s="6" t="s">
        <v>188</v>
      </c>
      <c r="O143" t="s">
        <v>2248</v>
      </c>
      <c r="P143" s="12">
        <v>1</v>
      </c>
      <c r="S143" s="15"/>
      <c r="U143" s="15"/>
      <c r="W143" s="15"/>
      <c r="Y143" s="15"/>
      <c r="AA143" s="15"/>
      <c r="AC143" s="15"/>
      <c r="AE143" s="15"/>
      <c r="AG143" s="15"/>
    </row>
    <row r="144" spans="5:33" ht="15.75" customHeight="1" x14ac:dyDescent="0.25">
      <c r="E144" s="6" t="s">
        <v>2070</v>
      </c>
      <c r="F144" s="6" t="s">
        <v>1679</v>
      </c>
      <c r="G144" t="s">
        <v>2177</v>
      </c>
      <c r="H144" s="11" t="s">
        <v>1765</v>
      </c>
      <c r="I144" s="6" t="s">
        <v>1794</v>
      </c>
      <c r="J144" s="6" t="s">
        <v>188</v>
      </c>
      <c r="S144" s="15"/>
      <c r="U144" s="15"/>
      <c r="W144" s="15"/>
      <c r="Y144" s="15"/>
      <c r="AA144" s="15"/>
      <c r="AC144" s="15"/>
      <c r="AE144" s="15"/>
      <c r="AG144" s="15"/>
    </row>
    <row r="145" spans="4:33" ht="15.75" customHeight="1" x14ac:dyDescent="0.25">
      <c r="E145" s="6" t="s">
        <v>2070</v>
      </c>
      <c r="F145" s="6" t="s">
        <v>1679</v>
      </c>
      <c r="G145" s="6" t="s">
        <v>2177</v>
      </c>
      <c r="H145" s="11" t="s">
        <v>1765</v>
      </c>
      <c r="I145" s="6" t="s">
        <v>1794</v>
      </c>
      <c r="J145" s="6" t="s">
        <v>188</v>
      </c>
      <c r="S145" s="15"/>
      <c r="U145" s="15"/>
      <c r="W145" s="15"/>
      <c r="Y145" s="15"/>
      <c r="AA145" s="15"/>
      <c r="AC145" s="15"/>
      <c r="AE145" s="15"/>
      <c r="AG145" s="15"/>
    </row>
    <row r="146" spans="4:33" ht="15.75" customHeight="1" x14ac:dyDescent="0.25">
      <c r="E146" s="6" t="s">
        <v>2070</v>
      </c>
      <c r="F146" s="6" t="s">
        <v>1679</v>
      </c>
      <c r="G146" s="6" t="s">
        <v>2177</v>
      </c>
      <c r="H146" s="11" t="s">
        <v>1765</v>
      </c>
      <c r="I146" s="6" t="s">
        <v>1794</v>
      </c>
      <c r="J146" s="6" t="s">
        <v>188</v>
      </c>
      <c r="S146" s="15"/>
      <c r="U146" s="15"/>
      <c r="W146" s="15"/>
      <c r="Y146" s="15"/>
      <c r="AA146" s="15"/>
      <c r="AC146" s="15"/>
      <c r="AE146" s="15"/>
      <c r="AG146" s="15"/>
    </row>
    <row r="147" spans="4:33" ht="15.75" customHeight="1" x14ac:dyDescent="0.25">
      <c r="E147" s="6" t="s">
        <v>2070</v>
      </c>
      <c r="F147" s="6" t="s">
        <v>1679</v>
      </c>
      <c r="G147" s="6" t="s">
        <v>2177</v>
      </c>
      <c r="H147" s="11" t="s">
        <v>1765</v>
      </c>
      <c r="I147" s="6" t="s">
        <v>1794</v>
      </c>
      <c r="J147" s="6" t="s">
        <v>188</v>
      </c>
      <c r="S147" s="15"/>
      <c r="U147" s="15"/>
      <c r="W147" s="15"/>
      <c r="Y147" s="15"/>
      <c r="AA147" s="15"/>
      <c r="AC147" s="15"/>
      <c r="AE147" s="15"/>
      <c r="AG147" s="15"/>
    </row>
    <row r="148" spans="4:33" ht="15.75" customHeight="1" x14ac:dyDescent="0.25">
      <c r="E148" s="6" t="s">
        <v>2220</v>
      </c>
      <c r="F148" s="6" t="s">
        <v>1679</v>
      </c>
      <c r="G148" s="6" t="s">
        <v>2177</v>
      </c>
      <c r="H148" s="11" t="s">
        <v>1765</v>
      </c>
      <c r="I148" s="6" t="s">
        <v>1794</v>
      </c>
      <c r="J148" s="6" t="s">
        <v>188</v>
      </c>
      <c r="S148" s="15"/>
      <c r="U148" s="15"/>
      <c r="W148" s="15"/>
      <c r="Y148" s="15"/>
      <c r="AA148" s="15"/>
      <c r="AC148" s="15"/>
      <c r="AE148" s="15"/>
      <c r="AG148" s="15"/>
    </row>
    <row r="149" spans="4:33" ht="15.75" customHeight="1" x14ac:dyDescent="0.25">
      <c r="E149" s="6" t="s">
        <v>2220</v>
      </c>
      <c r="F149" s="6" t="s">
        <v>1679</v>
      </c>
      <c r="G149" s="6" t="s">
        <v>2177</v>
      </c>
      <c r="H149" s="11" t="s">
        <v>1765</v>
      </c>
      <c r="I149" s="6" t="s">
        <v>1794</v>
      </c>
      <c r="J149" s="6" t="s">
        <v>188</v>
      </c>
      <c r="S149" s="15"/>
      <c r="U149" s="15"/>
      <c r="W149" s="15"/>
      <c r="Y149" s="15"/>
      <c r="AA149" s="15"/>
      <c r="AC149" s="15"/>
      <c r="AE149" s="15"/>
      <c r="AG149" s="15"/>
    </row>
    <row r="150" spans="4:33" ht="15.75" customHeight="1" x14ac:dyDescent="0.25">
      <c r="E150" s="6" t="s">
        <v>2220</v>
      </c>
      <c r="F150" s="6" t="s">
        <v>1679</v>
      </c>
      <c r="G150" t="s">
        <v>2177</v>
      </c>
      <c r="H150" s="11" t="s">
        <v>1765</v>
      </c>
      <c r="I150" s="6" t="s">
        <v>1794</v>
      </c>
      <c r="J150" s="6" t="s">
        <v>188</v>
      </c>
      <c r="S150" s="15"/>
      <c r="U150" s="15"/>
      <c r="W150" s="15"/>
      <c r="Y150" s="15"/>
      <c r="AA150" s="15"/>
      <c r="AC150" s="15"/>
      <c r="AE150" s="15"/>
      <c r="AG150" s="15"/>
    </row>
    <row r="151" spans="4:33" ht="15.75" customHeight="1" x14ac:dyDescent="0.25">
      <c r="E151" s="6" t="s">
        <v>2248</v>
      </c>
      <c r="F151" s="6" t="s">
        <v>1679</v>
      </c>
      <c r="G151" t="s">
        <v>1910</v>
      </c>
      <c r="H151" s="11" t="s">
        <v>1765</v>
      </c>
      <c r="I151" s="6" t="s">
        <v>1794</v>
      </c>
      <c r="J151" s="6" t="s">
        <v>188</v>
      </c>
      <c r="S151" s="15"/>
      <c r="U151" s="15"/>
      <c r="W151" s="15"/>
      <c r="Y151" s="15"/>
      <c r="AA151" s="15"/>
      <c r="AC151" s="15"/>
      <c r="AE151" s="15"/>
      <c r="AG151" s="15"/>
    </row>
    <row r="152" spans="4:33" ht="15.75" customHeight="1" x14ac:dyDescent="0.25">
      <c r="E152" s="6" t="s">
        <v>2159</v>
      </c>
      <c r="F152" s="6" t="s">
        <v>1679</v>
      </c>
      <c r="G152" s="6" t="s">
        <v>1910</v>
      </c>
      <c r="H152" s="11" t="s">
        <v>1765</v>
      </c>
      <c r="I152" s="6" t="s">
        <v>1794</v>
      </c>
      <c r="J152" s="6" t="s">
        <v>188</v>
      </c>
      <c r="S152" s="15"/>
      <c r="U152" s="15"/>
      <c r="W152" s="15"/>
      <c r="Y152" s="15"/>
      <c r="AA152" s="15"/>
      <c r="AC152" s="15"/>
      <c r="AE152" s="15"/>
      <c r="AG152" s="15"/>
    </row>
    <row r="153" spans="4:33" ht="15.75" customHeight="1" x14ac:dyDescent="0.25">
      <c r="E153" s="6" t="s">
        <v>2159</v>
      </c>
      <c r="F153" s="6" t="s">
        <v>1679</v>
      </c>
      <c r="G153" s="6" t="s">
        <v>1910</v>
      </c>
      <c r="H153" s="11" t="s">
        <v>1765</v>
      </c>
      <c r="I153" s="6" t="s">
        <v>1794</v>
      </c>
      <c r="J153" s="6" t="s">
        <v>188</v>
      </c>
      <c r="S153" s="15"/>
      <c r="U153" s="15"/>
      <c r="W153" s="15"/>
      <c r="Y153" s="15"/>
      <c r="AA153" s="15"/>
      <c r="AC153" s="15"/>
      <c r="AE153" s="15"/>
      <c r="AG153" s="15"/>
    </row>
    <row r="154" spans="4:33" ht="15.75" customHeight="1" x14ac:dyDescent="0.25">
      <c r="E154" s="6" t="s">
        <v>2159</v>
      </c>
      <c r="F154" s="6" t="s">
        <v>1679</v>
      </c>
      <c r="G154" s="6" t="s">
        <v>1910</v>
      </c>
      <c r="H154" s="11" t="s">
        <v>1765</v>
      </c>
      <c r="I154" s="6" t="s">
        <v>1794</v>
      </c>
      <c r="J154" s="6" t="s">
        <v>188</v>
      </c>
      <c r="S154" s="15"/>
      <c r="U154" s="15"/>
      <c r="W154" s="15"/>
      <c r="Y154" s="15"/>
      <c r="AA154" s="15"/>
      <c r="AC154" s="15"/>
      <c r="AE154" s="15"/>
      <c r="AG154" s="15"/>
    </row>
    <row r="155" spans="4:33" ht="15.75" customHeight="1" x14ac:dyDescent="0.25">
      <c r="E155" s="6" t="s">
        <v>2159</v>
      </c>
      <c r="F155" s="6" t="s">
        <v>1679</v>
      </c>
      <c r="G155" s="6" t="s">
        <v>1910</v>
      </c>
      <c r="H155" s="11" t="s">
        <v>1765</v>
      </c>
      <c r="I155" s="6" t="s">
        <v>1794</v>
      </c>
      <c r="J155" s="6" t="s">
        <v>188</v>
      </c>
      <c r="S155" s="15"/>
      <c r="U155" s="15"/>
      <c r="W155" s="15"/>
      <c r="Y155" s="15"/>
      <c r="AA155" s="15"/>
      <c r="AC155" s="15"/>
      <c r="AE155" s="15"/>
      <c r="AG155" s="15"/>
    </row>
    <row r="156" spans="4:33" ht="15.75" customHeight="1" x14ac:dyDescent="0.25">
      <c r="E156" s="6" t="s">
        <v>2159</v>
      </c>
      <c r="F156" s="6" t="s">
        <v>1679</v>
      </c>
      <c r="G156" s="6" t="s">
        <v>1910</v>
      </c>
      <c r="H156" s="11" t="s">
        <v>1765</v>
      </c>
      <c r="I156" s="6" t="s">
        <v>1794</v>
      </c>
      <c r="J156" s="6" t="s">
        <v>188</v>
      </c>
      <c r="S156" s="15"/>
      <c r="U156" s="15"/>
      <c r="W156" s="15"/>
      <c r="Y156" s="15"/>
      <c r="AA156" s="15"/>
      <c r="AC156" s="15"/>
      <c r="AE156" s="15"/>
      <c r="AG156" s="15"/>
    </row>
    <row r="157" spans="4:33" ht="15.75" customHeight="1" x14ac:dyDescent="0.25">
      <c r="D157" s="25"/>
      <c r="E157" s="6" t="s">
        <v>2159</v>
      </c>
      <c r="F157" s="6" t="s">
        <v>1679</v>
      </c>
      <c r="G157" s="6" t="s">
        <v>1910</v>
      </c>
      <c r="H157" s="11" t="s">
        <v>1765</v>
      </c>
      <c r="I157" s="6" t="s">
        <v>1794</v>
      </c>
      <c r="J157" s="6" t="s">
        <v>188</v>
      </c>
      <c r="S157" s="15"/>
      <c r="U157" s="15"/>
      <c r="W157" s="15"/>
      <c r="Y157" s="15"/>
      <c r="AA157" s="15"/>
      <c r="AC157" s="15"/>
      <c r="AE157" s="15"/>
      <c r="AG157" s="15"/>
    </row>
    <row r="158" spans="4:33" ht="15.75" customHeight="1" x14ac:dyDescent="0.25">
      <c r="D158" s="25"/>
      <c r="E158" s="6" t="s">
        <v>2159</v>
      </c>
      <c r="F158" s="6" t="s">
        <v>1679</v>
      </c>
      <c r="G158" s="6" t="s">
        <v>1910</v>
      </c>
      <c r="H158" s="11" t="s">
        <v>1765</v>
      </c>
      <c r="I158" s="6" t="s">
        <v>1794</v>
      </c>
      <c r="J158" s="6" t="s">
        <v>188</v>
      </c>
      <c r="S158" s="15"/>
      <c r="U158" s="15"/>
      <c r="W158" s="15"/>
      <c r="Y158" s="15"/>
      <c r="AA158" s="15"/>
      <c r="AC158" s="15"/>
      <c r="AE158" s="15"/>
      <c r="AG158" s="15"/>
    </row>
    <row r="159" spans="4:33" ht="15.75" customHeight="1" x14ac:dyDescent="0.25">
      <c r="D159" s="6"/>
      <c r="E159" s="6" t="s">
        <v>2159</v>
      </c>
      <c r="F159" s="6" t="s">
        <v>1679</v>
      </c>
      <c r="G159" s="6" t="s">
        <v>1910</v>
      </c>
      <c r="H159" s="11" t="s">
        <v>1765</v>
      </c>
      <c r="I159" s="6" t="s">
        <v>1794</v>
      </c>
      <c r="J159" s="6" t="s">
        <v>188</v>
      </c>
      <c r="S159" s="15"/>
      <c r="U159" s="15"/>
      <c r="W159" s="15"/>
      <c r="Y159" s="15"/>
      <c r="AA159" s="15"/>
      <c r="AC159" s="15"/>
      <c r="AE159" s="15"/>
      <c r="AG159" s="15"/>
    </row>
    <row r="160" spans="4:33" ht="15.75" customHeight="1" x14ac:dyDescent="0.25">
      <c r="E160" s="6" t="s">
        <v>2159</v>
      </c>
      <c r="F160" s="6" t="s">
        <v>1679</v>
      </c>
      <c r="G160" s="6" t="s">
        <v>1910</v>
      </c>
      <c r="H160" s="11" t="s">
        <v>1765</v>
      </c>
      <c r="I160" s="6" t="s">
        <v>1794</v>
      </c>
      <c r="J160" s="6" t="s">
        <v>188</v>
      </c>
      <c r="S160" s="15"/>
      <c r="U160" s="15"/>
      <c r="W160" s="15"/>
      <c r="Y160" s="15"/>
      <c r="AA160" s="15"/>
      <c r="AC160" s="15"/>
      <c r="AE160" s="15"/>
      <c r="AG160" s="15"/>
    </row>
    <row r="161" spans="5:33" ht="15.75" customHeight="1" x14ac:dyDescent="0.25">
      <c r="E161" s="6" t="s">
        <v>2159</v>
      </c>
      <c r="F161" t="s">
        <v>1679</v>
      </c>
      <c r="G161" s="6" t="s">
        <v>1910</v>
      </c>
      <c r="H161" s="11" t="s">
        <v>1765</v>
      </c>
      <c r="I161" s="6" t="s">
        <v>1794</v>
      </c>
      <c r="J161" s="6" t="s">
        <v>188</v>
      </c>
      <c r="S161" s="15"/>
      <c r="U161" s="15"/>
      <c r="W161" s="15"/>
      <c r="Y161" s="15"/>
      <c r="AA161" s="15"/>
      <c r="AC161" s="15"/>
      <c r="AE161" s="15"/>
      <c r="AG161" s="15"/>
    </row>
    <row r="162" spans="5:33" ht="15.75" customHeight="1" x14ac:dyDescent="0.25">
      <c r="E162" s="6" t="s">
        <v>2031</v>
      </c>
      <c r="F162" t="s">
        <v>1679</v>
      </c>
      <c r="G162" s="6" t="s">
        <v>1910</v>
      </c>
      <c r="H162" s="11" t="s">
        <v>1765</v>
      </c>
      <c r="I162" s="6" t="s">
        <v>1794</v>
      </c>
      <c r="J162" s="6" t="s">
        <v>188</v>
      </c>
      <c r="S162" s="15"/>
      <c r="U162" s="15"/>
      <c r="W162" s="15"/>
      <c r="Y162" s="15"/>
      <c r="AA162" s="15"/>
      <c r="AC162" s="15"/>
      <c r="AE162" s="15"/>
      <c r="AG162" s="15"/>
    </row>
    <row r="163" spans="5:33" ht="15.75" customHeight="1" x14ac:dyDescent="0.25">
      <c r="E163" s="6" t="s">
        <v>2031</v>
      </c>
      <c r="F163" s="6" t="s">
        <v>1679</v>
      </c>
      <c r="G163" s="6" t="s">
        <v>1910</v>
      </c>
      <c r="H163" s="11" t="s">
        <v>1765</v>
      </c>
      <c r="I163" s="6" t="s">
        <v>1794</v>
      </c>
      <c r="J163" s="6" t="s">
        <v>188</v>
      </c>
      <c r="S163" s="15"/>
      <c r="U163" s="15"/>
      <c r="W163" s="15"/>
      <c r="Y163" s="15"/>
      <c r="AA163" s="15"/>
      <c r="AC163" s="15"/>
      <c r="AE163" s="15"/>
      <c r="AG163" s="15"/>
    </row>
    <row r="164" spans="5:33" ht="15.75" customHeight="1" x14ac:dyDescent="0.25">
      <c r="E164" s="6" t="s">
        <v>2031</v>
      </c>
      <c r="F164" s="6" t="s">
        <v>1679</v>
      </c>
      <c r="G164" s="6" t="s">
        <v>1910</v>
      </c>
      <c r="H164" s="11" t="s">
        <v>1765</v>
      </c>
      <c r="I164" s="6" t="s">
        <v>1794</v>
      </c>
      <c r="J164" s="6" t="s">
        <v>188</v>
      </c>
      <c r="S164" s="15"/>
      <c r="U164" s="15"/>
      <c r="W164" s="15"/>
      <c r="Y164" s="15"/>
      <c r="AA164" s="15"/>
      <c r="AC164" s="15"/>
      <c r="AE164" s="15"/>
      <c r="AG164" s="15"/>
    </row>
    <row r="165" spans="5:33" ht="15.75" customHeight="1" x14ac:dyDescent="0.25">
      <c r="E165" s="6" t="s">
        <v>2031</v>
      </c>
      <c r="F165" s="6" t="s">
        <v>1679</v>
      </c>
      <c r="G165" s="6" t="s">
        <v>1910</v>
      </c>
      <c r="H165" s="11" t="s">
        <v>1765</v>
      </c>
      <c r="I165" t="s">
        <v>1794</v>
      </c>
      <c r="J165" s="6" t="s">
        <v>188</v>
      </c>
      <c r="S165" s="15"/>
      <c r="U165" s="15"/>
      <c r="W165" s="15"/>
      <c r="Y165" s="15"/>
      <c r="AA165" s="15"/>
      <c r="AC165" s="15"/>
      <c r="AE165" s="15"/>
      <c r="AG165" s="15"/>
    </row>
    <row r="166" spans="5:33" ht="15.75" customHeight="1" x14ac:dyDescent="0.25">
      <c r="E166" s="6" t="s">
        <v>2031</v>
      </c>
      <c r="F166" s="6" t="s">
        <v>1679</v>
      </c>
      <c r="G166" s="6" t="s">
        <v>1910</v>
      </c>
      <c r="H166" s="11" t="s">
        <v>1765</v>
      </c>
      <c r="I166" s="6" t="s">
        <v>1794</v>
      </c>
      <c r="J166" s="6" t="s">
        <v>188</v>
      </c>
      <c r="S166" s="15"/>
      <c r="U166" s="15"/>
      <c r="W166" s="15"/>
      <c r="Y166" s="15"/>
      <c r="AA166" s="15"/>
      <c r="AC166" s="15"/>
      <c r="AE166" s="15"/>
      <c r="AG166" s="15"/>
    </row>
    <row r="167" spans="5:33" ht="15.75" customHeight="1" x14ac:dyDescent="0.25">
      <c r="E167" s="6" t="s">
        <v>2031</v>
      </c>
      <c r="F167" s="6" t="s">
        <v>1922</v>
      </c>
      <c r="G167" s="6" t="s">
        <v>1910</v>
      </c>
      <c r="H167" s="11" t="s">
        <v>1765</v>
      </c>
      <c r="I167" s="6" t="s">
        <v>1794</v>
      </c>
      <c r="J167" s="6" t="s">
        <v>188</v>
      </c>
      <c r="S167" s="15"/>
      <c r="U167" s="15"/>
      <c r="W167" s="15"/>
      <c r="Y167" s="15"/>
      <c r="AA167" s="15"/>
      <c r="AC167" s="15"/>
      <c r="AE167" s="15"/>
      <c r="AG167" s="15"/>
    </row>
    <row r="168" spans="5:33" ht="15.75" customHeight="1" x14ac:dyDescent="0.25">
      <c r="E168" s="6" t="s">
        <v>2031</v>
      </c>
      <c r="F168" s="6" t="s">
        <v>1922</v>
      </c>
      <c r="G168" s="6" t="s">
        <v>1910</v>
      </c>
      <c r="H168" s="11" t="s">
        <v>1765</v>
      </c>
      <c r="I168" s="6" t="s">
        <v>546</v>
      </c>
      <c r="J168" s="6" t="s">
        <v>188</v>
      </c>
      <c r="S168" s="15"/>
      <c r="U168" s="15"/>
      <c r="W168" s="15"/>
      <c r="Y168" s="15"/>
      <c r="AA168" s="15"/>
      <c r="AC168" s="15"/>
      <c r="AE168" s="15"/>
      <c r="AG168" s="15"/>
    </row>
    <row r="169" spans="5:33" ht="15.75" customHeight="1" x14ac:dyDescent="0.25">
      <c r="E169" s="6" t="s">
        <v>2031</v>
      </c>
      <c r="F169" s="6" t="s">
        <v>1922</v>
      </c>
      <c r="G169" s="6" t="s">
        <v>1910</v>
      </c>
      <c r="H169" s="11" t="s">
        <v>1765</v>
      </c>
      <c r="I169" s="6" t="s">
        <v>546</v>
      </c>
      <c r="J169" s="6" t="s">
        <v>188</v>
      </c>
      <c r="S169" s="15"/>
      <c r="U169" s="15"/>
      <c r="W169" s="15"/>
      <c r="Y169" s="15"/>
      <c r="AA169" s="15"/>
      <c r="AC169" s="15"/>
      <c r="AE169" s="15"/>
      <c r="AG169" s="15"/>
    </row>
    <row r="170" spans="5:33" ht="15.75" customHeight="1" x14ac:dyDescent="0.25">
      <c r="E170" s="6" t="s">
        <v>2031</v>
      </c>
      <c r="F170" s="6" t="s">
        <v>1922</v>
      </c>
      <c r="G170" s="6" t="s">
        <v>1910</v>
      </c>
      <c r="H170" s="11" t="s">
        <v>1765</v>
      </c>
      <c r="I170" s="6" t="s">
        <v>546</v>
      </c>
      <c r="J170" s="6" t="s">
        <v>188</v>
      </c>
      <c r="S170" s="15"/>
      <c r="U170" s="15"/>
      <c r="W170" s="15"/>
      <c r="Y170" s="15"/>
      <c r="AA170" s="15"/>
      <c r="AC170" s="15"/>
      <c r="AE170" s="15"/>
      <c r="AG170" s="15"/>
    </row>
    <row r="171" spans="5:33" ht="15.75" customHeight="1" x14ac:dyDescent="0.25">
      <c r="E171" s="6" t="s">
        <v>2031</v>
      </c>
      <c r="F171" s="6" t="s">
        <v>1922</v>
      </c>
      <c r="G171" s="6" t="s">
        <v>1910</v>
      </c>
      <c r="H171" s="11" t="s">
        <v>1765</v>
      </c>
      <c r="I171" s="6" t="s">
        <v>546</v>
      </c>
      <c r="J171" s="6" t="s">
        <v>188</v>
      </c>
      <c r="S171" s="15"/>
      <c r="U171" s="15"/>
      <c r="W171" s="15"/>
      <c r="Y171" s="15"/>
      <c r="AA171" s="15"/>
      <c r="AC171" s="15"/>
      <c r="AE171" s="15"/>
      <c r="AG171" s="15"/>
    </row>
    <row r="172" spans="5:33" ht="15.75" customHeight="1" x14ac:dyDescent="0.25">
      <c r="E172" s="6" t="s">
        <v>2031</v>
      </c>
      <c r="F172" s="6" t="s">
        <v>1922</v>
      </c>
      <c r="G172" s="6" t="s">
        <v>1910</v>
      </c>
      <c r="H172" s="11" t="s">
        <v>1765</v>
      </c>
      <c r="I172" s="6" t="s">
        <v>546</v>
      </c>
      <c r="J172" s="6" t="s">
        <v>188</v>
      </c>
      <c r="S172" s="15"/>
      <c r="U172" s="15"/>
      <c r="W172" s="15"/>
      <c r="Y172" s="15"/>
      <c r="AA172" s="15"/>
      <c r="AC172" s="15"/>
      <c r="AE172" s="15"/>
      <c r="AG172" s="15"/>
    </row>
    <row r="173" spans="5:33" ht="15.75" customHeight="1" x14ac:dyDescent="0.25">
      <c r="E173" s="6" t="s">
        <v>2031</v>
      </c>
      <c r="F173" s="6" t="s">
        <v>1922</v>
      </c>
      <c r="G173" s="6" t="s">
        <v>1910</v>
      </c>
      <c r="H173" s="11" t="s">
        <v>1765</v>
      </c>
      <c r="I173" s="6" t="s">
        <v>546</v>
      </c>
      <c r="J173" s="6" t="s">
        <v>188</v>
      </c>
      <c r="S173" s="15"/>
      <c r="U173" s="15"/>
      <c r="W173" s="15"/>
      <c r="Y173" s="15"/>
      <c r="AA173" s="15"/>
      <c r="AC173" s="15"/>
      <c r="AE173" s="15"/>
      <c r="AG173" s="15"/>
    </row>
    <row r="174" spans="5:33" ht="15.75" customHeight="1" x14ac:dyDescent="0.25">
      <c r="E174" s="6" t="s">
        <v>2031</v>
      </c>
      <c r="F174" s="6" t="s">
        <v>1922</v>
      </c>
      <c r="G174" s="6" t="s">
        <v>1910</v>
      </c>
      <c r="H174" s="11" t="s">
        <v>1765</v>
      </c>
      <c r="I174" s="6" t="s">
        <v>546</v>
      </c>
      <c r="J174" s="6" t="s">
        <v>188</v>
      </c>
      <c r="S174" s="15"/>
      <c r="U174" s="15"/>
      <c r="W174" s="15"/>
      <c r="Y174" s="15"/>
      <c r="AA174" s="15"/>
      <c r="AC174" s="15"/>
      <c r="AE174" s="15"/>
      <c r="AG174" s="15"/>
    </row>
    <row r="175" spans="5:33" ht="15.75" customHeight="1" x14ac:dyDescent="0.25">
      <c r="E175" s="6" t="s">
        <v>2031</v>
      </c>
      <c r="F175" s="6" t="s">
        <v>1922</v>
      </c>
      <c r="G175" s="6" t="s">
        <v>1910</v>
      </c>
      <c r="H175" s="11" t="s">
        <v>1765</v>
      </c>
      <c r="I175" s="6" t="s">
        <v>546</v>
      </c>
      <c r="J175" s="6" t="s">
        <v>188</v>
      </c>
      <c r="S175" s="15"/>
      <c r="U175" s="15"/>
      <c r="W175" s="15"/>
      <c r="Y175" s="15"/>
      <c r="AA175" s="15"/>
      <c r="AC175" s="15"/>
      <c r="AE175" s="15"/>
      <c r="AG175" s="15"/>
    </row>
    <row r="176" spans="5:33" ht="15.75" customHeight="1" x14ac:dyDescent="0.25">
      <c r="E176" s="6" t="s">
        <v>2031</v>
      </c>
      <c r="F176" s="6" t="s">
        <v>1922</v>
      </c>
      <c r="G176" s="6" t="s">
        <v>1910</v>
      </c>
      <c r="H176" s="11" t="s">
        <v>1765</v>
      </c>
      <c r="I176" s="6" t="s">
        <v>546</v>
      </c>
      <c r="J176" s="6" t="s">
        <v>188</v>
      </c>
      <c r="S176" s="15"/>
      <c r="U176" s="15"/>
      <c r="W176" s="15"/>
      <c r="Y176" s="15"/>
      <c r="AA176" s="15"/>
      <c r="AC176" s="15"/>
      <c r="AE176" s="15"/>
      <c r="AG176" s="15"/>
    </row>
    <row r="177" spans="5:33" ht="15.75" customHeight="1" x14ac:dyDescent="0.25">
      <c r="E177" s="6" t="s">
        <v>2031</v>
      </c>
      <c r="F177" s="6" t="s">
        <v>1922</v>
      </c>
      <c r="G177" s="6" t="s">
        <v>1910</v>
      </c>
      <c r="H177" s="11" t="s">
        <v>1765</v>
      </c>
      <c r="I177" s="6" t="s">
        <v>546</v>
      </c>
      <c r="J177" s="6" t="s">
        <v>188</v>
      </c>
      <c r="S177" s="15"/>
      <c r="U177" s="15"/>
      <c r="W177" s="15"/>
      <c r="Y177" s="15"/>
      <c r="AA177" s="15"/>
      <c r="AC177" s="15"/>
      <c r="AE177" s="15"/>
      <c r="AG177" s="15"/>
    </row>
    <row r="178" spans="5:33" ht="15.75" customHeight="1" x14ac:dyDescent="0.25">
      <c r="E178" s="6" t="s">
        <v>2031</v>
      </c>
      <c r="F178" s="6" t="s">
        <v>1922</v>
      </c>
      <c r="G178" s="6" t="s">
        <v>1910</v>
      </c>
      <c r="H178" s="11" t="s">
        <v>1765</v>
      </c>
      <c r="I178" s="6" t="s">
        <v>546</v>
      </c>
      <c r="J178" s="6" t="s">
        <v>188</v>
      </c>
      <c r="S178" s="15"/>
      <c r="U178" s="15"/>
      <c r="W178" s="15"/>
      <c r="Y178" s="15"/>
      <c r="AA178" s="15"/>
      <c r="AC178" s="15"/>
      <c r="AE178" s="15"/>
      <c r="AG178" s="15"/>
    </row>
    <row r="179" spans="5:33" ht="15.75" customHeight="1" x14ac:dyDescent="0.25">
      <c r="E179" s="6" t="s">
        <v>2031</v>
      </c>
      <c r="F179" s="6" t="s">
        <v>1922</v>
      </c>
      <c r="G179" s="6" t="s">
        <v>1910</v>
      </c>
      <c r="H179" s="11" t="s">
        <v>1765</v>
      </c>
      <c r="I179" s="6" t="s">
        <v>546</v>
      </c>
      <c r="J179" s="6" t="s">
        <v>188</v>
      </c>
      <c r="S179" s="15"/>
      <c r="U179" s="15"/>
      <c r="W179" s="15"/>
      <c r="Y179" s="15"/>
      <c r="AA179" s="15"/>
      <c r="AC179" s="15"/>
      <c r="AE179" s="15"/>
      <c r="AG179" s="15"/>
    </row>
    <row r="180" spans="5:33" ht="15.75" customHeight="1" x14ac:dyDescent="0.25">
      <c r="E180" s="6" t="s">
        <v>2031</v>
      </c>
      <c r="F180" s="6" t="s">
        <v>1922</v>
      </c>
      <c r="G180" s="6" t="s">
        <v>1910</v>
      </c>
      <c r="H180" s="11" t="s">
        <v>1765</v>
      </c>
      <c r="I180" s="6" t="s">
        <v>546</v>
      </c>
      <c r="J180" s="6" t="s">
        <v>188</v>
      </c>
      <c r="S180" s="15"/>
      <c r="U180" s="15"/>
      <c r="W180" s="15"/>
      <c r="Y180" s="15"/>
      <c r="AA180" s="15"/>
      <c r="AC180" s="15"/>
      <c r="AE180" s="15"/>
      <c r="AG180" s="15"/>
    </row>
    <row r="181" spans="5:33" ht="15.75" customHeight="1" x14ac:dyDescent="0.25">
      <c r="E181" s="6" t="s">
        <v>2031</v>
      </c>
      <c r="F181" s="6" t="s">
        <v>1922</v>
      </c>
      <c r="G181" s="6" t="s">
        <v>1910</v>
      </c>
      <c r="H181" s="11" t="s">
        <v>1765</v>
      </c>
      <c r="I181" s="6" t="s">
        <v>546</v>
      </c>
      <c r="J181" s="6" t="s">
        <v>188</v>
      </c>
      <c r="S181" s="15"/>
      <c r="U181" s="15"/>
      <c r="W181" s="15"/>
      <c r="Y181" s="15"/>
      <c r="AA181" s="15"/>
      <c r="AC181" s="15"/>
      <c r="AE181" s="15"/>
      <c r="AG181" s="15"/>
    </row>
    <row r="182" spans="5:33" ht="15.75" customHeight="1" x14ac:dyDescent="0.25">
      <c r="E182" s="6" t="s">
        <v>2031</v>
      </c>
      <c r="F182" s="6" t="s">
        <v>1922</v>
      </c>
      <c r="G182" s="6" t="s">
        <v>1910</v>
      </c>
      <c r="H182" s="11" t="s">
        <v>1765</v>
      </c>
      <c r="I182" s="6" t="s">
        <v>546</v>
      </c>
      <c r="J182" s="6" t="s">
        <v>188</v>
      </c>
      <c r="S182" s="15"/>
      <c r="U182" s="15"/>
      <c r="W182" s="15"/>
      <c r="Y182" s="15"/>
      <c r="AA182" s="15"/>
      <c r="AC182" s="15"/>
      <c r="AE182" s="15"/>
      <c r="AG182" s="15"/>
    </row>
    <row r="183" spans="5:33" ht="15.75" customHeight="1" x14ac:dyDescent="0.25">
      <c r="E183" s="6" t="s">
        <v>2031</v>
      </c>
      <c r="F183" s="6" t="s">
        <v>1922</v>
      </c>
      <c r="G183" s="6" t="s">
        <v>1910</v>
      </c>
      <c r="H183" s="11" t="s">
        <v>1765</v>
      </c>
      <c r="I183" s="6" t="s">
        <v>546</v>
      </c>
      <c r="J183" s="6" t="s">
        <v>188</v>
      </c>
      <c r="S183" s="15"/>
      <c r="U183" s="15"/>
      <c r="W183" s="15"/>
      <c r="Y183" s="15"/>
      <c r="AA183" s="15"/>
      <c r="AC183" s="15"/>
      <c r="AE183" s="15"/>
      <c r="AG183" s="15"/>
    </row>
    <row r="184" spans="5:33" ht="15.75" customHeight="1" x14ac:dyDescent="0.25">
      <c r="E184" s="6" t="s">
        <v>2031</v>
      </c>
      <c r="F184" s="6" t="s">
        <v>1922</v>
      </c>
      <c r="G184" s="6" t="s">
        <v>1910</v>
      </c>
      <c r="H184" s="11" t="s">
        <v>1765</v>
      </c>
      <c r="I184" s="6" t="s">
        <v>546</v>
      </c>
      <c r="J184" s="6" t="s">
        <v>188</v>
      </c>
      <c r="S184" s="15"/>
      <c r="U184" s="15"/>
      <c r="W184" s="15"/>
      <c r="Y184" s="15"/>
      <c r="AA184" s="15"/>
      <c r="AC184" s="15"/>
      <c r="AE184" s="15"/>
      <c r="AG184" s="15"/>
    </row>
    <row r="185" spans="5:33" ht="15.75" customHeight="1" x14ac:dyDescent="0.25">
      <c r="E185" t="s">
        <v>2031</v>
      </c>
      <c r="F185" s="6" t="s">
        <v>1922</v>
      </c>
      <c r="G185" s="6" t="s">
        <v>1910</v>
      </c>
      <c r="H185" s="11" t="s">
        <v>1765</v>
      </c>
      <c r="I185" s="6" t="s">
        <v>546</v>
      </c>
      <c r="J185" s="6" t="s">
        <v>188</v>
      </c>
      <c r="S185" s="15"/>
      <c r="U185" s="15"/>
      <c r="W185" s="15"/>
      <c r="Y185" s="15"/>
      <c r="AA185" s="15"/>
      <c r="AC185" s="15"/>
      <c r="AE185" s="15"/>
      <c r="AG185" s="15"/>
    </row>
    <row r="186" spans="5:33" ht="15.75" customHeight="1" x14ac:dyDescent="0.25">
      <c r="E186" s="8" t="s">
        <v>2031</v>
      </c>
      <c r="F186" s="6" t="s">
        <v>1922</v>
      </c>
      <c r="G186" s="6" t="s">
        <v>1910</v>
      </c>
      <c r="H186" s="11" t="s">
        <v>1765</v>
      </c>
      <c r="I186" s="6" t="s">
        <v>546</v>
      </c>
      <c r="J186" s="6" t="s">
        <v>188</v>
      </c>
      <c r="S186" s="15"/>
      <c r="U186" s="15"/>
      <c r="W186" s="15"/>
      <c r="Y186" s="15"/>
      <c r="AA186" s="15"/>
      <c r="AC186" s="15"/>
      <c r="AE186" s="15"/>
      <c r="AG186" s="15"/>
    </row>
    <row r="187" spans="5:33" ht="15.75" customHeight="1" x14ac:dyDescent="0.25">
      <c r="E187" s="6" t="s">
        <v>2031</v>
      </c>
      <c r="F187" s="6" t="s">
        <v>1922</v>
      </c>
      <c r="G187" s="6" t="s">
        <v>1910</v>
      </c>
      <c r="H187" s="11" t="s">
        <v>1765</v>
      </c>
      <c r="I187" s="6" t="s">
        <v>546</v>
      </c>
      <c r="J187" s="6" t="s">
        <v>188</v>
      </c>
      <c r="S187" s="15"/>
      <c r="U187" s="15"/>
      <c r="W187" s="15"/>
      <c r="Y187" s="15"/>
      <c r="AA187" s="15"/>
      <c r="AC187" s="15"/>
      <c r="AE187" s="15"/>
      <c r="AG187" s="15"/>
    </row>
    <row r="188" spans="5:33" ht="15.75" customHeight="1" x14ac:dyDescent="0.25">
      <c r="E188" s="6" t="s">
        <v>2031</v>
      </c>
      <c r="F188" s="6" t="s">
        <v>1922</v>
      </c>
      <c r="G188" t="s">
        <v>1910</v>
      </c>
      <c r="H188" s="11" t="s">
        <v>1765</v>
      </c>
      <c r="I188" s="6" t="s">
        <v>546</v>
      </c>
      <c r="J188" s="6" t="s">
        <v>188</v>
      </c>
      <c r="S188" s="15"/>
      <c r="U188" s="15"/>
      <c r="W188" s="15"/>
      <c r="Y188" s="15"/>
      <c r="AA188" s="15"/>
      <c r="AC188" s="15"/>
      <c r="AE188" s="15"/>
      <c r="AG188" s="15"/>
    </row>
    <row r="189" spans="5:33" ht="15.75" customHeight="1" x14ac:dyDescent="0.25">
      <c r="E189" s="6" t="s">
        <v>2031</v>
      </c>
      <c r="F189" s="6" t="s">
        <v>1922</v>
      </c>
      <c r="G189" s="6" t="s">
        <v>1910</v>
      </c>
      <c r="H189" s="11" t="s">
        <v>1765</v>
      </c>
      <c r="I189" s="6" t="s">
        <v>546</v>
      </c>
      <c r="J189" s="6" t="s">
        <v>188</v>
      </c>
      <c r="S189" s="15"/>
      <c r="U189" s="15"/>
      <c r="W189" s="15"/>
      <c r="Y189" s="15"/>
      <c r="AA189" s="15"/>
      <c r="AC189" s="15"/>
      <c r="AE189" s="15"/>
      <c r="AG189" s="15"/>
    </row>
    <row r="190" spans="5:33" ht="15.75" customHeight="1" x14ac:dyDescent="0.25">
      <c r="E190" s="6" t="s">
        <v>2135</v>
      </c>
      <c r="F190" s="6" t="s">
        <v>1922</v>
      </c>
      <c r="G190" t="s">
        <v>1910</v>
      </c>
      <c r="H190" s="11" t="s">
        <v>1765</v>
      </c>
      <c r="I190" s="6" t="s">
        <v>546</v>
      </c>
      <c r="J190" s="6" t="s">
        <v>188</v>
      </c>
      <c r="S190" s="15"/>
      <c r="U190" s="15"/>
      <c r="W190" s="15"/>
      <c r="Y190" s="15"/>
      <c r="AA190" s="15"/>
      <c r="AC190" s="15"/>
      <c r="AE190" s="15"/>
      <c r="AG190" s="15"/>
    </row>
    <row r="191" spans="5:33" ht="15.75" customHeight="1" x14ac:dyDescent="0.25">
      <c r="E191" s="6" t="s">
        <v>2135</v>
      </c>
      <c r="F191" s="6" t="s">
        <v>1922</v>
      </c>
      <c r="G191" s="6" t="s">
        <v>2149</v>
      </c>
      <c r="H191" s="11" t="s">
        <v>1765</v>
      </c>
      <c r="I191" s="6" t="s">
        <v>546</v>
      </c>
      <c r="J191" s="6" t="s">
        <v>188</v>
      </c>
      <c r="S191" s="15"/>
      <c r="U191" s="15"/>
      <c r="W191" s="15"/>
      <c r="Y191" s="15"/>
      <c r="AA191" s="15"/>
      <c r="AC191" s="15"/>
      <c r="AE191" s="15"/>
      <c r="AG191" s="15"/>
    </row>
    <row r="192" spans="5:33" ht="15.75" customHeight="1" x14ac:dyDescent="0.25">
      <c r="E192" s="6" t="s">
        <v>2135</v>
      </c>
      <c r="F192" s="6" t="s">
        <v>1922</v>
      </c>
      <c r="G192" s="6" t="s">
        <v>2149</v>
      </c>
      <c r="H192" s="11" t="s">
        <v>1765</v>
      </c>
      <c r="I192" s="6" t="s">
        <v>546</v>
      </c>
      <c r="J192" s="6" t="s">
        <v>188</v>
      </c>
      <c r="S192" s="15"/>
      <c r="U192" s="15"/>
      <c r="W192" s="15"/>
      <c r="Y192" s="15"/>
      <c r="AA192" s="15"/>
      <c r="AC192" s="15"/>
      <c r="AE192" s="15"/>
      <c r="AG192" s="15"/>
    </row>
    <row r="193" spans="5:33" ht="15.75" customHeight="1" x14ac:dyDescent="0.25">
      <c r="E193" s="6" t="s">
        <v>2135</v>
      </c>
      <c r="F193" s="6" t="s">
        <v>1922</v>
      </c>
      <c r="G193" s="8" t="s">
        <v>2149</v>
      </c>
      <c r="H193" s="11" t="s">
        <v>1765</v>
      </c>
      <c r="I193" s="6" t="s">
        <v>546</v>
      </c>
      <c r="J193" s="6" t="s">
        <v>188</v>
      </c>
      <c r="S193" s="15"/>
      <c r="U193" s="15"/>
      <c r="W193" s="15"/>
      <c r="Y193" s="15"/>
      <c r="AA193" s="15"/>
      <c r="AC193" s="15"/>
      <c r="AE193" s="15"/>
      <c r="AG193" s="15"/>
    </row>
    <row r="194" spans="5:33" ht="15.75" customHeight="1" x14ac:dyDescent="0.25">
      <c r="E194" s="6" t="s">
        <v>2135</v>
      </c>
      <c r="F194" s="6" t="s">
        <v>1922</v>
      </c>
      <c r="G194" s="6" t="s">
        <v>2149</v>
      </c>
      <c r="H194" s="11" t="s">
        <v>1765</v>
      </c>
      <c r="I194" s="6" t="s">
        <v>546</v>
      </c>
      <c r="J194" s="6" t="s">
        <v>188</v>
      </c>
      <c r="S194" s="15"/>
      <c r="U194" s="15"/>
      <c r="W194" s="15"/>
      <c r="Y194" s="15"/>
      <c r="AA194" s="15"/>
      <c r="AC194" s="15"/>
      <c r="AE194" s="15"/>
      <c r="AG194" s="15"/>
    </row>
    <row r="195" spans="5:33" ht="15.75" customHeight="1" x14ac:dyDescent="0.25">
      <c r="E195" s="6" t="s">
        <v>2135</v>
      </c>
      <c r="F195" s="6" t="s">
        <v>1922</v>
      </c>
      <c r="G195" s="6" t="s">
        <v>2149</v>
      </c>
      <c r="H195" s="6" t="s">
        <v>1765</v>
      </c>
      <c r="I195" s="6" t="s">
        <v>546</v>
      </c>
      <c r="J195" s="6" t="s">
        <v>188</v>
      </c>
      <c r="S195" s="15"/>
      <c r="U195" s="15"/>
      <c r="W195" s="15"/>
      <c r="Y195" s="15"/>
      <c r="AA195" s="15"/>
      <c r="AC195" s="15"/>
      <c r="AE195" s="15"/>
      <c r="AG195" s="15"/>
    </row>
    <row r="196" spans="5:33" ht="15.75" customHeight="1" x14ac:dyDescent="0.25">
      <c r="E196" s="6" t="s">
        <v>2135</v>
      </c>
      <c r="F196" s="6" t="s">
        <v>1922</v>
      </c>
      <c r="G196" s="6" t="s">
        <v>2149</v>
      </c>
      <c r="H196" s="6" t="s">
        <v>1765</v>
      </c>
      <c r="I196" s="6" t="s">
        <v>546</v>
      </c>
      <c r="J196" t="s">
        <v>188</v>
      </c>
      <c r="S196" s="15"/>
      <c r="U196" s="15"/>
      <c r="W196" s="15"/>
      <c r="Y196" s="15"/>
      <c r="AA196" s="15"/>
      <c r="AC196" s="15"/>
      <c r="AE196" s="15"/>
      <c r="AG196" s="15"/>
    </row>
    <row r="197" spans="5:33" ht="15.75" customHeight="1" x14ac:dyDescent="0.25">
      <c r="E197" s="6" t="s">
        <v>2135</v>
      </c>
      <c r="F197" s="6" t="s">
        <v>1922</v>
      </c>
      <c r="G197" s="6" t="s">
        <v>2149</v>
      </c>
      <c r="H197" s="6" t="s">
        <v>1765</v>
      </c>
      <c r="I197" s="6" t="s">
        <v>546</v>
      </c>
      <c r="J197" s="6" t="s">
        <v>188</v>
      </c>
      <c r="S197" s="15"/>
      <c r="U197" s="15"/>
      <c r="W197" s="15"/>
      <c r="Y197" s="15"/>
      <c r="AA197" s="15"/>
      <c r="AC197" s="15"/>
      <c r="AE197" s="15"/>
      <c r="AG197" s="15"/>
    </row>
    <row r="198" spans="5:33" ht="15.75" customHeight="1" x14ac:dyDescent="0.25">
      <c r="E198" s="6" t="s">
        <v>2135</v>
      </c>
      <c r="F198" s="6" t="s">
        <v>1922</v>
      </c>
      <c r="G198" s="6" t="s">
        <v>2149</v>
      </c>
      <c r="H198" t="s">
        <v>1765</v>
      </c>
      <c r="I198" t="s">
        <v>546</v>
      </c>
      <c r="J198" s="6" t="s">
        <v>188</v>
      </c>
      <c r="S198" s="15"/>
      <c r="U198" s="15"/>
      <c r="W198" s="15"/>
      <c r="Y198" s="15"/>
      <c r="AA198" s="15"/>
      <c r="AC198" s="15"/>
      <c r="AE198" s="15"/>
      <c r="AG198" s="15"/>
    </row>
    <row r="199" spans="5:33" ht="15.75" customHeight="1" x14ac:dyDescent="0.25">
      <c r="E199" s="6" t="s">
        <v>2135</v>
      </c>
      <c r="F199" s="6" t="s">
        <v>1922</v>
      </c>
      <c r="G199" s="8" t="s">
        <v>2149</v>
      </c>
      <c r="H199" t="s">
        <v>1765</v>
      </c>
      <c r="I199" s="6" t="s">
        <v>546</v>
      </c>
      <c r="J199" s="6" t="s">
        <v>188</v>
      </c>
      <c r="S199" s="15"/>
      <c r="U199" s="15"/>
      <c r="W199" s="15"/>
      <c r="Y199" s="15"/>
      <c r="AA199" s="15"/>
      <c r="AC199" s="15"/>
      <c r="AE199" s="15"/>
      <c r="AG199" s="15"/>
    </row>
    <row r="200" spans="5:33" ht="15.75" customHeight="1" x14ac:dyDescent="0.25">
      <c r="E200" s="6" t="s">
        <v>2135</v>
      </c>
      <c r="F200" s="6" t="s">
        <v>1922</v>
      </c>
      <c r="G200" s="6" t="s">
        <v>2149</v>
      </c>
      <c r="H200" s="8" t="s">
        <v>176</v>
      </c>
      <c r="I200" s="6" t="s">
        <v>546</v>
      </c>
      <c r="J200" t="s">
        <v>188</v>
      </c>
      <c r="S200" s="15"/>
      <c r="U200" s="15"/>
      <c r="W200" s="15"/>
      <c r="Y200" s="15"/>
      <c r="AA200" s="15"/>
      <c r="AC200" s="15"/>
      <c r="AE200" s="15"/>
      <c r="AG200" s="15"/>
    </row>
    <row r="201" spans="5:33" ht="15.75" customHeight="1" x14ac:dyDescent="0.25">
      <c r="E201" s="6" t="s">
        <v>2135</v>
      </c>
      <c r="F201" s="6" t="s">
        <v>1922</v>
      </c>
      <c r="G201" s="6" t="s">
        <v>2153</v>
      </c>
      <c r="H201" s="6" t="s">
        <v>176</v>
      </c>
      <c r="I201" s="6" t="s">
        <v>2040</v>
      </c>
      <c r="J201" s="8" t="s">
        <v>2045</v>
      </c>
      <c r="S201" s="15"/>
      <c r="U201" s="15"/>
      <c r="W201" s="15"/>
      <c r="Y201" s="15"/>
      <c r="AA201" s="15"/>
      <c r="AC201" s="15"/>
      <c r="AE201" s="15"/>
      <c r="AG201" s="15"/>
    </row>
    <row r="202" spans="5:33" ht="15.75" customHeight="1" x14ac:dyDescent="0.25">
      <c r="E202" s="6" t="s">
        <v>2135</v>
      </c>
      <c r="F202" s="6" t="s">
        <v>1922</v>
      </c>
      <c r="G202" s="6" t="s">
        <v>2153</v>
      </c>
      <c r="H202" s="6" t="s">
        <v>176</v>
      </c>
      <c r="I202" t="s">
        <v>2040</v>
      </c>
      <c r="J202" s="8" t="s">
        <v>2045</v>
      </c>
      <c r="S202" s="15"/>
      <c r="U202" s="15"/>
      <c r="W202" s="15"/>
      <c r="Y202" s="15"/>
      <c r="AA202" s="15"/>
      <c r="AC202" s="15"/>
      <c r="AE202" s="15"/>
      <c r="AG202" s="15"/>
    </row>
    <row r="203" spans="5:33" ht="15.75" customHeight="1" x14ac:dyDescent="0.25">
      <c r="E203" s="6" t="s">
        <v>2169</v>
      </c>
      <c r="F203" s="6" t="s">
        <v>1922</v>
      </c>
      <c r="G203" s="6" t="s">
        <v>2153</v>
      </c>
      <c r="H203" s="6" t="s">
        <v>176</v>
      </c>
      <c r="I203" s="6" t="s">
        <v>2040</v>
      </c>
      <c r="J203" s="8" t="s">
        <v>2045</v>
      </c>
      <c r="S203" s="15"/>
      <c r="U203" s="15"/>
      <c r="W203" s="15"/>
      <c r="Y203" s="15"/>
      <c r="AA203" s="15"/>
      <c r="AC203" s="15"/>
      <c r="AE203" s="15"/>
      <c r="AG203" s="15"/>
    </row>
    <row r="204" spans="5:33" ht="15.75" customHeight="1" x14ac:dyDescent="0.25">
      <c r="E204" s="6" t="s">
        <v>2169</v>
      </c>
      <c r="F204" s="6" t="s">
        <v>1922</v>
      </c>
      <c r="G204" s="6" t="s">
        <v>2153</v>
      </c>
      <c r="H204" s="6" t="s">
        <v>176</v>
      </c>
      <c r="I204" s="6" t="s">
        <v>2040</v>
      </c>
      <c r="J204" s="8" t="s">
        <v>2045</v>
      </c>
      <c r="S204" s="15"/>
      <c r="U204" s="15"/>
      <c r="W204" s="15"/>
      <c r="Y204" s="15"/>
      <c r="AA204" s="15"/>
      <c r="AC204" s="15"/>
      <c r="AE204" s="15"/>
      <c r="AG204" s="15"/>
    </row>
    <row r="205" spans="5:33" ht="15.75" customHeight="1" x14ac:dyDescent="0.25">
      <c r="E205" s="6" t="s">
        <v>2169</v>
      </c>
      <c r="F205" s="6" t="s">
        <v>1922</v>
      </c>
      <c r="G205" s="6" t="s">
        <v>2153</v>
      </c>
      <c r="H205" s="6" t="s">
        <v>176</v>
      </c>
      <c r="I205" s="6" t="s">
        <v>2040</v>
      </c>
      <c r="J205" s="8" t="s">
        <v>2045</v>
      </c>
      <c r="S205" s="15"/>
      <c r="U205" s="15"/>
      <c r="W205" s="15"/>
      <c r="Y205" s="15"/>
      <c r="AA205" s="15"/>
      <c r="AC205" s="15"/>
      <c r="AE205" s="15"/>
      <c r="AG205" s="15"/>
    </row>
    <row r="206" spans="5:33" ht="15.75" customHeight="1" x14ac:dyDescent="0.25">
      <c r="E206" s="6" t="s">
        <v>2169</v>
      </c>
      <c r="F206" t="s">
        <v>1922</v>
      </c>
      <c r="G206" s="6" t="s">
        <v>2153</v>
      </c>
      <c r="H206" s="6" t="s">
        <v>176</v>
      </c>
      <c r="I206" s="6" t="s">
        <v>2040</v>
      </c>
      <c r="J206" s="8" t="s">
        <v>2045</v>
      </c>
      <c r="S206" s="15"/>
      <c r="U206" s="15"/>
      <c r="W206" s="15"/>
      <c r="Y206" s="15"/>
      <c r="AA206" s="15"/>
      <c r="AC206" s="15"/>
      <c r="AE206" s="15"/>
      <c r="AG206" s="15"/>
    </row>
    <row r="207" spans="5:33" ht="15.75" customHeight="1" x14ac:dyDescent="0.25">
      <c r="E207" s="6" t="s">
        <v>2169</v>
      </c>
      <c r="F207" s="6" t="s">
        <v>1692</v>
      </c>
      <c r="G207" s="6" t="s">
        <v>2153</v>
      </c>
      <c r="H207" s="8" t="s">
        <v>176</v>
      </c>
      <c r="I207" s="6" t="s">
        <v>2040</v>
      </c>
      <c r="J207" s="8" t="s">
        <v>2045</v>
      </c>
      <c r="S207" s="15"/>
      <c r="U207" s="15"/>
      <c r="W207" s="15"/>
      <c r="Y207" s="15"/>
      <c r="AA207" s="15"/>
      <c r="AC207" s="15"/>
      <c r="AE207" s="15"/>
      <c r="AG207" s="15"/>
    </row>
    <row r="208" spans="5:33" ht="15.75" customHeight="1" x14ac:dyDescent="0.25">
      <c r="E208" s="6" t="s">
        <v>2169</v>
      </c>
      <c r="F208" s="6" t="s">
        <v>1692</v>
      </c>
      <c r="G208" s="6" t="s">
        <v>2153</v>
      </c>
      <c r="H208" s="8" t="s">
        <v>176</v>
      </c>
      <c r="I208" s="6" t="s">
        <v>2040</v>
      </c>
      <c r="J208" s="8" t="s">
        <v>2045</v>
      </c>
      <c r="S208" s="15"/>
      <c r="U208" s="15"/>
      <c r="W208" s="15"/>
      <c r="Y208" s="15"/>
      <c r="AA208" s="15"/>
      <c r="AC208" s="15"/>
      <c r="AE208" s="15"/>
      <c r="AG208" s="15"/>
    </row>
    <row r="209" spans="5:33" ht="15.75" customHeight="1" x14ac:dyDescent="0.25">
      <c r="E209" s="6" t="s">
        <v>2169</v>
      </c>
      <c r="F209" s="6" t="s">
        <v>1692</v>
      </c>
      <c r="G209" s="6" t="s">
        <v>2153</v>
      </c>
      <c r="H209" s="8" t="s">
        <v>176</v>
      </c>
      <c r="I209" s="6" t="s">
        <v>2040</v>
      </c>
      <c r="J209" s="8" t="s">
        <v>2045</v>
      </c>
      <c r="S209" s="15"/>
      <c r="U209" s="15"/>
      <c r="W209" s="15"/>
      <c r="Y209" s="15"/>
      <c r="AA209" s="15"/>
      <c r="AC209" s="15"/>
      <c r="AE209" s="15"/>
      <c r="AG209" s="15"/>
    </row>
    <row r="210" spans="5:33" ht="15.75" customHeight="1" x14ac:dyDescent="0.25">
      <c r="E210" s="6" t="s">
        <v>2169</v>
      </c>
      <c r="F210" s="6" t="s">
        <v>1692</v>
      </c>
      <c r="G210" t="s">
        <v>2153</v>
      </c>
      <c r="H210" s="8" t="s">
        <v>176</v>
      </c>
      <c r="I210" s="6" t="s">
        <v>2040</v>
      </c>
      <c r="J210" s="8" t="s">
        <v>2045</v>
      </c>
      <c r="S210" s="15"/>
      <c r="U210" s="15"/>
      <c r="W210" s="15"/>
      <c r="Y210" s="15"/>
      <c r="AA210" s="15"/>
      <c r="AC210" s="15"/>
      <c r="AE210" s="15"/>
      <c r="AG210" s="15"/>
    </row>
    <row r="211" spans="5:33" ht="15.75" customHeight="1" x14ac:dyDescent="0.25">
      <c r="E211" s="6" t="s">
        <v>2169</v>
      </c>
      <c r="F211" s="6" t="s">
        <v>1692</v>
      </c>
      <c r="G211" s="6" t="s">
        <v>2109</v>
      </c>
      <c r="H211" s="8" t="s">
        <v>176</v>
      </c>
      <c r="I211" s="6" t="s">
        <v>2040</v>
      </c>
      <c r="J211" s="8" t="s">
        <v>2045</v>
      </c>
      <c r="S211" s="15"/>
      <c r="U211" s="15"/>
      <c r="W211" s="15"/>
      <c r="Y211" s="15"/>
      <c r="AA211" s="15"/>
      <c r="AC211" s="15"/>
      <c r="AE211" s="15"/>
      <c r="AG211" s="15"/>
    </row>
    <row r="212" spans="5:33" ht="15.75" customHeight="1" x14ac:dyDescent="0.25">
      <c r="E212" s="6" t="s">
        <v>2169</v>
      </c>
      <c r="F212" s="6" t="s">
        <v>1692</v>
      </c>
      <c r="G212" s="6" t="s">
        <v>2109</v>
      </c>
      <c r="H212" s="8" t="s">
        <v>176</v>
      </c>
      <c r="I212" s="6" t="s">
        <v>2040</v>
      </c>
      <c r="J212" s="8" t="s">
        <v>2045</v>
      </c>
      <c r="S212" s="15"/>
      <c r="U212" s="15"/>
      <c r="W212" s="15"/>
      <c r="Y212" s="15"/>
      <c r="AA212" s="15"/>
      <c r="AC212" s="15"/>
      <c r="AE212" s="15"/>
      <c r="AG212" s="15"/>
    </row>
    <row r="213" spans="5:33" ht="15.75" customHeight="1" x14ac:dyDescent="0.25">
      <c r="E213" s="6" t="s">
        <v>2238</v>
      </c>
      <c r="F213" s="6" t="s">
        <v>1692</v>
      </c>
      <c r="G213" s="6" t="s">
        <v>2109</v>
      </c>
      <c r="H213" s="8" t="s">
        <v>176</v>
      </c>
      <c r="I213" s="6" t="s">
        <v>2040</v>
      </c>
      <c r="J213" s="8" t="s">
        <v>2045</v>
      </c>
      <c r="S213" s="15"/>
      <c r="U213" s="15"/>
      <c r="W213" s="15"/>
      <c r="Y213" s="15"/>
      <c r="AA213" s="15"/>
      <c r="AC213" s="15"/>
      <c r="AE213" s="15"/>
      <c r="AG213" s="15"/>
    </row>
    <row r="214" spans="5:33" ht="15.75" customHeight="1" x14ac:dyDescent="0.25">
      <c r="E214" s="6" t="s">
        <v>2238</v>
      </c>
      <c r="F214" s="6" t="s">
        <v>1692</v>
      </c>
      <c r="G214" s="6" t="s">
        <v>2109</v>
      </c>
      <c r="H214" s="8" t="s">
        <v>176</v>
      </c>
      <c r="I214" s="6" t="s">
        <v>2040</v>
      </c>
      <c r="J214" s="8" t="s">
        <v>2045</v>
      </c>
      <c r="S214" s="15"/>
      <c r="U214" s="15"/>
      <c r="W214" s="15"/>
      <c r="Y214" s="15"/>
      <c r="AA214" s="15"/>
      <c r="AC214" s="15"/>
      <c r="AE214" s="15"/>
      <c r="AG214" s="15"/>
    </row>
    <row r="215" spans="5:33" ht="15.75" customHeight="1" x14ac:dyDescent="0.25">
      <c r="E215" s="2"/>
      <c r="F215" s="6" t="s">
        <v>1692</v>
      </c>
      <c r="G215" s="6" t="s">
        <v>2109</v>
      </c>
      <c r="H215" s="8" t="s">
        <v>176</v>
      </c>
      <c r="I215" s="6" t="s">
        <v>2040</v>
      </c>
      <c r="J215" s="8" t="s">
        <v>2045</v>
      </c>
      <c r="S215" s="15"/>
      <c r="U215" s="15"/>
      <c r="W215" s="15"/>
      <c r="Y215" s="15"/>
      <c r="AA215" s="15"/>
      <c r="AC215" s="15"/>
      <c r="AE215" s="15"/>
      <c r="AG215" s="15"/>
    </row>
    <row r="216" spans="5:33" ht="15.75" customHeight="1" x14ac:dyDescent="0.25">
      <c r="E216" s="2"/>
      <c r="F216" s="6" t="s">
        <v>1692</v>
      </c>
      <c r="G216" s="6" t="s">
        <v>2109</v>
      </c>
      <c r="H216" s="8" t="s">
        <v>176</v>
      </c>
      <c r="I216" s="6" t="s">
        <v>2040</v>
      </c>
      <c r="J216" s="8" t="s">
        <v>2045</v>
      </c>
      <c r="S216" s="15"/>
      <c r="U216" s="15"/>
      <c r="W216" s="15"/>
      <c r="Y216" s="15"/>
      <c r="AA216" s="15"/>
      <c r="AC216" s="15"/>
      <c r="AE216" s="15"/>
      <c r="AG216" s="15"/>
    </row>
    <row r="217" spans="5:33" ht="15.75" customHeight="1" x14ac:dyDescent="0.25">
      <c r="E217" s="2"/>
      <c r="F217" s="6" t="s">
        <v>1692</v>
      </c>
      <c r="G217" s="6" t="s">
        <v>2109</v>
      </c>
      <c r="H217" s="8" t="s">
        <v>176</v>
      </c>
      <c r="I217" s="6" t="s">
        <v>2040</v>
      </c>
      <c r="J217" s="8" t="s">
        <v>2045</v>
      </c>
      <c r="S217" s="15"/>
      <c r="U217" s="15"/>
      <c r="W217" s="15"/>
      <c r="Y217" s="15"/>
      <c r="AA217" s="15"/>
      <c r="AC217" s="15"/>
      <c r="AE217" s="15"/>
      <c r="AG217" s="15"/>
    </row>
    <row r="218" spans="5:33" ht="15.75" customHeight="1" x14ac:dyDescent="0.25">
      <c r="E218" s="2"/>
      <c r="F218" s="6" t="s">
        <v>1692</v>
      </c>
      <c r="G218" s="6" t="s">
        <v>2109</v>
      </c>
      <c r="H218" s="8" t="s">
        <v>176</v>
      </c>
      <c r="I218" s="6" t="s">
        <v>2040</v>
      </c>
      <c r="J218" s="8" t="s">
        <v>2045</v>
      </c>
      <c r="S218" s="15"/>
      <c r="U218" s="15"/>
      <c r="W218" s="15"/>
      <c r="Y218" s="15"/>
      <c r="AA218" s="15"/>
      <c r="AC218" s="15"/>
      <c r="AE218" s="15"/>
      <c r="AG218" s="15"/>
    </row>
    <row r="219" spans="5:33" ht="15.75" customHeight="1" x14ac:dyDescent="0.25">
      <c r="E219" s="2"/>
      <c r="F219" s="6" t="s">
        <v>1692</v>
      </c>
      <c r="G219" s="6" t="s">
        <v>2109</v>
      </c>
      <c r="H219" s="8" t="s">
        <v>176</v>
      </c>
      <c r="I219" s="6" t="s">
        <v>2040</v>
      </c>
      <c r="J219" s="8" t="s">
        <v>2045</v>
      </c>
      <c r="S219" s="15"/>
      <c r="U219" s="15"/>
      <c r="W219" s="15"/>
      <c r="Y219" s="15"/>
      <c r="AA219" s="15"/>
      <c r="AC219" s="15"/>
      <c r="AE219" s="15"/>
      <c r="AG219" s="15"/>
    </row>
    <row r="220" spans="5:33" ht="15.75" customHeight="1" x14ac:dyDescent="0.25">
      <c r="F220" s="6" t="s">
        <v>1692</v>
      </c>
      <c r="G220" s="6" t="s">
        <v>2109</v>
      </c>
      <c r="H220" s="8" t="s">
        <v>176</v>
      </c>
      <c r="I220" s="6" t="s">
        <v>2040</v>
      </c>
      <c r="J220" s="8" t="s">
        <v>2045</v>
      </c>
      <c r="S220" s="15"/>
      <c r="U220" s="15"/>
      <c r="W220" s="15"/>
      <c r="Y220" s="15"/>
      <c r="AA220" s="15"/>
      <c r="AC220" s="15"/>
      <c r="AE220" s="15"/>
      <c r="AG220" s="15"/>
    </row>
    <row r="221" spans="5:33" ht="15.75" customHeight="1" x14ac:dyDescent="0.25">
      <c r="F221" s="6" t="s">
        <v>1692</v>
      </c>
      <c r="G221" s="6" t="s">
        <v>2109</v>
      </c>
      <c r="H221" s="8" t="s">
        <v>176</v>
      </c>
      <c r="I221" s="6" t="s">
        <v>2040</v>
      </c>
      <c r="J221" s="8" t="s">
        <v>2045</v>
      </c>
      <c r="S221" s="15"/>
      <c r="U221" s="15"/>
      <c r="W221" s="15"/>
      <c r="Y221" s="15"/>
      <c r="AA221" s="15"/>
      <c r="AC221" s="15"/>
      <c r="AE221" s="15"/>
      <c r="AG221" s="15"/>
    </row>
    <row r="222" spans="5:33" ht="15.75" customHeight="1" x14ac:dyDescent="0.25">
      <c r="F222" s="6" t="s">
        <v>1692</v>
      </c>
      <c r="G222" s="6" t="s">
        <v>2109</v>
      </c>
      <c r="H222" s="8" t="s">
        <v>176</v>
      </c>
      <c r="I222" s="6" t="s">
        <v>2040</v>
      </c>
      <c r="J222" s="8" t="s">
        <v>2045</v>
      </c>
      <c r="S222" s="15"/>
      <c r="U222" s="15"/>
      <c r="W222" s="15"/>
      <c r="Y222" s="15"/>
      <c r="AA222" s="15"/>
      <c r="AC222" s="15"/>
      <c r="AE222" s="15"/>
      <c r="AG222" s="15"/>
    </row>
    <row r="223" spans="5:33" ht="15.75" customHeight="1" x14ac:dyDescent="0.25">
      <c r="F223" s="6" t="s">
        <v>1692</v>
      </c>
      <c r="G223" s="6" t="s">
        <v>2109</v>
      </c>
      <c r="H223" s="8" t="s">
        <v>176</v>
      </c>
      <c r="I223" s="6" t="s">
        <v>2040</v>
      </c>
      <c r="J223" s="8" t="s">
        <v>2045</v>
      </c>
      <c r="S223" s="15"/>
      <c r="U223" s="15"/>
      <c r="W223" s="15"/>
      <c r="Y223" s="15"/>
      <c r="AA223" s="15"/>
      <c r="AC223" s="15"/>
      <c r="AE223" s="15"/>
      <c r="AG223" s="15"/>
    </row>
    <row r="224" spans="5:33" ht="15.75" customHeight="1" x14ac:dyDescent="0.25">
      <c r="F224" s="6" t="s">
        <v>1692</v>
      </c>
      <c r="G224" s="6" t="s">
        <v>2109</v>
      </c>
      <c r="H224" s="8" t="s">
        <v>176</v>
      </c>
      <c r="I224" s="6" t="s">
        <v>2040</v>
      </c>
      <c r="J224" s="8" t="s">
        <v>2045</v>
      </c>
      <c r="S224" s="15"/>
      <c r="U224" s="15"/>
      <c r="W224" s="15"/>
      <c r="Y224" s="15"/>
      <c r="AA224" s="15"/>
      <c r="AC224" s="15"/>
      <c r="AE224" s="15"/>
      <c r="AG224" s="15"/>
    </row>
    <row r="225" spans="6:33" ht="15.75" customHeight="1" x14ac:dyDescent="0.25">
      <c r="F225" s="6" t="s">
        <v>1692</v>
      </c>
      <c r="G225" s="6" t="s">
        <v>2109</v>
      </c>
      <c r="H225" s="8" t="s">
        <v>176</v>
      </c>
      <c r="I225" s="6" t="s">
        <v>2040</v>
      </c>
      <c r="J225" s="8" t="s">
        <v>2045</v>
      </c>
      <c r="S225" s="15"/>
      <c r="U225" s="15"/>
      <c r="W225" s="15"/>
      <c r="Y225" s="15"/>
      <c r="AA225" s="15"/>
      <c r="AC225" s="15"/>
      <c r="AE225" s="15"/>
      <c r="AG225" s="15"/>
    </row>
    <row r="226" spans="6:33" ht="15.75" customHeight="1" x14ac:dyDescent="0.25">
      <c r="F226" s="6" t="s">
        <v>1692</v>
      </c>
      <c r="G226" s="6" t="s">
        <v>2109</v>
      </c>
      <c r="H226" s="8" t="s">
        <v>176</v>
      </c>
      <c r="I226" s="6" t="s">
        <v>2040</v>
      </c>
      <c r="J226" s="8" t="s">
        <v>2045</v>
      </c>
      <c r="S226" s="15"/>
      <c r="U226" s="15"/>
      <c r="W226" s="15"/>
      <c r="Y226" s="15"/>
      <c r="AA226" s="15"/>
      <c r="AC226" s="15"/>
      <c r="AE226" s="15"/>
      <c r="AG226" s="15"/>
    </row>
    <row r="227" spans="6:33" ht="15.75" customHeight="1" x14ac:dyDescent="0.25">
      <c r="F227" s="6" t="s">
        <v>1692</v>
      </c>
      <c r="G227" s="6" t="s">
        <v>2109</v>
      </c>
      <c r="H227" s="8" t="s">
        <v>176</v>
      </c>
      <c r="I227" s="6" t="s">
        <v>2040</v>
      </c>
      <c r="J227" s="8" t="s">
        <v>2045</v>
      </c>
      <c r="S227" s="15"/>
      <c r="U227" s="15"/>
      <c r="W227" s="15"/>
      <c r="Y227" s="15"/>
      <c r="AA227" s="15"/>
      <c r="AC227" s="15"/>
      <c r="AE227" s="15"/>
      <c r="AG227" s="15"/>
    </row>
    <row r="228" spans="6:33" ht="15.75" customHeight="1" x14ac:dyDescent="0.25">
      <c r="F228" s="6" t="s">
        <v>1692</v>
      </c>
      <c r="G228" s="6" t="s">
        <v>2209</v>
      </c>
      <c r="H228" s="8" t="s">
        <v>176</v>
      </c>
      <c r="I228" s="6" t="s">
        <v>2089</v>
      </c>
      <c r="J228" s="6" t="s">
        <v>2071</v>
      </c>
      <c r="S228" s="15"/>
      <c r="U228" s="15"/>
      <c r="W228" s="15"/>
      <c r="Y228" s="15"/>
      <c r="AA228" s="15"/>
      <c r="AC228" s="15"/>
      <c r="AE228" s="15"/>
      <c r="AG228" s="15"/>
    </row>
    <row r="229" spans="6:33" ht="15.75" customHeight="1" x14ac:dyDescent="0.25">
      <c r="F229" s="6" t="s">
        <v>1692</v>
      </c>
      <c r="G229" s="6" t="s">
        <v>2209</v>
      </c>
      <c r="H229" s="8" t="s">
        <v>176</v>
      </c>
      <c r="I229" s="6" t="s">
        <v>2089</v>
      </c>
      <c r="J229" s="6" t="s">
        <v>2071</v>
      </c>
      <c r="S229" s="15"/>
      <c r="U229" s="15"/>
      <c r="W229" s="15"/>
      <c r="Y229" s="15"/>
      <c r="AA229" s="15"/>
      <c r="AC229" s="15"/>
      <c r="AE229" s="15"/>
      <c r="AG229" s="15"/>
    </row>
    <row r="230" spans="6:33" ht="15.75" customHeight="1" x14ac:dyDescent="0.25">
      <c r="F230" s="6" t="s">
        <v>1692</v>
      </c>
      <c r="G230" s="6" t="s">
        <v>2209</v>
      </c>
      <c r="H230" s="8" t="s">
        <v>176</v>
      </c>
      <c r="I230" s="6" t="s">
        <v>2089</v>
      </c>
      <c r="J230" s="6" t="s">
        <v>2071</v>
      </c>
      <c r="S230" s="15"/>
      <c r="U230" s="15"/>
      <c r="W230" s="15"/>
      <c r="Y230" s="15"/>
      <c r="AA230" s="15"/>
      <c r="AC230" s="15"/>
      <c r="AE230" s="15"/>
      <c r="AG230" s="15"/>
    </row>
    <row r="231" spans="6:33" ht="15.75" customHeight="1" x14ac:dyDescent="0.25">
      <c r="F231" s="6" t="s">
        <v>1692</v>
      </c>
      <c r="G231" s="6" t="s">
        <v>2209</v>
      </c>
      <c r="H231" s="8" t="s">
        <v>176</v>
      </c>
      <c r="I231" s="6" t="s">
        <v>2089</v>
      </c>
      <c r="J231" s="6" t="s">
        <v>2071</v>
      </c>
      <c r="S231" s="15"/>
      <c r="U231" s="15"/>
      <c r="W231" s="15"/>
      <c r="Y231" s="15"/>
      <c r="AA231" s="15"/>
      <c r="AC231" s="15"/>
      <c r="AE231" s="15"/>
      <c r="AG231" s="15"/>
    </row>
    <row r="232" spans="6:33" ht="15.75" customHeight="1" x14ac:dyDescent="0.25">
      <c r="F232" s="6" t="s">
        <v>1692</v>
      </c>
      <c r="G232" s="6" t="s">
        <v>232</v>
      </c>
      <c r="H232" s="8" t="s">
        <v>176</v>
      </c>
      <c r="I232" s="6" t="s">
        <v>2089</v>
      </c>
      <c r="J232" s="6" t="s">
        <v>2071</v>
      </c>
      <c r="S232" s="15"/>
      <c r="U232" s="15"/>
      <c r="W232" s="15"/>
      <c r="Y232" s="15"/>
      <c r="AA232" s="15"/>
      <c r="AC232" s="15"/>
      <c r="AE232" s="15"/>
      <c r="AG232" s="15"/>
    </row>
    <row r="233" spans="6:33" ht="15.75" customHeight="1" x14ac:dyDescent="0.25">
      <c r="F233" s="6" t="s">
        <v>1692</v>
      </c>
      <c r="G233" t="s">
        <v>232</v>
      </c>
      <c r="H233" s="8" t="s">
        <v>176</v>
      </c>
      <c r="I233" s="6" t="s">
        <v>2089</v>
      </c>
      <c r="J233" s="6" t="s">
        <v>2071</v>
      </c>
      <c r="S233" s="15"/>
      <c r="U233" s="15"/>
      <c r="W233" s="15"/>
      <c r="Y233" s="15"/>
      <c r="AA233" s="15"/>
      <c r="AC233" s="15"/>
      <c r="AE233" s="15"/>
      <c r="AG233" s="15"/>
    </row>
    <row r="234" spans="6:33" ht="15.75" customHeight="1" x14ac:dyDescent="0.25">
      <c r="F234" s="6" t="s">
        <v>1692</v>
      </c>
      <c r="G234" s="6" t="s">
        <v>232</v>
      </c>
      <c r="H234" s="8" t="s">
        <v>176</v>
      </c>
      <c r="I234" s="6" t="s">
        <v>2089</v>
      </c>
      <c r="J234" s="6" t="s">
        <v>2071</v>
      </c>
      <c r="S234" s="15"/>
      <c r="U234" s="15"/>
      <c r="W234" s="15"/>
      <c r="Y234" s="15"/>
      <c r="AA234" s="15"/>
      <c r="AC234" s="15"/>
      <c r="AE234" s="15"/>
      <c r="AG234" s="15"/>
    </row>
    <row r="235" spans="6:33" ht="15.75" customHeight="1" x14ac:dyDescent="0.25">
      <c r="F235" s="6" t="s">
        <v>1692</v>
      </c>
      <c r="G235" s="6" t="s">
        <v>232</v>
      </c>
      <c r="H235" s="8" t="s">
        <v>176</v>
      </c>
      <c r="I235" s="6" t="s">
        <v>2089</v>
      </c>
      <c r="J235" s="6" t="s">
        <v>2071</v>
      </c>
      <c r="S235" s="15"/>
      <c r="U235" s="15"/>
      <c r="W235" s="15"/>
      <c r="Y235" s="15"/>
      <c r="AA235" s="15"/>
      <c r="AC235" s="15"/>
      <c r="AE235" s="15"/>
      <c r="AG235" s="15"/>
    </row>
    <row r="236" spans="6:33" ht="15.75" customHeight="1" x14ac:dyDescent="0.25">
      <c r="F236" s="6" t="s">
        <v>1692</v>
      </c>
      <c r="G236" s="6" t="s">
        <v>232</v>
      </c>
      <c r="H236" s="8" t="s">
        <v>176</v>
      </c>
      <c r="I236" s="6" t="s">
        <v>2089</v>
      </c>
      <c r="J236" s="6" t="s">
        <v>2071</v>
      </c>
      <c r="S236" s="15"/>
      <c r="U236" s="15"/>
      <c r="W236" s="15"/>
      <c r="Y236" s="15"/>
      <c r="AA236" s="15"/>
      <c r="AC236" s="15"/>
      <c r="AE236" s="15"/>
      <c r="AG236" s="15"/>
    </row>
    <row r="237" spans="6:33" ht="15.75" customHeight="1" x14ac:dyDescent="0.25">
      <c r="F237" s="6" t="s">
        <v>1692</v>
      </c>
      <c r="G237" s="6" t="s">
        <v>232</v>
      </c>
      <c r="H237" s="8" t="s">
        <v>176</v>
      </c>
      <c r="I237" s="8" t="s">
        <v>2093</v>
      </c>
      <c r="J237" s="6" t="s">
        <v>2071</v>
      </c>
      <c r="S237" s="15"/>
      <c r="U237" s="15"/>
      <c r="W237" s="15"/>
      <c r="Y237" s="15"/>
      <c r="AA237" s="15"/>
      <c r="AC237" s="15"/>
      <c r="AE237" s="15"/>
      <c r="AG237" s="15"/>
    </row>
    <row r="238" spans="6:33" ht="15.75" customHeight="1" x14ac:dyDescent="0.25">
      <c r="F238" s="6" t="s">
        <v>1692</v>
      </c>
      <c r="G238" s="6" t="s">
        <v>232</v>
      </c>
      <c r="H238" s="8" t="s">
        <v>176</v>
      </c>
      <c r="I238" s="6" t="s">
        <v>2089</v>
      </c>
      <c r="J238" s="6" t="s">
        <v>2071</v>
      </c>
      <c r="S238" s="15"/>
      <c r="U238" s="15"/>
      <c r="W238" s="15"/>
      <c r="Y238" s="15"/>
      <c r="AA238" s="15"/>
      <c r="AC238" s="15"/>
      <c r="AE238" s="15"/>
      <c r="AG238" s="15"/>
    </row>
    <row r="239" spans="6:33" ht="15.75" customHeight="1" x14ac:dyDescent="0.25">
      <c r="F239" s="6" t="s">
        <v>1692</v>
      </c>
      <c r="G239" s="6" t="s">
        <v>232</v>
      </c>
      <c r="H239" s="8" t="s">
        <v>176</v>
      </c>
      <c r="I239" s="6" t="s">
        <v>2089</v>
      </c>
      <c r="J239" s="6" t="s">
        <v>2071</v>
      </c>
      <c r="S239" s="15"/>
      <c r="U239" s="15"/>
      <c r="W239" s="15"/>
      <c r="Y239" s="15"/>
      <c r="AA239" s="15"/>
      <c r="AC239" s="15"/>
      <c r="AE239" s="15"/>
      <c r="AG239" s="15"/>
    </row>
    <row r="240" spans="6:33" ht="15.75" customHeight="1" x14ac:dyDescent="0.25">
      <c r="F240" s="6" t="s">
        <v>1692</v>
      </c>
      <c r="G240" s="6" t="s">
        <v>232</v>
      </c>
      <c r="H240" s="8" t="s">
        <v>176</v>
      </c>
      <c r="I240" s="6" t="s">
        <v>2089</v>
      </c>
      <c r="J240" s="6" t="s">
        <v>2071</v>
      </c>
      <c r="S240" s="15"/>
      <c r="U240" s="15"/>
      <c r="W240" s="15"/>
      <c r="Y240" s="15"/>
      <c r="AA240" s="15"/>
      <c r="AC240" s="15"/>
      <c r="AE240" s="15"/>
      <c r="AG240" s="15"/>
    </row>
    <row r="241" spans="6:33" ht="15.75" customHeight="1" x14ac:dyDescent="0.25">
      <c r="F241" s="6" t="s">
        <v>1692</v>
      </c>
      <c r="G241" s="6" t="s">
        <v>232</v>
      </c>
      <c r="H241" s="8" t="s">
        <v>176</v>
      </c>
      <c r="I241" s="6" t="s">
        <v>2089</v>
      </c>
      <c r="J241" s="6" t="s">
        <v>2071</v>
      </c>
      <c r="S241" s="15"/>
      <c r="U241" s="15"/>
      <c r="W241" s="15"/>
      <c r="Y241" s="15"/>
      <c r="AA241" s="15"/>
      <c r="AC241" s="15"/>
      <c r="AE241" s="15"/>
      <c r="AG241" s="15"/>
    </row>
    <row r="242" spans="6:33" ht="15.75" customHeight="1" x14ac:dyDescent="0.25">
      <c r="F242" s="6" t="s">
        <v>1692</v>
      </c>
      <c r="G242" s="6" t="s">
        <v>232</v>
      </c>
      <c r="H242" s="8" t="s">
        <v>176</v>
      </c>
      <c r="I242" s="6" t="s">
        <v>2089</v>
      </c>
      <c r="J242" s="6" t="s">
        <v>2071</v>
      </c>
      <c r="S242" s="15"/>
      <c r="U242" s="15"/>
      <c r="W242" s="15"/>
      <c r="Y242" s="15"/>
      <c r="AA242" s="15"/>
      <c r="AC242" s="15"/>
      <c r="AE242" s="15"/>
      <c r="AG242" s="15"/>
    </row>
    <row r="243" spans="6:33" ht="15.75" customHeight="1" x14ac:dyDescent="0.25">
      <c r="F243" s="6" t="s">
        <v>1692</v>
      </c>
      <c r="G243" s="6" t="s">
        <v>232</v>
      </c>
      <c r="H243" s="8" t="s">
        <v>176</v>
      </c>
      <c r="I243" s="6" t="s">
        <v>2089</v>
      </c>
      <c r="J243" s="6" t="s">
        <v>2071</v>
      </c>
      <c r="S243" s="15"/>
      <c r="U243" s="15"/>
      <c r="W243" s="15"/>
      <c r="Y243" s="15"/>
      <c r="AA243" s="15"/>
      <c r="AC243" s="15"/>
      <c r="AE243" s="15"/>
      <c r="AG243" s="15"/>
    </row>
    <row r="244" spans="6:33" ht="15.75" customHeight="1" x14ac:dyDescent="0.25">
      <c r="F244" s="6" t="s">
        <v>1692</v>
      </c>
      <c r="G244" s="6" t="s">
        <v>232</v>
      </c>
      <c r="H244" s="8" t="s">
        <v>176</v>
      </c>
      <c r="I244" s="6" t="s">
        <v>2089</v>
      </c>
      <c r="J244" s="6" t="s">
        <v>2071</v>
      </c>
      <c r="S244" s="15"/>
      <c r="U244" s="15"/>
      <c r="W244" s="15"/>
      <c r="Y244" s="15"/>
      <c r="AA244" s="15"/>
      <c r="AC244" s="15"/>
      <c r="AE244" s="15"/>
      <c r="AG244" s="15"/>
    </row>
    <row r="245" spans="6:33" ht="15.75" customHeight="1" x14ac:dyDescent="0.25">
      <c r="F245" s="6" t="s">
        <v>1692</v>
      </c>
      <c r="G245" s="6" t="s">
        <v>232</v>
      </c>
      <c r="H245" s="8" t="s">
        <v>176</v>
      </c>
      <c r="I245" s="6" t="s">
        <v>2089</v>
      </c>
      <c r="J245" s="6" t="s">
        <v>2071</v>
      </c>
      <c r="S245" s="15"/>
      <c r="U245" s="15"/>
      <c r="W245" s="15"/>
      <c r="Y245" s="15"/>
      <c r="AA245" s="15"/>
      <c r="AC245" s="15"/>
      <c r="AE245" s="15"/>
      <c r="AG245" s="15"/>
    </row>
    <row r="246" spans="6:33" ht="15.75" customHeight="1" x14ac:dyDescent="0.25">
      <c r="F246" s="6" t="s">
        <v>1692</v>
      </c>
      <c r="G246" s="6" t="s">
        <v>232</v>
      </c>
      <c r="H246" s="8" t="s">
        <v>176</v>
      </c>
      <c r="I246" s="6" t="s">
        <v>2089</v>
      </c>
      <c r="J246" s="6" t="s">
        <v>2071</v>
      </c>
      <c r="S246" s="15"/>
      <c r="U246" s="15"/>
      <c r="W246" s="15"/>
      <c r="Y246" s="15"/>
      <c r="AA246" s="15"/>
      <c r="AC246" s="15"/>
      <c r="AE246" s="15"/>
      <c r="AG246" s="15"/>
    </row>
    <row r="247" spans="6:33" ht="15.75" customHeight="1" x14ac:dyDescent="0.25">
      <c r="F247" s="6" t="s">
        <v>1692</v>
      </c>
      <c r="G247" s="6" t="s">
        <v>232</v>
      </c>
      <c r="H247" s="8" t="s">
        <v>176</v>
      </c>
      <c r="I247" s="6" t="s">
        <v>2089</v>
      </c>
      <c r="J247" s="6" t="s">
        <v>2071</v>
      </c>
      <c r="S247" s="15"/>
      <c r="U247" s="15"/>
      <c r="W247" s="15"/>
      <c r="Y247" s="15"/>
      <c r="AA247" s="15"/>
      <c r="AC247" s="15"/>
      <c r="AE247" s="15"/>
      <c r="AG247" s="15"/>
    </row>
    <row r="248" spans="6:33" ht="15.75" customHeight="1" x14ac:dyDescent="0.25">
      <c r="F248" s="6" t="s">
        <v>1692</v>
      </c>
      <c r="G248" s="6" t="s">
        <v>232</v>
      </c>
      <c r="H248" s="8" t="s">
        <v>176</v>
      </c>
      <c r="I248" s="6" t="s">
        <v>1954</v>
      </c>
      <c r="J248" s="6" t="s">
        <v>2071</v>
      </c>
      <c r="S248" s="15"/>
      <c r="U248" s="15"/>
      <c r="W248" s="15"/>
      <c r="Y248" s="15"/>
      <c r="AA248" s="15"/>
      <c r="AC248" s="15"/>
      <c r="AE248" s="15"/>
      <c r="AG248" s="15"/>
    </row>
    <row r="249" spans="6:33" ht="15.75" customHeight="1" x14ac:dyDescent="0.25">
      <c r="F249" s="6" t="s">
        <v>1692</v>
      </c>
      <c r="G249" s="6" t="s">
        <v>232</v>
      </c>
      <c r="H249" s="8" t="s">
        <v>176</v>
      </c>
      <c r="I249" s="6" t="s">
        <v>1954</v>
      </c>
      <c r="J249" s="6" t="s">
        <v>2071</v>
      </c>
      <c r="S249" s="15"/>
      <c r="U249" s="15"/>
      <c r="W249" s="15"/>
      <c r="Y249" s="15"/>
      <c r="AA249" s="15"/>
      <c r="AC249" s="15"/>
      <c r="AE249" s="15"/>
      <c r="AG249" s="15"/>
    </row>
    <row r="250" spans="6:33" ht="15.75" customHeight="1" x14ac:dyDescent="0.25">
      <c r="F250" s="6" t="s">
        <v>1692</v>
      </c>
      <c r="G250" s="6" t="s">
        <v>232</v>
      </c>
      <c r="H250" s="8" t="s">
        <v>176</v>
      </c>
      <c r="I250" s="6" t="s">
        <v>1954</v>
      </c>
      <c r="J250" s="2"/>
      <c r="S250" s="15"/>
      <c r="U250" s="15"/>
      <c r="W250" s="15"/>
      <c r="Y250" s="15"/>
      <c r="AA250" s="15"/>
      <c r="AC250" s="15"/>
      <c r="AE250" s="15"/>
      <c r="AG250" s="15"/>
    </row>
    <row r="251" spans="6:33" ht="15.75" customHeight="1" x14ac:dyDescent="0.25">
      <c r="F251" s="6" t="s">
        <v>1692</v>
      </c>
      <c r="G251" s="6" t="s">
        <v>232</v>
      </c>
      <c r="H251" s="8" t="s">
        <v>176</v>
      </c>
      <c r="I251" s="6" t="s">
        <v>1954</v>
      </c>
      <c r="J251" s="2"/>
      <c r="S251" s="15"/>
      <c r="U251" s="15"/>
      <c r="W251" s="15"/>
      <c r="Y251" s="15"/>
      <c r="AA251" s="15"/>
      <c r="AC251" s="15"/>
      <c r="AE251" s="15"/>
      <c r="AG251" s="15"/>
    </row>
    <row r="252" spans="6:33" ht="15.75" customHeight="1" x14ac:dyDescent="0.25">
      <c r="F252" s="6" t="s">
        <v>1692</v>
      </c>
      <c r="G252" s="6" t="s">
        <v>232</v>
      </c>
      <c r="H252" s="8" t="s">
        <v>176</v>
      </c>
      <c r="I252" s="6" t="s">
        <v>1954</v>
      </c>
      <c r="J252" s="2"/>
      <c r="S252" s="15"/>
      <c r="U252" s="15"/>
      <c r="W252" s="15"/>
      <c r="Y252" s="15"/>
      <c r="AA252" s="15"/>
      <c r="AC252" s="15"/>
      <c r="AE252" s="15"/>
      <c r="AG252" s="15"/>
    </row>
    <row r="253" spans="6:33" ht="15.75" customHeight="1" x14ac:dyDescent="0.25">
      <c r="F253" s="6" t="s">
        <v>1692</v>
      </c>
      <c r="G253" s="6" t="s">
        <v>232</v>
      </c>
      <c r="H253" s="8" t="s">
        <v>176</v>
      </c>
      <c r="I253" s="6" t="s">
        <v>1954</v>
      </c>
      <c r="S253" s="15"/>
      <c r="U253" s="15"/>
      <c r="W253" s="15"/>
      <c r="Y253" s="15"/>
      <c r="AA253" s="15"/>
      <c r="AC253" s="15"/>
      <c r="AE253" s="15"/>
      <c r="AG253" s="15"/>
    </row>
    <row r="254" spans="6:33" ht="15.75" customHeight="1" x14ac:dyDescent="0.25">
      <c r="F254" s="6" t="s">
        <v>1692</v>
      </c>
      <c r="G254" s="6" t="s">
        <v>232</v>
      </c>
      <c r="H254" s="8" t="s">
        <v>176</v>
      </c>
      <c r="I254" s="6" t="s">
        <v>1954</v>
      </c>
      <c r="S254" s="15"/>
      <c r="U254" s="15"/>
      <c r="W254" s="15"/>
      <c r="Y254" s="15"/>
      <c r="AA254" s="15"/>
      <c r="AC254" s="15"/>
      <c r="AE254" s="15"/>
      <c r="AG254" s="15"/>
    </row>
    <row r="255" spans="6:33" ht="15.75" customHeight="1" x14ac:dyDescent="0.25">
      <c r="F255" s="6" t="s">
        <v>1692</v>
      </c>
      <c r="G255" s="6" t="s">
        <v>232</v>
      </c>
      <c r="H255" s="8" t="s">
        <v>176</v>
      </c>
      <c r="I255" s="6" t="s">
        <v>1954</v>
      </c>
      <c r="S255" s="15"/>
      <c r="U255" s="15"/>
      <c r="W255" s="15"/>
      <c r="Y255" s="15"/>
      <c r="AA255" s="15"/>
      <c r="AC255" s="15"/>
      <c r="AE255" s="15"/>
      <c r="AG255" s="15"/>
    </row>
    <row r="256" spans="6:33" ht="15.75" customHeight="1" x14ac:dyDescent="0.25">
      <c r="F256" s="6" t="s">
        <v>1692</v>
      </c>
      <c r="G256" s="6" t="s">
        <v>232</v>
      </c>
      <c r="H256" s="8" t="s">
        <v>176</v>
      </c>
      <c r="I256" s="6" t="s">
        <v>1954</v>
      </c>
      <c r="S256" s="15"/>
      <c r="U256" s="15"/>
      <c r="W256" s="15"/>
      <c r="Y256" s="15"/>
      <c r="AA256" s="15"/>
      <c r="AC256" s="15"/>
      <c r="AE256" s="15"/>
      <c r="AG256" s="15"/>
    </row>
    <row r="257" spans="6:33" ht="15.75" customHeight="1" x14ac:dyDescent="0.25">
      <c r="F257" s="6" t="s">
        <v>1692</v>
      </c>
      <c r="G257" s="6" t="s">
        <v>232</v>
      </c>
      <c r="H257" s="8" t="s">
        <v>176</v>
      </c>
      <c r="I257" s="6" t="s">
        <v>1954</v>
      </c>
      <c r="S257" s="15"/>
      <c r="U257" s="15"/>
      <c r="W257" s="15"/>
      <c r="Y257" s="15"/>
      <c r="AA257" s="15"/>
      <c r="AC257" s="15"/>
      <c r="AE257" s="15"/>
      <c r="AG257" s="15"/>
    </row>
    <row r="258" spans="6:33" ht="15.75" customHeight="1" x14ac:dyDescent="0.25">
      <c r="F258" s="6" t="s">
        <v>1692</v>
      </c>
      <c r="G258" s="6" t="s">
        <v>232</v>
      </c>
      <c r="H258" s="8" t="s">
        <v>176</v>
      </c>
      <c r="I258" s="6" t="s">
        <v>1954</v>
      </c>
      <c r="S258" s="15"/>
      <c r="U258" s="15"/>
      <c r="W258" s="15"/>
      <c r="Y258" s="15"/>
      <c r="AA258" s="15"/>
      <c r="AC258" s="15"/>
      <c r="AE258" s="15"/>
      <c r="AG258" s="15"/>
    </row>
    <row r="259" spans="6:33" ht="15.75" customHeight="1" x14ac:dyDescent="0.25">
      <c r="F259" s="6" t="s">
        <v>1692</v>
      </c>
      <c r="G259" s="6" t="s">
        <v>232</v>
      </c>
      <c r="H259" s="8" t="s">
        <v>176</v>
      </c>
      <c r="I259" s="6" t="s">
        <v>1954</v>
      </c>
      <c r="S259" s="15"/>
      <c r="U259" s="15"/>
      <c r="W259" s="15"/>
      <c r="Y259" s="15"/>
      <c r="AA259" s="15"/>
      <c r="AC259" s="15"/>
      <c r="AE259" s="15"/>
      <c r="AG259" s="15"/>
    </row>
    <row r="260" spans="6:33" ht="15.75" customHeight="1" x14ac:dyDescent="0.25">
      <c r="F260" s="6" t="s">
        <v>1692</v>
      </c>
      <c r="G260" s="6" t="s">
        <v>232</v>
      </c>
      <c r="H260" s="8" t="s">
        <v>176</v>
      </c>
      <c r="I260" s="6" t="s">
        <v>1954</v>
      </c>
      <c r="S260" s="15"/>
      <c r="U260" s="15"/>
      <c r="W260" s="15"/>
      <c r="Y260" s="15"/>
      <c r="AA260" s="15"/>
      <c r="AC260" s="15"/>
      <c r="AE260" s="15"/>
      <c r="AG260" s="15"/>
    </row>
    <row r="261" spans="6:33" ht="15.75" customHeight="1" x14ac:dyDescent="0.25">
      <c r="F261" s="6" t="s">
        <v>1692</v>
      </c>
      <c r="G261" s="6" t="s">
        <v>232</v>
      </c>
      <c r="H261" s="8" t="s">
        <v>176</v>
      </c>
      <c r="I261" s="6" t="s">
        <v>1954</v>
      </c>
      <c r="S261" s="15"/>
      <c r="U261" s="15"/>
      <c r="W261" s="15"/>
      <c r="Y261" s="15"/>
      <c r="AA261" s="15"/>
      <c r="AC261" s="15"/>
      <c r="AE261" s="15"/>
      <c r="AG261" s="15"/>
    </row>
    <row r="262" spans="6:33" ht="15.75" customHeight="1" x14ac:dyDescent="0.25">
      <c r="F262" s="6" t="s">
        <v>1692</v>
      </c>
      <c r="G262" s="6" t="s">
        <v>232</v>
      </c>
      <c r="H262" s="8" t="s">
        <v>176</v>
      </c>
      <c r="I262" s="6" t="s">
        <v>1954</v>
      </c>
      <c r="S262" s="15"/>
      <c r="U262" s="15"/>
      <c r="W262" s="15"/>
      <c r="Y262" s="15"/>
      <c r="AA262" s="15"/>
      <c r="AC262" s="15"/>
      <c r="AE262" s="15"/>
      <c r="AG262" s="15"/>
    </row>
    <row r="263" spans="6:33" ht="15.75" customHeight="1" x14ac:dyDescent="0.25">
      <c r="F263" s="6" t="s">
        <v>1692</v>
      </c>
      <c r="G263" s="6" t="s">
        <v>232</v>
      </c>
      <c r="H263" s="8" t="s">
        <v>176</v>
      </c>
      <c r="I263" s="6" t="s">
        <v>1954</v>
      </c>
      <c r="S263" s="15"/>
      <c r="U263" s="15"/>
      <c r="W263" s="15"/>
      <c r="Y263" s="15"/>
      <c r="AA263" s="15"/>
      <c r="AC263" s="15"/>
      <c r="AE263" s="15"/>
      <c r="AG263" s="15"/>
    </row>
    <row r="264" spans="6:33" ht="15.75" customHeight="1" x14ac:dyDescent="0.25">
      <c r="F264" s="6" t="s">
        <v>1692</v>
      </c>
      <c r="G264" s="6" t="s">
        <v>232</v>
      </c>
      <c r="H264" s="8" t="s">
        <v>176</v>
      </c>
      <c r="I264" s="6" t="s">
        <v>1954</v>
      </c>
      <c r="S264" s="15"/>
      <c r="U264" s="15"/>
      <c r="W264" s="15"/>
      <c r="Y264" s="15"/>
      <c r="AA264" s="15"/>
      <c r="AC264" s="15"/>
      <c r="AE264" s="15"/>
      <c r="AG264" s="15"/>
    </row>
    <row r="265" spans="6:33" ht="15.75" customHeight="1" x14ac:dyDescent="0.25">
      <c r="F265" s="6" t="s">
        <v>1692</v>
      </c>
      <c r="G265" s="6" t="s">
        <v>232</v>
      </c>
      <c r="H265" s="8" t="s">
        <v>176</v>
      </c>
      <c r="I265" s="6" t="s">
        <v>1954</v>
      </c>
      <c r="S265" s="15"/>
      <c r="U265" s="15"/>
      <c r="W265" s="15"/>
      <c r="Y265" s="15"/>
      <c r="AA265" s="15"/>
      <c r="AC265" s="15"/>
      <c r="AE265" s="15"/>
      <c r="AG265" s="15"/>
    </row>
    <row r="266" spans="6:33" ht="15.75" customHeight="1" x14ac:dyDescent="0.25">
      <c r="F266" t="s">
        <v>1692</v>
      </c>
      <c r="G266" s="6" t="s">
        <v>232</v>
      </c>
      <c r="H266" s="8" t="s">
        <v>176</v>
      </c>
      <c r="I266" s="6" t="s">
        <v>1954</v>
      </c>
      <c r="S266" s="15"/>
      <c r="U266" s="15"/>
      <c r="W266" s="15"/>
      <c r="Y266" s="15"/>
      <c r="AA266" s="15"/>
      <c r="AC266" s="15"/>
      <c r="AE266" s="15"/>
      <c r="AG266" s="15"/>
    </row>
    <row r="267" spans="6:33" ht="15.75" customHeight="1" x14ac:dyDescent="0.25">
      <c r="F267" t="s">
        <v>1692</v>
      </c>
      <c r="G267" s="6" t="s">
        <v>232</v>
      </c>
      <c r="H267" s="8" t="s">
        <v>176</v>
      </c>
      <c r="I267" s="6" t="s">
        <v>1954</v>
      </c>
      <c r="S267" s="15"/>
      <c r="U267" s="15"/>
      <c r="W267" s="15"/>
      <c r="Y267" s="15"/>
      <c r="AA267" s="15"/>
      <c r="AC267" s="15"/>
      <c r="AE267" s="15"/>
      <c r="AG267" s="15"/>
    </row>
    <row r="268" spans="6:33" ht="15.75" customHeight="1" x14ac:dyDescent="0.25">
      <c r="F268" s="6" t="s">
        <v>1991</v>
      </c>
      <c r="G268" s="6" t="s">
        <v>232</v>
      </c>
      <c r="H268" s="8" t="s">
        <v>176</v>
      </c>
      <c r="I268" s="6" t="s">
        <v>1954</v>
      </c>
      <c r="S268" s="15"/>
      <c r="U268" s="15"/>
      <c r="W268" s="15"/>
      <c r="Y268" s="15"/>
      <c r="AA268" s="15"/>
      <c r="AC268" s="15"/>
      <c r="AE268" s="15"/>
      <c r="AG268" s="15"/>
    </row>
    <row r="269" spans="6:33" ht="15.75" customHeight="1" x14ac:dyDescent="0.25">
      <c r="F269" s="6" t="s">
        <v>1991</v>
      </c>
      <c r="G269" s="6" t="s">
        <v>232</v>
      </c>
      <c r="H269" s="8" t="s">
        <v>176</v>
      </c>
      <c r="I269" s="6" t="s">
        <v>1954</v>
      </c>
      <c r="S269" s="15"/>
      <c r="U269" s="15"/>
      <c r="W269" s="15"/>
      <c r="Y269" s="15"/>
      <c r="AA269" s="15"/>
      <c r="AC269" s="15"/>
      <c r="AE269" s="15"/>
      <c r="AG269" s="15"/>
    </row>
    <row r="270" spans="6:33" ht="15.75" customHeight="1" x14ac:dyDescent="0.25">
      <c r="F270" s="6" t="s">
        <v>1991</v>
      </c>
      <c r="G270" s="6" t="s">
        <v>232</v>
      </c>
      <c r="H270" s="8" t="s">
        <v>176</v>
      </c>
      <c r="I270" s="6" t="s">
        <v>1954</v>
      </c>
      <c r="S270" s="15"/>
      <c r="U270" s="15"/>
      <c r="W270" s="15"/>
      <c r="Y270" s="15"/>
      <c r="AA270" s="15"/>
      <c r="AC270" s="15"/>
      <c r="AE270" s="15"/>
      <c r="AG270" s="15"/>
    </row>
    <row r="271" spans="6:33" ht="15.75" customHeight="1" x14ac:dyDescent="0.25">
      <c r="F271" s="6" t="s">
        <v>1991</v>
      </c>
      <c r="G271" s="6" t="s">
        <v>232</v>
      </c>
      <c r="H271" s="8" t="s">
        <v>176</v>
      </c>
      <c r="I271" s="6" t="s">
        <v>1954</v>
      </c>
      <c r="S271" s="15"/>
      <c r="U271" s="15"/>
      <c r="W271" s="15"/>
      <c r="Y271" s="15"/>
      <c r="AA271" s="15"/>
      <c r="AC271" s="15"/>
      <c r="AE271" s="15"/>
      <c r="AG271" s="15"/>
    </row>
    <row r="272" spans="6:33" ht="15.75" customHeight="1" x14ac:dyDescent="0.25">
      <c r="F272" s="6" t="s">
        <v>1991</v>
      </c>
      <c r="G272" s="6" t="s">
        <v>232</v>
      </c>
      <c r="H272" s="8" t="s">
        <v>176</v>
      </c>
      <c r="I272" s="6" t="s">
        <v>1954</v>
      </c>
      <c r="S272" s="15"/>
      <c r="U272" s="15"/>
      <c r="W272" s="15"/>
      <c r="Y272" s="15"/>
      <c r="AA272" s="15"/>
      <c r="AC272" s="15"/>
      <c r="AE272" s="15"/>
      <c r="AG272" s="15"/>
    </row>
    <row r="273" spans="6:33" ht="15.75" customHeight="1" x14ac:dyDescent="0.25">
      <c r="F273" s="6" t="s">
        <v>1991</v>
      </c>
      <c r="G273" s="6" t="s">
        <v>232</v>
      </c>
      <c r="H273" s="8" t="s">
        <v>176</v>
      </c>
      <c r="I273" s="6" t="s">
        <v>1954</v>
      </c>
      <c r="S273" s="15"/>
      <c r="U273" s="15"/>
      <c r="W273" s="15"/>
      <c r="Y273" s="15"/>
      <c r="AA273" s="15"/>
      <c r="AC273" s="15"/>
      <c r="AE273" s="15"/>
      <c r="AG273" s="15"/>
    </row>
    <row r="274" spans="6:33" ht="15.75" customHeight="1" x14ac:dyDescent="0.25">
      <c r="F274" s="6" t="s">
        <v>1991</v>
      </c>
      <c r="G274" s="6" t="s">
        <v>232</v>
      </c>
      <c r="H274" s="8" t="s">
        <v>176</v>
      </c>
      <c r="I274" s="6" t="s">
        <v>1954</v>
      </c>
      <c r="S274" s="15"/>
      <c r="U274" s="15"/>
      <c r="W274" s="15"/>
      <c r="Y274" s="15"/>
      <c r="AA274" s="15"/>
      <c r="AC274" s="15"/>
      <c r="AE274" s="15"/>
      <c r="AG274" s="15"/>
    </row>
    <row r="275" spans="6:33" ht="15.75" customHeight="1" x14ac:dyDescent="0.25">
      <c r="F275" s="6" t="s">
        <v>1991</v>
      </c>
      <c r="G275" s="6" t="s">
        <v>232</v>
      </c>
      <c r="H275" s="8" t="s">
        <v>176</v>
      </c>
      <c r="I275" s="6" t="s">
        <v>1954</v>
      </c>
      <c r="S275" s="15"/>
      <c r="U275" s="15"/>
      <c r="W275" s="15"/>
      <c r="Y275" s="15"/>
      <c r="AA275" s="15"/>
      <c r="AC275" s="15"/>
      <c r="AE275" s="15"/>
      <c r="AG275" s="15"/>
    </row>
    <row r="276" spans="6:33" ht="15.75" customHeight="1" x14ac:dyDescent="0.25">
      <c r="F276" s="6" t="s">
        <v>1991</v>
      </c>
      <c r="G276" s="6" t="s">
        <v>232</v>
      </c>
      <c r="H276" s="8" t="s">
        <v>176</v>
      </c>
      <c r="I276" s="6" t="s">
        <v>1954</v>
      </c>
      <c r="S276" s="15"/>
      <c r="U276" s="15"/>
      <c r="W276" s="15"/>
      <c r="Y276" s="15"/>
      <c r="AA276" s="15"/>
      <c r="AC276" s="15"/>
      <c r="AE276" s="15"/>
      <c r="AG276" s="15"/>
    </row>
    <row r="277" spans="6:33" ht="15.75" customHeight="1" x14ac:dyDescent="0.25">
      <c r="F277" s="6" t="s">
        <v>1991</v>
      </c>
      <c r="G277" s="6" t="s">
        <v>232</v>
      </c>
      <c r="H277" s="8" t="s">
        <v>176</v>
      </c>
      <c r="I277" s="6" t="s">
        <v>1954</v>
      </c>
      <c r="S277" s="15"/>
      <c r="U277" s="15"/>
      <c r="W277" s="15"/>
      <c r="Y277" s="15"/>
      <c r="AA277" s="15"/>
      <c r="AC277" s="15"/>
      <c r="AE277" s="15"/>
      <c r="AG277" s="15"/>
    </row>
    <row r="278" spans="6:33" ht="15.75" customHeight="1" x14ac:dyDescent="0.25">
      <c r="F278" s="6" t="s">
        <v>1991</v>
      </c>
      <c r="G278" s="6" t="s">
        <v>232</v>
      </c>
      <c r="H278" s="8" t="s">
        <v>176</v>
      </c>
      <c r="I278" s="6" t="s">
        <v>1954</v>
      </c>
      <c r="S278" s="15"/>
      <c r="U278" s="15"/>
      <c r="W278" s="15"/>
      <c r="Y278" s="15"/>
      <c r="AA278" s="15"/>
      <c r="AC278" s="15"/>
      <c r="AE278" s="15"/>
      <c r="AG278" s="15"/>
    </row>
    <row r="279" spans="6:33" ht="15.75" customHeight="1" x14ac:dyDescent="0.25">
      <c r="F279" s="6" t="s">
        <v>1991</v>
      </c>
      <c r="G279" s="6" t="s">
        <v>232</v>
      </c>
      <c r="H279" s="8" t="s">
        <v>176</v>
      </c>
      <c r="I279" s="6" t="s">
        <v>1954</v>
      </c>
      <c r="S279" s="15"/>
      <c r="U279" s="15"/>
      <c r="W279" s="15"/>
      <c r="Y279" s="15"/>
      <c r="AA279" s="15"/>
      <c r="AC279" s="15"/>
      <c r="AE279" s="15"/>
      <c r="AG279" s="15"/>
    </row>
    <row r="280" spans="6:33" ht="15.75" customHeight="1" x14ac:dyDescent="0.25">
      <c r="F280" s="6" t="s">
        <v>1991</v>
      </c>
      <c r="G280" s="6" t="s">
        <v>232</v>
      </c>
      <c r="H280" s="8" t="s">
        <v>176</v>
      </c>
      <c r="I280" s="6" t="s">
        <v>1954</v>
      </c>
      <c r="S280" s="15"/>
      <c r="U280" s="15"/>
      <c r="W280" s="15"/>
      <c r="Y280" s="15"/>
      <c r="AA280" s="15"/>
      <c r="AC280" s="15"/>
      <c r="AE280" s="15"/>
      <c r="AG280" s="15"/>
    </row>
    <row r="281" spans="6:33" ht="15.75" customHeight="1" x14ac:dyDescent="0.25">
      <c r="F281" s="6" t="s">
        <v>1991</v>
      </c>
      <c r="G281" s="6" t="s">
        <v>232</v>
      </c>
      <c r="H281" s="8" t="s">
        <v>176</v>
      </c>
      <c r="I281" s="6" t="s">
        <v>1954</v>
      </c>
      <c r="S281" s="15"/>
      <c r="U281" s="15"/>
      <c r="W281" s="15"/>
      <c r="Y281" s="15"/>
      <c r="AA281" s="15"/>
      <c r="AC281" s="15"/>
      <c r="AE281" s="15"/>
      <c r="AG281" s="15"/>
    </row>
    <row r="282" spans="6:33" ht="15.75" customHeight="1" x14ac:dyDescent="0.25">
      <c r="F282" s="6" t="s">
        <v>1991</v>
      </c>
      <c r="G282" s="6" t="s">
        <v>232</v>
      </c>
      <c r="H282" s="8" t="s">
        <v>176</v>
      </c>
      <c r="I282" s="6" t="s">
        <v>1954</v>
      </c>
      <c r="S282" s="15"/>
      <c r="U282" s="15"/>
      <c r="W282" s="15"/>
      <c r="Y282" s="15"/>
      <c r="AA282" s="15"/>
      <c r="AC282" s="15"/>
      <c r="AE282" s="15"/>
      <c r="AG282" s="15"/>
    </row>
    <row r="283" spans="6:33" ht="15.75" customHeight="1" x14ac:dyDescent="0.25">
      <c r="F283" s="6" t="s">
        <v>1991</v>
      </c>
      <c r="G283" s="6" t="s">
        <v>232</v>
      </c>
      <c r="H283" s="8" t="s">
        <v>176</v>
      </c>
      <c r="I283" s="6" t="s">
        <v>1954</v>
      </c>
      <c r="S283" s="15"/>
      <c r="U283" s="15"/>
      <c r="W283" s="15"/>
      <c r="Y283" s="15"/>
      <c r="AA283" s="15"/>
      <c r="AC283" s="15"/>
      <c r="AE283" s="15"/>
      <c r="AG283" s="15"/>
    </row>
    <row r="284" spans="6:33" ht="15.75" customHeight="1" x14ac:dyDescent="0.25">
      <c r="F284" s="6" t="s">
        <v>1991</v>
      </c>
      <c r="G284" s="6" t="s">
        <v>232</v>
      </c>
      <c r="H284" s="8" t="s">
        <v>176</v>
      </c>
      <c r="I284" s="6" t="s">
        <v>1954</v>
      </c>
      <c r="S284" s="15"/>
      <c r="U284" s="15"/>
      <c r="W284" s="15"/>
      <c r="Y284" s="15"/>
      <c r="AA284" s="15"/>
      <c r="AC284" s="15"/>
      <c r="AE284" s="15"/>
      <c r="AG284" s="15"/>
    </row>
    <row r="285" spans="6:33" ht="15.75" customHeight="1" x14ac:dyDescent="0.25">
      <c r="F285" s="6" t="s">
        <v>1991</v>
      </c>
      <c r="G285" s="6" t="s">
        <v>232</v>
      </c>
      <c r="H285" s="8" t="s">
        <v>176</v>
      </c>
      <c r="I285" s="6" t="s">
        <v>1954</v>
      </c>
      <c r="S285" s="15"/>
      <c r="U285" s="15"/>
      <c r="W285" s="15"/>
      <c r="Y285" s="15"/>
      <c r="AA285" s="15"/>
      <c r="AC285" s="15"/>
      <c r="AE285" s="15"/>
      <c r="AG285" s="15"/>
    </row>
    <row r="286" spans="6:33" ht="15.75" customHeight="1" x14ac:dyDescent="0.25">
      <c r="F286" s="6" t="s">
        <v>1991</v>
      </c>
      <c r="G286" s="6" t="s">
        <v>232</v>
      </c>
      <c r="H286" s="8" t="s">
        <v>176</v>
      </c>
      <c r="I286" s="2"/>
      <c r="S286" s="15"/>
      <c r="U286" s="15"/>
      <c r="W286" s="15"/>
      <c r="Y286" s="15"/>
      <c r="AA286" s="15"/>
      <c r="AC286" s="15"/>
      <c r="AE286" s="15"/>
      <c r="AG286" s="15"/>
    </row>
    <row r="287" spans="6:33" ht="15.75" customHeight="1" x14ac:dyDescent="0.25">
      <c r="F287" s="6" t="s">
        <v>1991</v>
      </c>
      <c r="G287" s="6" t="s">
        <v>232</v>
      </c>
      <c r="H287" s="8" t="s">
        <v>176</v>
      </c>
      <c r="I287" s="2"/>
      <c r="S287" s="15"/>
      <c r="U287" s="15"/>
      <c r="W287" s="15"/>
      <c r="Y287" s="15"/>
      <c r="AA287" s="15"/>
      <c r="AC287" s="15"/>
      <c r="AE287" s="15"/>
      <c r="AG287" s="15"/>
    </row>
    <row r="288" spans="6:33" ht="15.75" customHeight="1" x14ac:dyDescent="0.25">
      <c r="F288" s="6" t="s">
        <v>1991</v>
      </c>
      <c r="G288" s="6" t="s">
        <v>232</v>
      </c>
      <c r="H288" s="8" t="s">
        <v>176</v>
      </c>
      <c r="I288" s="2"/>
      <c r="S288" s="15"/>
      <c r="U288" s="15"/>
      <c r="W288" s="15"/>
      <c r="Y288" s="15"/>
      <c r="AA288" s="15"/>
      <c r="AC288" s="15"/>
      <c r="AE288" s="15"/>
      <c r="AG288" s="15"/>
    </row>
    <row r="289" spans="6:33" ht="15.75" customHeight="1" x14ac:dyDescent="0.25">
      <c r="F289" s="6" t="s">
        <v>1991</v>
      </c>
      <c r="G289" s="6" t="s">
        <v>232</v>
      </c>
      <c r="H289" s="8" t="s">
        <v>176</v>
      </c>
      <c r="I289" s="2"/>
      <c r="S289" s="15"/>
      <c r="U289" s="15"/>
      <c r="W289" s="15"/>
      <c r="Y289" s="15"/>
      <c r="AA289" s="15"/>
      <c r="AC289" s="15"/>
      <c r="AE289" s="15"/>
      <c r="AG289" s="15"/>
    </row>
    <row r="290" spans="6:33" ht="15.75" customHeight="1" x14ac:dyDescent="0.25">
      <c r="F290" s="6" t="s">
        <v>1991</v>
      </c>
      <c r="G290" s="6" t="s">
        <v>232</v>
      </c>
      <c r="H290" s="8" t="s">
        <v>176</v>
      </c>
      <c r="S290" s="15"/>
      <c r="U290" s="15"/>
      <c r="W290" s="15"/>
      <c r="Y290" s="15"/>
      <c r="AA290" s="15"/>
      <c r="AC290" s="15"/>
      <c r="AE290" s="15"/>
      <c r="AG290" s="15"/>
    </row>
    <row r="291" spans="6:33" ht="15.75" customHeight="1" x14ac:dyDescent="0.25">
      <c r="F291" s="6" t="s">
        <v>1991</v>
      </c>
      <c r="G291" s="6" t="s">
        <v>232</v>
      </c>
      <c r="H291" s="8" t="s">
        <v>176</v>
      </c>
      <c r="S291" s="15"/>
      <c r="U291" s="15"/>
      <c r="W291" s="15"/>
      <c r="Y291" s="15"/>
      <c r="AA291" s="15"/>
      <c r="AC291" s="15"/>
      <c r="AE291" s="15"/>
      <c r="AG291" s="15"/>
    </row>
    <row r="292" spans="6:33" ht="15.75" customHeight="1" x14ac:dyDescent="0.25">
      <c r="F292" s="6" t="s">
        <v>1991</v>
      </c>
      <c r="G292" s="6" t="s">
        <v>232</v>
      </c>
      <c r="H292" s="8" t="s">
        <v>176</v>
      </c>
      <c r="S292" s="15"/>
      <c r="U292" s="15"/>
      <c r="W292" s="15"/>
      <c r="Y292" s="15"/>
      <c r="AA292" s="15"/>
      <c r="AC292" s="15"/>
      <c r="AE292" s="15"/>
      <c r="AG292" s="15"/>
    </row>
    <row r="293" spans="6:33" ht="15.75" customHeight="1" x14ac:dyDescent="0.25">
      <c r="F293" s="6" t="s">
        <v>1991</v>
      </c>
      <c r="G293" s="6" t="s">
        <v>232</v>
      </c>
      <c r="H293" s="8" t="s">
        <v>176</v>
      </c>
      <c r="S293" s="15"/>
      <c r="U293" s="15"/>
      <c r="W293" s="15"/>
      <c r="Y293" s="15"/>
      <c r="AA293" s="15"/>
      <c r="AC293" s="15"/>
      <c r="AE293" s="15"/>
      <c r="AG293" s="15"/>
    </row>
    <row r="294" spans="6:33" ht="15.75" customHeight="1" x14ac:dyDescent="0.25">
      <c r="F294" s="6" t="s">
        <v>1991</v>
      </c>
      <c r="G294" s="6" t="s">
        <v>232</v>
      </c>
      <c r="H294" s="8" t="s">
        <v>176</v>
      </c>
      <c r="S294" s="15"/>
      <c r="U294" s="15"/>
      <c r="W294" s="15"/>
      <c r="Y294" s="15"/>
      <c r="AA294" s="15"/>
      <c r="AC294" s="15"/>
      <c r="AE294" s="15"/>
      <c r="AG294" s="15"/>
    </row>
    <row r="295" spans="6:33" ht="15.75" customHeight="1" x14ac:dyDescent="0.25">
      <c r="F295" s="6" t="s">
        <v>1991</v>
      </c>
      <c r="G295" s="6" t="s">
        <v>232</v>
      </c>
      <c r="H295" s="8" t="s">
        <v>176</v>
      </c>
      <c r="S295" s="15"/>
      <c r="U295" s="15"/>
      <c r="W295" s="15"/>
      <c r="Y295" s="15"/>
      <c r="AA295" s="15"/>
      <c r="AC295" s="15"/>
      <c r="AE295" s="15"/>
      <c r="AG295" s="15"/>
    </row>
    <row r="296" spans="6:33" ht="15.75" customHeight="1" x14ac:dyDescent="0.25">
      <c r="F296" s="6" t="s">
        <v>1991</v>
      </c>
      <c r="G296" t="s">
        <v>232</v>
      </c>
      <c r="H296" s="8" t="s">
        <v>176</v>
      </c>
      <c r="S296" s="15"/>
      <c r="U296" s="15"/>
      <c r="W296" s="15"/>
      <c r="Y296" s="15"/>
      <c r="AA296" s="15"/>
      <c r="AC296" s="15"/>
      <c r="AE296" s="15"/>
      <c r="AG296" s="15"/>
    </row>
    <row r="297" spans="6:33" ht="15.75" customHeight="1" x14ac:dyDescent="0.25">
      <c r="F297" s="6" t="s">
        <v>1991</v>
      </c>
      <c r="G297" t="s">
        <v>232</v>
      </c>
      <c r="H297" s="8" t="s">
        <v>176</v>
      </c>
      <c r="S297" s="15"/>
      <c r="U297" s="15"/>
      <c r="W297" s="15"/>
      <c r="Y297" s="15"/>
      <c r="AA297" s="15"/>
      <c r="AC297" s="15"/>
      <c r="AE297" s="15"/>
      <c r="AG297" s="15"/>
    </row>
    <row r="298" spans="6:33" ht="15.75" customHeight="1" x14ac:dyDescent="0.25">
      <c r="F298" t="s">
        <v>1991</v>
      </c>
      <c r="G298" t="s">
        <v>232</v>
      </c>
      <c r="H298" s="8" t="s">
        <v>176</v>
      </c>
      <c r="S298" s="15"/>
      <c r="U298" s="15"/>
      <c r="W298" s="15"/>
      <c r="Y298" s="15"/>
      <c r="AA298" s="15"/>
      <c r="AC298" s="15"/>
      <c r="AE298" s="15"/>
      <c r="AG298" s="15"/>
    </row>
    <row r="299" spans="6:33" ht="15.75" customHeight="1" x14ac:dyDescent="0.25">
      <c r="F299" s="6" t="s">
        <v>1991</v>
      </c>
      <c r="G299" s="6" t="s">
        <v>232</v>
      </c>
      <c r="H299" s="8" t="s">
        <v>176</v>
      </c>
      <c r="S299" s="15"/>
      <c r="U299" s="15"/>
      <c r="W299" s="15"/>
      <c r="Y299" s="15"/>
      <c r="AA299" s="15"/>
      <c r="AC299" s="15"/>
      <c r="AE299" s="15"/>
      <c r="AG299" s="15"/>
    </row>
    <row r="300" spans="6:33" ht="15.75" customHeight="1" x14ac:dyDescent="0.25">
      <c r="F300" s="6" t="s">
        <v>2234</v>
      </c>
      <c r="G300" s="6" t="s">
        <v>232</v>
      </c>
      <c r="H300" s="8" t="s">
        <v>176</v>
      </c>
      <c r="S300" s="15"/>
      <c r="U300" s="15"/>
      <c r="W300" s="15"/>
      <c r="Y300" s="15"/>
      <c r="AA300" s="15"/>
      <c r="AC300" s="15"/>
      <c r="AE300" s="15"/>
      <c r="AG300" s="15"/>
    </row>
    <row r="301" spans="6:33" ht="15.75" customHeight="1" x14ac:dyDescent="0.25">
      <c r="F301" s="6" t="s">
        <v>2234</v>
      </c>
      <c r="G301" s="6" t="s">
        <v>232</v>
      </c>
      <c r="H301" s="8" t="s">
        <v>176</v>
      </c>
      <c r="S301" s="15"/>
      <c r="U301" s="15"/>
      <c r="W301" s="15"/>
      <c r="Y301" s="15"/>
      <c r="AA301" s="15"/>
      <c r="AC301" s="15"/>
      <c r="AE301" s="15"/>
      <c r="AG301" s="15"/>
    </row>
    <row r="302" spans="6:33" ht="15.75" customHeight="1" x14ac:dyDescent="0.25">
      <c r="F302" s="6" t="s">
        <v>2243</v>
      </c>
      <c r="G302" s="6" t="s">
        <v>2025</v>
      </c>
      <c r="H302" s="6" t="s">
        <v>176</v>
      </c>
      <c r="S302" s="15"/>
      <c r="U302" s="15"/>
      <c r="W302" s="15"/>
      <c r="Y302" s="15"/>
      <c r="AA302" s="15"/>
      <c r="AC302" s="15"/>
      <c r="AE302" s="15"/>
      <c r="AG302" s="15"/>
    </row>
    <row r="303" spans="6:33" ht="15.75" customHeight="1" x14ac:dyDescent="0.25">
      <c r="F303" s="8" t="s">
        <v>2100</v>
      </c>
      <c r="G303" s="6" t="s">
        <v>2025</v>
      </c>
      <c r="H303" t="s">
        <v>176</v>
      </c>
      <c r="S303" s="15"/>
      <c r="U303" s="15"/>
      <c r="W303" s="15"/>
      <c r="Y303" s="15"/>
      <c r="AA303" s="15"/>
      <c r="AC303" s="15"/>
      <c r="AE303" s="15"/>
      <c r="AG303" s="15"/>
    </row>
    <row r="304" spans="6:33" ht="15.75" customHeight="1" x14ac:dyDescent="0.25">
      <c r="F304" s="6" t="s">
        <v>2100</v>
      </c>
      <c r="G304" s="6" t="s">
        <v>2025</v>
      </c>
      <c r="H304" t="s">
        <v>176</v>
      </c>
      <c r="S304" s="15"/>
      <c r="U304" s="15"/>
      <c r="W304" s="15"/>
      <c r="Y304" s="15"/>
      <c r="AA304" s="15"/>
      <c r="AC304" s="15"/>
      <c r="AE304" s="15"/>
      <c r="AG304" s="15"/>
    </row>
    <row r="305" spans="6:33" ht="15.75" customHeight="1" x14ac:dyDescent="0.25">
      <c r="F305" s="6" t="s">
        <v>2100</v>
      </c>
      <c r="G305" s="6" t="s">
        <v>2025</v>
      </c>
      <c r="H305" s="8" t="s">
        <v>176</v>
      </c>
      <c r="S305" s="15"/>
      <c r="U305" s="15"/>
      <c r="W305" s="15"/>
      <c r="Y305" s="15"/>
      <c r="AA305" s="15"/>
      <c r="AC305" s="15"/>
      <c r="AE305" s="15"/>
      <c r="AG305" s="15"/>
    </row>
    <row r="306" spans="6:33" ht="15.75" customHeight="1" x14ac:dyDescent="0.25">
      <c r="F306" s="6" t="s">
        <v>2100</v>
      </c>
      <c r="G306" s="6" t="s">
        <v>2025</v>
      </c>
      <c r="H306" s="6" t="s">
        <v>176</v>
      </c>
      <c r="S306" s="15"/>
      <c r="U306" s="15"/>
      <c r="W306" s="15"/>
      <c r="Y306" s="15"/>
      <c r="AA306" s="15"/>
      <c r="AC306" s="15"/>
      <c r="AE306" s="15"/>
      <c r="AG306" s="15"/>
    </row>
    <row r="307" spans="6:33" ht="15.75" customHeight="1" x14ac:dyDescent="0.25">
      <c r="F307" s="6" t="s">
        <v>2100</v>
      </c>
      <c r="G307" s="6" t="s">
        <v>2025</v>
      </c>
      <c r="H307" s="6" t="s">
        <v>176</v>
      </c>
      <c r="S307" s="15"/>
      <c r="U307" s="15"/>
      <c r="W307" s="15"/>
      <c r="Y307" s="15"/>
      <c r="AA307" s="15"/>
      <c r="AC307" s="15"/>
      <c r="AE307" s="15"/>
      <c r="AG307" s="15"/>
    </row>
    <row r="308" spans="6:33" ht="15.75" customHeight="1" x14ac:dyDescent="0.25">
      <c r="F308" s="6" t="s">
        <v>2100</v>
      </c>
      <c r="G308" s="6" t="s">
        <v>2025</v>
      </c>
      <c r="H308" s="6" t="s">
        <v>176</v>
      </c>
      <c r="S308" s="15"/>
      <c r="U308" s="15"/>
      <c r="W308" s="15"/>
      <c r="Y308" s="15"/>
      <c r="AA308" s="15"/>
      <c r="AC308" s="15"/>
      <c r="AE308" s="15"/>
      <c r="AG308" s="15"/>
    </row>
    <row r="309" spans="6:33" ht="15.75" customHeight="1" x14ac:dyDescent="0.25">
      <c r="F309" s="6" t="s">
        <v>2100</v>
      </c>
      <c r="G309" s="6" t="s">
        <v>2025</v>
      </c>
      <c r="H309" s="6" t="s">
        <v>176</v>
      </c>
      <c r="S309" s="15"/>
      <c r="U309" s="15"/>
      <c r="W309" s="15"/>
      <c r="Y309" s="15"/>
      <c r="AA309" s="15"/>
      <c r="AC309" s="15"/>
      <c r="AE309" s="15"/>
      <c r="AG309" s="15"/>
    </row>
    <row r="310" spans="6:33" ht="15.75" customHeight="1" x14ac:dyDescent="0.25">
      <c r="F310" s="6" t="s">
        <v>2100</v>
      </c>
      <c r="G310" s="6" t="s">
        <v>2025</v>
      </c>
      <c r="H310" s="6" t="s">
        <v>176</v>
      </c>
      <c r="S310" s="15"/>
      <c r="U310" s="15"/>
      <c r="W310" s="15"/>
      <c r="Y310" s="15"/>
      <c r="AA310" s="15"/>
      <c r="AC310" s="15"/>
      <c r="AE310" s="15"/>
      <c r="AG310" s="15"/>
    </row>
    <row r="311" spans="6:33" ht="15.75" customHeight="1" x14ac:dyDescent="0.25">
      <c r="F311" s="6" t="s">
        <v>2100</v>
      </c>
      <c r="G311" s="6" t="s">
        <v>2025</v>
      </c>
      <c r="H311" s="6" t="s">
        <v>176</v>
      </c>
      <c r="S311" s="15"/>
      <c r="U311" s="15"/>
      <c r="W311" s="15"/>
      <c r="Y311" s="15"/>
      <c r="AA311" s="15"/>
      <c r="AC311" s="15"/>
      <c r="AE311" s="15"/>
      <c r="AG311" s="15"/>
    </row>
    <row r="312" spans="6:33" ht="15.75" customHeight="1" x14ac:dyDescent="0.25">
      <c r="F312" s="6" t="s">
        <v>2100</v>
      </c>
      <c r="G312" s="6" t="s">
        <v>2025</v>
      </c>
      <c r="H312" t="s">
        <v>176</v>
      </c>
      <c r="S312" s="15"/>
      <c r="U312" s="15"/>
      <c r="W312" s="15"/>
      <c r="Y312" s="15"/>
      <c r="AA312" s="15"/>
      <c r="AC312" s="15"/>
      <c r="AE312" s="15"/>
      <c r="AG312" s="15"/>
    </row>
    <row r="313" spans="6:33" ht="15.75" customHeight="1" x14ac:dyDescent="0.25">
      <c r="F313" s="6" t="s">
        <v>2100</v>
      </c>
      <c r="G313" s="6" t="s">
        <v>2025</v>
      </c>
      <c r="H313" t="s">
        <v>176</v>
      </c>
      <c r="S313" s="15"/>
      <c r="U313" s="15"/>
      <c r="W313" s="15"/>
      <c r="Y313" s="15"/>
      <c r="AA313" s="15"/>
      <c r="AC313" s="15"/>
      <c r="AE313" s="15"/>
      <c r="AG313" s="15"/>
    </row>
    <row r="314" spans="6:33" ht="15.75" customHeight="1" x14ac:dyDescent="0.25">
      <c r="F314" s="6" t="s">
        <v>2100</v>
      </c>
      <c r="G314" s="6" t="s">
        <v>2025</v>
      </c>
      <c r="H314" s="6" t="s">
        <v>1704</v>
      </c>
      <c r="S314" s="15"/>
      <c r="U314" s="15"/>
      <c r="W314" s="15"/>
      <c r="Y314" s="15"/>
      <c r="AA314" s="15"/>
      <c r="AC314" s="15"/>
      <c r="AE314" s="15"/>
      <c r="AG314" s="15"/>
    </row>
    <row r="315" spans="6:33" ht="15.75" customHeight="1" x14ac:dyDescent="0.25">
      <c r="F315" s="6" t="s">
        <v>2100</v>
      </c>
      <c r="G315" s="6" t="s">
        <v>2025</v>
      </c>
      <c r="H315" s="6" t="s">
        <v>1704</v>
      </c>
      <c r="S315" s="15"/>
      <c r="U315" s="15"/>
      <c r="W315" s="15"/>
      <c r="Y315" s="15"/>
      <c r="AA315" s="15"/>
      <c r="AC315" s="15"/>
      <c r="AE315" s="15"/>
      <c r="AG315" s="15"/>
    </row>
    <row r="316" spans="6:33" ht="15.75" customHeight="1" x14ac:dyDescent="0.25">
      <c r="F316" s="6" t="s">
        <v>2100</v>
      </c>
      <c r="G316" s="6" t="s">
        <v>2025</v>
      </c>
      <c r="H316" s="6" t="s">
        <v>1704</v>
      </c>
      <c r="S316" s="15"/>
      <c r="U316" s="15"/>
      <c r="W316" s="15"/>
      <c r="Y316" s="15"/>
      <c r="AA316" s="15"/>
      <c r="AC316" s="15"/>
      <c r="AE316" s="15"/>
      <c r="AG316" s="15"/>
    </row>
    <row r="317" spans="6:33" ht="15.75" customHeight="1" x14ac:dyDescent="0.25">
      <c r="F317" s="6" t="s">
        <v>2100</v>
      </c>
      <c r="G317" s="6" t="s">
        <v>2025</v>
      </c>
      <c r="H317" s="6" t="s">
        <v>1704</v>
      </c>
      <c r="S317" s="15"/>
      <c r="U317" s="15"/>
      <c r="W317" s="15"/>
      <c r="Y317" s="15"/>
      <c r="AA317" s="15"/>
      <c r="AC317" s="15"/>
      <c r="AE317" s="15"/>
      <c r="AG317" s="15"/>
    </row>
    <row r="318" spans="6:33" ht="15.75" customHeight="1" x14ac:dyDescent="0.25">
      <c r="F318" s="6" t="s">
        <v>2100</v>
      </c>
      <c r="G318" s="6" t="s">
        <v>2025</v>
      </c>
      <c r="H318" s="6" t="s">
        <v>1704</v>
      </c>
      <c r="S318" s="15"/>
      <c r="U318" s="15"/>
      <c r="W318" s="15"/>
      <c r="Y318" s="15"/>
      <c r="AA318" s="15"/>
      <c r="AC318" s="15"/>
      <c r="AE318" s="15"/>
      <c r="AG318" s="15"/>
    </row>
    <row r="319" spans="6:33" ht="15.75" customHeight="1" x14ac:dyDescent="0.25">
      <c r="F319" s="6" t="s">
        <v>2100</v>
      </c>
      <c r="G319" s="6" t="s">
        <v>2025</v>
      </c>
      <c r="H319" s="8" t="s">
        <v>1704</v>
      </c>
      <c r="S319" s="15"/>
      <c r="U319" s="15"/>
      <c r="W319" s="15"/>
      <c r="Y319" s="15"/>
      <c r="AA319" s="15"/>
      <c r="AC319" s="15"/>
      <c r="AE319" s="15"/>
      <c r="AG319" s="15"/>
    </row>
    <row r="320" spans="6:33" ht="15.75" customHeight="1" x14ac:dyDescent="0.25">
      <c r="F320" s="6" t="s">
        <v>2100</v>
      </c>
      <c r="G320" s="6" t="s">
        <v>2025</v>
      </c>
      <c r="H320" s="6" t="s">
        <v>1704</v>
      </c>
      <c r="S320" s="15"/>
      <c r="U320" s="15"/>
      <c r="W320" s="15"/>
      <c r="Y320" s="15"/>
      <c r="AA320" s="15"/>
      <c r="AC320" s="15"/>
      <c r="AE320" s="15"/>
      <c r="AG320" s="15"/>
    </row>
    <row r="321" spans="6:33" ht="15.75" customHeight="1" x14ac:dyDescent="0.25">
      <c r="F321" t="s">
        <v>2078</v>
      </c>
      <c r="G321" s="6" t="s">
        <v>2025</v>
      </c>
      <c r="H321" s="6" t="s">
        <v>1704</v>
      </c>
      <c r="S321" s="15"/>
      <c r="U321" s="15"/>
      <c r="W321" s="15"/>
      <c r="Y321" s="15"/>
      <c r="AA321" s="15"/>
      <c r="AC321" s="15"/>
      <c r="AE321" s="15"/>
      <c r="AG321" s="15"/>
    </row>
    <row r="322" spans="6:33" ht="15.75" customHeight="1" x14ac:dyDescent="0.25">
      <c r="F322" s="6" t="s">
        <v>2078</v>
      </c>
      <c r="G322" s="6" t="s">
        <v>2025</v>
      </c>
      <c r="H322" s="6" t="s">
        <v>1704</v>
      </c>
      <c r="S322" s="15"/>
      <c r="U322" s="15"/>
      <c r="W322" s="15"/>
      <c r="Y322" s="15"/>
      <c r="AA322" s="15"/>
      <c r="AC322" s="15"/>
      <c r="AE322" s="15"/>
      <c r="AG322" s="15"/>
    </row>
    <row r="323" spans="6:33" ht="15.75" customHeight="1" x14ac:dyDescent="0.25">
      <c r="F323" s="6" t="s">
        <v>2078</v>
      </c>
      <c r="G323" s="6" t="s">
        <v>2025</v>
      </c>
      <c r="H323" s="6" t="s">
        <v>1704</v>
      </c>
      <c r="S323" s="15"/>
      <c r="U323" s="15"/>
      <c r="W323" s="15"/>
      <c r="Y323" s="15"/>
      <c r="AA323" s="15"/>
      <c r="AC323" s="15"/>
      <c r="AE323" s="15"/>
      <c r="AG323" s="15"/>
    </row>
    <row r="324" spans="6:33" ht="15.75" customHeight="1" x14ac:dyDescent="0.25">
      <c r="F324" s="6" t="s">
        <v>2078</v>
      </c>
      <c r="G324" s="6" t="s">
        <v>2025</v>
      </c>
      <c r="H324" s="6" t="s">
        <v>1704</v>
      </c>
      <c r="S324" s="15"/>
      <c r="U324" s="15"/>
      <c r="W324" s="15"/>
      <c r="Y324" s="15"/>
      <c r="AA324" s="15"/>
      <c r="AC324" s="15"/>
      <c r="AE324" s="15"/>
      <c r="AG324" s="15"/>
    </row>
    <row r="325" spans="6:33" ht="15.75" customHeight="1" x14ac:dyDescent="0.25">
      <c r="F325" s="6" t="s">
        <v>2078</v>
      </c>
      <c r="G325" t="s">
        <v>2025</v>
      </c>
      <c r="H325" s="6" t="s">
        <v>1704</v>
      </c>
      <c r="S325" s="15"/>
      <c r="U325" s="15"/>
      <c r="W325" s="15"/>
      <c r="Y325" s="15"/>
      <c r="AA325" s="15"/>
      <c r="AC325" s="15"/>
      <c r="AE325" s="15"/>
      <c r="AG325" s="15"/>
    </row>
    <row r="326" spans="6:33" ht="15.75" customHeight="1" x14ac:dyDescent="0.25">
      <c r="F326" s="6" t="s">
        <v>2078</v>
      </c>
      <c r="G326" s="6" t="s">
        <v>2025</v>
      </c>
      <c r="H326" s="6" t="s">
        <v>1704</v>
      </c>
      <c r="S326" s="15"/>
      <c r="U326" s="15"/>
      <c r="W326" s="15"/>
      <c r="Y326" s="15"/>
      <c r="AA326" s="15"/>
      <c r="AC326" s="15"/>
      <c r="AE326" s="15"/>
      <c r="AG326" s="15"/>
    </row>
    <row r="327" spans="6:33" ht="15.75" customHeight="1" x14ac:dyDescent="0.25">
      <c r="F327" s="6" t="s">
        <v>2078</v>
      </c>
      <c r="G327" t="s">
        <v>2025</v>
      </c>
      <c r="H327" s="6" t="s">
        <v>1704</v>
      </c>
      <c r="S327" s="15"/>
      <c r="U327" s="15"/>
      <c r="W327" s="15"/>
      <c r="Y327" s="15"/>
      <c r="AA327" s="15"/>
      <c r="AC327" s="15"/>
      <c r="AE327" s="15"/>
      <c r="AG327" s="15"/>
    </row>
    <row r="328" spans="6:33" ht="15.75" customHeight="1" x14ac:dyDescent="0.25">
      <c r="F328" s="6" t="s">
        <v>2078</v>
      </c>
      <c r="G328" s="6" t="s">
        <v>2025</v>
      </c>
      <c r="H328" s="6" t="s">
        <v>1704</v>
      </c>
      <c r="S328" s="15"/>
      <c r="U328" s="15"/>
      <c r="W328" s="15"/>
      <c r="Y328" s="15"/>
      <c r="AA328" s="15"/>
      <c r="AC328" s="15"/>
      <c r="AE328" s="15"/>
      <c r="AG328" s="15"/>
    </row>
    <row r="329" spans="6:33" ht="15.75" customHeight="1" x14ac:dyDescent="0.25">
      <c r="F329" s="6" t="s">
        <v>2078</v>
      </c>
      <c r="G329" t="s">
        <v>2025</v>
      </c>
      <c r="H329" s="6" t="s">
        <v>1704</v>
      </c>
      <c r="S329" s="15"/>
      <c r="U329" s="15"/>
      <c r="W329" s="15"/>
      <c r="Y329" s="15"/>
      <c r="AA329" s="15"/>
      <c r="AC329" s="15"/>
      <c r="AE329" s="15"/>
      <c r="AG329" s="15"/>
    </row>
    <row r="330" spans="6:33" ht="15.75" customHeight="1" x14ac:dyDescent="0.25">
      <c r="F330" s="6" t="s">
        <v>2078</v>
      </c>
      <c r="G330" s="6" t="s">
        <v>2115</v>
      </c>
      <c r="H330" s="6" t="s">
        <v>1704</v>
      </c>
      <c r="S330" s="15"/>
      <c r="U330" s="15"/>
      <c r="W330" s="15"/>
      <c r="Y330" s="15"/>
      <c r="AA330" s="15"/>
      <c r="AC330" s="15"/>
      <c r="AE330" s="15"/>
      <c r="AG330" s="15"/>
    </row>
    <row r="331" spans="6:33" ht="15.75" customHeight="1" x14ac:dyDescent="0.25">
      <c r="F331" s="6" t="s">
        <v>2078</v>
      </c>
      <c r="G331" s="6" t="s">
        <v>2115</v>
      </c>
      <c r="H331" s="6" t="s">
        <v>1704</v>
      </c>
      <c r="S331" s="15"/>
      <c r="U331" s="15"/>
      <c r="W331" s="15"/>
      <c r="Y331" s="15"/>
      <c r="AA331" s="15"/>
      <c r="AC331" s="15"/>
      <c r="AE331" s="15"/>
      <c r="AG331" s="15"/>
    </row>
    <row r="332" spans="6:33" ht="15.75" customHeight="1" x14ac:dyDescent="0.25">
      <c r="F332" s="6" t="s">
        <v>2078</v>
      </c>
      <c r="G332" s="6" t="s">
        <v>2115</v>
      </c>
      <c r="H332" s="6" t="s">
        <v>1704</v>
      </c>
      <c r="S332" s="15"/>
      <c r="U332" s="15"/>
      <c r="W332" s="15"/>
      <c r="Y332" s="15"/>
      <c r="AA332" s="15"/>
      <c r="AC332" s="15"/>
      <c r="AE332" s="15"/>
      <c r="AG332" s="15"/>
    </row>
    <row r="333" spans="6:33" ht="15.75" customHeight="1" x14ac:dyDescent="0.25">
      <c r="F333" s="6" t="s">
        <v>2078</v>
      </c>
      <c r="G333" s="6" t="s">
        <v>2115</v>
      </c>
      <c r="H333" s="6" t="s">
        <v>1704</v>
      </c>
      <c r="S333" s="15"/>
      <c r="U333" s="15"/>
      <c r="W333" s="15"/>
      <c r="Y333" s="15"/>
      <c r="AA333" s="15"/>
      <c r="AC333" s="15"/>
      <c r="AE333" s="15"/>
      <c r="AG333" s="15"/>
    </row>
    <row r="334" spans="6:33" ht="15.75" customHeight="1" x14ac:dyDescent="0.25">
      <c r="F334" s="6" t="s">
        <v>2078</v>
      </c>
      <c r="G334" s="6" t="s">
        <v>2115</v>
      </c>
      <c r="H334" s="6" t="s">
        <v>1704</v>
      </c>
      <c r="S334" s="15"/>
      <c r="U334" s="15"/>
      <c r="W334" s="15"/>
      <c r="Y334" s="15"/>
      <c r="AA334" s="15"/>
      <c r="AC334" s="15"/>
      <c r="AE334" s="15"/>
      <c r="AG334" s="15"/>
    </row>
    <row r="335" spans="6:33" ht="15.75" customHeight="1" x14ac:dyDescent="0.25">
      <c r="F335" s="6" t="s">
        <v>2078</v>
      </c>
      <c r="G335" s="6" t="s">
        <v>2115</v>
      </c>
      <c r="H335" s="6" t="s">
        <v>1704</v>
      </c>
      <c r="S335" s="15"/>
      <c r="U335" s="15"/>
      <c r="W335" s="15"/>
      <c r="Y335" s="15"/>
      <c r="AA335" s="15"/>
      <c r="AC335" s="15"/>
      <c r="AE335" s="15"/>
      <c r="AG335" s="15"/>
    </row>
    <row r="336" spans="6:33" ht="15.75" customHeight="1" x14ac:dyDescent="0.25">
      <c r="F336" s="6" t="s">
        <v>2078</v>
      </c>
      <c r="G336" s="6" t="s">
        <v>2115</v>
      </c>
      <c r="H336" s="6" t="s">
        <v>1704</v>
      </c>
      <c r="S336" s="15"/>
      <c r="U336" s="15"/>
      <c r="W336" s="15"/>
      <c r="Y336" s="15"/>
      <c r="AA336" s="15"/>
      <c r="AC336" s="15"/>
      <c r="AE336" s="15"/>
      <c r="AG336" s="15"/>
    </row>
    <row r="337" spans="6:33" ht="15.75" customHeight="1" x14ac:dyDescent="0.25">
      <c r="F337" s="6" t="s">
        <v>2078</v>
      </c>
      <c r="G337" s="6" t="s">
        <v>2115</v>
      </c>
      <c r="H337" s="6" t="s">
        <v>1704</v>
      </c>
      <c r="S337" s="15"/>
      <c r="U337" s="15"/>
      <c r="W337" s="15"/>
      <c r="Y337" s="15"/>
      <c r="AA337" s="15"/>
      <c r="AC337" s="15"/>
      <c r="AE337" s="15"/>
      <c r="AG337" s="15"/>
    </row>
    <row r="338" spans="6:33" ht="15.75" customHeight="1" x14ac:dyDescent="0.25">
      <c r="F338" s="6" t="s">
        <v>2078</v>
      </c>
      <c r="G338" s="6" t="s">
        <v>2115</v>
      </c>
      <c r="H338" s="6" t="s">
        <v>1704</v>
      </c>
      <c r="S338" s="15"/>
      <c r="U338" s="15"/>
      <c r="W338" s="15"/>
      <c r="Y338" s="15"/>
      <c r="AA338" s="15"/>
      <c r="AC338" s="15"/>
      <c r="AE338" s="15"/>
      <c r="AG338" s="15"/>
    </row>
    <row r="339" spans="6:33" ht="15.75" customHeight="1" x14ac:dyDescent="0.25">
      <c r="F339" s="6" t="s">
        <v>2078</v>
      </c>
      <c r="G339" s="6" t="s">
        <v>2115</v>
      </c>
      <c r="H339" s="6" t="s">
        <v>1704</v>
      </c>
      <c r="S339" s="15"/>
      <c r="U339" s="15"/>
      <c r="W339" s="15"/>
      <c r="Y339" s="15"/>
      <c r="AA339" s="15"/>
      <c r="AC339" s="15"/>
      <c r="AE339" s="15"/>
      <c r="AG339" s="15"/>
    </row>
    <row r="340" spans="6:33" ht="15.75" customHeight="1" x14ac:dyDescent="0.25">
      <c r="F340" s="6" t="s">
        <v>2078</v>
      </c>
      <c r="G340" s="6" t="s">
        <v>2115</v>
      </c>
      <c r="H340" s="6" t="s">
        <v>1704</v>
      </c>
      <c r="S340" s="15"/>
      <c r="U340" s="15"/>
      <c r="W340" s="15"/>
      <c r="Y340" s="15"/>
      <c r="AA340" s="15"/>
      <c r="AC340" s="15"/>
      <c r="AE340" s="15"/>
      <c r="AG340" s="15"/>
    </row>
    <row r="341" spans="6:33" ht="15.75" customHeight="1" x14ac:dyDescent="0.25">
      <c r="F341" t="s">
        <v>2078</v>
      </c>
      <c r="G341" s="6" t="s">
        <v>2115</v>
      </c>
      <c r="H341" s="6" t="s">
        <v>1704</v>
      </c>
      <c r="S341" s="15"/>
      <c r="U341" s="15"/>
      <c r="W341" s="15"/>
      <c r="Y341" s="15"/>
      <c r="AA341" s="15"/>
      <c r="AC341" s="15"/>
      <c r="AE341" s="15"/>
      <c r="AG341" s="15"/>
    </row>
    <row r="342" spans="6:33" ht="15.75" customHeight="1" x14ac:dyDescent="0.25">
      <c r="F342" s="6" t="s">
        <v>2179</v>
      </c>
      <c r="G342" s="6" t="s">
        <v>2115</v>
      </c>
      <c r="H342" s="6" t="s">
        <v>1704</v>
      </c>
      <c r="S342" s="15"/>
      <c r="U342" s="15"/>
      <c r="W342" s="15"/>
      <c r="Y342" s="15"/>
      <c r="AA342" s="15"/>
      <c r="AC342" s="15"/>
      <c r="AE342" s="15"/>
      <c r="AG342" s="15"/>
    </row>
    <row r="343" spans="6:33" ht="15.75" customHeight="1" x14ac:dyDescent="0.25">
      <c r="F343" s="6" t="s">
        <v>2179</v>
      </c>
      <c r="G343" s="6" t="s">
        <v>2115</v>
      </c>
      <c r="H343" s="6" t="s">
        <v>1704</v>
      </c>
      <c r="S343" s="15"/>
      <c r="U343" s="15"/>
      <c r="W343" s="15"/>
      <c r="Y343" s="15"/>
      <c r="AA343" s="15"/>
      <c r="AC343" s="15"/>
      <c r="AE343" s="15"/>
      <c r="AG343" s="15"/>
    </row>
    <row r="344" spans="6:33" ht="15.75" customHeight="1" x14ac:dyDescent="0.25">
      <c r="F344" s="6" t="s">
        <v>2179</v>
      </c>
      <c r="G344" s="6" t="s">
        <v>2115</v>
      </c>
      <c r="H344" s="6" t="s">
        <v>1704</v>
      </c>
      <c r="S344" s="15"/>
      <c r="U344" s="15"/>
      <c r="W344" s="15"/>
      <c r="Y344" s="15"/>
      <c r="AA344" s="15"/>
      <c r="AC344" s="15"/>
      <c r="AE344" s="15"/>
      <c r="AG344" s="15"/>
    </row>
    <row r="345" spans="6:33" ht="15.75" customHeight="1" x14ac:dyDescent="0.25">
      <c r="F345" s="6" t="s">
        <v>2179</v>
      </c>
      <c r="G345" s="6" t="s">
        <v>2076</v>
      </c>
      <c r="H345" s="6" t="s">
        <v>1704</v>
      </c>
      <c r="S345" s="15"/>
      <c r="U345" s="15"/>
      <c r="W345" s="15"/>
      <c r="Y345" s="15"/>
      <c r="AA345" s="15"/>
      <c r="AC345" s="15"/>
      <c r="AE345" s="15"/>
      <c r="AG345" s="15"/>
    </row>
    <row r="346" spans="6:33" ht="15.75" customHeight="1" x14ac:dyDescent="0.25">
      <c r="F346" s="6" t="s">
        <v>2179</v>
      </c>
      <c r="G346" s="6" t="s">
        <v>2076</v>
      </c>
      <c r="H346" s="6" t="s">
        <v>1704</v>
      </c>
      <c r="S346" s="15"/>
      <c r="U346" s="15"/>
      <c r="W346" s="15"/>
      <c r="Y346" s="15"/>
      <c r="AA346" s="15"/>
      <c r="AC346" s="15"/>
      <c r="AE346" s="15"/>
      <c r="AG346" s="15"/>
    </row>
    <row r="347" spans="6:33" ht="15.75" customHeight="1" x14ac:dyDescent="0.25">
      <c r="F347" s="6" t="s">
        <v>2179</v>
      </c>
      <c r="G347" s="6" t="s">
        <v>2076</v>
      </c>
      <c r="H347" s="6" t="s">
        <v>1704</v>
      </c>
      <c r="S347" s="15"/>
      <c r="U347" s="15"/>
      <c r="W347" s="15"/>
      <c r="Y347" s="15"/>
      <c r="AA347" s="15"/>
      <c r="AC347" s="15"/>
      <c r="AE347" s="15"/>
      <c r="AG347" s="15"/>
    </row>
    <row r="348" spans="6:33" ht="15.75" customHeight="1" x14ac:dyDescent="0.25">
      <c r="F348" s="6" t="s">
        <v>2179</v>
      </c>
      <c r="G348" s="6" t="s">
        <v>2076</v>
      </c>
      <c r="H348" s="6" t="s">
        <v>1704</v>
      </c>
      <c r="S348" s="15"/>
      <c r="U348" s="15"/>
      <c r="W348" s="15"/>
      <c r="Y348" s="15"/>
      <c r="AA348" s="15"/>
      <c r="AC348" s="15"/>
      <c r="AE348" s="15"/>
      <c r="AG348" s="15"/>
    </row>
    <row r="349" spans="6:33" ht="15.75" customHeight="1" x14ac:dyDescent="0.25">
      <c r="F349" t="s">
        <v>2179</v>
      </c>
      <c r="G349" s="6" t="s">
        <v>2076</v>
      </c>
      <c r="H349" s="6" t="s">
        <v>1704</v>
      </c>
      <c r="S349" s="15"/>
      <c r="U349" s="15"/>
      <c r="W349" s="15"/>
      <c r="Y349" s="15"/>
      <c r="AA349" s="15"/>
      <c r="AC349" s="15"/>
      <c r="AE349" s="15"/>
      <c r="AG349" s="15"/>
    </row>
    <row r="350" spans="6:33" ht="15.75" customHeight="1" x14ac:dyDescent="0.25">
      <c r="F350" s="6" t="s">
        <v>2212</v>
      </c>
      <c r="G350" s="6" t="s">
        <v>2076</v>
      </c>
      <c r="H350" s="6" t="s">
        <v>1704</v>
      </c>
      <c r="S350" s="15"/>
      <c r="U350" s="15"/>
      <c r="W350" s="15"/>
      <c r="Y350" s="15"/>
      <c r="AA350" s="15"/>
      <c r="AC350" s="15"/>
      <c r="AE350" s="15"/>
      <c r="AG350" s="15"/>
    </row>
    <row r="351" spans="6:33" ht="15.75" customHeight="1" x14ac:dyDescent="0.25">
      <c r="F351" s="6" t="s">
        <v>2212</v>
      </c>
      <c r="G351" s="6" t="s">
        <v>2076</v>
      </c>
      <c r="H351" s="6" t="s">
        <v>1704</v>
      </c>
      <c r="S351" s="15"/>
      <c r="U351" s="15"/>
      <c r="W351" s="15"/>
      <c r="Y351" s="15"/>
      <c r="AA351" s="15"/>
      <c r="AC351" s="15"/>
      <c r="AE351" s="15"/>
      <c r="AG351" s="15"/>
    </row>
    <row r="352" spans="6:33" ht="15.75" customHeight="1" x14ac:dyDescent="0.25">
      <c r="F352" s="6" t="s">
        <v>2212</v>
      </c>
      <c r="G352" s="6" t="s">
        <v>2076</v>
      </c>
      <c r="H352" s="6" t="s">
        <v>1704</v>
      </c>
      <c r="S352" s="15"/>
      <c r="U352" s="15"/>
      <c r="W352" s="15"/>
      <c r="Y352" s="15"/>
      <c r="AA352" s="15"/>
      <c r="AC352" s="15"/>
      <c r="AE352" s="15"/>
      <c r="AG352" s="15"/>
    </row>
    <row r="353" spans="6:33" ht="15.75" customHeight="1" x14ac:dyDescent="0.25">
      <c r="F353" s="6" t="s">
        <v>2212</v>
      </c>
      <c r="G353" s="6" t="s">
        <v>2076</v>
      </c>
      <c r="H353" s="6" t="s">
        <v>1704</v>
      </c>
      <c r="S353" s="15"/>
      <c r="U353" s="15"/>
      <c r="W353" s="15"/>
      <c r="Y353" s="15"/>
      <c r="AA353" s="15"/>
      <c r="AC353" s="15"/>
      <c r="AE353" s="15"/>
      <c r="AG353" s="15"/>
    </row>
    <row r="354" spans="6:33" ht="15.75" customHeight="1" x14ac:dyDescent="0.25">
      <c r="F354" s="6" t="s">
        <v>2088</v>
      </c>
      <c r="G354" s="6" t="s">
        <v>2076</v>
      </c>
      <c r="H354" s="6" t="s">
        <v>1704</v>
      </c>
      <c r="S354" s="15"/>
      <c r="U354" s="15"/>
      <c r="W354" s="15"/>
      <c r="Y354" s="15"/>
      <c r="AA354" s="15"/>
      <c r="AC354" s="15"/>
      <c r="AE354" s="15"/>
      <c r="AG354" s="15"/>
    </row>
    <row r="355" spans="6:33" ht="15.75" customHeight="1" x14ac:dyDescent="0.25">
      <c r="F355" s="6" t="s">
        <v>2088</v>
      </c>
      <c r="G355" s="6" t="s">
        <v>2076</v>
      </c>
      <c r="H355" s="6" t="s">
        <v>1704</v>
      </c>
      <c r="S355" s="15"/>
      <c r="U355" s="15"/>
      <c r="W355" s="15"/>
      <c r="Y355" s="15"/>
      <c r="AA355" s="15"/>
      <c r="AC355" s="15"/>
      <c r="AE355" s="15"/>
      <c r="AG355" s="15"/>
    </row>
    <row r="356" spans="6:33" ht="15.75" customHeight="1" x14ac:dyDescent="0.25">
      <c r="F356" s="6" t="s">
        <v>2088</v>
      </c>
      <c r="G356" s="6" t="s">
        <v>2076</v>
      </c>
      <c r="H356" s="6" t="s">
        <v>1704</v>
      </c>
      <c r="S356" s="15"/>
      <c r="U356" s="15"/>
      <c r="W356" s="15"/>
      <c r="Y356" s="15"/>
      <c r="AA356" s="15"/>
      <c r="AC356" s="15"/>
      <c r="AE356" s="15"/>
      <c r="AG356" s="15"/>
    </row>
    <row r="357" spans="6:33" ht="15.75" customHeight="1" x14ac:dyDescent="0.25">
      <c r="F357" s="6" t="s">
        <v>2088</v>
      </c>
      <c r="G357" s="6" t="s">
        <v>2076</v>
      </c>
      <c r="H357" s="6" t="s">
        <v>1704</v>
      </c>
      <c r="S357" s="15"/>
      <c r="U357" s="15"/>
      <c r="W357" s="15"/>
      <c r="Y357" s="15"/>
      <c r="AA357" s="15"/>
      <c r="AC357" s="15"/>
      <c r="AE357" s="15"/>
      <c r="AG357" s="15"/>
    </row>
    <row r="358" spans="6:33" ht="15.75" customHeight="1" x14ac:dyDescent="0.25">
      <c r="F358" s="6" t="s">
        <v>2088</v>
      </c>
      <c r="G358" s="6" t="s">
        <v>2076</v>
      </c>
      <c r="H358" s="6" t="s">
        <v>1704</v>
      </c>
      <c r="S358" s="15"/>
      <c r="U358" s="15"/>
      <c r="W358" s="15"/>
      <c r="Y358" s="15"/>
      <c r="AA358" s="15"/>
      <c r="AC358" s="15"/>
      <c r="AE358" s="15"/>
      <c r="AG358" s="15"/>
    </row>
    <row r="359" spans="6:33" ht="15.75" customHeight="1" x14ac:dyDescent="0.25">
      <c r="F359" s="6" t="s">
        <v>2088</v>
      </c>
      <c r="G359" s="6" t="s">
        <v>2076</v>
      </c>
      <c r="H359" s="6" t="s">
        <v>1704</v>
      </c>
      <c r="S359" s="15"/>
      <c r="U359" s="15"/>
      <c r="W359" s="15"/>
      <c r="Y359" s="15"/>
      <c r="AA359" s="15"/>
      <c r="AC359" s="15"/>
      <c r="AE359" s="15"/>
      <c r="AG359" s="15"/>
    </row>
    <row r="360" spans="6:33" ht="15.75" customHeight="1" x14ac:dyDescent="0.25">
      <c r="F360" s="6" t="s">
        <v>2088</v>
      </c>
      <c r="G360" s="6" t="s">
        <v>2076</v>
      </c>
      <c r="H360" s="6" t="s">
        <v>1704</v>
      </c>
      <c r="S360" s="15"/>
      <c r="U360" s="15"/>
      <c r="W360" s="15"/>
      <c r="Y360" s="15"/>
      <c r="AA360" s="15"/>
      <c r="AC360" s="15"/>
      <c r="AE360" s="15"/>
      <c r="AG360" s="15"/>
    </row>
    <row r="361" spans="6:33" ht="15.75" customHeight="1" x14ac:dyDescent="0.25">
      <c r="F361" s="6" t="s">
        <v>2088</v>
      </c>
      <c r="G361" s="6" t="s">
        <v>2076</v>
      </c>
      <c r="H361" s="6" t="s">
        <v>1704</v>
      </c>
      <c r="S361" s="15"/>
      <c r="U361" s="15"/>
      <c r="W361" s="15"/>
      <c r="Y361" s="15"/>
      <c r="AA361" s="15"/>
      <c r="AC361" s="15"/>
      <c r="AE361" s="15"/>
      <c r="AG361" s="15"/>
    </row>
    <row r="362" spans="6:33" ht="15.75" customHeight="1" x14ac:dyDescent="0.25">
      <c r="F362" s="6" t="s">
        <v>2088</v>
      </c>
      <c r="G362" s="6" t="s">
        <v>2076</v>
      </c>
      <c r="H362" s="6" t="s">
        <v>1704</v>
      </c>
      <c r="S362" s="15"/>
      <c r="U362" s="15"/>
      <c r="W362" s="15"/>
      <c r="Y362" s="15"/>
      <c r="AA362" s="15"/>
      <c r="AC362" s="15"/>
      <c r="AE362" s="15"/>
      <c r="AG362" s="15"/>
    </row>
    <row r="363" spans="6:33" ht="15.75" customHeight="1" x14ac:dyDescent="0.25">
      <c r="F363" s="6" t="s">
        <v>2088</v>
      </c>
      <c r="G363" t="s">
        <v>2076</v>
      </c>
      <c r="H363" s="6" t="s">
        <v>1704</v>
      </c>
      <c r="S363" s="15"/>
      <c r="U363" s="15"/>
      <c r="W363" s="15"/>
      <c r="Y363" s="15"/>
      <c r="AA363" s="15"/>
      <c r="AC363" s="15"/>
      <c r="AE363" s="15"/>
      <c r="AG363" s="15"/>
    </row>
    <row r="364" spans="6:33" ht="15.75" customHeight="1" x14ac:dyDescent="0.25">
      <c r="F364" s="6" t="s">
        <v>2088</v>
      </c>
      <c r="G364" s="6" t="s">
        <v>2076</v>
      </c>
      <c r="H364" s="6" t="s">
        <v>1704</v>
      </c>
      <c r="S364" s="15"/>
      <c r="U364" s="15"/>
      <c r="W364" s="15"/>
      <c r="Y364" s="15"/>
      <c r="AA364" s="15"/>
      <c r="AC364" s="15"/>
      <c r="AE364" s="15"/>
      <c r="AG364" s="15"/>
    </row>
    <row r="365" spans="6:33" ht="15.75" customHeight="1" x14ac:dyDescent="0.25">
      <c r="F365" s="6" t="s">
        <v>2088</v>
      </c>
      <c r="G365" s="6" t="s">
        <v>2076</v>
      </c>
      <c r="H365" s="6" t="s">
        <v>1704</v>
      </c>
      <c r="S365" s="15"/>
      <c r="U365" s="15"/>
      <c r="W365" s="15"/>
      <c r="Y365" s="15"/>
      <c r="AA365" s="15"/>
      <c r="AC365" s="15"/>
      <c r="AE365" s="15"/>
      <c r="AG365" s="15"/>
    </row>
    <row r="366" spans="6:33" ht="15.75" customHeight="1" x14ac:dyDescent="0.25">
      <c r="F366" s="6" t="s">
        <v>2088</v>
      </c>
      <c r="G366" s="6" t="s">
        <v>2085</v>
      </c>
      <c r="H366" s="6" t="s">
        <v>1704</v>
      </c>
      <c r="S366" s="15"/>
      <c r="U366" s="15"/>
      <c r="W366" s="15"/>
      <c r="Y366" s="15"/>
      <c r="AA366" s="15"/>
      <c r="AC366" s="15"/>
      <c r="AE366" s="15"/>
      <c r="AG366" s="15"/>
    </row>
    <row r="367" spans="6:33" ht="15.75" customHeight="1" x14ac:dyDescent="0.25">
      <c r="F367" s="6" t="s">
        <v>2088</v>
      </c>
      <c r="G367" s="6" t="s">
        <v>2085</v>
      </c>
      <c r="H367" t="s">
        <v>1704</v>
      </c>
      <c r="S367" s="15"/>
      <c r="U367" s="15"/>
      <c r="W367" s="15"/>
      <c r="Y367" s="15"/>
      <c r="AA367" s="15"/>
      <c r="AC367" s="15"/>
      <c r="AE367" s="15"/>
      <c r="AG367" s="15"/>
    </row>
    <row r="368" spans="6:33" ht="15.75" customHeight="1" x14ac:dyDescent="0.25">
      <c r="F368" s="6" t="s">
        <v>2088</v>
      </c>
      <c r="G368" s="6" t="s">
        <v>2085</v>
      </c>
      <c r="H368" t="s">
        <v>1704</v>
      </c>
      <c r="S368" s="15"/>
      <c r="U368" s="15"/>
      <c r="W368" s="15"/>
      <c r="Y368" s="15"/>
      <c r="AA368" s="15"/>
      <c r="AC368" s="15"/>
      <c r="AE368" s="15"/>
      <c r="AG368" s="15"/>
    </row>
    <row r="369" spans="6:33" ht="15.75" customHeight="1" x14ac:dyDescent="0.25">
      <c r="F369" s="6" t="s">
        <v>2088</v>
      </c>
      <c r="G369" s="6" t="s">
        <v>2085</v>
      </c>
      <c r="H369" t="s">
        <v>1704</v>
      </c>
      <c r="S369" s="15"/>
      <c r="U369" s="15"/>
      <c r="W369" s="15"/>
      <c r="Y369" s="15"/>
      <c r="AA369" s="15"/>
      <c r="AC369" s="15"/>
      <c r="AE369" s="15"/>
      <c r="AG369" s="15"/>
    </row>
    <row r="370" spans="6:33" ht="15.75" customHeight="1" x14ac:dyDescent="0.25">
      <c r="F370" s="6" t="s">
        <v>2088</v>
      </c>
      <c r="G370" s="6" t="s">
        <v>2085</v>
      </c>
      <c r="H370" s="6" t="s">
        <v>1704</v>
      </c>
      <c r="S370" s="15"/>
      <c r="U370" s="15"/>
      <c r="W370" s="15"/>
      <c r="Y370" s="15"/>
      <c r="AA370" s="15"/>
      <c r="AC370" s="15"/>
      <c r="AE370" s="15"/>
      <c r="AG370" s="15"/>
    </row>
    <row r="371" spans="6:33" ht="15.75" customHeight="1" x14ac:dyDescent="0.25">
      <c r="F371" s="6" t="s">
        <v>2088</v>
      </c>
      <c r="G371" s="6" t="s">
        <v>2085</v>
      </c>
      <c r="H371" s="6" t="s">
        <v>1704</v>
      </c>
      <c r="S371" s="15"/>
      <c r="U371" s="15"/>
      <c r="W371" s="15"/>
      <c r="Y371" s="15"/>
      <c r="AA371" s="15"/>
      <c r="AC371" s="15"/>
      <c r="AE371" s="15"/>
      <c r="AG371" s="15"/>
    </row>
    <row r="372" spans="6:33" ht="15.75" customHeight="1" x14ac:dyDescent="0.25">
      <c r="F372" s="6" t="s">
        <v>2088</v>
      </c>
      <c r="G372" s="6" t="s">
        <v>2085</v>
      </c>
      <c r="H372" s="6" t="s">
        <v>1704</v>
      </c>
      <c r="S372" s="15"/>
      <c r="U372" s="15"/>
      <c r="W372" s="15"/>
      <c r="Y372" s="15"/>
      <c r="AA372" s="15"/>
      <c r="AC372" s="15"/>
      <c r="AE372" s="15"/>
      <c r="AG372" s="15"/>
    </row>
    <row r="373" spans="6:33" ht="15.75" customHeight="1" x14ac:dyDescent="0.25">
      <c r="F373" t="s">
        <v>2088</v>
      </c>
      <c r="G373" s="6" t="s">
        <v>2085</v>
      </c>
      <c r="H373" t="s">
        <v>1704</v>
      </c>
      <c r="S373" s="15"/>
      <c r="U373" s="15"/>
      <c r="W373" s="15"/>
      <c r="Y373" s="15"/>
      <c r="AA373" s="15"/>
      <c r="AC373" s="15"/>
      <c r="AE373" s="15"/>
      <c r="AG373" s="15"/>
    </row>
    <row r="374" spans="6:33" ht="15.75" customHeight="1" x14ac:dyDescent="0.25">
      <c r="F374" s="6" t="s">
        <v>197</v>
      </c>
      <c r="G374" s="6" t="s">
        <v>2085</v>
      </c>
      <c r="H374" s="8" t="s">
        <v>2119</v>
      </c>
      <c r="S374" s="15"/>
      <c r="U374" s="15"/>
      <c r="W374" s="15"/>
      <c r="Y374" s="15"/>
      <c r="AA374" s="15"/>
      <c r="AC374" s="15"/>
      <c r="AE374" s="15"/>
      <c r="AG374" s="15"/>
    </row>
    <row r="375" spans="6:33" ht="15.75" customHeight="1" x14ac:dyDescent="0.25">
      <c r="F375" s="6" t="s">
        <v>197</v>
      </c>
      <c r="G375" s="6" t="s">
        <v>2085</v>
      </c>
      <c r="H375" s="8" t="s">
        <v>2119</v>
      </c>
      <c r="S375" s="15"/>
      <c r="U375" s="15"/>
      <c r="W375" s="15"/>
      <c r="Y375" s="15"/>
      <c r="AA375" s="15"/>
      <c r="AC375" s="15"/>
      <c r="AE375" s="15"/>
      <c r="AG375" s="15"/>
    </row>
    <row r="376" spans="6:33" ht="15.75" customHeight="1" x14ac:dyDescent="0.25">
      <c r="F376" s="6" t="s">
        <v>197</v>
      </c>
      <c r="G376" s="6" t="s">
        <v>2085</v>
      </c>
      <c r="H376" s="8" t="s">
        <v>2119</v>
      </c>
      <c r="S376" s="15"/>
      <c r="U376" s="15"/>
      <c r="W376" s="15"/>
      <c r="Y376" s="15"/>
      <c r="AA376" s="15"/>
      <c r="AC376" s="15"/>
      <c r="AE376" s="15"/>
      <c r="AG376" s="15"/>
    </row>
    <row r="377" spans="6:33" ht="15.75" customHeight="1" x14ac:dyDescent="0.25">
      <c r="F377" s="6" t="s">
        <v>197</v>
      </c>
      <c r="G377" s="6" t="s">
        <v>2085</v>
      </c>
      <c r="H377" s="8" t="s">
        <v>2119</v>
      </c>
      <c r="S377" s="15"/>
      <c r="U377" s="15"/>
      <c r="W377" s="15"/>
      <c r="Y377" s="15"/>
      <c r="AA377" s="15"/>
      <c r="AC377" s="15"/>
      <c r="AE377" s="15"/>
      <c r="AG377" s="15"/>
    </row>
    <row r="378" spans="6:33" ht="15.75" customHeight="1" x14ac:dyDescent="0.25">
      <c r="F378" s="6" t="s">
        <v>197</v>
      </c>
      <c r="G378" s="6" t="s">
        <v>2085</v>
      </c>
      <c r="H378" s="8" t="s">
        <v>2119</v>
      </c>
      <c r="S378" s="15"/>
      <c r="U378" s="15"/>
      <c r="W378" s="15"/>
      <c r="Y378" s="15"/>
      <c r="AA378" s="15"/>
      <c r="AC378" s="15"/>
      <c r="AE378" s="15"/>
      <c r="AG378" s="15"/>
    </row>
    <row r="379" spans="6:33" ht="15.75" customHeight="1" x14ac:dyDescent="0.25">
      <c r="F379" s="6" t="s">
        <v>197</v>
      </c>
      <c r="G379" s="6" t="s">
        <v>2085</v>
      </c>
      <c r="H379" s="8" t="s">
        <v>2119</v>
      </c>
      <c r="S379" s="15"/>
      <c r="U379" s="15"/>
      <c r="W379" s="15"/>
      <c r="Y379" s="15"/>
      <c r="AA379" s="15"/>
      <c r="AC379" s="15"/>
      <c r="AE379" s="15"/>
      <c r="AG379" s="15"/>
    </row>
    <row r="380" spans="6:33" ht="15.75" customHeight="1" x14ac:dyDescent="0.25">
      <c r="F380" s="6" t="s">
        <v>197</v>
      </c>
      <c r="G380" s="6" t="s">
        <v>2085</v>
      </c>
      <c r="H380" s="8" t="s">
        <v>2119</v>
      </c>
      <c r="S380" s="15"/>
      <c r="U380" s="15"/>
      <c r="W380" s="15"/>
      <c r="Y380" s="15"/>
      <c r="AA380" s="15"/>
      <c r="AC380" s="15"/>
      <c r="AE380" s="15"/>
      <c r="AG380" s="15"/>
    </row>
    <row r="381" spans="6:33" ht="15.75" customHeight="1" x14ac:dyDescent="0.25">
      <c r="F381" s="6" t="s">
        <v>197</v>
      </c>
      <c r="G381" s="6" t="s">
        <v>2085</v>
      </c>
      <c r="H381" s="8" t="s">
        <v>2119</v>
      </c>
      <c r="S381" s="15"/>
      <c r="U381" s="15"/>
      <c r="W381" s="15"/>
      <c r="Y381" s="15"/>
      <c r="AA381" s="15"/>
      <c r="AC381" s="15"/>
      <c r="AE381" s="15"/>
      <c r="AG381" s="15"/>
    </row>
    <row r="382" spans="6:33" ht="15.75" customHeight="1" x14ac:dyDescent="0.25">
      <c r="F382" s="6" t="s">
        <v>197</v>
      </c>
      <c r="G382" s="6" t="s">
        <v>2085</v>
      </c>
      <c r="H382" s="8" t="s">
        <v>2119</v>
      </c>
      <c r="S382" s="15"/>
      <c r="U382" s="15"/>
      <c r="W382" s="15"/>
      <c r="Y382" s="15"/>
      <c r="AA382" s="15"/>
      <c r="AC382" s="15"/>
      <c r="AE382" s="15"/>
      <c r="AG382" s="15"/>
    </row>
    <row r="383" spans="6:33" ht="15.75" customHeight="1" x14ac:dyDescent="0.25">
      <c r="F383" s="6" t="s">
        <v>197</v>
      </c>
      <c r="G383" t="s">
        <v>2085</v>
      </c>
      <c r="H383" s="8" t="s">
        <v>2119</v>
      </c>
      <c r="S383" s="15"/>
      <c r="U383" s="15"/>
      <c r="W383" s="15"/>
      <c r="Y383" s="15"/>
      <c r="AA383" s="15"/>
      <c r="AC383" s="15"/>
      <c r="AE383" s="15"/>
      <c r="AG383" s="15"/>
    </row>
    <row r="384" spans="6:33" ht="15.75" customHeight="1" x14ac:dyDescent="0.25">
      <c r="F384" s="6" t="s">
        <v>197</v>
      </c>
      <c r="G384" s="6" t="s">
        <v>2085</v>
      </c>
      <c r="H384" s="8" t="s">
        <v>2119</v>
      </c>
      <c r="S384" s="15"/>
      <c r="U384" s="15"/>
      <c r="W384" s="15"/>
      <c r="Y384" s="15"/>
      <c r="AA384" s="15"/>
      <c r="AC384" s="15"/>
      <c r="AE384" s="15"/>
      <c r="AG384" s="15"/>
    </row>
    <row r="385" spans="6:33" ht="15.75" customHeight="1" x14ac:dyDescent="0.25">
      <c r="F385" s="6" t="s">
        <v>197</v>
      </c>
      <c r="G385" s="6" t="s">
        <v>2085</v>
      </c>
      <c r="H385" s="6" t="s">
        <v>2119</v>
      </c>
      <c r="S385" s="15"/>
      <c r="U385" s="15"/>
      <c r="W385" s="15"/>
      <c r="Y385" s="15"/>
      <c r="AA385" s="15"/>
      <c r="AC385" s="15"/>
      <c r="AE385" s="15"/>
      <c r="AG385" s="15"/>
    </row>
    <row r="386" spans="6:33" ht="15.75" customHeight="1" x14ac:dyDescent="0.25">
      <c r="F386" s="6" t="s">
        <v>197</v>
      </c>
      <c r="G386" s="6" t="s">
        <v>2028</v>
      </c>
      <c r="H386" s="6" t="s">
        <v>2119</v>
      </c>
      <c r="S386" s="15"/>
      <c r="U386" s="15"/>
      <c r="W386" s="15"/>
      <c r="Y386" s="15"/>
      <c r="AA386" s="15"/>
      <c r="AC386" s="15"/>
      <c r="AE386" s="15"/>
      <c r="AG386" s="15"/>
    </row>
    <row r="387" spans="6:33" ht="15.75" customHeight="1" x14ac:dyDescent="0.25">
      <c r="F387" s="6" t="s">
        <v>197</v>
      </c>
      <c r="G387" s="6" t="s">
        <v>2028</v>
      </c>
      <c r="H387" t="s">
        <v>2119</v>
      </c>
      <c r="S387" s="15"/>
      <c r="U387" s="15"/>
      <c r="W387" s="15"/>
      <c r="Y387" s="15"/>
      <c r="AA387" s="15"/>
      <c r="AC387" s="15"/>
      <c r="AE387" s="15"/>
      <c r="AG387" s="15"/>
    </row>
    <row r="388" spans="6:33" ht="15.75" customHeight="1" x14ac:dyDescent="0.25">
      <c r="F388" s="6" t="s">
        <v>197</v>
      </c>
      <c r="G388" s="6" t="s">
        <v>2028</v>
      </c>
      <c r="H388" s="6" t="s">
        <v>2119</v>
      </c>
      <c r="S388" s="15"/>
      <c r="U388" s="15"/>
      <c r="W388" s="15"/>
      <c r="Y388" s="15"/>
      <c r="AA388" s="15"/>
      <c r="AC388" s="15"/>
      <c r="AE388" s="15"/>
      <c r="AG388" s="15"/>
    </row>
    <row r="389" spans="6:33" ht="15.75" customHeight="1" x14ac:dyDescent="0.25">
      <c r="F389" s="6" t="s">
        <v>197</v>
      </c>
      <c r="G389" s="6" t="s">
        <v>2028</v>
      </c>
      <c r="H389" t="s">
        <v>1752</v>
      </c>
      <c r="S389" s="15"/>
      <c r="U389" s="15"/>
      <c r="W389" s="15"/>
      <c r="Y389" s="15"/>
      <c r="AA389" s="15"/>
      <c r="AC389" s="15"/>
      <c r="AE389" s="15"/>
      <c r="AG389" s="15"/>
    </row>
    <row r="390" spans="6:33" ht="15.75" customHeight="1" x14ac:dyDescent="0.25">
      <c r="F390" s="6" t="s">
        <v>197</v>
      </c>
      <c r="G390" s="6" t="s">
        <v>2028</v>
      </c>
      <c r="H390" t="s">
        <v>1752</v>
      </c>
      <c r="S390" s="15"/>
      <c r="U390" s="15"/>
      <c r="W390" s="15"/>
      <c r="Y390" s="15"/>
      <c r="AA390" s="15"/>
      <c r="AC390" s="15"/>
      <c r="AE390" s="15"/>
      <c r="AG390" s="15"/>
    </row>
    <row r="391" spans="6:33" ht="15.75" customHeight="1" x14ac:dyDescent="0.25">
      <c r="F391" s="6" t="s">
        <v>197</v>
      </c>
      <c r="G391" s="6" t="s">
        <v>2028</v>
      </c>
      <c r="H391" t="s">
        <v>1752</v>
      </c>
      <c r="S391" s="15"/>
      <c r="U391" s="15"/>
      <c r="W391" s="15"/>
      <c r="Y391" s="15"/>
      <c r="AA391" s="15"/>
      <c r="AC391" s="15"/>
      <c r="AE391" s="15"/>
      <c r="AG391" s="15"/>
    </row>
    <row r="392" spans="6:33" ht="15.75" customHeight="1" x14ac:dyDescent="0.25">
      <c r="F392" s="6" t="s">
        <v>197</v>
      </c>
      <c r="G392" s="6" t="s">
        <v>2028</v>
      </c>
      <c r="H392" t="s">
        <v>1752</v>
      </c>
      <c r="S392" s="15"/>
      <c r="U392" s="15"/>
      <c r="W392" s="15"/>
      <c r="Y392" s="15"/>
      <c r="AA392" s="15"/>
      <c r="AC392" s="15"/>
      <c r="AE392" s="15"/>
      <c r="AG392" s="15"/>
    </row>
    <row r="393" spans="6:33" ht="15.75" customHeight="1" x14ac:dyDescent="0.25">
      <c r="F393" s="6" t="s">
        <v>197</v>
      </c>
      <c r="G393" s="6" t="s">
        <v>2028</v>
      </c>
      <c r="H393" t="s">
        <v>1752</v>
      </c>
      <c r="S393" s="15"/>
      <c r="U393" s="15"/>
      <c r="W393" s="15"/>
      <c r="Y393" s="15"/>
      <c r="AA393" s="15"/>
      <c r="AC393" s="15"/>
      <c r="AE393" s="15"/>
      <c r="AG393" s="15"/>
    </row>
    <row r="394" spans="6:33" ht="15.75" customHeight="1" x14ac:dyDescent="0.25">
      <c r="F394" s="6" t="s">
        <v>197</v>
      </c>
      <c r="G394" s="6" t="s">
        <v>2028</v>
      </c>
      <c r="H394" t="s">
        <v>1752</v>
      </c>
      <c r="S394" s="15"/>
      <c r="U394" s="15"/>
      <c r="W394" s="15"/>
      <c r="Y394" s="15"/>
      <c r="AA394" s="15"/>
      <c r="AC394" s="15"/>
      <c r="AE394" s="15"/>
      <c r="AG394" s="15"/>
    </row>
    <row r="395" spans="6:33" ht="15.75" customHeight="1" x14ac:dyDescent="0.25">
      <c r="F395" s="6" t="s">
        <v>197</v>
      </c>
      <c r="G395" s="6" t="s">
        <v>2028</v>
      </c>
      <c r="H395" t="s">
        <v>1752</v>
      </c>
      <c r="S395" s="15"/>
      <c r="U395" s="15"/>
      <c r="W395" s="15"/>
      <c r="Y395" s="15"/>
      <c r="AA395" s="15"/>
      <c r="AC395" s="15"/>
      <c r="AE395" s="15"/>
      <c r="AG395" s="15"/>
    </row>
    <row r="396" spans="6:33" ht="15.75" customHeight="1" x14ac:dyDescent="0.25">
      <c r="F396" s="6" t="s">
        <v>197</v>
      </c>
      <c r="G396" s="6" t="s">
        <v>2028</v>
      </c>
      <c r="H396" t="s">
        <v>1752</v>
      </c>
      <c r="S396" s="15"/>
      <c r="U396" s="15"/>
      <c r="W396" s="15"/>
      <c r="Y396" s="15"/>
      <c r="AA396" s="15"/>
      <c r="AC396" s="15"/>
      <c r="AE396" s="15"/>
      <c r="AG396" s="15"/>
    </row>
    <row r="397" spans="6:33" ht="15.75" customHeight="1" x14ac:dyDescent="0.25">
      <c r="F397" s="6" t="s">
        <v>197</v>
      </c>
      <c r="G397" s="6" t="s">
        <v>2028</v>
      </c>
      <c r="H397" t="s">
        <v>1752</v>
      </c>
      <c r="S397" s="15"/>
      <c r="U397" s="15"/>
      <c r="W397" s="15"/>
      <c r="Y397" s="15"/>
      <c r="AA397" s="15"/>
      <c r="AC397" s="15"/>
      <c r="AE397" s="15"/>
      <c r="AG397" s="15"/>
    </row>
    <row r="398" spans="6:33" ht="15.75" customHeight="1" x14ac:dyDescent="0.25">
      <c r="F398" s="6" t="s">
        <v>197</v>
      </c>
      <c r="G398" s="6" t="s">
        <v>2028</v>
      </c>
      <c r="H398" t="s">
        <v>1752</v>
      </c>
      <c r="S398" s="15"/>
      <c r="U398" s="15"/>
      <c r="W398" s="15"/>
      <c r="Y398" s="15"/>
      <c r="AA398" s="15"/>
      <c r="AC398" s="15"/>
      <c r="AE398" s="15"/>
      <c r="AG398" s="15"/>
    </row>
    <row r="399" spans="6:33" ht="15.75" customHeight="1" x14ac:dyDescent="0.25">
      <c r="F399" s="6" t="s">
        <v>197</v>
      </c>
      <c r="G399" s="6" t="s">
        <v>2028</v>
      </c>
      <c r="H399" t="s">
        <v>1752</v>
      </c>
      <c r="S399" s="15"/>
      <c r="U399" s="15"/>
      <c r="W399" s="15"/>
      <c r="Y399" s="15"/>
      <c r="AA399" s="15"/>
      <c r="AC399" s="15"/>
      <c r="AE399" s="15"/>
      <c r="AG399" s="15"/>
    </row>
    <row r="400" spans="6:33" ht="15.75" customHeight="1" x14ac:dyDescent="0.25">
      <c r="F400" s="6" t="s">
        <v>197</v>
      </c>
      <c r="G400" s="6" t="s">
        <v>2028</v>
      </c>
      <c r="H400" t="s">
        <v>1752</v>
      </c>
      <c r="S400" s="15"/>
      <c r="U400" s="15"/>
      <c r="W400" s="15"/>
      <c r="Y400" s="15"/>
      <c r="AA400" s="15"/>
      <c r="AC400" s="15"/>
      <c r="AE400" s="15"/>
      <c r="AG400" s="15"/>
    </row>
    <row r="401" spans="6:33" ht="15.75" customHeight="1" x14ac:dyDescent="0.25">
      <c r="F401" s="6" t="s">
        <v>197</v>
      </c>
      <c r="G401" s="6" t="s">
        <v>2028</v>
      </c>
      <c r="H401" t="s">
        <v>1752</v>
      </c>
      <c r="S401" s="15"/>
      <c r="U401" s="15"/>
      <c r="W401" s="15"/>
      <c r="Y401" s="15"/>
      <c r="AA401" s="15"/>
      <c r="AC401" s="15"/>
      <c r="AE401" s="15"/>
      <c r="AG401" s="15"/>
    </row>
    <row r="402" spans="6:33" ht="15.75" customHeight="1" x14ac:dyDescent="0.25">
      <c r="F402" s="6" t="s">
        <v>197</v>
      </c>
      <c r="G402" s="6" t="s">
        <v>2028</v>
      </c>
      <c r="H402" t="s">
        <v>1752</v>
      </c>
      <c r="S402" s="15"/>
      <c r="U402" s="15"/>
      <c r="W402" s="15"/>
      <c r="Y402" s="15"/>
      <c r="AA402" s="15"/>
      <c r="AC402" s="15"/>
      <c r="AE402" s="15"/>
      <c r="AG402" s="15"/>
    </row>
    <row r="403" spans="6:33" ht="15.75" customHeight="1" x14ac:dyDescent="0.25">
      <c r="F403" s="6" t="s">
        <v>197</v>
      </c>
      <c r="G403" s="6" t="s">
        <v>2028</v>
      </c>
      <c r="H403" t="s">
        <v>1752</v>
      </c>
      <c r="S403" s="15"/>
      <c r="U403" s="15"/>
      <c r="W403" s="15"/>
      <c r="Y403" s="15"/>
      <c r="AA403" s="15"/>
      <c r="AC403" s="15"/>
      <c r="AE403" s="15"/>
      <c r="AG403" s="15"/>
    </row>
    <row r="404" spans="6:33" ht="15.75" customHeight="1" x14ac:dyDescent="0.25">
      <c r="F404" s="6" t="s">
        <v>197</v>
      </c>
      <c r="G404" s="6" t="s">
        <v>2028</v>
      </c>
      <c r="H404" t="s">
        <v>1752</v>
      </c>
      <c r="S404" s="15"/>
      <c r="U404" s="15"/>
      <c r="W404" s="15"/>
      <c r="Y404" s="15"/>
      <c r="AA404" s="15"/>
      <c r="AC404" s="15"/>
      <c r="AE404" s="15"/>
      <c r="AG404" s="15"/>
    </row>
    <row r="405" spans="6:33" ht="15.75" customHeight="1" x14ac:dyDescent="0.25">
      <c r="F405" s="6" t="s">
        <v>197</v>
      </c>
      <c r="G405" s="6" t="s">
        <v>2028</v>
      </c>
      <c r="H405" t="s">
        <v>1752</v>
      </c>
      <c r="S405" s="15"/>
      <c r="U405" s="15"/>
      <c r="W405" s="15"/>
      <c r="Y405" s="15"/>
      <c r="AA405" s="15"/>
      <c r="AC405" s="15"/>
      <c r="AE405" s="15"/>
      <c r="AG405" s="15"/>
    </row>
    <row r="406" spans="6:33" ht="15.75" customHeight="1" x14ac:dyDescent="0.25">
      <c r="F406" s="6" t="s">
        <v>197</v>
      </c>
      <c r="G406" s="6" t="s">
        <v>2028</v>
      </c>
      <c r="H406" t="s">
        <v>1752</v>
      </c>
      <c r="S406" s="15"/>
      <c r="U406" s="15"/>
      <c r="W406" s="15"/>
      <c r="Y406" s="15"/>
      <c r="AA406" s="15"/>
      <c r="AC406" s="15"/>
      <c r="AE406" s="15"/>
      <c r="AG406" s="15"/>
    </row>
    <row r="407" spans="6:33" ht="15.75" customHeight="1" x14ac:dyDescent="0.25">
      <c r="F407" s="6" t="s">
        <v>197</v>
      </c>
      <c r="G407" s="6" t="s">
        <v>2028</v>
      </c>
      <c r="H407" t="s">
        <v>1752</v>
      </c>
      <c r="S407" s="15"/>
      <c r="U407" s="15"/>
      <c r="W407" s="15"/>
      <c r="Y407" s="15"/>
      <c r="AA407" s="15"/>
      <c r="AC407" s="15"/>
      <c r="AE407" s="15"/>
      <c r="AG407" s="15"/>
    </row>
    <row r="408" spans="6:33" ht="15.75" customHeight="1" x14ac:dyDescent="0.25">
      <c r="F408" s="6" t="s">
        <v>197</v>
      </c>
      <c r="G408" s="6" t="s">
        <v>2028</v>
      </c>
      <c r="H408" t="s">
        <v>1752</v>
      </c>
      <c r="S408" s="15"/>
      <c r="U408" s="15"/>
      <c r="W408" s="15"/>
      <c r="Y408" s="15"/>
      <c r="AA408" s="15"/>
      <c r="AC408" s="15"/>
      <c r="AE408" s="15"/>
      <c r="AG408" s="15"/>
    </row>
    <row r="409" spans="6:33" ht="15.75" customHeight="1" x14ac:dyDescent="0.25">
      <c r="F409" s="6" t="s">
        <v>197</v>
      </c>
      <c r="G409" s="6" t="s">
        <v>2028</v>
      </c>
      <c r="H409" t="s">
        <v>1752</v>
      </c>
      <c r="S409" s="15"/>
      <c r="U409" s="15"/>
      <c r="W409" s="15"/>
      <c r="Y409" s="15"/>
      <c r="AA409" s="15"/>
      <c r="AC409" s="15"/>
      <c r="AE409" s="15"/>
      <c r="AG409" s="15"/>
    </row>
    <row r="410" spans="6:33" ht="15.75" customHeight="1" x14ac:dyDescent="0.25">
      <c r="F410" s="6" t="s">
        <v>197</v>
      </c>
      <c r="G410" s="6" t="s">
        <v>2028</v>
      </c>
      <c r="H410" t="s">
        <v>1752</v>
      </c>
      <c r="S410" s="15"/>
      <c r="U410" s="15"/>
      <c r="W410" s="15"/>
      <c r="Y410" s="15"/>
      <c r="AA410" s="15"/>
      <c r="AC410" s="15"/>
      <c r="AE410" s="15"/>
      <c r="AG410" s="15"/>
    </row>
    <row r="411" spans="6:33" ht="15.75" customHeight="1" x14ac:dyDescent="0.25">
      <c r="F411" s="6" t="s">
        <v>197</v>
      </c>
      <c r="G411" s="6" t="s">
        <v>2028</v>
      </c>
      <c r="H411" t="s">
        <v>1752</v>
      </c>
      <c r="S411" s="15"/>
      <c r="U411" s="15"/>
      <c r="W411" s="15"/>
      <c r="Y411" s="15"/>
      <c r="AA411" s="15"/>
      <c r="AC411" s="15"/>
      <c r="AE411" s="15"/>
      <c r="AG411" s="15"/>
    </row>
    <row r="412" spans="6:33" ht="15.75" customHeight="1" x14ac:dyDescent="0.25">
      <c r="F412" s="6" t="s">
        <v>197</v>
      </c>
      <c r="G412" s="6" t="s">
        <v>2028</v>
      </c>
      <c r="H412" t="s">
        <v>1752</v>
      </c>
      <c r="S412" s="15"/>
      <c r="U412" s="15"/>
      <c r="W412" s="15"/>
      <c r="Y412" s="15"/>
      <c r="AA412" s="15"/>
      <c r="AC412" s="15"/>
      <c r="AE412" s="15"/>
      <c r="AG412" s="15"/>
    </row>
    <row r="413" spans="6:33" ht="15.75" customHeight="1" x14ac:dyDescent="0.25">
      <c r="F413" s="6" t="s">
        <v>197</v>
      </c>
      <c r="G413" s="6" t="s">
        <v>2028</v>
      </c>
      <c r="H413" t="s">
        <v>1752</v>
      </c>
      <c r="S413" s="15"/>
      <c r="U413" s="15"/>
      <c r="W413" s="15"/>
      <c r="Y413" s="15"/>
      <c r="AA413" s="15"/>
      <c r="AC413" s="15"/>
      <c r="AE413" s="15"/>
      <c r="AG413" s="15"/>
    </row>
    <row r="414" spans="6:33" ht="15.75" customHeight="1" x14ac:dyDescent="0.25">
      <c r="F414" s="6" t="s">
        <v>197</v>
      </c>
      <c r="G414" s="6" t="s">
        <v>2101</v>
      </c>
      <c r="H414" t="s">
        <v>1752</v>
      </c>
      <c r="S414" s="15"/>
      <c r="U414" s="15"/>
      <c r="W414" s="15"/>
      <c r="Y414" s="15"/>
      <c r="AA414" s="15"/>
      <c r="AC414" s="15"/>
      <c r="AE414" s="15"/>
      <c r="AG414" s="15"/>
    </row>
    <row r="415" spans="6:33" ht="15.75" customHeight="1" x14ac:dyDescent="0.25">
      <c r="F415" s="6" t="s">
        <v>197</v>
      </c>
      <c r="G415" s="6" t="s">
        <v>2101</v>
      </c>
      <c r="H415" t="s">
        <v>1752</v>
      </c>
      <c r="S415" s="15"/>
      <c r="U415" s="15"/>
      <c r="W415" s="15"/>
      <c r="Y415" s="15"/>
      <c r="AA415" s="15"/>
      <c r="AC415" s="15"/>
      <c r="AE415" s="15"/>
      <c r="AG415" s="15"/>
    </row>
    <row r="416" spans="6:33" ht="15.75" customHeight="1" x14ac:dyDescent="0.25">
      <c r="F416" s="6" t="s">
        <v>197</v>
      </c>
      <c r="G416" s="6" t="s">
        <v>2101</v>
      </c>
      <c r="H416" t="s">
        <v>1752</v>
      </c>
      <c r="S416" s="15"/>
      <c r="U416" s="15"/>
      <c r="W416" s="15"/>
      <c r="Y416" s="15"/>
      <c r="AA416" s="15"/>
      <c r="AC416" s="15"/>
      <c r="AE416" s="15"/>
      <c r="AG416" s="15"/>
    </row>
    <row r="417" spans="5:33" ht="15.75" customHeight="1" x14ac:dyDescent="0.25">
      <c r="F417" s="6" t="s">
        <v>197</v>
      </c>
      <c r="G417" s="6" t="s">
        <v>2101</v>
      </c>
      <c r="H417" t="s">
        <v>1752</v>
      </c>
      <c r="S417" s="15"/>
      <c r="U417" s="15"/>
      <c r="W417" s="15"/>
      <c r="Y417" s="15"/>
      <c r="AA417" s="15"/>
      <c r="AC417" s="15"/>
      <c r="AE417" s="15"/>
      <c r="AG417" s="15"/>
    </row>
    <row r="418" spans="5:33" ht="15.75" customHeight="1" x14ac:dyDescent="0.25">
      <c r="F418" s="6" t="s">
        <v>197</v>
      </c>
      <c r="G418" s="6" t="s">
        <v>2101</v>
      </c>
      <c r="H418" t="s">
        <v>1752</v>
      </c>
      <c r="S418" s="15"/>
      <c r="U418" s="15"/>
      <c r="W418" s="15"/>
      <c r="Y418" s="15"/>
      <c r="AA418" s="15"/>
      <c r="AC418" s="15"/>
      <c r="AE418" s="15"/>
      <c r="AG418" s="15"/>
    </row>
    <row r="419" spans="5:33" ht="15.75" customHeight="1" x14ac:dyDescent="0.25">
      <c r="F419" s="6" t="s">
        <v>197</v>
      </c>
      <c r="G419" s="6" t="s">
        <v>2101</v>
      </c>
      <c r="H419" t="s">
        <v>1752</v>
      </c>
      <c r="S419" s="15"/>
      <c r="U419" s="15"/>
      <c r="W419" s="15"/>
      <c r="Y419" s="15"/>
      <c r="AA419" s="15"/>
      <c r="AC419" s="15"/>
      <c r="AE419" s="15"/>
      <c r="AG419" s="15"/>
    </row>
    <row r="420" spans="5:33" ht="15.75" customHeight="1" x14ac:dyDescent="0.25">
      <c r="F420" s="6" t="s">
        <v>197</v>
      </c>
      <c r="G420" s="6" t="s">
        <v>2101</v>
      </c>
      <c r="H420" t="s">
        <v>1752</v>
      </c>
      <c r="S420" s="15"/>
      <c r="U420" s="15"/>
      <c r="W420" s="15"/>
      <c r="Y420" s="15"/>
      <c r="AA420" s="15"/>
      <c r="AC420" s="15"/>
      <c r="AE420" s="15"/>
      <c r="AG420" s="15"/>
    </row>
    <row r="421" spans="5:33" ht="15.75" customHeight="1" x14ac:dyDescent="0.25">
      <c r="F421" s="6" t="s">
        <v>197</v>
      </c>
      <c r="G421" s="6" t="s">
        <v>2101</v>
      </c>
      <c r="H421" t="s">
        <v>1752</v>
      </c>
      <c r="S421" s="15"/>
      <c r="U421" s="15"/>
      <c r="W421" s="15"/>
      <c r="Y421" s="15"/>
      <c r="AA421" s="15"/>
      <c r="AC421" s="15"/>
      <c r="AE421" s="15"/>
      <c r="AG421" s="15"/>
    </row>
    <row r="422" spans="5:33" ht="15.75" customHeight="1" x14ac:dyDescent="0.25">
      <c r="F422" s="6" t="s">
        <v>197</v>
      </c>
      <c r="G422" s="6" t="s">
        <v>2101</v>
      </c>
      <c r="H422" t="s">
        <v>1752</v>
      </c>
      <c r="S422" s="15"/>
      <c r="U422" s="15"/>
      <c r="W422" s="15"/>
      <c r="Y422" s="15"/>
      <c r="AA422" s="15"/>
      <c r="AC422" s="15"/>
      <c r="AE422" s="15"/>
      <c r="AG422" s="15"/>
    </row>
    <row r="423" spans="5:33" ht="15.75" customHeight="1" x14ac:dyDescent="0.25">
      <c r="F423" s="6" t="s">
        <v>197</v>
      </c>
      <c r="G423" s="6" t="s">
        <v>2101</v>
      </c>
      <c r="H423" t="s">
        <v>1752</v>
      </c>
      <c r="S423" s="15"/>
      <c r="U423" s="15"/>
      <c r="W423" s="15"/>
      <c r="Y423" s="15"/>
      <c r="AA423" s="15"/>
      <c r="AC423" s="15"/>
      <c r="AE423" s="15"/>
      <c r="AG423" s="15"/>
    </row>
    <row r="424" spans="5:33" ht="15.75" customHeight="1" x14ac:dyDescent="0.25">
      <c r="F424" s="6" t="s">
        <v>197</v>
      </c>
      <c r="G424" s="6" t="s">
        <v>2101</v>
      </c>
      <c r="H424" t="s">
        <v>1752</v>
      </c>
      <c r="S424" s="15"/>
      <c r="U424" s="15"/>
      <c r="W424" s="15"/>
      <c r="Y424" s="15"/>
      <c r="AA424" s="15"/>
      <c r="AC424" s="15"/>
      <c r="AE424" s="15"/>
      <c r="AG424" s="15"/>
    </row>
    <row r="425" spans="5:33" ht="15.75" customHeight="1" x14ac:dyDescent="0.25">
      <c r="F425" s="6" t="s">
        <v>197</v>
      </c>
      <c r="G425" s="6" t="s">
        <v>2101</v>
      </c>
      <c r="H425" t="s">
        <v>1752</v>
      </c>
      <c r="S425" s="15"/>
      <c r="U425" s="15"/>
      <c r="W425" s="15"/>
      <c r="Y425" s="15"/>
      <c r="AA425" s="15"/>
      <c r="AC425" s="15"/>
      <c r="AE425" s="15"/>
      <c r="AG425" s="15"/>
    </row>
    <row r="426" spans="5:33" ht="15.75" customHeight="1" x14ac:dyDescent="0.25">
      <c r="F426" s="6" t="s">
        <v>197</v>
      </c>
      <c r="G426" s="6" t="s">
        <v>2101</v>
      </c>
      <c r="H426" t="s">
        <v>1752</v>
      </c>
      <c r="S426" s="15"/>
      <c r="U426" s="15"/>
      <c r="W426" s="15"/>
      <c r="Y426" s="15"/>
      <c r="AA426" s="15"/>
      <c r="AC426" s="15"/>
      <c r="AE426" s="15"/>
      <c r="AG426" s="15"/>
    </row>
    <row r="427" spans="5:33" ht="15.75" customHeight="1" x14ac:dyDescent="0.25">
      <c r="E427" s="6"/>
      <c r="F427" s="6" t="s">
        <v>197</v>
      </c>
      <c r="G427" s="6" t="s">
        <v>2101</v>
      </c>
      <c r="H427" t="s">
        <v>1752</v>
      </c>
      <c r="S427" s="15"/>
      <c r="U427" s="15"/>
      <c r="W427" s="15"/>
      <c r="Y427" s="15"/>
      <c r="AA427" s="15"/>
      <c r="AC427" s="15"/>
      <c r="AE427" s="15"/>
      <c r="AG427" s="15"/>
    </row>
    <row r="428" spans="5:33" ht="15.75" customHeight="1" x14ac:dyDescent="0.25">
      <c r="F428" s="6" t="s">
        <v>197</v>
      </c>
      <c r="G428" s="6" t="s">
        <v>2101</v>
      </c>
      <c r="H428" t="s">
        <v>1752</v>
      </c>
      <c r="S428" s="15"/>
      <c r="U428" s="15"/>
      <c r="W428" s="15"/>
      <c r="Y428" s="15"/>
      <c r="AA428" s="15"/>
      <c r="AC428" s="15"/>
      <c r="AE428" s="15"/>
      <c r="AG428" s="15"/>
    </row>
    <row r="429" spans="5:33" ht="15.75" customHeight="1" x14ac:dyDescent="0.25">
      <c r="F429" s="6" t="s">
        <v>197</v>
      </c>
      <c r="G429" s="6" t="s">
        <v>2101</v>
      </c>
      <c r="H429" t="s">
        <v>1752</v>
      </c>
      <c r="S429" s="15"/>
      <c r="U429" s="15"/>
      <c r="W429" s="15"/>
      <c r="Y429" s="15"/>
      <c r="AA429" s="15"/>
      <c r="AC429" s="15"/>
      <c r="AE429" s="15"/>
      <c r="AG429" s="15"/>
    </row>
    <row r="430" spans="5:33" ht="15.75" customHeight="1" x14ac:dyDescent="0.25">
      <c r="F430" s="6" t="s">
        <v>197</v>
      </c>
      <c r="G430" s="6" t="s">
        <v>2101</v>
      </c>
      <c r="H430" t="s">
        <v>1752</v>
      </c>
      <c r="S430" s="15"/>
      <c r="U430" s="15"/>
      <c r="W430" s="15"/>
      <c r="Y430" s="15"/>
      <c r="AA430" s="15"/>
      <c r="AC430" s="15"/>
      <c r="AE430" s="15"/>
      <c r="AG430" s="15"/>
    </row>
    <row r="431" spans="5:33" ht="15.75" customHeight="1" x14ac:dyDescent="0.25">
      <c r="F431" s="6" t="s">
        <v>197</v>
      </c>
      <c r="G431" s="6" t="s">
        <v>2101</v>
      </c>
      <c r="H431" t="s">
        <v>1752</v>
      </c>
      <c r="S431" s="15"/>
      <c r="U431" s="15"/>
      <c r="W431" s="15"/>
      <c r="Y431" s="15"/>
      <c r="AA431" s="15"/>
      <c r="AC431" s="15"/>
      <c r="AE431" s="15"/>
      <c r="AG431" s="15"/>
    </row>
    <row r="432" spans="5:33" ht="15.75" customHeight="1" x14ac:dyDescent="0.25">
      <c r="F432" s="6" t="s">
        <v>197</v>
      </c>
      <c r="G432" s="6" t="s">
        <v>2216</v>
      </c>
      <c r="H432" t="s">
        <v>1752</v>
      </c>
      <c r="S432" s="15"/>
      <c r="U432" s="15"/>
      <c r="W432" s="15"/>
      <c r="Y432" s="15"/>
      <c r="AA432" s="15"/>
      <c r="AC432" s="15"/>
      <c r="AE432" s="15"/>
      <c r="AG432" s="15"/>
    </row>
    <row r="433" spans="6:33" ht="15.75" customHeight="1" x14ac:dyDescent="0.25">
      <c r="F433" s="6" t="s">
        <v>197</v>
      </c>
      <c r="G433" s="6" t="s">
        <v>2216</v>
      </c>
      <c r="H433" t="s">
        <v>1752</v>
      </c>
      <c r="S433" s="15"/>
      <c r="U433" s="15"/>
      <c r="W433" s="15"/>
      <c r="Y433" s="15"/>
      <c r="AA433" s="15"/>
      <c r="AC433" s="15"/>
      <c r="AE433" s="15"/>
      <c r="AG433" s="15"/>
    </row>
    <row r="434" spans="6:33" ht="15.75" customHeight="1" x14ac:dyDescent="0.25">
      <c r="F434" s="6" t="s">
        <v>197</v>
      </c>
      <c r="G434" s="6" t="s">
        <v>2216</v>
      </c>
      <c r="H434" t="s">
        <v>1752</v>
      </c>
      <c r="S434" s="15"/>
      <c r="U434" s="15"/>
      <c r="W434" s="15"/>
      <c r="Y434" s="15"/>
      <c r="AA434" s="15"/>
      <c r="AC434" s="15"/>
      <c r="AE434" s="15"/>
      <c r="AG434" s="15"/>
    </row>
    <row r="435" spans="6:33" ht="15.75" customHeight="1" x14ac:dyDescent="0.25">
      <c r="F435" s="6" t="s">
        <v>197</v>
      </c>
      <c r="G435" s="6" t="s">
        <v>1657</v>
      </c>
      <c r="H435" t="s">
        <v>1752</v>
      </c>
      <c r="S435" s="15"/>
      <c r="U435" s="15"/>
      <c r="W435" s="15"/>
      <c r="Y435" s="15"/>
      <c r="AA435" s="15"/>
      <c r="AC435" s="15"/>
      <c r="AE435" s="15"/>
      <c r="AG435" s="15"/>
    </row>
    <row r="436" spans="6:33" ht="15.75" customHeight="1" x14ac:dyDescent="0.25">
      <c r="F436" s="6" t="s">
        <v>197</v>
      </c>
      <c r="G436" s="28" t="s">
        <v>1657</v>
      </c>
      <c r="H436" t="s">
        <v>1752</v>
      </c>
      <c r="S436" s="15"/>
      <c r="U436" s="15"/>
      <c r="W436" s="15"/>
      <c r="Y436" s="15"/>
      <c r="AA436" s="15"/>
      <c r="AC436" s="15"/>
      <c r="AE436" s="15"/>
      <c r="AG436" s="15"/>
    </row>
    <row r="437" spans="6:33" ht="15.75" customHeight="1" x14ac:dyDescent="0.25">
      <c r="F437" s="6" t="s">
        <v>197</v>
      </c>
      <c r="G437" s="6" t="s">
        <v>1657</v>
      </c>
      <c r="H437" t="s">
        <v>1752</v>
      </c>
      <c r="S437" s="15"/>
      <c r="U437" s="15"/>
      <c r="W437" s="15"/>
      <c r="Y437" s="15"/>
      <c r="AA437" s="15"/>
      <c r="AC437" s="15"/>
      <c r="AE437" s="15"/>
      <c r="AG437" s="15"/>
    </row>
    <row r="438" spans="6:33" ht="15.75" customHeight="1" x14ac:dyDescent="0.25">
      <c r="F438" s="6" t="s">
        <v>197</v>
      </c>
      <c r="G438" s="6" t="s">
        <v>1657</v>
      </c>
      <c r="H438" t="s">
        <v>1752</v>
      </c>
      <c r="S438" s="15"/>
      <c r="U438" s="15"/>
      <c r="W438" s="15"/>
      <c r="Y438" s="15"/>
      <c r="AA438" s="15"/>
      <c r="AC438" s="15"/>
      <c r="AE438" s="15"/>
      <c r="AG438" s="15"/>
    </row>
    <row r="439" spans="6:33" ht="15.75" customHeight="1" x14ac:dyDescent="0.25">
      <c r="F439" s="6" t="s">
        <v>197</v>
      </c>
      <c r="G439" s="6" t="s">
        <v>1657</v>
      </c>
      <c r="H439" t="s">
        <v>1752</v>
      </c>
      <c r="S439" s="15"/>
      <c r="U439" s="15"/>
      <c r="W439" s="15"/>
      <c r="Y439" s="15"/>
      <c r="AA439" s="15"/>
      <c r="AC439" s="15"/>
      <c r="AE439" s="15"/>
      <c r="AG439" s="15"/>
    </row>
    <row r="440" spans="6:33" ht="15.75" customHeight="1" x14ac:dyDescent="0.25">
      <c r="F440" s="6" t="s">
        <v>197</v>
      </c>
      <c r="G440" s="6" t="s">
        <v>1657</v>
      </c>
      <c r="H440" s="6" t="s">
        <v>1752</v>
      </c>
      <c r="S440" s="15"/>
      <c r="U440" s="15"/>
      <c r="W440" s="15"/>
      <c r="Y440" s="15"/>
      <c r="AA440" s="15"/>
      <c r="AC440" s="15"/>
      <c r="AE440" s="15"/>
      <c r="AG440" s="15"/>
    </row>
    <row r="441" spans="6:33" ht="15.75" customHeight="1" x14ac:dyDescent="0.25">
      <c r="F441" s="6" t="s">
        <v>197</v>
      </c>
      <c r="G441" s="6" t="s">
        <v>1657</v>
      </c>
      <c r="H441" t="s">
        <v>1752</v>
      </c>
      <c r="S441" s="15"/>
      <c r="U441" s="15"/>
      <c r="W441" s="15"/>
      <c r="Y441" s="15"/>
      <c r="AA441" s="15"/>
      <c r="AC441" s="15"/>
      <c r="AE441" s="15"/>
      <c r="AG441" s="15"/>
    </row>
    <row r="442" spans="6:33" ht="15.75" customHeight="1" x14ac:dyDescent="0.25">
      <c r="F442" s="6" t="s">
        <v>197</v>
      </c>
      <c r="G442" s="6" t="s">
        <v>1657</v>
      </c>
      <c r="H442" t="s">
        <v>1752</v>
      </c>
      <c r="S442" s="15"/>
      <c r="U442" s="15"/>
      <c r="W442" s="15"/>
      <c r="Y442" s="15"/>
      <c r="AA442" s="15"/>
      <c r="AC442" s="15"/>
      <c r="AE442" s="15"/>
      <c r="AG442" s="15"/>
    </row>
    <row r="443" spans="6:33" ht="15.75" customHeight="1" x14ac:dyDescent="0.25">
      <c r="F443" s="6" t="s">
        <v>197</v>
      </c>
      <c r="G443" s="6" t="s">
        <v>1657</v>
      </c>
      <c r="H443" t="s">
        <v>1752</v>
      </c>
      <c r="S443" s="15"/>
      <c r="U443" s="15"/>
      <c r="W443" s="15"/>
      <c r="Y443" s="15"/>
      <c r="AA443" s="15"/>
      <c r="AC443" s="15"/>
      <c r="AE443" s="15"/>
      <c r="AG443" s="15"/>
    </row>
    <row r="444" spans="6:33" ht="15.75" customHeight="1" x14ac:dyDescent="0.25">
      <c r="F444" s="6" t="s">
        <v>197</v>
      </c>
      <c r="G444" s="6" t="s">
        <v>1657</v>
      </c>
      <c r="H444" t="s">
        <v>1752</v>
      </c>
      <c r="S444" s="15"/>
      <c r="U444" s="15"/>
      <c r="W444" s="15"/>
      <c r="Y444" s="15"/>
      <c r="AA444" s="15"/>
      <c r="AC444" s="15"/>
      <c r="AE444" s="15"/>
      <c r="AG444" s="15"/>
    </row>
    <row r="445" spans="6:33" ht="15.75" customHeight="1" x14ac:dyDescent="0.25">
      <c r="F445" s="6" t="s">
        <v>197</v>
      </c>
      <c r="G445" s="6" t="s">
        <v>1657</v>
      </c>
      <c r="H445" s="6" t="s">
        <v>1752</v>
      </c>
      <c r="S445" s="15"/>
      <c r="U445" s="15"/>
      <c r="W445" s="15"/>
      <c r="Y445" s="15"/>
      <c r="AA445" s="15"/>
      <c r="AC445" s="15"/>
      <c r="AE445" s="15"/>
      <c r="AG445" s="15"/>
    </row>
    <row r="446" spans="6:33" ht="15.75" customHeight="1" x14ac:dyDescent="0.25">
      <c r="F446" s="6" t="s">
        <v>197</v>
      </c>
      <c r="G446" s="6" t="s">
        <v>1657</v>
      </c>
      <c r="H446" s="6" t="s">
        <v>1752</v>
      </c>
      <c r="S446" s="15"/>
      <c r="U446" s="15"/>
      <c r="W446" s="15"/>
      <c r="Y446" s="15"/>
      <c r="AA446" s="15"/>
      <c r="AC446" s="15"/>
      <c r="AE446" s="15"/>
      <c r="AG446" s="15"/>
    </row>
    <row r="447" spans="6:33" ht="15.75" customHeight="1" x14ac:dyDescent="0.25">
      <c r="F447" s="6" t="s">
        <v>197</v>
      </c>
      <c r="G447" s="6" t="s">
        <v>1657</v>
      </c>
      <c r="H447" t="s">
        <v>1752</v>
      </c>
      <c r="S447" s="15"/>
      <c r="U447" s="15"/>
      <c r="W447" s="15"/>
      <c r="Y447" s="15"/>
      <c r="AA447" s="15"/>
      <c r="AC447" s="15"/>
      <c r="AE447" s="15"/>
      <c r="AG447" s="15"/>
    </row>
    <row r="448" spans="6:33" ht="15.75" customHeight="1" x14ac:dyDescent="0.25">
      <c r="F448" s="6" t="s">
        <v>197</v>
      </c>
      <c r="G448" s="6" t="s">
        <v>1657</v>
      </c>
      <c r="H448" s="6" t="s">
        <v>2067</v>
      </c>
      <c r="S448" s="15"/>
      <c r="U448" s="15"/>
      <c r="W448" s="15"/>
      <c r="Y448" s="15"/>
      <c r="AA448" s="15"/>
      <c r="AC448" s="15"/>
      <c r="AE448" s="15"/>
      <c r="AG448" s="15"/>
    </row>
    <row r="449" spans="6:33" ht="15.75" customHeight="1" x14ac:dyDescent="0.25">
      <c r="F449" s="6" t="s">
        <v>197</v>
      </c>
      <c r="G449" s="6" t="s">
        <v>1657</v>
      </c>
      <c r="H449" s="6" t="s">
        <v>2067</v>
      </c>
      <c r="S449" s="15"/>
      <c r="U449" s="15"/>
      <c r="W449" s="15"/>
      <c r="Y449" s="15"/>
      <c r="AA449" s="15"/>
      <c r="AC449" s="15"/>
      <c r="AE449" s="15"/>
      <c r="AG449" s="15"/>
    </row>
    <row r="450" spans="6:33" ht="15.75" customHeight="1" x14ac:dyDescent="0.25">
      <c r="F450" s="6" t="s">
        <v>197</v>
      </c>
      <c r="G450" s="6" t="s">
        <v>1657</v>
      </c>
      <c r="H450" s="6" t="s">
        <v>2067</v>
      </c>
      <c r="S450" s="15"/>
      <c r="U450" s="15"/>
      <c r="W450" s="15"/>
      <c r="Y450" s="15"/>
      <c r="AA450" s="15"/>
      <c r="AC450" s="15"/>
      <c r="AE450" s="15"/>
      <c r="AG450" s="15"/>
    </row>
    <row r="451" spans="6:33" ht="15.75" customHeight="1" x14ac:dyDescent="0.25">
      <c r="F451" s="6" t="s">
        <v>197</v>
      </c>
      <c r="G451" s="6" t="s">
        <v>1657</v>
      </c>
      <c r="H451" s="6" t="s">
        <v>2067</v>
      </c>
      <c r="S451" s="15"/>
      <c r="U451" s="15"/>
      <c r="W451" s="15"/>
      <c r="Y451" s="15"/>
      <c r="AA451" s="15"/>
      <c r="AC451" s="15"/>
      <c r="AE451" s="15"/>
      <c r="AG451" s="15"/>
    </row>
    <row r="452" spans="6:33" ht="15.75" customHeight="1" x14ac:dyDescent="0.25">
      <c r="F452" s="6" t="s">
        <v>197</v>
      </c>
      <c r="G452" s="6" t="s">
        <v>1657</v>
      </c>
      <c r="H452" s="6" t="s">
        <v>2067</v>
      </c>
      <c r="S452" s="15"/>
      <c r="U452" s="15"/>
      <c r="W452" s="15"/>
      <c r="Y452" s="15"/>
      <c r="AA452" s="15"/>
      <c r="AC452" s="15"/>
      <c r="AE452" s="15"/>
      <c r="AG452" s="15"/>
    </row>
    <row r="453" spans="6:33" ht="15.75" customHeight="1" x14ac:dyDescent="0.25">
      <c r="F453" s="6" t="s">
        <v>197</v>
      </c>
      <c r="G453" s="6" t="s">
        <v>1657</v>
      </c>
      <c r="H453" s="6" t="s">
        <v>2067</v>
      </c>
      <c r="S453" s="15"/>
      <c r="U453" s="15"/>
      <c r="W453" s="15"/>
      <c r="Y453" s="15"/>
      <c r="AA453" s="15"/>
      <c r="AC453" s="15"/>
      <c r="AE453" s="15"/>
      <c r="AG453" s="15"/>
    </row>
    <row r="454" spans="6:33" ht="15.75" customHeight="1" x14ac:dyDescent="0.25">
      <c r="F454" s="6" t="s">
        <v>197</v>
      </c>
      <c r="G454" s="6" t="s">
        <v>1657</v>
      </c>
      <c r="H454" s="6" t="s">
        <v>2067</v>
      </c>
      <c r="S454" s="15"/>
      <c r="U454" s="15"/>
      <c r="W454" s="15"/>
      <c r="Y454" s="15"/>
      <c r="AA454" s="15"/>
      <c r="AC454" s="15"/>
      <c r="AE454" s="15"/>
      <c r="AG454" s="15"/>
    </row>
    <row r="455" spans="6:33" ht="15.75" customHeight="1" x14ac:dyDescent="0.25">
      <c r="F455" s="6" t="s">
        <v>197</v>
      </c>
      <c r="G455" s="6" t="s">
        <v>1657</v>
      </c>
      <c r="H455" s="6" t="s">
        <v>2067</v>
      </c>
      <c r="S455" s="15"/>
      <c r="U455" s="15"/>
      <c r="W455" s="15"/>
      <c r="Y455" s="15"/>
      <c r="AA455" s="15"/>
      <c r="AC455" s="15"/>
      <c r="AE455" s="15"/>
      <c r="AG455" s="15"/>
    </row>
    <row r="456" spans="6:33" ht="15.75" customHeight="1" x14ac:dyDescent="0.25">
      <c r="F456" s="6" t="s">
        <v>197</v>
      </c>
      <c r="G456" s="6" t="s">
        <v>1657</v>
      </c>
      <c r="H456" s="6" t="s">
        <v>2067</v>
      </c>
      <c r="S456" s="15"/>
      <c r="U456" s="15"/>
      <c r="W456" s="15"/>
      <c r="Y456" s="15"/>
      <c r="AA456" s="15"/>
      <c r="AC456" s="15"/>
      <c r="AE456" s="15"/>
      <c r="AG456" s="15"/>
    </row>
    <row r="457" spans="6:33" ht="15.75" customHeight="1" x14ac:dyDescent="0.25">
      <c r="F457" s="6" t="s">
        <v>197</v>
      </c>
      <c r="G457" s="6" t="s">
        <v>1657</v>
      </c>
      <c r="H457" s="6" t="s">
        <v>2067</v>
      </c>
      <c r="S457" s="15"/>
      <c r="U457" s="15"/>
      <c r="W457" s="15"/>
      <c r="Y457" s="15"/>
      <c r="AA457" s="15"/>
      <c r="AC457" s="15"/>
      <c r="AE457" s="15"/>
      <c r="AG457" s="15"/>
    </row>
    <row r="458" spans="6:33" ht="15.75" customHeight="1" x14ac:dyDescent="0.25">
      <c r="F458" s="6" t="s">
        <v>197</v>
      </c>
      <c r="G458" s="6" t="s">
        <v>1657</v>
      </c>
      <c r="H458" s="6" t="s">
        <v>2067</v>
      </c>
      <c r="S458" s="15"/>
      <c r="U458" s="15"/>
      <c r="W458" s="15"/>
      <c r="Y458" s="15"/>
      <c r="AA458" s="15"/>
      <c r="AC458" s="15"/>
      <c r="AE458" s="15"/>
      <c r="AG458" s="15"/>
    </row>
    <row r="459" spans="6:33" ht="15.75" customHeight="1" x14ac:dyDescent="0.25">
      <c r="F459" s="6" t="s">
        <v>197</v>
      </c>
      <c r="G459" s="6" t="s">
        <v>1657</v>
      </c>
      <c r="H459" s="6" t="s">
        <v>2067</v>
      </c>
      <c r="S459" s="15"/>
      <c r="U459" s="15"/>
      <c r="W459" s="15"/>
      <c r="Y459" s="15"/>
      <c r="AA459" s="15"/>
      <c r="AC459" s="15"/>
      <c r="AE459" s="15"/>
      <c r="AG459" s="15"/>
    </row>
    <row r="460" spans="6:33" ht="15.75" customHeight="1" x14ac:dyDescent="0.25">
      <c r="F460" s="6" t="s">
        <v>197</v>
      </c>
      <c r="G460" s="6" t="s">
        <v>1657</v>
      </c>
      <c r="H460" s="6" t="s">
        <v>2067</v>
      </c>
      <c r="S460" s="15"/>
      <c r="U460" s="15"/>
      <c r="W460" s="15"/>
      <c r="Y460" s="15"/>
      <c r="AA460" s="15"/>
      <c r="AC460" s="15"/>
      <c r="AE460" s="15"/>
      <c r="AG460" s="15"/>
    </row>
    <row r="461" spans="6:33" ht="15.75" customHeight="1" x14ac:dyDescent="0.25">
      <c r="F461" s="6" t="s">
        <v>197</v>
      </c>
      <c r="G461" s="6" t="s">
        <v>1657</v>
      </c>
      <c r="H461" s="6" t="s">
        <v>2067</v>
      </c>
      <c r="S461" s="15"/>
      <c r="U461" s="15"/>
      <c r="W461" s="15"/>
      <c r="Y461" s="15"/>
      <c r="AA461" s="15"/>
      <c r="AC461" s="15"/>
      <c r="AE461" s="15"/>
      <c r="AG461" s="15"/>
    </row>
    <row r="462" spans="6:33" ht="15.75" customHeight="1" x14ac:dyDescent="0.25">
      <c r="F462" s="6" t="s">
        <v>197</v>
      </c>
      <c r="G462" s="6" t="s">
        <v>1657</v>
      </c>
      <c r="H462" s="6" t="s">
        <v>2067</v>
      </c>
      <c r="S462" s="15"/>
      <c r="U462" s="15"/>
      <c r="W462" s="15"/>
      <c r="Y462" s="15"/>
      <c r="AA462" s="15"/>
      <c r="AC462" s="15"/>
      <c r="AE462" s="15"/>
      <c r="AG462" s="15"/>
    </row>
    <row r="463" spans="6:33" ht="15.75" customHeight="1" x14ac:dyDescent="0.25">
      <c r="F463" s="6" t="s">
        <v>197</v>
      </c>
      <c r="G463" s="6" t="s">
        <v>1657</v>
      </c>
      <c r="H463" s="6" t="s">
        <v>2067</v>
      </c>
      <c r="S463" s="15"/>
      <c r="U463" s="15"/>
      <c r="W463" s="15"/>
      <c r="Y463" s="15"/>
      <c r="AA463" s="15"/>
      <c r="AC463" s="15"/>
      <c r="AE463" s="15"/>
      <c r="AG463" s="15"/>
    </row>
    <row r="464" spans="6:33" ht="15.75" customHeight="1" x14ac:dyDescent="0.25">
      <c r="F464" s="6" t="s">
        <v>197</v>
      </c>
      <c r="G464" s="6" t="s">
        <v>1657</v>
      </c>
      <c r="H464" s="6" t="s">
        <v>2067</v>
      </c>
      <c r="S464" s="15"/>
      <c r="U464" s="15"/>
      <c r="W464" s="15"/>
      <c r="Y464" s="15"/>
      <c r="AA464" s="15"/>
      <c r="AC464" s="15"/>
      <c r="AE464" s="15"/>
      <c r="AG464" s="15"/>
    </row>
    <row r="465" spans="5:33" ht="15.75" customHeight="1" x14ac:dyDescent="0.25">
      <c r="F465" s="6" t="s">
        <v>197</v>
      </c>
      <c r="G465" s="6" t="s">
        <v>1657</v>
      </c>
      <c r="H465" s="6" t="s">
        <v>2067</v>
      </c>
      <c r="S465" s="15"/>
      <c r="U465" s="15"/>
      <c r="W465" s="15"/>
      <c r="Y465" s="15"/>
      <c r="AA465" s="15"/>
      <c r="AC465" s="15"/>
      <c r="AE465" s="15"/>
      <c r="AG465" s="15"/>
    </row>
    <row r="466" spans="5:33" ht="15.75" customHeight="1" x14ac:dyDescent="0.25">
      <c r="F466" s="6" t="s">
        <v>197</v>
      </c>
      <c r="G466" s="6" t="s">
        <v>1657</v>
      </c>
      <c r="H466" s="6" t="s">
        <v>2067</v>
      </c>
      <c r="S466" s="15"/>
      <c r="U466" s="15"/>
      <c r="W466" s="15"/>
      <c r="Y466" s="15"/>
      <c r="AA466" s="15"/>
      <c r="AC466" s="15"/>
      <c r="AE466" s="15"/>
      <c r="AG466" s="15"/>
    </row>
    <row r="467" spans="5:33" ht="15.75" customHeight="1" x14ac:dyDescent="0.25">
      <c r="F467" s="6" t="s">
        <v>2182</v>
      </c>
      <c r="G467" s="6" t="s">
        <v>1657</v>
      </c>
      <c r="H467" s="6" t="s">
        <v>2067</v>
      </c>
      <c r="S467" s="15"/>
      <c r="U467" s="15"/>
      <c r="W467" s="15"/>
      <c r="Y467" s="15"/>
      <c r="AA467" s="15"/>
      <c r="AC467" s="15"/>
      <c r="AE467" s="15"/>
      <c r="AG467" s="15"/>
    </row>
    <row r="468" spans="5:33" ht="15.75" customHeight="1" x14ac:dyDescent="0.25">
      <c r="F468" s="6" t="s">
        <v>2182</v>
      </c>
      <c r="G468" s="6" t="s">
        <v>1657</v>
      </c>
      <c r="H468" s="6" t="s">
        <v>2067</v>
      </c>
      <c r="S468" s="15"/>
      <c r="U468" s="15"/>
      <c r="W468" s="15"/>
      <c r="Y468" s="15"/>
      <c r="AA468" s="15"/>
      <c r="AC468" s="15"/>
      <c r="AE468" s="15"/>
      <c r="AG468" s="15"/>
    </row>
    <row r="469" spans="5:33" ht="15.75" customHeight="1" x14ac:dyDescent="0.25">
      <c r="E469" s="6"/>
      <c r="F469" s="6" t="s">
        <v>2182</v>
      </c>
      <c r="G469" s="6" t="s">
        <v>1657</v>
      </c>
      <c r="H469" t="s">
        <v>2067</v>
      </c>
      <c r="S469" s="15"/>
      <c r="U469" s="15"/>
      <c r="W469" s="15"/>
      <c r="Y469" s="15"/>
      <c r="AA469" s="15"/>
      <c r="AC469" s="15"/>
      <c r="AE469" s="15"/>
      <c r="AG469" s="15"/>
    </row>
    <row r="470" spans="5:33" ht="15.75" customHeight="1" x14ac:dyDescent="0.25">
      <c r="F470" s="6" t="s">
        <v>2182</v>
      </c>
      <c r="G470" s="6" t="s">
        <v>1657</v>
      </c>
      <c r="H470" t="s">
        <v>2198</v>
      </c>
      <c r="S470" s="15"/>
      <c r="U470" s="15"/>
      <c r="W470" s="15"/>
      <c r="Y470" s="15"/>
      <c r="AA470" s="15"/>
      <c r="AC470" s="15"/>
      <c r="AE470" s="15"/>
      <c r="AG470" s="15"/>
    </row>
    <row r="471" spans="5:33" ht="15.75" customHeight="1" x14ac:dyDescent="0.25">
      <c r="F471" s="6" t="s">
        <v>2182</v>
      </c>
      <c r="G471" s="6" t="s">
        <v>1657</v>
      </c>
      <c r="H471" s="6" t="s">
        <v>2198</v>
      </c>
      <c r="S471" s="15"/>
      <c r="U471" s="15"/>
      <c r="W471" s="15"/>
      <c r="Y471" s="15"/>
      <c r="AA471" s="15"/>
      <c r="AC471" s="15"/>
      <c r="AE471" s="15"/>
      <c r="AG471" s="15"/>
    </row>
    <row r="472" spans="5:33" ht="15.75" customHeight="1" x14ac:dyDescent="0.25">
      <c r="F472" s="6" t="s">
        <v>2182</v>
      </c>
      <c r="G472" s="6" t="s">
        <v>1657</v>
      </c>
      <c r="H472" s="6" t="s">
        <v>2198</v>
      </c>
      <c r="S472" s="15"/>
      <c r="U472" s="15"/>
      <c r="W472" s="15"/>
      <c r="Y472" s="15"/>
      <c r="AA472" s="15"/>
      <c r="AC472" s="15"/>
      <c r="AE472" s="15"/>
      <c r="AG472" s="15"/>
    </row>
    <row r="473" spans="5:33" ht="15.75" customHeight="1" x14ac:dyDescent="0.25">
      <c r="F473" s="6" t="s">
        <v>2182</v>
      </c>
      <c r="G473" s="6" t="s">
        <v>1657</v>
      </c>
      <c r="H473" t="s">
        <v>2198</v>
      </c>
      <c r="S473" s="15"/>
      <c r="U473" s="15"/>
      <c r="W473" s="15"/>
      <c r="Y473" s="15"/>
      <c r="AA473" s="15"/>
      <c r="AC473" s="15"/>
      <c r="AE473" s="15"/>
      <c r="AG473" s="15"/>
    </row>
    <row r="474" spans="5:33" ht="15.75" customHeight="1" x14ac:dyDescent="0.25">
      <c r="F474" s="6" t="s">
        <v>2182</v>
      </c>
      <c r="G474" s="6" t="s">
        <v>1657</v>
      </c>
      <c r="H474" s="6" t="s">
        <v>2198</v>
      </c>
      <c r="S474" s="15"/>
      <c r="U474" s="15"/>
      <c r="W474" s="15"/>
      <c r="Y474" s="15"/>
      <c r="AA474" s="15"/>
      <c r="AC474" s="15"/>
      <c r="AE474" s="15"/>
      <c r="AG474" s="15"/>
    </row>
    <row r="475" spans="5:33" ht="15.75" customHeight="1" x14ac:dyDescent="0.25">
      <c r="F475" t="s">
        <v>2049</v>
      </c>
      <c r="G475" s="6" t="s">
        <v>1657</v>
      </c>
      <c r="H475" s="6" t="s">
        <v>2188</v>
      </c>
      <c r="S475" s="15"/>
      <c r="U475" s="15"/>
      <c r="W475" s="15"/>
      <c r="Y475" s="15"/>
      <c r="AA475" s="15"/>
      <c r="AC475" s="15"/>
      <c r="AE475" s="15"/>
      <c r="AG475" s="15"/>
    </row>
    <row r="476" spans="5:33" ht="15.75" customHeight="1" x14ac:dyDescent="0.25">
      <c r="F476" t="s">
        <v>2049</v>
      </c>
      <c r="G476" s="6" t="s">
        <v>1657</v>
      </c>
      <c r="H476" s="6" t="s">
        <v>2188</v>
      </c>
      <c r="S476" s="15"/>
      <c r="U476" s="15"/>
      <c r="W476" s="15"/>
      <c r="Y476" s="15"/>
      <c r="AA476" s="15"/>
      <c r="AC476" s="15"/>
      <c r="AE476" s="15"/>
      <c r="AG476" s="15"/>
    </row>
    <row r="477" spans="5:33" ht="15.75" customHeight="1" x14ac:dyDescent="0.25">
      <c r="F477" t="s">
        <v>2049</v>
      </c>
      <c r="G477" s="6" t="s">
        <v>1657</v>
      </c>
      <c r="H477" s="6" t="s">
        <v>2188</v>
      </c>
      <c r="S477" s="15"/>
      <c r="U477" s="15"/>
      <c r="W477" s="15"/>
      <c r="Y477" s="15"/>
      <c r="AA477" s="15"/>
      <c r="AC477" s="15"/>
      <c r="AE477" s="15"/>
      <c r="AG477" s="15"/>
    </row>
    <row r="478" spans="5:33" ht="15.75" customHeight="1" x14ac:dyDescent="0.25">
      <c r="F478" t="s">
        <v>2049</v>
      </c>
      <c r="G478" s="6" t="s">
        <v>1657</v>
      </c>
      <c r="H478" s="6" t="s">
        <v>2188</v>
      </c>
      <c r="S478" s="15"/>
      <c r="U478" s="15"/>
      <c r="W478" s="15"/>
      <c r="Y478" s="15"/>
      <c r="AA478" s="15"/>
      <c r="AC478" s="15"/>
      <c r="AE478" s="15"/>
      <c r="AG478" s="15"/>
    </row>
    <row r="479" spans="5:33" ht="15.75" customHeight="1" x14ac:dyDescent="0.25">
      <c r="F479" t="s">
        <v>2049</v>
      </c>
      <c r="G479" s="6" t="s">
        <v>1657</v>
      </c>
      <c r="H479" s="6" t="s">
        <v>2188</v>
      </c>
      <c r="S479" s="15"/>
      <c r="U479" s="15"/>
      <c r="W479" s="15"/>
      <c r="Y479" s="15"/>
      <c r="AA479" s="15"/>
      <c r="AC479" s="15"/>
      <c r="AE479" s="15"/>
      <c r="AG479" s="15"/>
    </row>
    <row r="480" spans="5:33" ht="15.75" customHeight="1" x14ac:dyDescent="0.25">
      <c r="F480" t="s">
        <v>2049</v>
      </c>
      <c r="G480" s="6" t="s">
        <v>1657</v>
      </c>
      <c r="H480" s="6" t="s">
        <v>2188</v>
      </c>
      <c r="S480" s="15"/>
      <c r="U480" s="15"/>
      <c r="W480" s="15"/>
      <c r="Y480" s="15"/>
      <c r="AA480" s="15"/>
      <c r="AC480" s="15"/>
      <c r="AE480" s="15"/>
      <c r="AG480" s="15"/>
    </row>
    <row r="481" spans="6:33" ht="15.75" customHeight="1" x14ac:dyDescent="0.25">
      <c r="F481" t="s">
        <v>2049</v>
      </c>
      <c r="G481" s="6" t="s">
        <v>1657</v>
      </c>
      <c r="H481" s="6" t="s">
        <v>2188</v>
      </c>
      <c r="S481" s="15"/>
      <c r="U481" s="15"/>
      <c r="W481" s="15"/>
      <c r="Y481" s="15"/>
      <c r="AA481" s="15"/>
      <c r="AC481" s="15"/>
      <c r="AE481" s="15"/>
      <c r="AG481" s="15"/>
    </row>
    <row r="482" spans="6:33" ht="15.75" customHeight="1" x14ac:dyDescent="0.25">
      <c r="F482" t="s">
        <v>2049</v>
      </c>
      <c r="G482" s="6" t="s">
        <v>1657</v>
      </c>
      <c r="H482" t="s">
        <v>1986</v>
      </c>
      <c r="S482" s="15"/>
      <c r="U482" s="15"/>
      <c r="W482" s="15"/>
      <c r="Y482" s="15"/>
      <c r="AA482" s="15"/>
      <c r="AC482" s="15"/>
      <c r="AE482" s="15"/>
      <c r="AG482" s="15"/>
    </row>
    <row r="483" spans="6:33" ht="15.75" customHeight="1" x14ac:dyDescent="0.25">
      <c r="F483" t="s">
        <v>2049</v>
      </c>
      <c r="G483" s="6" t="s">
        <v>1657</v>
      </c>
      <c r="H483" t="s">
        <v>1986</v>
      </c>
      <c r="S483" s="15"/>
      <c r="U483" s="15"/>
      <c r="W483" s="15"/>
      <c r="Y483" s="15"/>
      <c r="AA483" s="15"/>
      <c r="AC483" s="15"/>
      <c r="AE483" s="15"/>
      <c r="AG483" s="15"/>
    </row>
    <row r="484" spans="6:33" ht="15.75" customHeight="1" x14ac:dyDescent="0.25">
      <c r="F484" t="s">
        <v>2049</v>
      </c>
      <c r="G484" s="6" t="s">
        <v>1657</v>
      </c>
      <c r="H484" t="s">
        <v>1986</v>
      </c>
      <c r="S484" s="15"/>
      <c r="U484" s="15"/>
      <c r="W484" s="15"/>
      <c r="Y484" s="15"/>
      <c r="AA484" s="15"/>
      <c r="AC484" s="15"/>
      <c r="AE484" s="15"/>
      <c r="AG484" s="15"/>
    </row>
    <row r="485" spans="6:33" ht="15.75" customHeight="1" x14ac:dyDescent="0.25">
      <c r="F485" t="s">
        <v>2049</v>
      </c>
      <c r="G485" s="6" t="s">
        <v>1657</v>
      </c>
      <c r="H485" t="s">
        <v>1986</v>
      </c>
      <c r="S485" s="15"/>
      <c r="U485" s="15"/>
      <c r="W485" s="15"/>
      <c r="Y485" s="15"/>
      <c r="AA485" s="15"/>
      <c r="AC485" s="15"/>
      <c r="AE485" s="15"/>
      <c r="AG485" s="15"/>
    </row>
    <row r="486" spans="6:33" ht="15.75" customHeight="1" x14ac:dyDescent="0.25">
      <c r="F486" t="s">
        <v>2049</v>
      </c>
      <c r="G486" s="6" t="s">
        <v>1657</v>
      </c>
      <c r="H486" t="s">
        <v>1986</v>
      </c>
      <c r="S486" s="15"/>
      <c r="U486" s="15"/>
      <c r="W486" s="15"/>
      <c r="Y486" s="15"/>
      <c r="AA486" s="15"/>
      <c r="AC486" s="15"/>
      <c r="AE486" s="15"/>
      <c r="AG486" s="15"/>
    </row>
    <row r="487" spans="6:33" ht="15.75" customHeight="1" x14ac:dyDescent="0.25">
      <c r="F487" t="s">
        <v>2049</v>
      </c>
      <c r="G487" s="6" t="s">
        <v>1657</v>
      </c>
      <c r="H487" t="s">
        <v>1986</v>
      </c>
      <c r="S487" s="15"/>
      <c r="U487" s="15"/>
      <c r="W487" s="15"/>
      <c r="Y487" s="15"/>
      <c r="AA487" s="15"/>
      <c r="AC487" s="15"/>
      <c r="AE487" s="15"/>
      <c r="AG487" s="15"/>
    </row>
    <row r="488" spans="6:33" ht="15.75" customHeight="1" x14ac:dyDescent="0.25">
      <c r="F488" t="s">
        <v>2049</v>
      </c>
      <c r="G488" s="6" t="s">
        <v>1657</v>
      </c>
      <c r="H488" t="s">
        <v>1986</v>
      </c>
      <c r="S488" s="15"/>
      <c r="U488" s="15"/>
      <c r="W488" s="15"/>
      <c r="Y488" s="15"/>
      <c r="AA488" s="15"/>
      <c r="AC488" s="15"/>
      <c r="AE488" s="15"/>
      <c r="AG488" s="15"/>
    </row>
    <row r="489" spans="6:33" ht="15.75" customHeight="1" x14ac:dyDescent="0.25">
      <c r="F489" t="s">
        <v>2049</v>
      </c>
      <c r="G489" s="6" t="s">
        <v>1657</v>
      </c>
      <c r="H489" t="s">
        <v>1986</v>
      </c>
      <c r="S489" s="15"/>
      <c r="U489" s="15"/>
      <c r="W489" s="15"/>
      <c r="Y489" s="15"/>
      <c r="AA489" s="15"/>
      <c r="AC489" s="15"/>
      <c r="AE489" s="15"/>
      <c r="AG489" s="15"/>
    </row>
    <row r="490" spans="6:33" ht="15.75" customHeight="1" x14ac:dyDescent="0.25">
      <c r="F490" t="s">
        <v>2049</v>
      </c>
      <c r="G490" s="6" t="s">
        <v>1657</v>
      </c>
      <c r="H490" t="s">
        <v>1986</v>
      </c>
      <c r="S490" s="15"/>
      <c r="U490" s="15"/>
      <c r="W490" s="15"/>
      <c r="Y490" s="15"/>
      <c r="AA490" s="15"/>
      <c r="AC490" s="15"/>
      <c r="AE490" s="15"/>
      <c r="AG490" s="15"/>
    </row>
    <row r="491" spans="6:33" ht="15.75" customHeight="1" x14ac:dyDescent="0.25">
      <c r="F491" t="s">
        <v>2049</v>
      </c>
      <c r="G491" s="6" t="s">
        <v>1657</v>
      </c>
      <c r="H491" t="s">
        <v>1986</v>
      </c>
      <c r="S491" s="15"/>
      <c r="U491" s="15"/>
      <c r="W491" s="15"/>
      <c r="Y491" s="15"/>
      <c r="AA491" s="15"/>
      <c r="AC491" s="15"/>
      <c r="AE491" s="15"/>
      <c r="AG491" s="15"/>
    </row>
    <row r="492" spans="6:33" ht="15.75" customHeight="1" x14ac:dyDescent="0.25">
      <c r="F492" t="s">
        <v>2049</v>
      </c>
      <c r="G492" s="6" t="s">
        <v>1657</v>
      </c>
      <c r="H492" t="s">
        <v>1986</v>
      </c>
      <c r="S492" s="15"/>
      <c r="U492" s="15"/>
      <c r="W492" s="15"/>
      <c r="Y492" s="15"/>
      <c r="AA492" s="15"/>
      <c r="AC492" s="15"/>
      <c r="AE492" s="15"/>
      <c r="AG492" s="15"/>
    </row>
    <row r="493" spans="6:33" ht="15.75" customHeight="1" x14ac:dyDescent="0.25">
      <c r="F493" t="s">
        <v>2049</v>
      </c>
      <c r="G493" s="6" t="s">
        <v>1657</v>
      </c>
      <c r="H493" t="s">
        <v>1986</v>
      </c>
      <c r="S493" s="15"/>
      <c r="U493" s="15"/>
      <c r="W493" s="15"/>
      <c r="Y493" s="15"/>
      <c r="AA493" s="15"/>
      <c r="AC493" s="15"/>
      <c r="AE493" s="15"/>
      <c r="AG493" s="15"/>
    </row>
    <row r="494" spans="6:33" ht="15.75" customHeight="1" x14ac:dyDescent="0.25">
      <c r="F494" t="s">
        <v>2049</v>
      </c>
      <c r="G494" s="6" t="s">
        <v>1657</v>
      </c>
      <c r="H494" t="s">
        <v>1986</v>
      </c>
      <c r="S494" s="15"/>
      <c r="U494" s="15"/>
      <c r="W494" s="15"/>
      <c r="Y494" s="15"/>
      <c r="AA494" s="15"/>
      <c r="AC494" s="15"/>
      <c r="AE494" s="15"/>
      <c r="AG494" s="15"/>
    </row>
    <row r="495" spans="6:33" ht="15.75" customHeight="1" x14ac:dyDescent="0.25">
      <c r="F495" t="s">
        <v>2049</v>
      </c>
      <c r="G495" s="6" t="s">
        <v>1657</v>
      </c>
      <c r="H495" t="s">
        <v>1986</v>
      </c>
      <c r="S495" s="15"/>
      <c r="U495" s="15"/>
      <c r="W495" s="15"/>
      <c r="Y495" s="15"/>
      <c r="AA495" s="15"/>
      <c r="AC495" s="15"/>
      <c r="AE495" s="15"/>
      <c r="AG495" s="15"/>
    </row>
    <row r="496" spans="6:33" ht="15.75" customHeight="1" x14ac:dyDescent="0.25">
      <c r="F496" t="s">
        <v>2049</v>
      </c>
      <c r="G496" s="6" t="s">
        <v>1657</v>
      </c>
      <c r="H496" t="s">
        <v>1986</v>
      </c>
      <c r="S496" s="15"/>
      <c r="U496" s="15"/>
      <c r="W496" s="15"/>
      <c r="Y496" s="15"/>
      <c r="AA496" s="15"/>
      <c r="AC496" s="15"/>
      <c r="AE496" s="15"/>
      <c r="AG496" s="15"/>
    </row>
    <row r="497" spans="6:33" ht="15.75" customHeight="1" x14ac:dyDescent="0.25">
      <c r="F497" t="s">
        <v>2049</v>
      </c>
      <c r="G497" s="6" t="s">
        <v>1657</v>
      </c>
      <c r="H497" t="s">
        <v>1986</v>
      </c>
      <c r="S497" s="15"/>
      <c r="U497" s="15"/>
      <c r="W497" s="15"/>
      <c r="Y497" s="15"/>
      <c r="AA497" s="15"/>
      <c r="AC497" s="15"/>
      <c r="AE497" s="15"/>
      <c r="AG497" s="15"/>
    </row>
    <row r="498" spans="6:33" ht="15.75" customHeight="1" x14ac:dyDescent="0.25">
      <c r="F498" t="s">
        <v>2049</v>
      </c>
      <c r="G498" s="6" t="s">
        <v>1657</v>
      </c>
      <c r="H498" t="s">
        <v>1986</v>
      </c>
      <c r="S498" s="15"/>
      <c r="U498" s="15"/>
      <c r="W498" s="15"/>
      <c r="Y498" s="15"/>
      <c r="AA498" s="15"/>
      <c r="AC498" s="15"/>
      <c r="AE498" s="15"/>
      <c r="AG498" s="15"/>
    </row>
    <row r="499" spans="6:33" ht="15.75" customHeight="1" x14ac:dyDescent="0.25">
      <c r="F499" t="s">
        <v>2049</v>
      </c>
      <c r="G499" s="6" t="s">
        <v>1657</v>
      </c>
      <c r="H499" t="s">
        <v>1986</v>
      </c>
      <c r="S499" s="15"/>
      <c r="U499" s="15"/>
      <c r="W499" s="15"/>
      <c r="Y499" s="15"/>
      <c r="AA499" s="15"/>
      <c r="AC499" s="15"/>
      <c r="AE499" s="15"/>
      <c r="AG499" s="15"/>
    </row>
    <row r="500" spans="6:33" ht="15.75" customHeight="1" x14ac:dyDescent="0.25">
      <c r="F500" t="s">
        <v>2049</v>
      </c>
      <c r="G500" s="6" t="s">
        <v>1657</v>
      </c>
      <c r="H500" t="s">
        <v>1986</v>
      </c>
      <c r="S500" s="15"/>
      <c r="U500" s="15"/>
      <c r="W500" s="15"/>
      <c r="Y500" s="15"/>
      <c r="AA500" s="15"/>
      <c r="AC500" s="15"/>
      <c r="AE500" s="15"/>
      <c r="AG500" s="15"/>
    </row>
    <row r="501" spans="6:33" ht="15.75" customHeight="1" x14ac:dyDescent="0.25">
      <c r="F501" t="s">
        <v>2049</v>
      </c>
      <c r="G501" s="6" t="s">
        <v>2000</v>
      </c>
      <c r="H501" t="s">
        <v>1986</v>
      </c>
      <c r="S501" s="15"/>
      <c r="U501" s="15"/>
      <c r="W501" s="15"/>
      <c r="Y501" s="15"/>
      <c r="AA501" s="15"/>
      <c r="AC501" s="15"/>
      <c r="AE501" s="15"/>
      <c r="AG501" s="15"/>
    </row>
    <row r="502" spans="6:33" ht="15.75" customHeight="1" x14ac:dyDescent="0.25">
      <c r="F502" t="s">
        <v>1942</v>
      </c>
      <c r="G502" s="6" t="s">
        <v>2000</v>
      </c>
      <c r="H502" t="s">
        <v>1986</v>
      </c>
      <c r="S502" s="15"/>
      <c r="U502" s="15"/>
      <c r="W502" s="15"/>
      <c r="Y502" s="15"/>
      <c r="AA502" s="15"/>
      <c r="AC502" s="15"/>
      <c r="AE502" s="15"/>
      <c r="AG502" s="15"/>
    </row>
    <row r="503" spans="6:33" ht="15.75" customHeight="1" x14ac:dyDescent="0.25">
      <c r="F503" t="s">
        <v>1942</v>
      </c>
      <c r="G503" s="6" t="s">
        <v>2000</v>
      </c>
      <c r="H503" t="s">
        <v>1986</v>
      </c>
      <c r="S503" s="15"/>
      <c r="U503" s="15"/>
      <c r="W503" s="15"/>
      <c r="Y503" s="15"/>
      <c r="AA503" s="15"/>
      <c r="AC503" s="15"/>
      <c r="AE503" s="15"/>
      <c r="AG503" s="15"/>
    </row>
    <row r="504" spans="6:33" ht="15.75" customHeight="1" x14ac:dyDescent="0.25">
      <c r="F504" t="s">
        <v>1942</v>
      </c>
      <c r="G504" s="6" t="s">
        <v>2000</v>
      </c>
      <c r="H504" t="s">
        <v>1986</v>
      </c>
      <c r="S504" s="15"/>
      <c r="U504" s="15"/>
      <c r="W504" s="15"/>
      <c r="Y504" s="15"/>
      <c r="AA504" s="15"/>
      <c r="AC504" s="15"/>
      <c r="AE504" s="15"/>
      <c r="AG504" s="15"/>
    </row>
    <row r="505" spans="6:33" ht="15.75" customHeight="1" x14ac:dyDescent="0.25">
      <c r="F505" t="s">
        <v>1942</v>
      </c>
      <c r="G505" s="6" t="s">
        <v>2000</v>
      </c>
      <c r="H505" t="s">
        <v>1986</v>
      </c>
      <c r="S505" s="15"/>
      <c r="U505" s="15"/>
      <c r="W505" s="15"/>
      <c r="Y505" s="15"/>
      <c r="AA505" s="15"/>
      <c r="AC505" s="15"/>
      <c r="AE505" s="15"/>
      <c r="AG505" s="15"/>
    </row>
    <row r="506" spans="6:33" ht="15.75" customHeight="1" x14ac:dyDescent="0.25">
      <c r="F506" t="s">
        <v>1942</v>
      </c>
      <c r="G506" s="6" t="s">
        <v>2000</v>
      </c>
      <c r="H506" t="s">
        <v>1986</v>
      </c>
      <c r="S506" s="15"/>
      <c r="U506" s="15"/>
      <c r="W506" s="15"/>
      <c r="Y506" s="15"/>
      <c r="AA506" s="15"/>
      <c r="AC506" s="15"/>
      <c r="AE506" s="15"/>
      <c r="AG506" s="15"/>
    </row>
    <row r="507" spans="6:33" ht="15.75" customHeight="1" x14ac:dyDescent="0.25">
      <c r="F507" t="s">
        <v>1942</v>
      </c>
      <c r="G507" s="6" t="s">
        <v>2000</v>
      </c>
      <c r="H507" t="s">
        <v>1986</v>
      </c>
      <c r="S507" s="15"/>
      <c r="U507" s="15"/>
      <c r="W507" s="15"/>
      <c r="Y507" s="15"/>
      <c r="AA507" s="15"/>
      <c r="AC507" s="15"/>
      <c r="AE507" s="15"/>
      <c r="AG507" s="15"/>
    </row>
    <row r="508" spans="6:33" ht="15.75" customHeight="1" x14ac:dyDescent="0.25">
      <c r="F508" t="s">
        <v>1942</v>
      </c>
      <c r="G508" s="6" t="s">
        <v>2000</v>
      </c>
      <c r="H508" t="s">
        <v>1986</v>
      </c>
      <c r="S508" s="15"/>
      <c r="U508" s="15"/>
      <c r="W508" s="15"/>
      <c r="Y508" s="15"/>
      <c r="AA508" s="15"/>
      <c r="AC508" s="15"/>
      <c r="AE508" s="15"/>
      <c r="AG508" s="15"/>
    </row>
    <row r="509" spans="6:33" ht="15.75" customHeight="1" x14ac:dyDescent="0.25">
      <c r="F509" t="s">
        <v>1942</v>
      </c>
      <c r="G509" s="6" t="s">
        <v>2000</v>
      </c>
      <c r="H509" t="s">
        <v>1986</v>
      </c>
      <c r="S509" s="15"/>
      <c r="U509" s="15"/>
      <c r="W509" s="15"/>
      <c r="Y509" s="15"/>
      <c r="AA509" s="15"/>
      <c r="AC509" s="15"/>
      <c r="AE509" s="15"/>
      <c r="AG509" s="15"/>
    </row>
    <row r="510" spans="6:33" ht="15.75" customHeight="1" x14ac:dyDescent="0.25">
      <c r="F510" t="s">
        <v>1942</v>
      </c>
      <c r="G510" s="6" t="s">
        <v>2000</v>
      </c>
      <c r="H510" t="s">
        <v>1986</v>
      </c>
      <c r="S510" s="15"/>
      <c r="U510" s="15"/>
      <c r="W510" s="15"/>
      <c r="Y510" s="15"/>
      <c r="AA510" s="15"/>
      <c r="AC510" s="15"/>
      <c r="AE510" s="15"/>
      <c r="AG510" s="15"/>
    </row>
    <row r="511" spans="6:33" ht="15.75" customHeight="1" x14ac:dyDescent="0.25">
      <c r="F511" t="s">
        <v>1942</v>
      </c>
      <c r="G511" s="6" t="s">
        <v>2000</v>
      </c>
      <c r="H511" s="6" t="s">
        <v>1986</v>
      </c>
      <c r="S511" s="15"/>
      <c r="U511" s="15"/>
      <c r="W511" s="15"/>
      <c r="Y511" s="15"/>
      <c r="AA511" s="15"/>
      <c r="AC511" s="15"/>
      <c r="AE511" s="15"/>
      <c r="AG511" s="15"/>
    </row>
    <row r="512" spans="6:33" ht="15.75" customHeight="1" x14ac:dyDescent="0.25">
      <c r="F512" t="s">
        <v>1942</v>
      </c>
      <c r="G512" s="6" t="s">
        <v>2000</v>
      </c>
      <c r="H512" s="6" t="s">
        <v>1986</v>
      </c>
      <c r="S512" s="15"/>
      <c r="U512" s="15"/>
      <c r="W512" s="15"/>
      <c r="Y512" s="15"/>
      <c r="AA512" s="15"/>
      <c r="AC512" s="15"/>
      <c r="AE512" s="15"/>
      <c r="AG512" s="15"/>
    </row>
    <row r="513" spans="6:33" ht="15.75" customHeight="1" x14ac:dyDescent="0.25">
      <c r="F513" t="s">
        <v>1942</v>
      </c>
      <c r="G513" s="6" t="s">
        <v>2000</v>
      </c>
      <c r="H513" s="6" t="s">
        <v>1986</v>
      </c>
      <c r="S513" s="15"/>
      <c r="U513" s="15"/>
      <c r="W513" s="15"/>
      <c r="Y513" s="15"/>
      <c r="AA513" s="15"/>
      <c r="AC513" s="15"/>
      <c r="AE513" s="15"/>
      <c r="AG513" s="15"/>
    </row>
    <row r="514" spans="6:33" ht="15.75" customHeight="1" x14ac:dyDescent="0.25">
      <c r="F514" t="s">
        <v>1942</v>
      </c>
      <c r="G514" s="6" t="s">
        <v>2000</v>
      </c>
      <c r="H514" s="6" t="s">
        <v>1986</v>
      </c>
      <c r="S514" s="15"/>
      <c r="U514" s="15"/>
      <c r="W514" s="15"/>
      <c r="Y514" s="15"/>
      <c r="AA514" s="15"/>
      <c r="AC514" s="15"/>
      <c r="AE514" s="15"/>
      <c r="AG514" s="15"/>
    </row>
    <row r="515" spans="6:33" ht="15.75" customHeight="1" x14ac:dyDescent="0.25">
      <c r="F515" t="s">
        <v>1942</v>
      </c>
      <c r="G515" s="6" t="s">
        <v>2000</v>
      </c>
      <c r="H515" s="6" t="s">
        <v>1986</v>
      </c>
      <c r="S515" s="15"/>
      <c r="U515" s="15"/>
      <c r="W515" s="15"/>
      <c r="Y515" s="15"/>
      <c r="AA515" s="15"/>
      <c r="AC515" s="15"/>
      <c r="AE515" s="15"/>
      <c r="AG515" s="15"/>
    </row>
    <row r="516" spans="6:33" ht="15.75" customHeight="1" x14ac:dyDescent="0.25">
      <c r="F516" t="s">
        <v>1942</v>
      </c>
      <c r="G516" s="6" t="s">
        <v>2000</v>
      </c>
      <c r="H516" s="6" t="s">
        <v>2145</v>
      </c>
      <c r="S516" s="15"/>
      <c r="U516" s="15"/>
      <c r="W516" s="15"/>
      <c r="Y516" s="15"/>
      <c r="AA516" s="15"/>
      <c r="AC516" s="15"/>
      <c r="AE516" s="15"/>
      <c r="AG516" s="15"/>
    </row>
    <row r="517" spans="6:33" ht="15.75" customHeight="1" x14ac:dyDescent="0.25">
      <c r="F517" t="s">
        <v>1942</v>
      </c>
      <c r="G517" s="6" t="s">
        <v>2000</v>
      </c>
      <c r="H517" s="6" t="s">
        <v>2145</v>
      </c>
      <c r="S517" s="15"/>
      <c r="U517" s="15"/>
      <c r="W517" s="15"/>
      <c r="Y517" s="15"/>
      <c r="AA517" s="15"/>
      <c r="AC517" s="15"/>
      <c r="AE517" s="15"/>
      <c r="AG517" s="15"/>
    </row>
    <row r="518" spans="6:33" ht="15.75" customHeight="1" x14ac:dyDescent="0.25">
      <c r="F518" t="s">
        <v>1942</v>
      </c>
      <c r="G518" s="6" t="s">
        <v>2000</v>
      </c>
      <c r="H518" s="6" t="s">
        <v>2145</v>
      </c>
      <c r="S518" s="15"/>
      <c r="U518" s="15"/>
      <c r="W518" s="15"/>
      <c r="Y518" s="15"/>
      <c r="AA518" s="15"/>
      <c r="AC518" s="15"/>
      <c r="AE518" s="15"/>
      <c r="AG518" s="15"/>
    </row>
    <row r="519" spans="6:33" ht="15.75" customHeight="1" x14ac:dyDescent="0.25">
      <c r="F519" t="s">
        <v>1942</v>
      </c>
      <c r="G519" s="6" t="s">
        <v>2000</v>
      </c>
      <c r="H519" s="6" t="s">
        <v>2145</v>
      </c>
      <c r="S519" s="15"/>
      <c r="U519" s="15"/>
      <c r="W519" s="15"/>
      <c r="Y519" s="15"/>
      <c r="AA519" s="15"/>
      <c r="AC519" s="15"/>
      <c r="AE519" s="15"/>
      <c r="AG519" s="15"/>
    </row>
    <row r="520" spans="6:33" ht="15.75" customHeight="1" x14ac:dyDescent="0.25">
      <c r="F520" t="s">
        <v>1942</v>
      </c>
      <c r="G520" s="6" t="s">
        <v>2000</v>
      </c>
      <c r="H520" s="6" t="s">
        <v>2145</v>
      </c>
      <c r="S520" s="15"/>
      <c r="U520" s="15"/>
      <c r="W520" s="15"/>
      <c r="Y520" s="15"/>
      <c r="AA520" s="15"/>
      <c r="AC520" s="15"/>
      <c r="AE520" s="15"/>
      <c r="AG520" s="15"/>
    </row>
    <row r="521" spans="6:33" ht="15.75" customHeight="1" x14ac:dyDescent="0.25">
      <c r="F521" t="s">
        <v>1942</v>
      </c>
      <c r="G521" s="6" t="s">
        <v>2000</v>
      </c>
      <c r="H521" s="6" t="s">
        <v>2145</v>
      </c>
      <c r="S521" s="15"/>
      <c r="U521" s="15"/>
      <c r="W521" s="15"/>
      <c r="Y521" s="15"/>
      <c r="AA521" s="15"/>
      <c r="AC521" s="15"/>
      <c r="AE521" s="15"/>
      <c r="AG521" s="15"/>
    </row>
    <row r="522" spans="6:33" ht="15.75" customHeight="1" x14ac:dyDescent="0.25">
      <c r="F522" t="s">
        <v>1942</v>
      </c>
      <c r="G522" s="6" t="s">
        <v>2000</v>
      </c>
      <c r="H522" s="6" t="s">
        <v>2145</v>
      </c>
      <c r="S522" s="15"/>
      <c r="U522" s="15"/>
      <c r="W522" s="15"/>
      <c r="Y522" s="15"/>
      <c r="AA522" s="15"/>
      <c r="AC522" s="15"/>
      <c r="AE522" s="15"/>
      <c r="AG522" s="15"/>
    </row>
    <row r="523" spans="6:33" ht="15.75" customHeight="1" x14ac:dyDescent="0.25">
      <c r="F523" t="s">
        <v>1942</v>
      </c>
      <c r="G523" s="6" t="s">
        <v>2000</v>
      </c>
      <c r="H523" s="6" t="s">
        <v>2145</v>
      </c>
      <c r="S523" s="15"/>
      <c r="U523" s="15"/>
      <c r="W523" s="15"/>
      <c r="Y523" s="15"/>
      <c r="AA523" s="15"/>
      <c r="AC523" s="15"/>
      <c r="AE523" s="15"/>
      <c r="AG523" s="15"/>
    </row>
    <row r="524" spans="6:33" ht="15.75" customHeight="1" x14ac:dyDescent="0.25">
      <c r="F524" t="s">
        <v>1942</v>
      </c>
      <c r="G524" s="6" t="s">
        <v>2000</v>
      </c>
      <c r="H524" s="6" t="s">
        <v>2145</v>
      </c>
      <c r="S524" s="15"/>
      <c r="U524" s="15"/>
      <c r="W524" s="15"/>
      <c r="Y524" s="15"/>
      <c r="AA524" s="15"/>
      <c r="AC524" s="15"/>
      <c r="AE524" s="15"/>
      <c r="AG524" s="15"/>
    </row>
    <row r="525" spans="6:33" ht="15.75" customHeight="1" x14ac:dyDescent="0.25">
      <c r="F525" t="s">
        <v>1942</v>
      </c>
      <c r="G525" s="6" t="s">
        <v>2000</v>
      </c>
      <c r="H525" s="6" t="s">
        <v>2145</v>
      </c>
      <c r="S525" s="15"/>
      <c r="U525" s="15"/>
      <c r="W525" s="15"/>
      <c r="Y525" s="15"/>
      <c r="AA525" s="15"/>
      <c r="AC525" s="15"/>
      <c r="AE525" s="15"/>
      <c r="AG525" s="15"/>
    </row>
    <row r="526" spans="6:33" ht="15.75" customHeight="1" x14ac:dyDescent="0.25">
      <c r="F526" t="s">
        <v>1942</v>
      </c>
      <c r="G526" s="6" t="s">
        <v>2000</v>
      </c>
      <c r="H526" s="6" t="s">
        <v>2145</v>
      </c>
      <c r="S526" s="15"/>
      <c r="U526" s="15"/>
      <c r="W526" s="15"/>
      <c r="Y526" s="15"/>
      <c r="AA526" s="15"/>
      <c r="AC526" s="15"/>
      <c r="AE526" s="15"/>
      <c r="AG526" s="15"/>
    </row>
    <row r="527" spans="6:33" ht="15.75" customHeight="1" x14ac:dyDescent="0.25">
      <c r="F527" t="s">
        <v>1942</v>
      </c>
      <c r="G527" s="6" t="s">
        <v>2000</v>
      </c>
      <c r="H527" t="s">
        <v>1778</v>
      </c>
      <c r="S527" s="15"/>
      <c r="U527" s="15"/>
      <c r="W527" s="15"/>
      <c r="Y527" s="15"/>
      <c r="AA527" s="15"/>
      <c r="AC527" s="15"/>
      <c r="AE527" s="15"/>
      <c r="AG527" s="15"/>
    </row>
    <row r="528" spans="6:33" ht="15.75" customHeight="1" x14ac:dyDescent="0.25">
      <c r="F528" t="s">
        <v>1942</v>
      </c>
      <c r="G528" s="6" t="s">
        <v>2000</v>
      </c>
      <c r="H528" t="s">
        <v>1778</v>
      </c>
      <c r="S528" s="15"/>
      <c r="U528" s="15"/>
      <c r="W528" s="15"/>
      <c r="Y528" s="15"/>
      <c r="AA528" s="15"/>
      <c r="AC528" s="15"/>
      <c r="AE528" s="15"/>
      <c r="AG528" s="15"/>
    </row>
    <row r="529" spans="6:33" ht="15.75" customHeight="1" x14ac:dyDescent="0.25">
      <c r="F529" t="s">
        <v>1942</v>
      </c>
      <c r="G529" s="6" t="s">
        <v>2000</v>
      </c>
      <c r="H529" t="s">
        <v>1778</v>
      </c>
      <c r="S529" s="15"/>
      <c r="U529" s="15"/>
      <c r="W529" s="15"/>
      <c r="Y529" s="15"/>
      <c r="AA529" s="15"/>
      <c r="AC529" s="15"/>
      <c r="AE529" s="15"/>
      <c r="AG529" s="15"/>
    </row>
    <row r="530" spans="6:33" ht="15.75" customHeight="1" x14ac:dyDescent="0.25">
      <c r="F530" t="s">
        <v>1942</v>
      </c>
      <c r="G530" s="6" t="s">
        <v>2000</v>
      </c>
      <c r="H530" t="s">
        <v>1778</v>
      </c>
      <c r="S530" s="15"/>
      <c r="U530" s="15"/>
      <c r="W530" s="15"/>
      <c r="Y530" s="15"/>
      <c r="AA530" s="15"/>
      <c r="AC530" s="15"/>
      <c r="AE530" s="15"/>
      <c r="AG530" s="15"/>
    </row>
    <row r="531" spans="6:33" ht="15.75" customHeight="1" x14ac:dyDescent="0.25">
      <c r="F531" t="s">
        <v>1942</v>
      </c>
      <c r="G531" s="6" t="s">
        <v>2000</v>
      </c>
      <c r="H531" t="s">
        <v>1778</v>
      </c>
      <c r="S531" s="15"/>
      <c r="U531" s="15"/>
      <c r="W531" s="15"/>
      <c r="Y531" s="15"/>
      <c r="AA531" s="15"/>
      <c r="AC531" s="15"/>
      <c r="AE531" s="15"/>
      <c r="AG531" s="15"/>
    </row>
    <row r="532" spans="6:33" ht="15.75" customHeight="1" x14ac:dyDescent="0.25">
      <c r="F532" t="s">
        <v>1942</v>
      </c>
      <c r="G532" s="6" t="s">
        <v>2000</v>
      </c>
      <c r="H532" t="s">
        <v>1778</v>
      </c>
      <c r="S532" s="15"/>
      <c r="U532" s="15"/>
      <c r="W532" s="15"/>
      <c r="Y532" s="15"/>
      <c r="AA532" s="15"/>
      <c r="AC532" s="15"/>
      <c r="AE532" s="15"/>
      <c r="AG532" s="15"/>
    </row>
    <row r="533" spans="6:33" ht="15.75" customHeight="1" x14ac:dyDescent="0.25">
      <c r="F533" t="s">
        <v>1942</v>
      </c>
      <c r="G533" s="6" t="s">
        <v>2019</v>
      </c>
      <c r="H533" t="s">
        <v>1778</v>
      </c>
      <c r="S533" s="15"/>
      <c r="U533" s="15"/>
      <c r="W533" s="15"/>
      <c r="Y533" s="15"/>
      <c r="AA533" s="15"/>
      <c r="AC533" s="15"/>
      <c r="AE533" s="15"/>
      <c r="AG533" s="15"/>
    </row>
    <row r="534" spans="6:33" ht="15.75" customHeight="1" x14ac:dyDescent="0.25">
      <c r="F534" t="s">
        <v>1942</v>
      </c>
      <c r="G534" s="6" t="s">
        <v>2019</v>
      </c>
      <c r="H534" t="s">
        <v>1778</v>
      </c>
      <c r="S534" s="15"/>
      <c r="U534" s="15"/>
      <c r="W534" s="15"/>
      <c r="Y534" s="15"/>
      <c r="AA534" s="15"/>
      <c r="AC534" s="15"/>
      <c r="AE534" s="15"/>
      <c r="AG534" s="15"/>
    </row>
    <row r="535" spans="6:33" ht="15.75" customHeight="1" x14ac:dyDescent="0.25">
      <c r="F535" t="s">
        <v>1942</v>
      </c>
      <c r="G535" s="6" t="s">
        <v>2019</v>
      </c>
      <c r="H535" t="s">
        <v>1778</v>
      </c>
      <c r="S535" s="15"/>
      <c r="U535" s="15"/>
      <c r="W535" s="15"/>
      <c r="Y535" s="15"/>
      <c r="AA535" s="15"/>
      <c r="AC535" s="15"/>
      <c r="AE535" s="15"/>
      <c r="AG535" s="15"/>
    </row>
    <row r="536" spans="6:33" ht="15.75" customHeight="1" x14ac:dyDescent="0.25">
      <c r="F536" t="s">
        <v>1942</v>
      </c>
      <c r="G536" s="6" t="s">
        <v>2019</v>
      </c>
      <c r="H536" t="s">
        <v>1778</v>
      </c>
      <c r="S536" s="15"/>
      <c r="U536" s="15"/>
      <c r="W536" s="15"/>
      <c r="Y536" s="15"/>
      <c r="AA536" s="15"/>
      <c r="AC536" s="15"/>
      <c r="AE536" s="15"/>
      <c r="AG536" s="15"/>
    </row>
    <row r="537" spans="6:33" ht="15.75" customHeight="1" x14ac:dyDescent="0.25">
      <c r="F537" t="s">
        <v>1942</v>
      </c>
      <c r="G537" s="6" t="s">
        <v>2019</v>
      </c>
      <c r="H537" t="s">
        <v>1778</v>
      </c>
      <c r="S537" s="15"/>
      <c r="U537" s="15"/>
      <c r="W537" s="15"/>
      <c r="Y537" s="15"/>
      <c r="AA537" s="15"/>
      <c r="AC537" s="15"/>
      <c r="AE537" s="15"/>
      <c r="AG537" s="15"/>
    </row>
    <row r="538" spans="6:33" ht="15.75" customHeight="1" x14ac:dyDescent="0.25">
      <c r="F538" t="s">
        <v>1942</v>
      </c>
      <c r="G538" s="6" t="s">
        <v>2019</v>
      </c>
      <c r="H538" t="s">
        <v>1778</v>
      </c>
      <c r="S538" s="15"/>
      <c r="U538" s="15"/>
      <c r="W538" s="15"/>
      <c r="Y538" s="15"/>
      <c r="AA538" s="15"/>
      <c r="AC538" s="15"/>
      <c r="AE538" s="15"/>
      <c r="AG538" s="15"/>
    </row>
    <row r="539" spans="6:33" ht="15.75" customHeight="1" x14ac:dyDescent="0.25">
      <c r="F539" t="s">
        <v>1942</v>
      </c>
      <c r="G539" s="6" t="s">
        <v>2019</v>
      </c>
      <c r="H539" t="s">
        <v>1778</v>
      </c>
      <c r="S539" s="15"/>
      <c r="U539" s="15"/>
      <c r="W539" s="15"/>
      <c r="Y539" s="15"/>
      <c r="AA539" s="15"/>
      <c r="AC539" s="15"/>
      <c r="AE539" s="15"/>
      <c r="AG539" s="15"/>
    </row>
    <row r="540" spans="6:33" ht="15.75" customHeight="1" x14ac:dyDescent="0.25">
      <c r="F540" s="6" t="s">
        <v>2194</v>
      </c>
      <c r="G540" s="6" t="s">
        <v>2019</v>
      </c>
      <c r="H540" t="s">
        <v>1778</v>
      </c>
      <c r="S540" s="15"/>
      <c r="U540" s="15"/>
      <c r="W540" s="15"/>
      <c r="Y540" s="15"/>
      <c r="AA540" s="15"/>
      <c r="AC540" s="15"/>
      <c r="AE540" s="15"/>
      <c r="AG540" s="15"/>
    </row>
    <row r="541" spans="6:33" ht="15.75" customHeight="1" x14ac:dyDescent="0.25">
      <c r="F541" s="6" t="s">
        <v>2194</v>
      </c>
      <c r="G541" s="6" t="s">
        <v>2019</v>
      </c>
      <c r="H541" t="s">
        <v>1778</v>
      </c>
      <c r="S541" s="15"/>
      <c r="U541" s="15"/>
      <c r="W541" s="15"/>
      <c r="Y541" s="15"/>
      <c r="AA541" s="15"/>
      <c r="AC541" s="15"/>
      <c r="AE541" s="15"/>
      <c r="AG541" s="15"/>
    </row>
    <row r="542" spans="6:33" ht="15.75" customHeight="1" x14ac:dyDescent="0.25">
      <c r="F542" s="6" t="s">
        <v>2194</v>
      </c>
      <c r="G542" s="6" t="s">
        <v>2019</v>
      </c>
      <c r="H542" t="s">
        <v>1778</v>
      </c>
      <c r="S542" s="15"/>
      <c r="U542" s="15"/>
      <c r="W542" s="15"/>
      <c r="Y542" s="15"/>
      <c r="AA542" s="15"/>
      <c r="AC542" s="15"/>
      <c r="AE542" s="15"/>
      <c r="AG542" s="15"/>
    </row>
    <row r="543" spans="6:33" ht="15.75" customHeight="1" x14ac:dyDescent="0.25">
      <c r="F543" s="6" t="s">
        <v>2194</v>
      </c>
      <c r="G543" s="6" t="s">
        <v>2019</v>
      </c>
      <c r="H543" t="s">
        <v>1778</v>
      </c>
      <c r="S543" s="15"/>
      <c r="U543" s="15"/>
      <c r="W543" s="15"/>
      <c r="Y543" s="15"/>
      <c r="AA543" s="15"/>
      <c r="AC543" s="15"/>
      <c r="AE543" s="15"/>
      <c r="AG543" s="15"/>
    </row>
    <row r="544" spans="6:33" ht="15.75" customHeight="1" x14ac:dyDescent="0.25">
      <c r="F544" s="6" t="s">
        <v>2194</v>
      </c>
      <c r="G544" s="6" t="s">
        <v>2019</v>
      </c>
      <c r="H544" t="s">
        <v>1778</v>
      </c>
      <c r="S544" s="15"/>
      <c r="U544" s="15"/>
      <c r="W544" s="15"/>
      <c r="Y544" s="15"/>
      <c r="AA544" s="15"/>
      <c r="AC544" s="15"/>
      <c r="AE544" s="15"/>
      <c r="AG544" s="15"/>
    </row>
    <row r="545" spans="6:33" ht="15.75" customHeight="1" x14ac:dyDescent="0.25">
      <c r="F545" s="6" t="s">
        <v>2194</v>
      </c>
      <c r="G545" s="6" t="s">
        <v>2019</v>
      </c>
      <c r="H545" t="s">
        <v>1778</v>
      </c>
      <c r="S545" s="15"/>
      <c r="U545" s="15"/>
      <c r="W545" s="15"/>
      <c r="Y545" s="15"/>
      <c r="AA545" s="15"/>
      <c r="AC545" s="15"/>
      <c r="AE545" s="15"/>
      <c r="AG545" s="15"/>
    </row>
    <row r="546" spans="6:33" ht="15.75" customHeight="1" x14ac:dyDescent="0.25">
      <c r="F546" s="6" t="s">
        <v>2035</v>
      </c>
      <c r="G546" s="6" t="s">
        <v>2019</v>
      </c>
      <c r="H546" t="s">
        <v>1778</v>
      </c>
      <c r="S546" s="15"/>
      <c r="U546" s="15"/>
      <c r="W546" s="15"/>
      <c r="Y546" s="15"/>
      <c r="AA546" s="15"/>
      <c r="AC546" s="15"/>
      <c r="AE546" s="15"/>
      <c r="AG546" s="15"/>
    </row>
    <row r="547" spans="6:33" ht="15.75" customHeight="1" x14ac:dyDescent="0.25">
      <c r="F547" s="6" t="s">
        <v>2035</v>
      </c>
      <c r="G547" s="6" t="s">
        <v>2019</v>
      </c>
      <c r="H547" t="s">
        <v>1778</v>
      </c>
      <c r="S547" s="15"/>
      <c r="U547" s="15"/>
      <c r="W547" s="15"/>
      <c r="Y547" s="15"/>
      <c r="AA547" s="15"/>
      <c r="AC547" s="15"/>
      <c r="AE547" s="15"/>
      <c r="AG547" s="15"/>
    </row>
    <row r="548" spans="6:33" ht="15.75" customHeight="1" x14ac:dyDescent="0.25">
      <c r="F548" s="6" t="s">
        <v>2035</v>
      </c>
      <c r="G548" s="6" t="s">
        <v>2019</v>
      </c>
      <c r="H548" t="s">
        <v>1778</v>
      </c>
      <c r="S548" s="15"/>
      <c r="U548" s="15"/>
      <c r="W548" s="15"/>
      <c r="Y548" s="15"/>
      <c r="AA548" s="15"/>
      <c r="AC548" s="15"/>
      <c r="AE548" s="15"/>
      <c r="AG548" s="15"/>
    </row>
    <row r="549" spans="6:33" ht="15.75" customHeight="1" x14ac:dyDescent="0.25">
      <c r="F549" s="6" t="s">
        <v>2035</v>
      </c>
      <c r="G549" s="6" t="s">
        <v>2019</v>
      </c>
      <c r="H549" t="s">
        <v>1778</v>
      </c>
      <c r="S549" s="15"/>
      <c r="U549" s="15"/>
      <c r="W549" s="15"/>
      <c r="Y549" s="15"/>
      <c r="AA549" s="15"/>
      <c r="AC549" s="15"/>
      <c r="AE549" s="15"/>
      <c r="AG549" s="15"/>
    </row>
    <row r="550" spans="6:33" ht="15.75" customHeight="1" x14ac:dyDescent="0.25">
      <c r="F550" s="6" t="s">
        <v>2035</v>
      </c>
      <c r="G550" s="6" t="s">
        <v>2019</v>
      </c>
      <c r="H550" t="s">
        <v>1778</v>
      </c>
      <c r="S550" s="15"/>
      <c r="U550" s="15"/>
      <c r="W550" s="15"/>
      <c r="Y550" s="15"/>
      <c r="AA550" s="15"/>
      <c r="AC550" s="15"/>
      <c r="AE550" s="15"/>
      <c r="AG550" s="15"/>
    </row>
    <row r="551" spans="6:33" ht="15.75" customHeight="1" x14ac:dyDescent="0.25">
      <c r="F551" s="6" t="s">
        <v>2035</v>
      </c>
      <c r="G551" s="6" t="s">
        <v>2019</v>
      </c>
      <c r="H551" t="s">
        <v>1778</v>
      </c>
      <c r="S551" s="15"/>
      <c r="U551" s="15"/>
      <c r="W551" s="15"/>
      <c r="Y551" s="15"/>
      <c r="AA551" s="15"/>
      <c r="AC551" s="15"/>
      <c r="AE551" s="15"/>
      <c r="AG551" s="15"/>
    </row>
    <row r="552" spans="6:33" ht="15.75" customHeight="1" x14ac:dyDescent="0.25">
      <c r="F552" s="6" t="s">
        <v>2035</v>
      </c>
      <c r="G552" s="6" t="s">
        <v>2019</v>
      </c>
      <c r="H552" t="s">
        <v>1778</v>
      </c>
      <c r="S552" s="15"/>
      <c r="U552" s="15"/>
      <c r="W552" s="15"/>
      <c r="Y552" s="15"/>
      <c r="AA552" s="15"/>
      <c r="AC552" s="15"/>
      <c r="AE552" s="15"/>
      <c r="AG552" s="15"/>
    </row>
    <row r="553" spans="6:33" ht="15.75" customHeight="1" x14ac:dyDescent="0.25">
      <c r="F553" s="6" t="s">
        <v>2035</v>
      </c>
      <c r="G553" s="6" t="s">
        <v>2019</v>
      </c>
      <c r="H553" t="s">
        <v>1778</v>
      </c>
      <c r="S553" s="15"/>
      <c r="U553" s="15"/>
      <c r="W553" s="15"/>
      <c r="Y553" s="15"/>
      <c r="AA553" s="15"/>
      <c r="AC553" s="15"/>
      <c r="AE553" s="15"/>
      <c r="AG553" s="15"/>
    </row>
    <row r="554" spans="6:33" ht="15.75" customHeight="1" x14ac:dyDescent="0.25">
      <c r="F554" s="6" t="s">
        <v>2035</v>
      </c>
      <c r="G554" s="6" t="s">
        <v>2019</v>
      </c>
      <c r="H554" t="s">
        <v>1778</v>
      </c>
      <c r="S554" s="15"/>
      <c r="U554" s="15"/>
      <c r="W554" s="15"/>
      <c r="Y554" s="15"/>
      <c r="AA554" s="15"/>
      <c r="AC554" s="15"/>
      <c r="AE554" s="15"/>
      <c r="AG554" s="15"/>
    </row>
    <row r="555" spans="6:33" ht="15.75" customHeight="1" x14ac:dyDescent="0.25">
      <c r="F555" s="6" t="s">
        <v>2035</v>
      </c>
      <c r="G555" s="6" t="s">
        <v>2019</v>
      </c>
      <c r="H555" t="s">
        <v>1778</v>
      </c>
      <c r="S555" s="15"/>
      <c r="U555" s="15"/>
      <c r="W555" s="15"/>
      <c r="Y555" s="15"/>
      <c r="AA555" s="15"/>
      <c r="AC555" s="15"/>
      <c r="AE555" s="15"/>
      <c r="AG555" s="15"/>
    </row>
    <row r="556" spans="6:33" ht="15.75" customHeight="1" x14ac:dyDescent="0.25">
      <c r="F556" s="6" t="s">
        <v>2035</v>
      </c>
      <c r="G556" s="6" t="s">
        <v>2019</v>
      </c>
      <c r="H556" t="s">
        <v>1778</v>
      </c>
      <c r="S556" s="15"/>
      <c r="U556" s="15"/>
      <c r="W556" s="15"/>
      <c r="Y556" s="15"/>
      <c r="AA556" s="15"/>
      <c r="AC556" s="15"/>
      <c r="AE556" s="15"/>
      <c r="AG556" s="15"/>
    </row>
    <row r="557" spans="6:33" ht="15.75" customHeight="1" x14ac:dyDescent="0.25">
      <c r="F557" s="6" t="s">
        <v>2035</v>
      </c>
      <c r="G557" s="6" t="s">
        <v>2019</v>
      </c>
      <c r="H557" t="s">
        <v>1778</v>
      </c>
      <c r="S557" s="15"/>
      <c r="U557" s="15"/>
      <c r="W557" s="15"/>
      <c r="Y557" s="15"/>
      <c r="AA557" s="15"/>
      <c r="AC557" s="15"/>
      <c r="AE557" s="15"/>
      <c r="AG557" s="15"/>
    </row>
    <row r="558" spans="6:33" ht="15.75" customHeight="1" x14ac:dyDescent="0.25">
      <c r="F558" s="6" t="s">
        <v>2035</v>
      </c>
      <c r="G558" s="6" t="s">
        <v>2019</v>
      </c>
      <c r="H558" t="s">
        <v>1778</v>
      </c>
      <c r="S558" s="15"/>
      <c r="U558" s="15"/>
      <c r="W558" s="15"/>
      <c r="Y558" s="15"/>
      <c r="AA558" s="15"/>
      <c r="AC558" s="15"/>
      <c r="AE558" s="15"/>
      <c r="AG558" s="15"/>
    </row>
    <row r="559" spans="6:33" ht="15.75" customHeight="1" x14ac:dyDescent="0.25">
      <c r="F559" s="6" t="s">
        <v>2035</v>
      </c>
      <c r="G559" s="6" t="s">
        <v>2019</v>
      </c>
      <c r="H559" t="s">
        <v>1778</v>
      </c>
      <c r="S559" s="15"/>
      <c r="U559" s="15"/>
      <c r="W559" s="15"/>
      <c r="Y559" s="15"/>
      <c r="AA559" s="15"/>
      <c r="AC559" s="15"/>
      <c r="AE559" s="15"/>
      <c r="AG559" s="15"/>
    </row>
    <row r="560" spans="6:33" ht="15.75" customHeight="1" x14ac:dyDescent="0.25">
      <c r="F560" s="6" t="s">
        <v>2035</v>
      </c>
      <c r="G560" s="6" t="s">
        <v>2019</v>
      </c>
      <c r="H560" t="s">
        <v>1778</v>
      </c>
      <c r="S560" s="15"/>
      <c r="U560" s="15"/>
      <c r="W560" s="15"/>
      <c r="Y560" s="15"/>
      <c r="AA560" s="15"/>
      <c r="AC560" s="15"/>
      <c r="AE560" s="15"/>
      <c r="AG560" s="15"/>
    </row>
    <row r="561" spans="6:33" ht="15.75" customHeight="1" x14ac:dyDescent="0.25">
      <c r="F561" s="6" t="s">
        <v>2035</v>
      </c>
      <c r="G561" s="8" t="s">
        <v>2019</v>
      </c>
      <c r="H561" t="s">
        <v>1778</v>
      </c>
      <c r="S561" s="15"/>
      <c r="U561" s="15"/>
      <c r="W561" s="15"/>
      <c r="Y561" s="15"/>
      <c r="AA561" s="15"/>
      <c r="AC561" s="15"/>
      <c r="AE561" s="15"/>
      <c r="AG561" s="15"/>
    </row>
    <row r="562" spans="6:33" ht="15.75" customHeight="1" x14ac:dyDescent="0.25">
      <c r="F562" s="6" t="s">
        <v>2035</v>
      </c>
      <c r="G562" t="s">
        <v>2019</v>
      </c>
      <c r="H562" t="s">
        <v>1778</v>
      </c>
      <c r="S562" s="15"/>
      <c r="U562" s="15"/>
      <c r="W562" s="15"/>
      <c r="Y562" s="15"/>
      <c r="AA562" s="15"/>
      <c r="AC562" s="15"/>
      <c r="AE562" s="15"/>
      <c r="AG562" s="15"/>
    </row>
    <row r="563" spans="6:33" ht="15.75" customHeight="1" x14ac:dyDescent="0.25">
      <c r="F563" s="6" t="s">
        <v>2035</v>
      </c>
      <c r="G563" t="s">
        <v>2104</v>
      </c>
      <c r="H563" t="s">
        <v>1778</v>
      </c>
      <c r="S563" s="15"/>
      <c r="U563" s="15"/>
      <c r="W563" s="15"/>
      <c r="Y563" s="15"/>
      <c r="AA563" s="15"/>
      <c r="AC563" s="15"/>
      <c r="AE563" s="15"/>
      <c r="AG563" s="15"/>
    </row>
    <row r="564" spans="6:33" ht="15.75" customHeight="1" x14ac:dyDescent="0.25">
      <c r="F564" s="6" t="s">
        <v>2035</v>
      </c>
      <c r="G564" t="s">
        <v>2104</v>
      </c>
      <c r="H564" t="s">
        <v>1778</v>
      </c>
      <c r="S564" s="15"/>
      <c r="U564" s="15"/>
      <c r="W564" s="15"/>
      <c r="Y564" s="15"/>
      <c r="AA564" s="15"/>
      <c r="AC564" s="15"/>
      <c r="AE564" s="15"/>
      <c r="AG564" s="15"/>
    </row>
    <row r="565" spans="6:33" ht="15.75" customHeight="1" x14ac:dyDescent="0.25">
      <c r="F565" s="6" t="s">
        <v>2035</v>
      </c>
      <c r="G565" t="s">
        <v>2104</v>
      </c>
      <c r="H565" t="s">
        <v>1778</v>
      </c>
      <c r="S565" s="15"/>
      <c r="U565" s="15"/>
      <c r="W565" s="15"/>
      <c r="Y565" s="15"/>
      <c r="AA565" s="15"/>
      <c r="AC565" s="15"/>
      <c r="AE565" s="15"/>
      <c r="AG565" s="15"/>
    </row>
    <row r="566" spans="6:33" ht="15.75" customHeight="1" x14ac:dyDescent="0.25">
      <c r="F566" s="6" t="s">
        <v>2035</v>
      </c>
      <c r="G566" t="s">
        <v>2104</v>
      </c>
      <c r="H566" t="s">
        <v>1778</v>
      </c>
      <c r="S566" s="15"/>
      <c r="U566" s="15"/>
      <c r="W566" s="15"/>
      <c r="Y566" s="15"/>
      <c r="AA566" s="15"/>
      <c r="AC566" s="15"/>
      <c r="AE566" s="15"/>
      <c r="AG566" s="15"/>
    </row>
    <row r="567" spans="6:33" ht="15.75" customHeight="1" x14ac:dyDescent="0.25">
      <c r="F567" s="6" t="s">
        <v>2035</v>
      </c>
      <c r="G567" t="s">
        <v>2104</v>
      </c>
      <c r="H567" t="s">
        <v>1778</v>
      </c>
      <c r="S567" s="15"/>
      <c r="U567" s="15"/>
      <c r="W567" s="15"/>
      <c r="Y567" s="15"/>
      <c r="AA567" s="15"/>
      <c r="AC567" s="15"/>
      <c r="AE567" s="15"/>
      <c r="AG567" s="15"/>
    </row>
    <row r="568" spans="6:33" ht="15.75" customHeight="1" x14ac:dyDescent="0.25">
      <c r="F568" s="6" t="s">
        <v>2035</v>
      </c>
      <c r="G568" t="s">
        <v>2104</v>
      </c>
      <c r="H568" t="s">
        <v>1778</v>
      </c>
      <c r="S568" s="15"/>
      <c r="U568" s="15"/>
      <c r="W568" s="15"/>
      <c r="Y568" s="15"/>
      <c r="AA568" s="15"/>
      <c r="AC568" s="15"/>
      <c r="AE568" s="15"/>
      <c r="AG568" s="15"/>
    </row>
    <row r="569" spans="6:33" ht="15.75" customHeight="1" x14ac:dyDescent="0.25">
      <c r="F569" s="6" t="s">
        <v>2035</v>
      </c>
      <c r="G569" t="s">
        <v>2104</v>
      </c>
      <c r="H569" t="s">
        <v>1778</v>
      </c>
      <c r="S569" s="15"/>
      <c r="U569" s="15"/>
      <c r="W569" s="15"/>
      <c r="Y569" s="15"/>
      <c r="AA569" s="15"/>
      <c r="AC569" s="15"/>
      <c r="AE569" s="15"/>
      <c r="AG569" s="15"/>
    </row>
    <row r="570" spans="6:33" ht="15.75" customHeight="1" x14ac:dyDescent="0.25">
      <c r="F570" s="6" t="s">
        <v>2035</v>
      </c>
      <c r="G570" t="s">
        <v>2104</v>
      </c>
      <c r="H570" t="s">
        <v>1778</v>
      </c>
      <c r="S570" s="15"/>
      <c r="U570" s="15"/>
      <c r="W570" s="15"/>
      <c r="Y570" s="15"/>
      <c r="AA570" s="15"/>
      <c r="AC570" s="15"/>
      <c r="AE570" s="15"/>
      <c r="AG570" s="15"/>
    </row>
    <row r="571" spans="6:33" ht="15.75" customHeight="1" x14ac:dyDescent="0.25">
      <c r="F571" t="s">
        <v>2035</v>
      </c>
      <c r="G571" t="s">
        <v>2104</v>
      </c>
      <c r="H571" t="s">
        <v>1778</v>
      </c>
      <c r="S571" s="15"/>
      <c r="U571" s="15"/>
      <c r="W571" s="15"/>
      <c r="Y571" s="15"/>
      <c r="AA571" s="15"/>
      <c r="AC571" s="15"/>
      <c r="AE571" s="15"/>
      <c r="AG571" s="15"/>
    </row>
    <row r="572" spans="6:33" ht="15.75" customHeight="1" x14ac:dyDescent="0.25">
      <c r="F572" t="s">
        <v>2035</v>
      </c>
      <c r="G572" t="s">
        <v>2104</v>
      </c>
      <c r="H572" t="s">
        <v>1778</v>
      </c>
      <c r="S572" s="15"/>
      <c r="U572" s="15"/>
      <c r="W572" s="15"/>
      <c r="Y572" s="15"/>
      <c r="AA572" s="15"/>
      <c r="AC572" s="15"/>
      <c r="AE572" s="15"/>
      <c r="AG572" s="15"/>
    </row>
    <row r="573" spans="6:33" ht="15.75" customHeight="1" x14ac:dyDescent="0.25">
      <c r="F573" s="6" t="s">
        <v>2035</v>
      </c>
      <c r="G573" t="s">
        <v>2104</v>
      </c>
      <c r="H573" t="s">
        <v>1778</v>
      </c>
      <c r="S573" s="15"/>
      <c r="U573" s="15"/>
      <c r="W573" s="15"/>
      <c r="Y573" s="15"/>
      <c r="AA573" s="15"/>
      <c r="AC573" s="15"/>
      <c r="AE573" s="15"/>
      <c r="AG573" s="15"/>
    </row>
    <row r="574" spans="6:33" ht="15.75" customHeight="1" x14ac:dyDescent="0.25">
      <c r="F574" s="6" t="s">
        <v>2203</v>
      </c>
      <c r="G574" t="s">
        <v>2104</v>
      </c>
      <c r="H574" s="6" t="s">
        <v>1778</v>
      </c>
      <c r="S574" s="15"/>
      <c r="U574" s="15"/>
      <c r="W574" s="15"/>
      <c r="Y574" s="15"/>
      <c r="AA574" s="15"/>
      <c r="AC574" s="15"/>
      <c r="AE574" s="15"/>
      <c r="AG574" s="15"/>
    </row>
    <row r="575" spans="6:33" ht="15.75" customHeight="1" x14ac:dyDescent="0.25">
      <c r="F575" s="6" t="s">
        <v>2203</v>
      </c>
      <c r="G575" t="s">
        <v>2104</v>
      </c>
      <c r="H575" t="s">
        <v>1778</v>
      </c>
      <c r="S575" s="15"/>
      <c r="U575" s="15"/>
      <c r="W575" s="15"/>
      <c r="Y575" s="15"/>
      <c r="AA575" s="15"/>
      <c r="AC575" s="15"/>
      <c r="AE575" s="15"/>
      <c r="AG575" s="15"/>
    </row>
    <row r="576" spans="6:33" ht="15.75" customHeight="1" x14ac:dyDescent="0.25">
      <c r="F576" s="6" t="s">
        <v>2203</v>
      </c>
      <c r="G576" t="s">
        <v>2104</v>
      </c>
      <c r="H576" s="6" t="s">
        <v>1778</v>
      </c>
      <c r="S576" s="15"/>
      <c r="U576" s="15"/>
      <c r="W576" s="15"/>
      <c r="Y576" s="15"/>
      <c r="AA576" s="15"/>
      <c r="AC576" s="15"/>
      <c r="AE576" s="15"/>
      <c r="AG576" s="15"/>
    </row>
    <row r="577" spans="3:33" ht="15.75" customHeight="1" x14ac:dyDescent="0.25">
      <c r="F577" s="6" t="s">
        <v>2203</v>
      </c>
      <c r="G577" t="s">
        <v>2104</v>
      </c>
      <c r="H577" s="6" t="s">
        <v>1778</v>
      </c>
      <c r="S577" s="15"/>
      <c r="U577" s="15"/>
      <c r="W577" s="15"/>
      <c r="Y577" s="15"/>
      <c r="AA577" s="15"/>
      <c r="AC577" s="15"/>
      <c r="AE577" s="15"/>
      <c r="AG577" s="15"/>
    </row>
    <row r="578" spans="3:33" ht="15.75" customHeight="1" x14ac:dyDescent="0.25">
      <c r="F578" s="6" t="s">
        <v>2203</v>
      </c>
      <c r="G578" s="6" t="s">
        <v>2104</v>
      </c>
      <c r="H578" s="6" t="s">
        <v>1778</v>
      </c>
      <c r="S578" s="15"/>
      <c r="U578" s="15"/>
      <c r="W578" s="15"/>
      <c r="Y578" s="15"/>
      <c r="AA578" s="15"/>
      <c r="AC578" s="15"/>
      <c r="AE578" s="15"/>
      <c r="AG578" s="15"/>
    </row>
    <row r="579" spans="3:33" ht="15.75" customHeight="1" x14ac:dyDescent="0.25">
      <c r="F579" s="6" t="s">
        <v>2196</v>
      </c>
      <c r="G579" t="s">
        <v>2104</v>
      </c>
      <c r="H579" s="6" t="s">
        <v>1778</v>
      </c>
      <c r="S579" s="15"/>
      <c r="U579" s="15"/>
      <c r="W579" s="15"/>
      <c r="Y579" s="15"/>
      <c r="AA579" s="15"/>
      <c r="AC579" s="15"/>
      <c r="AE579" s="15"/>
      <c r="AG579" s="15"/>
    </row>
    <row r="580" spans="3:33" ht="15.75" customHeight="1" x14ac:dyDescent="0.25">
      <c r="F580" s="6" t="s">
        <v>2196</v>
      </c>
      <c r="G580" s="6" t="s">
        <v>2104</v>
      </c>
      <c r="H580" s="6" t="s">
        <v>1778</v>
      </c>
      <c r="S580" s="15"/>
      <c r="U580" s="15"/>
      <c r="W580" s="15"/>
      <c r="Y580" s="15"/>
      <c r="AA580" s="15"/>
      <c r="AC580" s="15"/>
      <c r="AE580" s="15"/>
      <c r="AG580" s="15"/>
    </row>
    <row r="581" spans="3:33" ht="15.75" customHeight="1" x14ac:dyDescent="0.25">
      <c r="F581" s="6" t="s">
        <v>2196</v>
      </c>
      <c r="G581" s="6" t="s">
        <v>2191</v>
      </c>
      <c r="H581" t="s">
        <v>1778</v>
      </c>
      <c r="S581" s="15"/>
      <c r="U581" s="15"/>
      <c r="W581" s="15"/>
      <c r="Y581" s="15"/>
      <c r="AA581" s="15"/>
      <c r="AC581" s="15"/>
      <c r="AE581" s="15"/>
      <c r="AG581" s="15"/>
    </row>
    <row r="582" spans="3:33" ht="15.75" customHeight="1" x14ac:dyDescent="0.25">
      <c r="F582" s="6" t="s">
        <v>2196</v>
      </c>
      <c r="G582" s="6" t="s">
        <v>2191</v>
      </c>
      <c r="H582" t="s">
        <v>1778</v>
      </c>
      <c r="S582" s="15"/>
      <c r="U582" s="15"/>
      <c r="W582" s="15"/>
      <c r="Y582" s="15"/>
      <c r="AA582" s="15"/>
      <c r="AC582" s="15"/>
      <c r="AE582" s="15"/>
      <c r="AG582" s="15"/>
    </row>
    <row r="583" spans="3:33" ht="15.75" customHeight="1" x14ac:dyDescent="0.25">
      <c r="F583" s="6" t="s">
        <v>2196</v>
      </c>
      <c r="G583" s="6" t="s">
        <v>2191</v>
      </c>
      <c r="H583" s="6" t="s">
        <v>1778</v>
      </c>
      <c r="S583" s="15"/>
      <c r="U583" s="15"/>
      <c r="W583" s="15"/>
      <c r="Y583" s="15"/>
      <c r="AA583" s="15"/>
      <c r="AC583" s="15"/>
      <c r="AE583" s="15"/>
      <c r="AG583" s="15"/>
    </row>
    <row r="584" spans="3:33" ht="15.75" customHeight="1" x14ac:dyDescent="0.25">
      <c r="F584" s="6" t="s">
        <v>2196</v>
      </c>
      <c r="G584" s="6" t="s">
        <v>2191</v>
      </c>
      <c r="H584" s="6" t="s">
        <v>1778</v>
      </c>
      <c r="S584" s="15"/>
      <c r="U584" s="15"/>
      <c r="W584" s="15"/>
      <c r="Y584" s="15"/>
      <c r="AA584" s="15"/>
      <c r="AC584" s="15"/>
      <c r="AE584" s="15"/>
      <c r="AG584" s="15"/>
    </row>
    <row r="585" spans="3:33" ht="15.75" customHeight="1" x14ac:dyDescent="0.25">
      <c r="F585" s="6" t="s">
        <v>2175</v>
      </c>
      <c r="G585" s="6" t="s">
        <v>2191</v>
      </c>
      <c r="H585" t="s">
        <v>1846</v>
      </c>
      <c r="S585" s="15"/>
      <c r="U585" s="15"/>
      <c r="W585" s="15"/>
      <c r="Y585" s="15"/>
      <c r="AA585" s="15"/>
      <c r="AC585" s="15"/>
      <c r="AE585" s="15"/>
      <c r="AG585" s="15"/>
    </row>
    <row r="586" spans="3:33" ht="15.75" customHeight="1" x14ac:dyDescent="0.25">
      <c r="F586" s="6" t="s">
        <v>2175</v>
      </c>
      <c r="G586" s="6" t="s">
        <v>2191</v>
      </c>
      <c r="H586" t="s">
        <v>1846</v>
      </c>
      <c r="S586" s="15"/>
      <c r="U586" s="15"/>
      <c r="W586" s="15"/>
      <c r="Y586" s="15"/>
      <c r="AA586" s="15"/>
      <c r="AC586" s="15"/>
      <c r="AE586" s="15"/>
      <c r="AG586" s="15"/>
    </row>
    <row r="587" spans="3:33" ht="15.75" customHeight="1" x14ac:dyDescent="0.25">
      <c r="F587" s="6" t="s">
        <v>2175</v>
      </c>
      <c r="G587" t="s">
        <v>1872</v>
      </c>
      <c r="H587" t="s">
        <v>1846</v>
      </c>
      <c r="S587" s="15"/>
      <c r="U587" s="15"/>
      <c r="W587" s="15"/>
      <c r="Y587" s="15"/>
      <c r="AA587" s="15"/>
      <c r="AC587" s="15"/>
      <c r="AE587" s="15"/>
      <c r="AG587" s="15"/>
    </row>
    <row r="588" spans="3:33" ht="15.75" customHeight="1" x14ac:dyDescent="0.25">
      <c r="F588" s="6" t="s">
        <v>2175</v>
      </c>
      <c r="G588" t="s">
        <v>1872</v>
      </c>
      <c r="H588" t="s">
        <v>1846</v>
      </c>
      <c r="S588" s="15"/>
      <c r="U588" s="15"/>
      <c r="W588" s="15"/>
      <c r="Y588" s="15"/>
      <c r="AA588" s="15"/>
      <c r="AC588" s="15"/>
      <c r="AE588" s="15"/>
      <c r="AG588" s="15"/>
    </row>
    <row r="589" spans="3:33" ht="15.75" customHeight="1" x14ac:dyDescent="0.25">
      <c r="F589" s="6" t="s">
        <v>2175</v>
      </c>
      <c r="G589" t="s">
        <v>1872</v>
      </c>
      <c r="H589" t="s">
        <v>1846</v>
      </c>
      <c r="S589" s="15"/>
      <c r="U589" s="15"/>
      <c r="W589" s="15"/>
      <c r="Y589" s="15"/>
      <c r="AA589" s="15"/>
      <c r="AC589" s="15"/>
      <c r="AE589" s="15"/>
      <c r="AG589" s="15"/>
    </row>
    <row r="590" spans="3:33" ht="15.75" customHeight="1" x14ac:dyDescent="0.25">
      <c r="F590" s="6" t="s">
        <v>2175</v>
      </c>
      <c r="G590" t="s">
        <v>1872</v>
      </c>
      <c r="H590" t="s">
        <v>1846</v>
      </c>
      <c r="S590" s="15"/>
      <c r="U590" s="15"/>
      <c r="W590" s="15"/>
      <c r="Y590" s="15"/>
      <c r="AA590" s="15"/>
      <c r="AC590" s="15"/>
      <c r="AE590" s="15"/>
      <c r="AG590" s="15"/>
    </row>
    <row r="591" spans="3:33" ht="15.75" customHeight="1" x14ac:dyDescent="0.25">
      <c r="F591" s="6" t="s">
        <v>2175</v>
      </c>
      <c r="G591" t="s">
        <v>1872</v>
      </c>
      <c r="H591" t="s">
        <v>1846</v>
      </c>
      <c r="S591" s="15"/>
      <c r="U591" s="15"/>
      <c r="W591" s="15"/>
      <c r="Y591" s="15"/>
      <c r="AA591" s="15"/>
      <c r="AC591" s="15"/>
      <c r="AE591" s="15"/>
      <c r="AG591" s="15"/>
    </row>
    <row r="592" spans="3:33" ht="15.75" customHeight="1" x14ac:dyDescent="0.25">
      <c r="C592" s="6"/>
      <c r="F592" s="6" t="s">
        <v>2175</v>
      </c>
      <c r="G592" t="s">
        <v>1872</v>
      </c>
      <c r="H592" t="s">
        <v>1846</v>
      </c>
      <c r="S592" s="15"/>
      <c r="U592" s="15"/>
      <c r="W592" s="15"/>
      <c r="Y592" s="15"/>
      <c r="AA592" s="15"/>
      <c r="AC592" s="15"/>
      <c r="AE592" s="15"/>
      <c r="AG592" s="15"/>
    </row>
    <row r="593" spans="3:33" ht="15.75" customHeight="1" x14ac:dyDescent="0.25">
      <c r="C593" s="6"/>
      <c r="F593" s="6" t="s">
        <v>2175</v>
      </c>
      <c r="G593" t="s">
        <v>1872</v>
      </c>
      <c r="H593" t="s">
        <v>1846</v>
      </c>
      <c r="S593" s="15"/>
      <c r="U593" s="15"/>
      <c r="W593" s="15"/>
      <c r="Y593" s="15"/>
      <c r="AA593" s="15"/>
      <c r="AC593" s="15"/>
      <c r="AE593" s="15"/>
      <c r="AG593" s="15"/>
    </row>
    <row r="594" spans="3:33" ht="15.75" customHeight="1" x14ac:dyDescent="0.25">
      <c r="C594" s="6"/>
      <c r="F594" t="s">
        <v>2009</v>
      </c>
      <c r="G594" t="s">
        <v>1872</v>
      </c>
      <c r="H594" t="s">
        <v>1846</v>
      </c>
      <c r="S594" s="15"/>
      <c r="U594" s="15"/>
      <c r="W594" s="15"/>
      <c r="Y594" s="15"/>
      <c r="AA594" s="15"/>
      <c r="AC594" s="15"/>
      <c r="AE594" s="15"/>
      <c r="AG594" s="15"/>
    </row>
    <row r="595" spans="3:33" ht="15.75" customHeight="1" x14ac:dyDescent="0.25">
      <c r="F595" t="s">
        <v>2009</v>
      </c>
      <c r="G595" t="s">
        <v>1872</v>
      </c>
      <c r="H595" t="s">
        <v>1846</v>
      </c>
      <c r="S595" s="15"/>
      <c r="U595" s="15"/>
      <c r="W595" s="15"/>
      <c r="Y595" s="15"/>
      <c r="AA595" s="15"/>
      <c r="AC595" s="15"/>
      <c r="AE595" s="15"/>
      <c r="AG595" s="15"/>
    </row>
    <row r="596" spans="3:33" ht="15.75" customHeight="1" x14ac:dyDescent="0.25">
      <c r="F596" s="6" t="s">
        <v>2009</v>
      </c>
      <c r="G596" t="s">
        <v>1872</v>
      </c>
      <c r="H596" t="s">
        <v>1846</v>
      </c>
      <c r="S596" s="15"/>
      <c r="U596" s="15"/>
      <c r="W596" s="15"/>
      <c r="Y596" s="15"/>
      <c r="AA596" s="15"/>
      <c r="AC596" s="15"/>
      <c r="AE596" s="15"/>
      <c r="AG596" s="15"/>
    </row>
    <row r="597" spans="3:33" ht="15.75" customHeight="1" x14ac:dyDescent="0.25">
      <c r="F597" t="s">
        <v>2009</v>
      </c>
      <c r="G597" t="s">
        <v>1872</v>
      </c>
      <c r="H597" t="s">
        <v>1846</v>
      </c>
      <c r="S597" s="15"/>
      <c r="U597" s="15"/>
      <c r="W597" s="15"/>
      <c r="Y597" s="15"/>
      <c r="AA597" s="15"/>
      <c r="AC597" s="15"/>
      <c r="AE597" s="15"/>
      <c r="AG597" s="15"/>
    </row>
    <row r="598" spans="3:33" ht="15.75" customHeight="1" x14ac:dyDescent="0.25">
      <c r="F598" s="6" t="s">
        <v>2009</v>
      </c>
      <c r="G598" t="s">
        <v>1872</v>
      </c>
      <c r="H598" t="s">
        <v>1846</v>
      </c>
      <c r="S598" s="15"/>
      <c r="U598" s="15"/>
      <c r="W598" s="15"/>
      <c r="Y598" s="15"/>
      <c r="AA598" s="15"/>
      <c r="AC598" s="15"/>
      <c r="AE598" s="15"/>
      <c r="AG598" s="15"/>
    </row>
    <row r="599" spans="3:33" ht="15.75" customHeight="1" x14ac:dyDescent="0.25">
      <c r="F599" s="6" t="s">
        <v>2009</v>
      </c>
      <c r="G599" t="s">
        <v>1872</v>
      </c>
      <c r="H599" t="s">
        <v>1846</v>
      </c>
      <c r="S599" s="15"/>
      <c r="U599" s="15"/>
      <c r="W599" s="15"/>
      <c r="Y599" s="15"/>
      <c r="AA599" s="15"/>
      <c r="AC599" s="15"/>
      <c r="AE599" s="15"/>
      <c r="AG599" s="15"/>
    </row>
    <row r="600" spans="3:33" ht="15.75" customHeight="1" x14ac:dyDescent="0.25">
      <c r="F600" s="6" t="s">
        <v>2009</v>
      </c>
      <c r="G600" t="s">
        <v>1872</v>
      </c>
      <c r="H600" t="s">
        <v>1846</v>
      </c>
      <c r="S600" s="15"/>
      <c r="U600" s="15"/>
      <c r="W600" s="15"/>
      <c r="Y600" s="15"/>
      <c r="AA600" s="15"/>
      <c r="AC600" s="15"/>
      <c r="AE600" s="15"/>
      <c r="AG600" s="15"/>
    </row>
    <row r="601" spans="3:33" ht="15.75" customHeight="1" x14ac:dyDescent="0.25">
      <c r="F601" s="6" t="s">
        <v>2009</v>
      </c>
      <c r="G601" t="s">
        <v>1872</v>
      </c>
      <c r="H601" t="s">
        <v>1846</v>
      </c>
      <c r="S601" s="15"/>
      <c r="U601" s="15"/>
      <c r="W601" s="15"/>
      <c r="Y601" s="15"/>
      <c r="AA601" s="15"/>
      <c r="AC601" s="15"/>
      <c r="AE601" s="15"/>
      <c r="AG601" s="15"/>
    </row>
    <row r="602" spans="3:33" ht="15.75" customHeight="1" x14ac:dyDescent="0.25">
      <c r="F602" s="6" t="s">
        <v>2009</v>
      </c>
      <c r="G602" t="s">
        <v>1872</v>
      </c>
      <c r="H602" t="s">
        <v>1846</v>
      </c>
      <c r="S602" s="15"/>
      <c r="U602" s="15"/>
      <c r="W602" s="15"/>
      <c r="Y602" s="15"/>
      <c r="AA602" s="15"/>
      <c r="AC602" s="15"/>
      <c r="AE602" s="15"/>
      <c r="AG602" s="15"/>
    </row>
    <row r="603" spans="3:33" ht="15.75" customHeight="1" x14ac:dyDescent="0.25">
      <c r="F603" s="6" t="s">
        <v>2009</v>
      </c>
      <c r="G603" t="s">
        <v>1872</v>
      </c>
      <c r="H603" t="s">
        <v>1846</v>
      </c>
      <c r="S603" s="15"/>
      <c r="U603" s="15"/>
      <c r="W603" s="15"/>
      <c r="Y603" s="15"/>
      <c r="AA603" s="15"/>
      <c r="AC603" s="15"/>
      <c r="AE603" s="15"/>
      <c r="AG603" s="15"/>
    </row>
    <row r="604" spans="3:33" ht="15.75" customHeight="1" x14ac:dyDescent="0.25">
      <c r="F604" s="6" t="s">
        <v>2009</v>
      </c>
      <c r="G604" t="s">
        <v>1872</v>
      </c>
      <c r="H604" t="s">
        <v>1846</v>
      </c>
      <c r="S604" s="15"/>
      <c r="U604" s="15"/>
      <c r="W604" s="15"/>
      <c r="Y604" s="15"/>
      <c r="AA604" s="15"/>
      <c r="AC604" s="15"/>
      <c r="AE604" s="15"/>
      <c r="AG604" s="15"/>
    </row>
    <row r="605" spans="3:33" ht="15.75" customHeight="1" x14ac:dyDescent="0.25">
      <c r="F605" s="6" t="s">
        <v>2009</v>
      </c>
      <c r="G605" t="s">
        <v>1872</v>
      </c>
      <c r="H605" t="s">
        <v>1846</v>
      </c>
      <c r="S605" s="15"/>
      <c r="U605" s="15"/>
      <c r="W605" s="15"/>
      <c r="Y605" s="15"/>
      <c r="AA605" s="15"/>
      <c r="AC605" s="15"/>
      <c r="AE605" s="15"/>
      <c r="AG605" s="15"/>
    </row>
    <row r="606" spans="3:33" ht="15.75" customHeight="1" x14ac:dyDescent="0.25">
      <c r="F606" s="6" t="s">
        <v>2009</v>
      </c>
      <c r="G606" t="s">
        <v>1872</v>
      </c>
      <c r="H606" t="s">
        <v>1846</v>
      </c>
      <c r="S606" s="15"/>
      <c r="U606" s="15"/>
      <c r="W606" s="15"/>
      <c r="Y606" s="15"/>
      <c r="AA606" s="15"/>
      <c r="AC606" s="15"/>
      <c r="AE606" s="15"/>
      <c r="AG606" s="15"/>
    </row>
    <row r="607" spans="3:33" ht="15.75" customHeight="1" x14ac:dyDescent="0.25">
      <c r="F607" s="6" t="s">
        <v>2009</v>
      </c>
      <c r="G607" t="s">
        <v>1872</v>
      </c>
      <c r="H607" t="s">
        <v>1846</v>
      </c>
      <c r="S607" s="15"/>
      <c r="U607" s="15"/>
      <c r="W607" s="15"/>
      <c r="Y607" s="15"/>
      <c r="AA607" s="15"/>
      <c r="AC607" s="15"/>
      <c r="AE607" s="15"/>
      <c r="AG607" s="15"/>
    </row>
    <row r="608" spans="3:33" ht="15.75" customHeight="1" x14ac:dyDescent="0.25">
      <c r="F608" s="6" t="s">
        <v>2009</v>
      </c>
      <c r="G608" t="s">
        <v>1872</v>
      </c>
      <c r="H608" t="s">
        <v>1846</v>
      </c>
      <c r="S608" s="15"/>
      <c r="U608" s="15"/>
      <c r="W608" s="15"/>
      <c r="Y608" s="15"/>
      <c r="AA608" s="15"/>
      <c r="AC608" s="15"/>
      <c r="AE608" s="15"/>
      <c r="AG608" s="15"/>
    </row>
    <row r="609" spans="6:33" ht="15.75" customHeight="1" x14ac:dyDescent="0.25">
      <c r="F609" s="6" t="s">
        <v>2009</v>
      </c>
      <c r="G609" t="s">
        <v>1872</v>
      </c>
      <c r="H609" t="s">
        <v>1846</v>
      </c>
      <c r="S609" s="15"/>
      <c r="U609" s="15"/>
      <c r="W609" s="15"/>
      <c r="Y609" s="15"/>
      <c r="AA609" s="15"/>
      <c r="AC609" s="15"/>
      <c r="AE609" s="15"/>
      <c r="AG609" s="15"/>
    </row>
    <row r="610" spans="6:33" ht="15.75" customHeight="1" x14ac:dyDescent="0.25">
      <c r="F610" s="6" t="s">
        <v>2009</v>
      </c>
      <c r="G610" t="s">
        <v>1872</v>
      </c>
      <c r="H610" t="s">
        <v>1846</v>
      </c>
      <c r="S610" s="15"/>
      <c r="U610" s="15"/>
      <c r="W610" s="15"/>
      <c r="Y610" s="15"/>
      <c r="AA610" s="15"/>
      <c r="AC610" s="15"/>
      <c r="AE610" s="15"/>
      <c r="AG610" s="15"/>
    </row>
    <row r="611" spans="6:33" ht="15.75" customHeight="1" x14ac:dyDescent="0.25">
      <c r="F611" s="6" t="s">
        <v>2009</v>
      </c>
      <c r="G611" t="s">
        <v>1872</v>
      </c>
      <c r="H611" t="s">
        <v>1846</v>
      </c>
      <c r="S611" s="15"/>
      <c r="U611" s="15"/>
      <c r="W611" s="15"/>
      <c r="Y611" s="15"/>
      <c r="AA611" s="15"/>
      <c r="AC611" s="15"/>
      <c r="AE611" s="15"/>
      <c r="AG611" s="15"/>
    </row>
    <row r="612" spans="6:33" ht="15.75" customHeight="1" x14ac:dyDescent="0.25">
      <c r="F612" s="6" t="s">
        <v>2009</v>
      </c>
      <c r="G612" t="s">
        <v>1872</v>
      </c>
      <c r="H612" t="s">
        <v>1846</v>
      </c>
      <c r="S612" s="15"/>
      <c r="U612" s="15"/>
      <c r="W612" s="15"/>
      <c r="Y612" s="15"/>
      <c r="AA612" s="15"/>
      <c r="AC612" s="15"/>
      <c r="AE612" s="15"/>
      <c r="AG612" s="15"/>
    </row>
    <row r="613" spans="6:33" ht="15.75" customHeight="1" x14ac:dyDescent="0.25">
      <c r="F613" s="6" t="s">
        <v>2009</v>
      </c>
      <c r="G613" t="s">
        <v>1872</v>
      </c>
      <c r="H613" t="s">
        <v>1846</v>
      </c>
      <c r="S613" s="15"/>
      <c r="U613" s="15"/>
      <c r="W613" s="15"/>
      <c r="Y613" s="15"/>
      <c r="AA613" s="15"/>
      <c r="AC613" s="15"/>
      <c r="AE613" s="15"/>
      <c r="AG613" s="15"/>
    </row>
    <row r="614" spans="6:33" ht="15.75" customHeight="1" x14ac:dyDescent="0.25">
      <c r="F614" s="6" t="s">
        <v>2009</v>
      </c>
      <c r="G614" t="s">
        <v>1872</v>
      </c>
      <c r="H614" t="s">
        <v>1846</v>
      </c>
      <c r="S614" s="15"/>
      <c r="U614" s="15"/>
      <c r="W614" s="15"/>
      <c r="Y614" s="15"/>
      <c r="AA614" s="15"/>
      <c r="AC614" s="15"/>
      <c r="AE614" s="15"/>
      <c r="AG614" s="15"/>
    </row>
    <row r="615" spans="6:33" ht="15.75" customHeight="1" x14ac:dyDescent="0.25">
      <c r="F615" s="6" t="s">
        <v>2009</v>
      </c>
      <c r="G615" t="s">
        <v>1872</v>
      </c>
      <c r="H615" t="s">
        <v>1846</v>
      </c>
      <c r="S615" s="15"/>
      <c r="U615" s="15"/>
      <c r="W615" s="15"/>
      <c r="Y615" s="15"/>
      <c r="AA615" s="15"/>
      <c r="AC615" s="15"/>
      <c r="AE615" s="15"/>
      <c r="AG615" s="15"/>
    </row>
    <row r="616" spans="6:33" ht="15.75" customHeight="1" x14ac:dyDescent="0.25">
      <c r="F616" s="6" t="s">
        <v>2009</v>
      </c>
      <c r="G616" t="s">
        <v>1872</v>
      </c>
      <c r="H616" t="s">
        <v>1846</v>
      </c>
      <c r="S616" s="15"/>
      <c r="U616" s="15"/>
      <c r="W616" s="15"/>
      <c r="Y616" s="15"/>
      <c r="AA616" s="15"/>
      <c r="AC616" s="15"/>
      <c r="AE616" s="15"/>
      <c r="AG616" s="15"/>
    </row>
    <row r="617" spans="6:33" ht="15.75" customHeight="1" x14ac:dyDescent="0.25">
      <c r="F617" s="6" t="s">
        <v>2009</v>
      </c>
      <c r="G617" t="s">
        <v>1872</v>
      </c>
      <c r="H617" t="s">
        <v>1846</v>
      </c>
      <c r="S617" s="15"/>
      <c r="U617" s="15"/>
      <c r="W617" s="15"/>
      <c r="Y617" s="15"/>
      <c r="AA617" s="15"/>
      <c r="AC617" s="15"/>
      <c r="AE617" s="15"/>
      <c r="AG617" s="15"/>
    </row>
    <row r="618" spans="6:33" ht="15.75" customHeight="1" x14ac:dyDescent="0.25">
      <c r="F618" s="6" t="s">
        <v>2009</v>
      </c>
      <c r="G618" t="s">
        <v>1872</v>
      </c>
      <c r="H618" t="s">
        <v>1846</v>
      </c>
      <c r="S618" s="15"/>
      <c r="U618" s="15"/>
      <c r="W618" s="15"/>
      <c r="Y618" s="15"/>
      <c r="AA618" s="15"/>
      <c r="AC618" s="15"/>
      <c r="AE618" s="15"/>
      <c r="AG618" s="15"/>
    </row>
    <row r="619" spans="6:33" ht="15.75" customHeight="1" x14ac:dyDescent="0.25">
      <c r="F619" s="6" t="s">
        <v>2009</v>
      </c>
      <c r="G619" t="s">
        <v>1872</v>
      </c>
      <c r="H619" t="s">
        <v>1846</v>
      </c>
      <c r="S619" s="15"/>
      <c r="U619" s="15"/>
      <c r="W619" s="15"/>
      <c r="Y619" s="15"/>
      <c r="AA619" s="15"/>
      <c r="AC619" s="15"/>
      <c r="AE619" s="15"/>
      <c r="AG619" s="15"/>
    </row>
    <row r="620" spans="6:33" ht="15.75" customHeight="1" x14ac:dyDescent="0.25">
      <c r="F620" s="6" t="s">
        <v>2009</v>
      </c>
      <c r="G620" t="s">
        <v>1872</v>
      </c>
      <c r="H620" t="s">
        <v>1846</v>
      </c>
      <c r="S620" s="15"/>
      <c r="U620" s="15"/>
      <c r="W620" s="15"/>
      <c r="Y620" s="15"/>
      <c r="AA620" s="15"/>
      <c r="AC620" s="15"/>
      <c r="AE620" s="15"/>
      <c r="AG620" s="15"/>
    </row>
    <row r="621" spans="6:33" ht="15.75" customHeight="1" x14ac:dyDescent="0.25">
      <c r="F621" t="s">
        <v>2009</v>
      </c>
      <c r="G621" t="s">
        <v>1872</v>
      </c>
      <c r="H621" t="s">
        <v>1846</v>
      </c>
      <c r="S621" s="15"/>
      <c r="U621" s="15"/>
      <c r="W621" s="15"/>
      <c r="Y621" s="15"/>
      <c r="AA621" s="15"/>
      <c r="AC621" s="15"/>
      <c r="AE621" s="15"/>
      <c r="AG621" s="15"/>
    </row>
    <row r="622" spans="6:33" ht="15.75" customHeight="1" x14ac:dyDescent="0.25">
      <c r="F622" t="s">
        <v>2009</v>
      </c>
      <c r="G622" t="s">
        <v>1872</v>
      </c>
      <c r="H622" t="s">
        <v>1846</v>
      </c>
      <c r="S622" s="15"/>
      <c r="U622" s="15"/>
      <c r="W622" s="15"/>
      <c r="Y622" s="15"/>
      <c r="AA622" s="15"/>
      <c r="AC622" s="15"/>
      <c r="AE622" s="15"/>
      <c r="AG622" s="15"/>
    </row>
    <row r="623" spans="6:33" ht="15.75" customHeight="1" x14ac:dyDescent="0.25">
      <c r="F623" s="6" t="s">
        <v>2009</v>
      </c>
      <c r="G623" t="s">
        <v>1872</v>
      </c>
      <c r="H623" t="s">
        <v>1846</v>
      </c>
      <c r="S623" s="15"/>
      <c r="U623" s="15"/>
      <c r="W623" s="15"/>
      <c r="Y623" s="15"/>
      <c r="AA623" s="15"/>
      <c r="AC623" s="15"/>
      <c r="AE623" s="15"/>
      <c r="AG623" s="15"/>
    </row>
    <row r="624" spans="6:33" ht="15.75" customHeight="1" x14ac:dyDescent="0.25">
      <c r="F624" s="6" t="s">
        <v>2009</v>
      </c>
      <c r="G624" t="s">
        <v>1872</v>
      </c>
      <c r="H624" t="s">
        <v>1846</v>
      </c>
      <c r="S624" s="15"/>
      <c r="U624" s="15"/>
      <c r="W624" s="15"/>
      <c r="Y624" s="15"/>
      <c r="AA624" s="15"/>
      <c r="AC624" s="15"/>
      <c r="AE624" s="15"/>
      <c r="AG624" s="15"/>
    </row>
    <row r="625" spans="6:33" ht="15.75" customHeight="1" x14ac:dyDescent="0.25">
      <c r="F625" s="6" t="s">
        <v>2171</v>
      </c>
      <c r="G625" t="s">
        <v>1872</v>
      </c>
      <c r="H625" t="s">
        <v>1846</v>
      </c>
      <c r="S625" s="15"/>
      <c r="U625" s="15"/>
      <c r="W625" s="15"/>
      <c r="Y625" s="15"/>
      <c r="AA625" s="15"/>
      <c r="AC625" s="15"/>
      <c r="AE625" s="15"/>
      <c r="AG625" s="15"/>
    </row>
    <row r="626" spans="6:33" ht="15.75" customHeight="1" x14ac:dyDescent="0.25">
      <c r="F626" s="6" t="s">
        <v>2171</v>
      </c>
      <c r="G626" t="s">
        <v>1872</v>
      </c>
      <c r="H626" t="s">
        <v>1846</v>
      </c>
      <c r="S626" s="15"/>
      <c r="U626" s="15"/>
      <c r="W626" s="15"/>
      <c r="Y626" s="15"/>
      <c r="AA626" s="15"/>
      <c r="AC626" s="15"/>
      <c r="AE626" s="15"/>
      <c r="AG626" s="15"/>
    </row>
    <row r="627" spans="6:33" ht="15.75" customHeight="1" x14ac:dyDescent="0.25">
      <c r="F627" s="6" t="s">
        <v>2171</v>
      </c>
      <c r="G627" s="6" t="s">
        <v>1872</v>
      </c>
      <c r="H627" s="6" t="s">
        <v>1846</v>
      </c>
      <c r="S627" s="15"/>
      <c r="U627" s="15"/>
      <c r="W627" s="15"/>
      <c r="Y627" s="15"/>
      <c r="AA627" s="15"/>
      <c r="AC627" s="15"/>
      <c r="AE627" s="15"/>
      <c r="AG627" s="15"/>
    </row>
    <row r="628" spans="6:33" ht="15.75" customHeight="1" x14ac:dyDescent="0.25">
      <c r="F628" s="6" t="s">
        <v>2171</v>
      </c>
      <c r="G628" s="8" t="s">
        <v>1872</v>
      </c>
      <c r="H628" s="6" t="s">
        <v>1846</v>
      </c>
      <c r="S628" s="15"/>
      <c r="U628" s="15"/>
      <c r="W628" s="15"/>
      <c r="Y628" s="15"/>
      <c r="AA628" s="15"/>
      <c r="AC628" s="15"/>
      <c r="AE628" s="15"/>
      <c r="AG628" s="15"/>
    </row>
    <row r="629" spans="6:33" ht="15.75" customHeight="1" x14ac:dyDescent="0.25">
      <c r="F629" s="6" t="s">
        <v>2171</v>
      </c>
      <c r="G629" s="6" t="s">
        <v>1872</v>
      </c>
      <c r="H629" s="6" t="s">
        <v>1846</v>
      </c>
      <c r="S629" s="15"/>
      <c r="U629" s="15"/>
      <c r="W629" s="15"/>
      <c r="Y629" s="15"/>
      <c r="AA629" s="15"/>
      <c r="AC629" s="15"/>
      <c r="AE629" s="15"/>
      <c r="AG629" s="15"/>
    </row>
    <row r="630" spans="6:33" ht="15.75" customHeight="1" x14ac:dyDescent="0.25">
      <c r="F630" s="6" t="s">
        <v>2171</v>
      </c>
      <c r="G630" s="6" t="s">
        <v>2082</v>
      </c>
      <c r="H630" s="6" t="s">
        <v>2113</v>
      </c>
      <c r="S630" s="15"/>
      <c r="U630" s="15"/>
      <c r="W630" s="15"/>
      <c r="Y630" s="15"/>
      <c r="AA630" s="15"/>
      <c r="AC630" s="15"/>
      <c r="AE630" s="15"/>
      <c r="AG630" s="15"/>
    </row>
    <row r="631" spans="6:33" ht="15.75" customHeight="1" x14ac:dyDescent="0.25">
      <c r="F631" s="6" t="s">
        <v>2171</v>
      </c>
      <c r="G631" s="6" t="s">
        <v>2082</v>
      </c>
      <c r="H631" s="6" t="s">
        <v>2113</v>
      </c>
      <c r="S631" s="15"/>
      <c r="U631" s="15"/>
      <c r="W631" s="15"/>
      <c r="Y631" s="15"/>
      <c r="AA631" s="15"/>
      <c r="AC631" s="15"/>
      <c r="AE631" s="15"/>
      <c r="AG631" s="15"/>
    </row>
    <row r="632" spans="6:33" ht="15.75" customHeight="1" x14ac:dyDescent="0.25">
      <c r="F632" s="6" t="s">
        <v>2171</v>
      </c>
      <c r="G632" s="6" t="s">
        <v>2082</v>
      </c>
      <c r="H632" s="6" t="s">
        <v>2113</v>
      </c>
      <c r="S632" s="15"/>
      <c r="U632" s="15"/>
      <c r="W632" s="15"/>
      <c r="Y632" s="15"/>
      <c r="AA632" s="15"/>
      <c r="AC632" s="15"/>
      <c r="AE632" s="15"/>
      <c r="AG632" s="15"/>
    </row>
    <row r="633" spans="6:33" ht="15.75" customHeight="1" x14ac:dyDescent="0.25">
      <c r="F633" s="6" t="s">
        <v>2171</v>
      </c>
      <c r="G633" s="6" t="s">
        <v>2082</v>
      </c>
      <c r="H633" s="6" t="s">
        <v>2113</v>
      </c>
      <c r="S633" s="15"/>
      <c r="U633" s="15"/>
      <c r="W633" s="15"/>
      <c r="Y633" s="15"/>
      <c r="AA633" s="15"/>
      <c r="AC633" s="15"/>
      <c r="AE633" s="15"/>
      <c r="AG633" s="15"/>
    </row>
    <row r="634" spans="6:33" ht="15.75" customHeight="1" x14ac:dyDescent="0.25">
      <c r="F634" s="6" t="s">
        <v>2171</v>
      </c>
      <c r="G634" s="6" t="s">
        <v>2082</v>
      </c>
      <c r="H634" s="6" t="s">
        <v>2113</v>
      </c>
      <c r="S634" s="15"/>
      <c r="U634" s="15"/>
      <c r="W634" s="15"/>
      <c r="Y634" s="15"/>
      <c r="AA634" s="15"/>
      <c r="AC634" s="15"/>
      <c r="AE634" s="15"/>
      <c r="AG634" s="15"/>
    </row>
    <row r="635" spans="6:33" ht="15.75" customHeight="1" x14ac:dyDescent="0.25">
      <c r="F635" t="s">
        <v>142</v>
      </c>
      <c r="G635" s="6" t="s">
        <v>2082</v>
      </c>
      <c r="H635" s="6" t="s">
        <v>2113</v>
      </c>
      <c r="S635" s="15"/>
      <c r="U635" s="15"/>
      <c r="W635" s="15"/>
      <c r="Y635" s="15"/>
      <c r="AA635" s="15"/>
      <c r="AC635" s="15"/>
      <c r="AE635" s="15"/>
      <c r="AG635" s="15"/>
    </row>
    <row r="636" spans="6:33" ht="15.75" customHeight="1" x14ac:dyDescent="0.25">
      <c r="F636" s="6" t="s">
        <v>142</v>
      </c>
      <c r="G636" s="6" t="s">
        <v>2082</v>
      </c>
      <c r="H636" s="6" t="s">
        <v>2113</v>
      </c>
      <c r="S636" s="15"/>
      <c r="U636" s="15"/>
      <c r="W636" s="15"/>
      <c r="Y636" s="15"/>
      <c r="AA636" s="15"/>
      <c r="AC636" s="15"/>
      <c r="AE636" s="15"/>
      <c r="AG636" s="15"/>
    </row>
    <row r="637" spans="6:33" ht="15.75" customHeight="1" x14ac:dyDescent="0.25">
      <c r="F637" s="6" t="s">
        <v>142</v>
      </c>
      <c r="G637" s="6" t="s">
        <v>2082</v>
      </c>
      <c r="H637" s="6" t="s">
        <v>2113</v>
      </c>
      <c r="S637" s="15"/>
      <c r="U637" s="15"/>
      <c r="W637" s="15"/>
      <c r="Y637" s="15"/>
      <c r="AA637" s="15"/>
      <c r="AC637" s="15"/>
      <c r="AE637" s="15"/>
      <c r="AG637" s="15"/>
    </row>
    <row r="638" spans="6:33" ht="15.75" customHeight="1" x14ac:dyDescent="0.25">
      <c r="F638" s="6" t="s">
        <v>142</v>
      </c>
      <c r="G638" s="6" t="s">
        <v>2082</v>
      </c>
      <c r="H638" s="6" t="s">
        <v>2113</v>
      </c>
      <c r="S638" s="15"/>
      <c r="U638" s="15"/>
      <c r="W638" s="15"/>
      <c r="Y638" s="15"/>
      <c r="AA638" s="15"/>
      <c r="AC638" s="15"/>
      <c r="AE638" s="15"/>
      <c r="AG638" s="15"/>
    </row>
    <row r="639" spans="6:33" ht="15.75" customHeight="1" x14ac:dyDescent="0.25">
      <c r="F639" t="s">
        <v>142</v>
      </c>
      <c r="G639" s="6" t="s">
        <v>2082</v>
      </c>
      <c r="H639" s="6" t="s">
        <v>2113</v>
      </c>
      <c r="S639" s="15"/>
      <c r="U639" s="15"/>
      <c r="W639" s="15"/>
      <c r="Y639" s="15"/>
      <c r="AA639" s="15"/>
      <c r="AC639" s="15"/>
      <c r="AE639" s="15"/>
      <c r="AG639" s="15"/>
    </row>
    <row r="640" spans="6:33" ht="15.75" customHeight="1" x14ac:dyDescent="0.25">
      <c r="F640" t="s">
        <v>142</v>
      </c>
      <c r="G640" s="6" t="s">
        <v>2082</v>
      </c>
      <c r="H640" s="6" t="s">
        <v>2113</v>
      </c>
      <c r="S640" s="15"/>
      <c r="U640" s="15"/>
      <c r="W640" s="15"/>
      <c r="Y640" s="15"/>
      <c r="AA640" s="15"/>
      <c r="AC640" s="15"/>
      <c r="AE640" s="15"/>
      <c r="AG640" s="15"/>
    </row>
    <row r="641" spans="6:33" ht="15.75" customHeight="1" x14ac:dyDescent="0.25">
      <c r="F641" t="s">
        <v>142</v>
      </c>
      <c r="G641" s="6" t="s">
        <v>2082</v>
      </c>
      <c r="H641" s="6" t="s">
        <v>2113</v>
      </c>
      <c r="S641" s="15"/>
      <c r="U641" s="15"/>
      <c r="W641" s="15"/>
      <c r="Y641" s="15"/>
      <c r="AA641" s="15"/>
      <c r="AC641" s="15"/>
      <c r="AE641" s="15"/>
      <c r="AG641" s="15"/>
    </row>
    <row r="642" spans="6:33" ht="15.75" customHeight="1" x14ac:dyDescent="0.25">
      <c r="F642" t="s">
        <v>142</v>
      </c>
      <c r="G642" s="6" t="s">
        <v>2082</v>
      </c>
      <c r="H642" s="6" t="s">
        <v>2113</v>
      </c>
      <c r="S642" s="15"/>
      <c r="U642" s="15"/>
      <c r="W642" s="15"/>
      <c r="Y642" s="15"/>
      <c r="AA642" s="15"/>
      <c r="AC642" s="15"/>
      <c r="AE642" s="15"/>
      <c r="AG642" s="15"/>
    </row>
    <row r="643" spans="6:33" ht="15.75" customHeight="1" x14ac:dyDescent="0.25">
      <c r="F643" t="s">
        <v>142</v>
      </c>
      <c r="G643" s="6" t="s">
        <v>2082</v>
      </c>
      <c r="H643" s="6" t="s">
        <v>2113</v>
      </c>
      <c r="S643" s="15"/>
      <c r="U643" s="15"/>
      <c r="W643" s="15"/>
      <c r="Y643" s="15"/>
      <c r="AA643" s="15"/>
      <c r="AC643" s="15"/>
      <c r="AE643" s="15"/>
      <c r="AG643" s="15"/>
    </row>
    <row r="644" spans="6:33" ht="15.75" customHeight="1" x14ac:dyDescent="0.25">
      <c r="F644" t="s">
        <v>142</v>
      </c>
      <c r="G644" s="6" t="s">
        <v>2082</v>
      </c>
      <c r="H644" s="6" t="s">
        <v>2113</v>
      </c>
      <c r="S644" s="15"/>
      <c r="U644" s="15"/>
      <c r="W644" s="15"/>
      <c r="Y644" s="15"/>
      <c r="AA644" s="15"/>
      <c r="AC644" s="15"/>
      <c r="AE644" s="15"/>
      <c r="AG644" s="15"/>
    </row>
    <row r="645" spans="6:33" ht="15.75" customHeight="1" x14ac:dyDescent="0.25">
      <c r="F645" t="s">
        <v>142</v>
      </c>
      <c r="G645" s="6" t="s">
        <v>2082</v>
      </c>
      <c r="H645" s="6" t="s">
        <v>2113</v>
      </c>
      <c r="S645" s="15"/>
      <c r="U645" s="15"/>
      <c r="W645" s="15"/>
      <c r="Y645" s="15"/>
      <c r="AA645" s="15"/>
      <c r="AC645" s="15"/>
      <c r="AE645" s="15"/>
      <c r="AG645" s="15"/>
    </row>
    <row r="646" spans="6:33" ht="15.75" customHeight="1" x14ac:dyDescent="0.25">
      <c r="F646" t="s">
        <v>142</v>
      </c>
      <c r="G646" s="6" t="s">
        <v>2082</v>
      </c>
      <c r="H646" t="s">
        <v>2005</v>
      </c>
      <c r="S646" s="15"/>
      <c r="U646" s="15"/>
      <c r="W646" s="15"/>
      <c r="Y646" s="15"/>
      <c r="AA646" s="15"/>
      <c r="AC646" s="15"/>
      <c r="AE646" s="15"/>
      <c r="AG646" s="15"/>
    </row>
    <row r="647" spans="6:33" ht="15.75" customHeight="1" x14ac:dyDescent="0.25">
      <c r="F647" t="s">
        <v>142</v>
      </c>
      <c r="G647" s="6" t="s">
        <v>2082</v>
      </c>
      <c r="H647" t="s">
        <v>2005</v>
      </c>
      <c r="S647" s="15"/>
      <c r="U647" s="15"/>
      <c r="W647" s="15"/>
      <c r="Y647" s="15"/>
      <c r="AA647" s="15"/>
      <c r="AC647" s="15"/>
      <c r="AE647" s="15"/>
      <c r="AG647" s="15"/>
    </row>
    <row r="648" spans="6:33" ht="15.75" customHeight="1" x14ac:dyDescent="0.25">
      <c r="F648" t="s">
        <v>142</v>
      </c>
      <c r="G648" s="6" t="s">
        <v>2082</v>
      </c>
      <c r="H648" t="s">
        <v>2005</v>
      </c>
      <c r="S648" s="15"/>
      <c r="U648" s="15"/>
      <c r="W648" s="15"/>
      <c r="Y648" s="15"/>
      <c r="AA648" s="15"/>
      <c r="AC648" s="15"/>
      <c r="AE648" s="15"/>
      <c r="AG648" s="15"/>
    </row>
    <row r="649" spans="6:33" ht="15.75" customHeight="1" x14ac:dyDescent="0.25">
      <c r="F649" t="s">
        <v>142</v>
      </c>
      <c r="G649" s="6" t="s">
        <v>2082</v>
      </c>
      <c r="H649" t="s">
        <v>2005</v>
      </c>
      <c r="S649" s="15"/>
      <c r="U649" s="15"/>
      <c r="W649" s="15"/>
      <c r="Y649" s="15"/>
      <c r="AA649" s="15"/>
      <c r="AC649" s="15"/>
      <c r="AE649" s="15"/>
      <c r="AG649" s="15"/>
    </row>
    <row r="650" spans="6:33" ht="15.75" customHeight="1" x14ac:dyDescent="0.25">
      <c r="F650" t="s">
        <v>142</v>
      </c>
      <c r="G650" s="6" t="s">
        <v>2082</v>
      </c>
      <c r="H650" t="s">
        <v>2005</v>
      </c>
      <c r="S650" s="15"/>
      <c r="U650" s="15"/>
      <c r="W650" s="15"/>
      <c r="Y650" s="15"/>
      <c r="AA650" s="15"/>
      <c r="AC650" s="15"/>
      <c r="AE650" s="15"/>
      <c r="AG650" s="15"/>
    </row>
    <row r="651" spans="6:33" ht="15.75" customHeight="1" x14ac:dyDescent="0.25">
      <c r="F651" t="s">
        <v>142</v>
      </c>
      <c r="G651" s="6" t="s">
        <v>2199</v>
      </c>
      <c r="H651" t="s">
        <v>2005</v>
      </c>
      <c r="S651" s="15"/>
      <c r="U651" s="15"/>
      <c r="W651" s="15"/>
      <c r="Y651" s="15"/>
      <c r="AA651" s="15"/>
      <c r="AC651" s="15"/>
      <c r="AE651" s="15"/>
      <c r="AG651" s="15"/>
    </row>
    <row r="652" spans="6:33" ht="15.75" customHeight="1" x14ac:dyDescent="0.25">
      <c r="F652" t="s">
        <v>142</v>
      </c>
      <c r="G652" s="6" t="s">
        <v>2199</v>
      </c>
      <c r="H652" t="s">
        <v>2005</v>
      </c>
      <c r="S652" s="15"/>
      <c r="U652" s="15"/>
      <c r="W652" s="15"/>
      <c r="Y652" s="15"/>
      <c r="AA652" s="15"/>
      <c r="AC652" s="15"/>
      <c r="AE652" s="15"/>
      <c r="AG652" s="15"/>
    </row>
    <row r="653" spans="6:33" ht="15.75" customHeight="1" x14ac:dyDescent="0.25">
      <c r="F653" t="s">
        <v>142</v>
      </c>
      <c r="G653" s="6" t="s">
        <v>2199</v>
      </c>
      <c r="H653" t="s">
        <v>2005</v>
      </c>
      <c r="S653" s="15"/>
      <c r="U653" s="15"/>
      <c r="W653" s="15"/>
      <c r="Y653" s="15"/>
      <c r="AA653" s="15"/>
      <c r="AC653" s="15"/>
      <c r="AE653" s="15"/>
      <c r="AG653" s="15"/>
    </row>
    <row r="654" spans="6:33" ht="15.75" customHeight="1" x14ac:dyDescent="0.25">
      <c r="F654" t="s">
        <v>142</v>
      </c>
      <c r="G654" s="6" t="s">
        <v>2199</v>
      </c>
      <c r="H654" t="s">
        <v>2005</v>
      </c>
      <c r="S654" s="15"/>
      <c r="U654" s="15"/>
      <c r="W654" s="15"/>
      <c r="Y654" s="15"/>
      <c r="AA654" s="15"/>
      <c r="AC654" s="15"/>
      <c r="AE654" s="15"/>
      <c r="AG654" s="15"/>
    </row>
    <row r="655" spans="6:33" ht="15.75" customHeight="1" x14ac:dyDescent="0.25">
      <c r="F655" t="s">
        <v>142</v>
      </c>
      <c r="G655" t="s">
        <v>2199</v>
      </c>
      <c r="H655" t="s">
        <v>2005</v>
      </c>
      <c r="S655" s="15"/>
      <c r="U655" s="15"/>
      <c r="W655" s="15"/>
      <c r="Y655" s="15"/>
      <c r="AA655" s="15"/>
      <c r="AC655" s="15"/>
      <c r="AE655" s="15"/>
      <c r="AG655" s="15"/>
    </row>
    <row r="656" spans="6:33" ht="15.75" customHeight="1" x14ac:dyDescent="0.25">
      <c r="F656" t="s">
        <v>142</v>
      </c>
      <c r="G656" s="6" t="s">
        <v>209</v>
      </c>
      <c r="H656" t="s">
        <v>2005</v>
      </c>
      <c r="S656" s="15"/>
      <c r="U656" s="15"/>
      <c r="W656" s="15"/>
      <c r="Y656" s="15"/>
      <c r="AA656" s="15"/>
      <c r="AC656" s="15"/>
      <c r="AE656" s="15"/>
      <c r="AG656" s="15"/>
    </row>
    <row r="657" spans="6:33" ht="15.75" customHeight="1" x14ac:dyDescent="0.25">
      <c r="F657" t="s">
        <v>142</v>
      </c>
      <c r="G657" s="6" t="s">
        <v>209</v>
      </c>
      <c r="H657" t="s">
        <v>2005</v>
      </c>
      <c r="S657" s="15"/>
      <c r="U657" s="15"/>
      <c r="W657" s="15"/>
      <c r="Y657" s="15"/>
      <c r="AA657" s="15"/>
      <c r="AC657" s="15"/>
      <c r="AE657" s="15"/>
      <c r="AG657" s="15"/>
    </row>
    <row r="658" spans="6:33" ht="15.75" customHeight="1" x14ac:dyDescent="0.25">
      <c r="F658" t="s">
        <v>142</v>
      </c>
      <c r="G658" s="6" t="s">
        <v>209</v>
      </c>
      <c r="H658" t="s">
        <v>2005</v>
      </c>
      <c r="S658" s="15"/>
      <c r="U658" s="15"/>
      <c r="W658" s="15"/>
      <c r="Y658" s="15"/>
      <c r="AA658" s="15"/>
      <c r="AC658" s="15"/>
      <c r="AE658" s="15"/>
      <c r="AG658" s="15"/>
    </row>
    <row r="659" spans="6:33" ht="15.75" customHeight="1" x14ac:dyDescent="0.25">
      <c r="F659" t="s">
        <v>142</v>
      </c>
      <c r="G659" s="6" t="s">
        <v>209</v>
      </c>
      <c r="H659" t="s">
        <v>2005</v>
      </c>
      <c r="S659" s="15"/>
      <c r="U659" s="15"/>
      <c r="W659" s="15"/>
      <c r="Y659" s="15"/>
      <c r="AA659" s="15"/>
      <c r="AC659" s="15"/>
      <c r="AE659" s="15"/>
      <c r="AG659" s="15"/>
    </row>
    <row r="660" spans="6:33" ht="15.75" customHeight="1" x14ac:dyDescent="0.25">
      <c r="F660" t="s">
        <v>142</v>
      </c>
      <c r="G660" s="6" t="s">
        <v>209</v>
      </c>
      <c r="H660" t="s">
        <v>2005</v>
      </c>
      <c r="S660" s="15"/>
      <c r="U660" s="15"/>
      <c r="W660" s="15"/>
      <c r="Y660" s="15"/>
      <c r="AA660" s="15"/>
      <c r="AC660" s="15"/>
      <c r="AE660" s="15"/>
      <c r="AG660" s="15"/>
    </row>
    <row r="661" spans="6:33" ht="15.75" customHeight="1" x14ac:dyDescent="0.25">
      <c r="F661" t="s">
        <v>142</v>
      </c>
      <c r="G661" s="6" t="s">
        <v>209</v>
      </c>
      <c r="H661" t="s">
        <v>2005</v>
      </c>
      <c r="S661" s="15"/>
      <c r="U661" s="15"/>
      <c r="W661" s="15"/>
      <c r="Y661" s="15"/>
      <c r="AA661" s="15"/>
      <c r="AC661" s="15"/>
      <c r="AE661" s="15"/>
      <c r="AG661" s="15"/>
    </row>
    <row r="662" spans="6:33" ht="15.75" customHeight="1" x14ac:dyDescent="0.25">
      <c r="F662" t="s">
        <v>142</v>
      </c>
      <c r="G662" s="6" t="s">
        <v>209</v>
      </c>
      <c r="H662" t="s">
        <v>2005</v>
      </c>
      <c r="S662" s="15"/>
      <c r="U662" s="15"/>
      <c r="W662" s="15"/>
      <c r="Y662" s="15"/>
      <c r="AA662" s="15"/>
      <c r="AC662" s="15"/>
      <c r="AE662" s="15"/>
      <c r="AG662" s="15"/>
    </row>
    <row r="663" spans="6:33" ht="15.75" customHeight="1" x14ac:dyDescent="0.25">
      <c r="F663" t="s">
        <v>142</v>
      </c>
      <c r="G663" s="6" t="s">
        <v>209</v>
      </c>
      <c r="H663" t="s">
        <v>2005</v>
      </c>
      <c r="S663" s="15"/>
      <c r="U663" s="15"/>
      <c r="W663" s="15"/>
      <c r="Y663" s="15"/>
      <c r="AA663" s="15"/>
      <c r="AC663" s="15"/>
      <c r="AE663" s="15"/>
      <c r="AG663" s="15"/>
    </row>
    <row r="664" spans="6:33" ht="15.75" customHeight="1" x14ac:dyDescent="0.25">
      <c r="F664" t="s">
        <v>142</v>
      </c>
      <c r="G664" s="6" t="s">
        <v>209</v>
      </c>
      <c r="H664" t="s">
        <v>2005</v>
      </c>
      <c r="S664" s="15"/>
      <c r="U664" s="15"/>
      <c r="W664" s="15"/>
      <c r="Y664" s="15"/>
      <c r="AA664" s="15"/>
      <c r="AC664" s="15"/>
      <c r="AE664" s="15"/>
      <c r="AG664" s="15"/>
    </row>
    <row r="665" spans="6:33" ht="15.75" customHeight="1" x14ac:dyDescent="0.25">
      <c r="F665" t="s">
        <v>142</v>
      </c>
      <c r="G665" s="6" t="s">
        <v>209</v>
      </c>
      <c r="H665" t="s">
        <v>2005</v>
      </c>
      <c r="S665" s="15"/>
      <c r="U665" s="15"/>
      <c r="W665" s="15"/>
      <c r="Y665" s="15"/>
      <c r="AA665" s="15"/>
      <c r="AC665" s="15"/>
      <c r="AE665" s="15"/>
      <c r="AG665" s="15"/>
    </row>
    <row r="666" spans="6:33" ht="15.75" customHeight="1" x14ac:dyDescent="0.25">
      <c r="F666" t="s">
        <v>142</v>
      </c>
      <c r="G666" s="6" t="s">
        <v>209</v>
      </c>
      <c r="H666" t="s">
        <v>2005</v>
      </c>
      <c r="S666" s="15"/>
      <c r="U666" s="15"/>
      <c r="W666" s="15"/>
      <c r="Y666" s="15"/>
      <c r="AA666" s="15"/>
      <c r="AC666" s="15"/>
      <c r="AE666" s="15"/>
      <c r="AG666" s="15"/>
    </row>
    <row r="667" spans="6:33" ht="15.75" customHeight="1" x14ac:dyDescent="0.25">
      <c r="F667" t="s">
        <v>142</v>
      </c>
      <c r="G667" s="6" t="s">
        <v>209</v>
      </c>
      <c r="H667" t="s">
        <v>2005</v>
      </c>
      <c r="S667" s="15"/>
      <c r="U667" s="15"/>
      <c r="W667" s="15"/>
      <c r="Y667" s="15"/>
      <c r="AA667" s="15"/>
      <c r="AC667" s="15"/>
      <c r="AE667" s="15"/>
      <c r="AG667" s="15"/>
    </row>
    <row r="668" spans="6:33" ht="15.75" customHeight="1" x14ac:dyDescent="0.25">
      <c r="F668" t="s">
        <v>142</v>
      </c>
      <c r="G668" s="6" t="s">
        <v>209</v>
      </c>
      <c r="H668" t="s">
        <v>2005</v>
      </c>
      <c r="S668" s="15"/>
      <c r="U668" s="15"/>
      <c r="W668" s="15"/>
      <c r="Y668" s="15"/>
      <c r="AA668" s="15"/>
      <c r="AC668" s="15"/>
      <c r="AE668" s="15"/>
      <c r="AG668" s="15"/>
    </row>
    <row r="669" spans="6:33" ht="15.75" customHeight="1" x14ac:dyDescent="0.25">
      <c r="F669" t="s">
        <v>142</v>
      </c>
      <c r="G669" s="6" t="s">
        <v>209</v>
      </c>
      <c r="H669" t="s">
        <v>2005</v>
      </c>
      <c r="S669" s="15"/>
      <c r="U669" s="15"/>
      <c r="W669" s="15"/>
      <c r="Y669" s="15"/>
      <c r="AA669" s="15"/>
      <c r="AC669" s="15"/>
      <c r="AE669" s="15"/>
      <c r="AG669" s="15"/>
    </row>
    <row r="670" spans="6:33" ht="15.75" customHeight="1" x14ac:dyDescent="0.25">
      <c r="F670" t="s">
        <v>142</v>
      </c>
      <c r="G670" s="6" t="s">
        <v>209</v>
      </c>
      <c r="H670" t="s">
        <v>2005</v>
      </c>
      <c r="S670" s="15"/>
      <c r="U670" s="15"/>
      <c r="W670" s="15"/>
      <c r="Y670" s="15"/>
      <c r="AA670" s="15"/>
      <c r="AC670" s="15"/>
      <c r="AE670" s="15"/>
      <c r="AG670" s="15"/>
    </row>
    <row r="671" spans="6:33" ht="15.75" customHeight="1" x14ac:dyDescent="0.25">
      <c r="F671" t="s">
        <v>142</v>
      </c>
      <c r="G671" s="6" t="s">
        <v>209</v>
      </c>
      <c r="H671" s="6" t="s">
        <v>2005</v>
      </c>
      <c r="S671" s="15"/>
      <c r="U671" s="15"/>
      <c r="W671" s="15"/>
      <c r="Y671" s="15"/>
      <c r="AA671" s="15"/>
      <c r="AC671" s="15"/>
      <c r="AE671" s="15"/>
      <c r="AG671" s="15"/>
    </row>
    <row r="672" spans="6:33" ht="15.75" customHeight="1" x14ac:dyDescent="0.25">
      <c r="F672" t="s">
        <v>142</v>
      </c>
      <c r="G672" s="6" t="s">
        <v>209</v>
      </c>
      <c r="H672" s="6" t="s">
        <v>2005</v>
      </c>
      <c r="S672" s="15"/>
      <c r="U672" s="15"/>
      <c r="W672" s="15"/>
      <c r="Y672" s="15"/>
      <c r="AA672" s="15"/>
      <c r="AC672" s="15"/>
      <c r="AE672" s="15"/>
      <c r="AG672" s="15"/>
    </row>
    <row r="673" spans="2:33" ht="15.75" customHeight="1" x14ac:dyDescent="0.25">
      <c r="F673" t="s">
        <v>142</v>
      </c>
      <c r="G673" s="6" t="s">
        <v>209</v>
      </c>
      <c r="H673" s="6" t="s">
        <v>2005</v>
      </c>
      <c r="S673" s="15"/>
      <c r="U673" s="15"/>
      <c r="W673" s="15"/>
      <c r="Y673" s="15"/>
      <c r="AA673" s="15"/>
      <c r="AC673" s="15"/>
      <c r="AE673" s="15"/>
      <c r="AG673" s="15"/>
    </row>
    <row r="674" spans="2:33" ht="15.75" customHeight="1" x14ac:dyDescent="0.25">
      <c r="F674" t="s">
        <v>142</v>
      </c>
      <c r="G674" s="6" t="s">
        <v>209</v>
      </c>
      <c r="H674" s="6" t="s">
        <v>2005</v>
      </c>
      <c r="S674" s="15"/>
      <c r="U674" s="15"/>
      <c r="W674" s="15"/>
      <c r="Y674" s="15"/>
      <c r="AA674" s="15"/>
      <c r="AC674" s="15"/>
      <c r="AE674" s="15"/>
      <c r="AG674" s="15"/>
    </row>
    <row r="675" spans="2:33" ht="15.75" customHeight="1" x14ac:dyDescent="0.25">
      <c r="F675" t="s">
        <v>142</v>
      </c>
      <c r="G675" s="6" t="s">
        <v>209</v>
      </c>
      <c r="H675" t="s">
        <v>2005</v>
      </c>
      <c r="S675" s="15"/>
      <c r="U675" s="15"/>
      <c r="W675" s="15"/>
      <c r="Y675" s="15"/>
      <c r="AA675" s="15"/>
      <c r="AC675" s="15"/>
      <c r="AE675" s="15"/>
      <c r="AG675" s="15"/>
    </row>
    <row r="676" spans="2:33" ht="15.75" customHeight="1" x14ac:dyDescent="0.25">
      <c r="F676" t="s">
        <v>142</v>
      </c>
      <c r="G676" s="6" t="s">
        <v>209</v>
      </c>
      <c r="H676" s="6" t="s">
        <v>2005</v>
      </c>
      <c r="S676" s="15"/>
      <c r="U676" s="15"/>
      <c r="W676" s="15"/>
      <c r="Y676" s="15"/>
      <c r="AA676" s="15"/>
      <c r="AC676" s="15"/>
      <c r="AE676" s="15"/>
      <c r="AG676" s="15"/>
    </row>
    <row r="677" spans="2:33" ht="15.75" customHeight="1" x14ac:dyDescent="0.25">
      <c r="F677" t="s">
        <v>142</v>
      </c>
      <c r="G677" s="6" t="s">
        <v>209</v>
      </c>
      <c r="H677" s="6" t="s">
        <v>2005</v>
      </c>
      <c r="S677" s="15"/>
      <c r="U677" s="15"/>
      <c r="W677" s="15"/>
      <c r="Y677" s="15"/>
      <c r="AA677" s="15"/>
      <c r="AC677" s="15"/>
      <c r="AE677" s="15"/>
      <c r="AG677" s="15"/>
    </row>
    <row r="678" spans="2:33" ht="15.75" customHeight="1" x14ac:dyDescent="0.25">
      <c r="F678" t="s">
        <v>142</v>
      </c>
      <c r="G678" s="6" t="s">
        <v>209</v>
      </c>
      <c r="H678" s="6" t="s">
        <v>2097</v>
      </c>
      <c r="S678" s="15"/>
      <c r="U678" s="15"/>
      <c r="W678" s="15"/>
      <c r="Y678" s="15"/>
      <c r="AA678" s="15"/>
      <c r="AC678" s="15"/>
      <c r="AE678" s="15"/>
      <c r="AG678" s="15"/>
    </row>
    <row r="679" spans="2:33" ht="15.75" customHeight="1" x14ac:dyDescent="0.25">
      <c r="F679" t="s">
        <v>142</v>
      </c>
      <c r="G679" s="6" t="s">
        <v>209</v>
      </c>
      <c r="H679" s="6" t="s">
        <v>2097</v>
      </c>
      <c r="S679" s="15"/>
      <c r="U679" s="15"/>
      <c r="W679" s="15"/>
      <c r="Y679" s="15"/>
      <c r="AA679" s="15"/>
      <c r="AC679" s="15"/>
      <c r="AE679" s="15"/>
      <c r="AG679" s="15"/>
    </row>
    <row r="680" spans="2:33" ht="15.75" customHeight="1" x14ac:dyDescent="0.25">
      <c r="B680" s="6"/>
      <c r="F680" t="s">
        <v>142</v>
      </c>
      <c r="G680" s="6" t="s">
        <v>209</v>
      </c>
      <c r="H680" s="6" t="s">
        <v>2097</v>
      </c>
      <c r="S680" s="15"/>
      <c r="U680" s="15"/>
      <c r="W680" s="15"/>
      <c r="Y680" s="15"/>
      <c r="AA680" s="15"/>
      <c r="AC680" s="15"/>
      <c r="AE680" s="15"/>
      <c r="AG680" s="15"/>
    </row>
    <row r="681" spans="2:33" ht="15.75" customHeight="1" x14ac:dyDescent="0.25">
      <c r="F681" t="s">
        <v>142</v>
      </c>
      <c r="G681" s="6" t="s">
        <v>209</v>
      </c>
      <c r="H681" s="6" t="s">
        <v>2097</v>
      </c>
      <c r="S681" s="15"/>
      <c r="U681" s="15"/>
      <c r="W681" s="15"/>
      <c r="Y681" s="15"/>
      <c r="AA681" s="15"/>
      <c r="AC681" s="15"/>
      <c r="AE681" s="15"/>
      <c r="AG681" s="15"/>
    </row>
    <row r="682" spans="2:33" ht="15.75" customHeight="1" x14ac:dyDescent="0.25">
      <c r="F682" t="s">
        <v>142</v>
      </c>
      <c r="G682" s="6" t="s">
        <v>209</v>
      </c>
      <c r="H682" s="6" t="s">
        <v>2097</v>
      </c>
      <c r="S682" s="15"/>
      <c r="U682" s="15"/>
      <c r="W682" s="15"/>
      <c r="Y682" s="15"/>
      <c r="AA682" s="15"/>
      <c r="AC682" s="15"/>
      <c r="AE682" s="15"/>
      <c r="AG682" s="15"/>
    </row>
    <row r="683" spans="2:33" ht="15.75" customHeight="1" x14ac:dyDescent="0.25">
      <c r="F683" t="s">
        <v>142</v>
      </c>
      <c r="G683" s="6" t="s">
        <v>209</v>
      </c>
      <c r="H683" s="6" t="s">
        <v>2097</v>
      </c>
      <c r="S683" s="15"/>
      <c r="U683" s="15"/>
      <c r="W683" s="15"/>
      <c r="Y683" s="15"/>
      <c r="AA683" s="15"/>
      <c r="AC683" s="15"/>
      <c r="AE683" s="15"/>
      <c r="AG683" s="15"/>
    </row>
    <row r="684" spans="2:33" ht="15.75" customHeight="1" x14ac:dyDescent="0.25">
      <c r="F684" t="s">
        <v>142</v>
      </c>
      <c r="G684" s="6" t="s">
        <v>209</v>
      </c>
      <c r="H684" s="6" t="s">
        <v>2097</v>
      </c>
      <c r="S684" s="15"/>
      <c r="U684" s="15"/>
      <c r="W684" s="15"/>
      <c r="Y684" s="15"/>
      <c r="AA684" s="15"/>
      <c r="AC684" s="15"/>
      <c r="AE684" s="15"/>
      <c r="AG684" s="15"/>
    </row>
    <row r="685" spans="2:33" ht="15.75" customHeight="1" x14ac:dyDescent="0.25">
      <c r="F685" t="s">
        <v>142</v>
      </c>
      <c r="G685" s="6" t="s">
        <v>209</v>
      </c>
      <c r="H685" s="6" t="s">
        <v>2097</v>
      </c>
      <c r="S685" s="15"/>
      <c r="U685" s="15"/>
      <c r="W685" s="15"/>
      <c r="Y685" s="15"/>
      <c r="AA685" s="15"/>
      <c r="AC685" s="15"/>
      <c r="AE685" s="15"/>
      <c r="AG685" s="15"/>
    </row>
    <row r="686" spans="2:33" ht="15.75" customHeight="1" x14ac:dyDescent="0.25">
      <c r="F686" t="s">
        <v>142</v>
      </c>
      <c r="G686" s="6" t="s">
        <v>209</v>
      </c>
      <c r="H686" s="6" t="s">
        <v>2097</v>
      </c>
      <c r="S686" s="15"/>
      <c r="U686" s="15"/>
      <c r="W686" s="15"/>
      <c r="Y686" s="15"/>
      <c r="AA686" s="15"/>
      <c r="AC686" s="15"/>
      <c r="AE686" s="15"/>
      <c r="AG686" s="15"/>
    </row>
    <row r="687" spans="2:33" ht="15.75" customHeight="1" x14ac:dyDescent="0.25">
      <c r="F687" t="s">
        <v>142</v>
      </c>
      <c r="G687" s="6" t="s">
        <v>209</v>
      </c>
      <c r="H687" s="6" t="s">
        <v>2097</v>
      </c>
      <c r="S687" s="15"/>
      <c r="U687" s="15"/>
      <c r="W687" s="15"/>
      <c r="Y687" s="15"/>
      <c r="AA687" s="15"/>
      <c r="AC687" s="15"/>
      <c r="AE687" s="15"/>
      <c r="AG687" s="15"/>
    </row>
    <row r="688" spans="2:33" ht="15.75" customHeight="1" x14ac:dyDescent="0.25">
      <c r="F688" t="s">
        <v>142</v>
      </c>
      <c r="G688" s="6" t="s">
        <v>209</v>
      </c>
      <c r="H688" s="6" t="s">
        <v>2097</v>
      </c>
      <c r="S688" s="15"/>
      <c r="U688" s="15"/>
      <c r="W688" s="15"/>
      <c r="Y688" s="15"/>
      <c r="AA688" s="15"/>
      <c r="AC688" s="15"/>
      <c r="AE688" s="15"/>
      <c r="AG688" s="15"/>
    </row>
    <row r="689" spans="6:33" ht="15.75" customHeight="1" x14ac:dyDescent="0.25">
      <c r="F689" t="s">
        <v>142</v>
      </c>
      <c r="G689" s="6" t="s">
        <v>209</v>
      </c>
      <c r="H689" s="6" t="s">
        <v>2097</v>
      </c>
      <c r="S689" s="15"/>
      <c r="U689" s="15"/>
      <c r="W689" s="15"/>
      <c r="Y689" s="15"/>
      <c r="AA689" s="15"/>
      <c r="AC689" s="15"/>
      <c r="AE689" s="15"/>
      <c r="AG689" s="15"/>
    </row>
    <row r="690" spans="6:33" ht="15.75" customHeight="1" x14ac:dyDescent="0.25">
      <c r="F690" t="s">
        <v>142</v>
      </c>
      <c r="G690" s="6" t="s">
        <v>209</v>
      </c>
      <c r="H690" s="6" t="s">
        <v>2097</v>
      </c>
      <c r="S690" s="15"/>
      <c r="U690" s="15"/>
      <c r="W690" s="15"/>
      <c r="Y690" s="15"/>
      <c r="AA690" s="15"/>
      <c r="AC690" s="15"/>
      <c r="AE690" s="15"/>
      <c r="AG690" s="15"/>
    </row>
    <row r="691" spans="6:33" ht="15.75" customHeight="1" x14ac:dyDescent="0.25">
      <c r="F691" t="s">
        <v>142</v>
      </c>
      <c r="G691" s="6" t="s">
        <v>209</v>
      </c>
      <c r="H691" s="6" t="s">
        <v>2097</v>
      </c>
      <c r="S691" s="15"/>
      <c r="U691" s="15"/>
      <c r="W691" s="15"/>
      <c r="Y691" s="15"/>
      <c r="AA691" s="15"/>
      <c r="AC691" s="15"/>
      <c r="AE691" s="15"/>
      <c r="AG691" s="15"/>
    </row>
    <row r="692" spans="6:33" ht="15.75" customHeight="1" x14ac:dyDescent="0.25">
      <c r="F692" t="s">
        <v>142</v>
      </c>
      <c r="G692" s="6" t="s">
        <v>209</v>
      </c>
      <c r="H692" s="6" t="s">
        <v>2097</v>
      </c>
      <c r="S692" s="15"/>
      <c r="U692" s="15"/>
      <c r="W692" s="15"/>
      <c r="Y692" s="15"/>
      <c r="AA692" s="15"/>
      <c r="AC692" s="15"/>
      <c r="AE692" s="15"/>
      <c r="AG692" s="15"/>
    </row>
    <row r="693" spans="6:33" ht="15.75" customHeight="1" x14ac:dyDescent="0.25">
      <c r="F693" t="s">
        <v>142</v>
      </c>
      <c r="G693" s="6" t="s">
        <v>209</v>
      </c>
      <c r="H693" s="6" t="s">
        <v>2097</v>
      </c>
      <c r="S693" s="15"/>
      <c r="U693" s="15"/>
      <c r="W693" s="15"/>
      <c r="Y693" s="15"/>
      <c r="AA693" s="15"/>
      <c r="AC693" s="15"/>
      <c r="AE693" s="15"/>
      <c r="AG693" s="15"/>
    </row>
    <row r="694" spans="6:33" ht="15.75" customHeight="1" x14ac:dyDescent="0.25">
      <c r="F694" t="s">
        <v>142</v>
      </c>
      <c r="G694" s="6" t="s">
        <v>209</v>
      </c>
      <c r="H694" s="6" t="s">
        <v>2097</v>
      </c>
      <c r="S694" s="15"/>
      <c r="U694" s="15"/>
      <c r="W694" s="15"/>
      <c r="Y694" s="15"/>
      <c r="AA694" s="15"/>
      <c r="AC694" s="15"/>
      <c r="AE694" s="15"/>
      <c r="AG694" s="15"/>
    </row>
    <row r="695" spans="6:33" ht="15.75" customHeight="1" x14ac:dyDescent="0.25">
      <c r="F695" t="s">
        <v>142</v>
      </c>
      <c r="G695" s="6" t="s">
        <v>209</v>
      </c>
      <c r="H695" s="6" t="s">
        <v>2097</v>
      </c>
      <c r="S695" s="15"/>
      <c r="U695" s="15"/>
      <c r="W695" s="15"/>
      <c r="Y695" s="15"/>
      <c r="AA695" s="15"/>
      <c r="AC695" s="15"/>
      <c r="AE695" s="15"/>
      <c r="AG695" s="15"/>
    </row>
    <row r="696" spans="6:33" ht="15.75" customHeight="1" x14ac:dyDescent="0.25">
      <c r="F696" t="s">
        <v>142</v>
      </c>
      <c r="G696" s="6" t="s">
        <v>209</v>
      </c>
      <c r="H696" t="s">
        <v>2097</v>
      </c>
      <c r="S696" s="15"/>
      <c r="U696" s="15"/>
      <c r="W696" s="15"/>
      <c r="Y696" s="15"/>
      <c r="AA696" s="15"/>
      <c r="AC696" s="15"/>
      <c r="AE696" s="15"/>
      <c r="AG696" s="15"/>
    </row>
    <row r="697" spans="6:33" ht="15.75" customHeight="1" x14ac:dyDescent="0.25">
      <c r="F697" t="s">
        <v>142</v>
      </c>
      <c r="G697" s="6" t="s">
        <v>209</v>
      </c>
      <c r="H697" t="s">
        <v>2097</v>
      </c>
      <c r="S697" s="15"/>
      <c r="U697" s="15"/>
      <c r="W697" s="15"/>
      <c r="Y697" s="15"/>
      <c r="AA697" s="15"/>
      <c r="AC697" s="15"/>
      <c r="AE697" s="15"/>
      <c r="AG697" s="15"/>
    </row>
    <row r="698" spans="6:33" ht="15.75" customHeight="1" x14ac:dyDescent="0.25">
      <c r="F698" t="s">
        <v>142</v>
      </c>
      <c r="G698" s="6" t="s">
        <v>209</v>
      </c>
      <c r="H698" s="6" t="s">
        <v>1932</v>
      </c>
      <c r="S698" s="15"/>
      <c r="U698" s="15"/>
      <c r="W698" s="15"/>
      <c r="Y698" s="15"/>
      <c r="AA698" s="15"/>
      <c r="AC698" s="15"/>
      <c r="AE698" s="15"/>
      <c r="AG698" s="15"/>
    </row>
    <row r="699" spans="6:33" ht="15.75" customHeight="1" x14ac:dyDescent="0.25">
      <c r="F699" t="s">
        <v>142</v>
      </c>
      <c r="G699" s="6" t="s">
        <v>209</v>
      </c>
      <c r="H699" s="6" t="s">
        <v>1932</v>
      </c>
      <c r="S699" s="15"/>
      <c r="U699" s="15"/>
      <c r="W699" s="15"/>
      <c r="Y699" s="15"/>
      <c r="AA699" s="15"/>
      <c r="AC699" s="15"/>
      <c r="AE699" s="15"/>
      <c r="AG699" s="15"/>
    </row>
    <row r="700" spans="6:33" ht="15.75" customHeight="1" x14ac:dyDescent="0.25">
      <c r="F700" t="s">
        <v>142</v>
      </c>
      <c r="G700" s="6" t="s">
        <v>209</v>
      </c>
      <c r="H700" s="6" t="s">
        <v>1932</v>
      </c>
      <c r="S700" s="15"/>
      <c r="U700" s="15"/>
      <c r="W700" s="15"/>
      <c r="Y700" s="15"/>
      <c r="AA700" s="15"/>
      <c r="AC700" s="15"/>
      <c r="AE700" s="15"/>
      <c r="AG700" s="15"/>
    </row>
    <row r="701" spans="6:33" ht="15.75" customHeight="1" x14ac:dyDescent="0.25">
      <c r="F701" t="s">
        <v>142</v>
      </c>
      <c r="G701" s="6" t="s">
        <v>209</v>
      </c>
      <c r="H701" s="6" t="s">
        <v>1932</v>
      </c>
      <c r="S701" s="15"/>
      <c r="U701" s="15"/>
      <c r="W701" s="15"/>
      <c r="Y701" s="15"/>
      <c r="AA701" s="15"/>
      <c r="AC701" s="15"/>
      <c r="AE701" s="15"/>
      <c r="AG701" s="15"/>
    </row>
    <row r="702" spans="6:33" ht="15.75" customHeight="1" x14ac:dyDescent="0.25">
      <c r="F702" t="s">
        <v>142</v>
      </c>
      <c r="G702" s="6" t="s">
        <v>209</v>
      </c>
      <c r="H702" s="6" t="s">
        <v>1932</v>
      </c>
      <c r="S702" s="15"/>
      <c r="U702" s="15"/>
      <c r="W702" s="15"/>
      <c r="Y702" s="15"/>
      <c r="AA702" s="15"/>
      <c r="AC702" s="15"/>
      <c r="AE702" s="15"/>
      <c r="AG702" s="15"/>
    </row>
    <row r="703" spans="6:33" ht="15.75" customHeight="1" x14ac:dyDescent="0.25">
      <c r="F703" t="s">
        <v>142</v>
      </c>
      <c r="G703" s="6" t="s">
        <v>209</v>
      </c>
      <c r="H703" s="6" t="s">
        <v>1932</v>
      </c>
      <c r="S703" s="15"/>
      <c r="U703" s="15"/>
      <c r="W703" s="15"/>
      <c r="Y703" s="15"/>
      <c r="AA703" s="15"/>
      <c r="AC703" s="15"/>
      <c r="AE703" s="15"/>
      <c r="AG703" s="15"/>
    </row>
    <row r="704" spans="6:33" ht="15.75" customHeight="1" x14ac:dyDescent="0.25">
      <c r="F704" t="s">
        <v>142</v>
      </c>
      <c r="G704" s="6" t="s">
        <v>209</v>
      </c>
      <c r="H704" s="6" t="s">
        <v>1932</v>
      </c>
      <c r="S704" s="15"/>
      <c r="U704" s="15"/>
      <c r="W704" s="15"/>
      <c r="Y704" s="15"/>
      <c r="AA704" s="15"/>
      <c r="AC704" s="15"/>
      <c r="AE704" s="15"/>
      <c r="AG704" s="15"/>
    </row>
    <row r="705" spans="6:33" ht="15.75" customHeight="1" x14ac:dyDescent="0.25">
      <c r="F705" t="s">
        <v>142</v>
      </c>
      <c r="G705" s="6" t="s">
        <v>209</v>
      </c>
      <c r="H705" s="6" t="s">
        <v>1932</v>
      </c>
      <c r="S705" s="15"/>
      <c r="U705" s="15"/>
      <c r="W705" s="15"/>
      <c r="Y705" s="15"/>
      <c r="AA705" s="15"/>
      <c r="AC705" s="15"/>
      <c r="AE705" s="15"/>
      <c r="AG705" s="15"/>
    </row>
    <row r="706" spans="6:33" ht="15.75" customHeight="1" x14ac:dyDescent="0.25">
      <c r="F706" t="s">
        <v>142</v>
      </c>
      <c r="G706" s="6" t="s">
        <v>209</v>
      </c>
      <c r="H706" s="6" t="s">
        <v>1932</v>
      </c>
      <c r="S706" s="15"/>
      <c r="U706" s="15"/>
      <c r="W706" s="15"/>
      <c r="Y706" s="15"/>
      <c r="AA706" s="15"/>
      <c r="AC706" s="15"/>
      <c r="AE706" s="15"/>
      <c r="AG706" s="15"/>
    </row>
    <row r="707" spans="6:33" ht="15.75" customHeight="1" x14ac:dyDescent="0.25">
      <c r="F707" t="s">
        <v>142</v>
      </c>
      <c r="G707" s="6" t="s">
        <v>209</v>
      </c>
      <c r="H707" s="6" t="s">
        <v>1932</v>
      </c>
      <c r="S707" s="15"/>
      <c r="U707" s="15"/>
      <c r="W707" s="15"/>
      <c r="Y707" s="15"/>
      <c r="AA707" s="15"/>
      <c r="AC707" s="15"/>
      <c r="AE707" s="15"/>
      <c r="AG707" s="15"/>
    </row>
    <row r="708" spans="6:33" ht="15.75" customHeight="1" x14ac:dyDescent="0.25">
      <c r="F708" t="s">
        <v>142</v>
      </c>
      <c r="G708" s="6" t="s">
        <v>209</v>
      </c>
      <c r="H708" s="6" t="s">
        <v>1932</v>
      </c>
      <c r="S708" s="15"/>
      <c r="U708" s="15"/>
      <c r="W708" s="15"/>
      <c r="Y708" s="15"/>
      <c r="AA708" s="15"/>
      <c r="AC708" s="15"/>
      <c r="AE708" s="15"/>
      <c r="AG708" s="15"/>
    </row>
    <row r="709" spans="6:33" ht="15.75" customHeight="1" x14ac:dyDescent="0.25">
      <c r="F709" t="s">
        <v>142</v>
      </c>
      <c r="G709" s="6" t="s">
        <v>209</v>
      </c>
      <c r="H709" s="6" t="s">
        <v>1932</v>
      </c>
      <c r="S709" s="15"/>
      <c r="U709" s="15"/>
      <c r="W709" s="15"/>
      <c r="Y709" s="15"/>
      <c r="AA709" s="15"/>
      <c r="AC709" s="15"/>
      <c r="AE709" s="15"/>
      <c r="AG709" s="15"/>
    </row>
    <row r="710" spans="6:33" ht="15.75" customHeight="1" x14ac:dyDescent="0.25">
      <c r="F710" t="s">
        <v>142</v>
      </c>
      <c r="G710" s="6" t="s">
        <v>209</v>
      </c>
      <c r="H710" s="6" t="s">
        <v>1932</v>
      </c>
      <c r="S710" s="15"/>
      <c r="U710" s="15"/>
      <c r="W710" s="15"/>
      <c r="Y710" s="15"/>
      <c r="AA710" s="15"/>
      <c r="AC710" s="15"/>
      <c r="AE710" s="15"/>
      <c r="AG710" s="15"/>
    </row>
    <row r="711" spans="6:33" ht="15.75" customHeight="1" x14ac:dyDescent="0.25">
      <c r="F711" t="s">
        <v>142</v>
      </c>
      <c r="G711" s="6" t="s">
        <v>209</v>
      </c>
      <c r="H711" s="6" t="s">
        <v>1932</v>
      </c>
      <c r="S711" s="15"/>
      <c r="U711" s="15"/>
      <c r="W711" s="15"/>
      <c r="Y711" s="15"/>
      <c r="AA711" s="15"/>
      <c r="AC711" s="15"/>
      <c r="AE711" s="15"/>
      <c r="AG711" s="15"/>
    </row>
    <row r="712" spans="6:33" ht="15.75" customHeight="1" x14ac:dyDescent="0.25">
      <c r="F712" t="s">
        <v>142</v>
      </c>
      <c r="G712" s="6" t="s">
        <v>209</v>
      </c>
      <c r="H712" s="6" t="s">
        <v>1932</v>
      </c>
      <c r="S712" s="15"/>
      <c r="U712" s="15"/>
      <c r="W712" s="15"/>
      <c r="Y712" s="15"/>
      <c r="AA712" s="15"/>
      <c r="AC712" s="15"/>
      <c r="AE712" s="15"/>
      <c r="AG712" s="15"/>
    </row>
    <row r="713" spans="6:33" ht="15.75" customHeight="1" x14ac:dyDescent="0.25">
      <c r="F713" t="s">
        <v>142</v>
      </c>
      <c r="G713" s="6" t="s">
        <v>209</v>
      </c>
      <c r="H713" s="6" t="s">
        <v>1932</v>
      </c>
      <c r="S713" s="15"/>
      <c r="U713" s="15"/>
      <c r="W713" s="15"/>
      <c r="Y713" s="15"/>
      <c r="AA713" s="15"/>
      <c r="AC713" s="15"/>
      <c r="AE713" s="15"/>
      <c r="AG713" s="15"/>
    </row>
    <row r="714" spans="6:33" ht="15.75" customHeight="1" x14ac:dyDescent="0.25">
      <c r="F714" t="s">
        <v>142</v>
      </c>
      <c r="G714" s="6" t="s">
        <v>209</v>
      </c>
      <c r="H714" s="6" t="s">
        <v>1932</v>
      </c>
      <c r="S714" s="15"/>
      <c r="U714" s="15"/>
      <c r="W714" s="15"/>
      <c r="Y714" s="15"/>
      <c r="AA714" s="15"/>
      <c r="AC714" s="15"/>
      <c r="AE714" s="15"/>
      <c r="AG714" s="15"/>
    </row>
    <row r="715" spans="6:33" ht="15.75" customHeight="1" x14ac:dyDescent="0.25">
      <c r="F715" t="s">
        <v>142</v>
      </c>
      <c r="G715" s="6" t="s">
        <v>209</v>
      </c>
      <c r="H715" s="6" t="s">
        <v>1932</v>
      </c>
      <c r="S715" s="15"/>
      <c r="U715" s="15"/>
      <c r="W715" s="15"/>
      <c r="Y715" s="15"/>
      <c r="AA715" s="15"/>
      <c r="AC715" s="15"/>
      <c r="AE715" s="15"/>
      <c r="AG715" s="15"/>
    </row>
    <row r="716" spans="6:33" ht="15.75" customHeight="1" x14ac:dyDescent="0.25">
      <c r="F716" t="s">
        <v>142</v>
      </c>
      <c r="G716" s="6" t="s">
        <v>209</v>
      </c>
      <c r="H716" s="6" t="s">
        <v>1932</v>
      </c>
      <c r="S716" s="15"/>
      <c r="U716" s="15"/>
      <c r="W716" s="15"/>
      <c r="Y716" s="15"/>
      <c r="AA716" s="15"/>
      <c r="AC716" s="15"/>
      <c r="AE716" s="15"/>
      <c r="AG716" s="15"/>
    </row>
    <row r="717" spans="6:33" ht="15.75" customHeight="1" x14ac:dyDescent="0.25">
      <c r="F717" t="s">
        <v>142</v>
      </c>
      <c r="G717" s="6" t="s">
        <v>209</v>
      </c>
      <c r="H717" s="6" t="s">
        <v>1932</v>
      </c>
      <c r="S717" s="15"/>
      <c r="U717" s="15"/>
      <c r="W717" s="15"/>
      <c r="Y717" s="15"/>
      <c r="AA717" s="15"/>
      <c r="AC717" s="15"/>
      <c r="AE717" s="15"/>
      <c r="AG717" s="15"/>
    </row>
    <row r="718" spans="6:33" ht="15.75" customHeight="1" x14ac:dyDescent="0.25">
      <c r="F718" t="s">
        <v>142</v>
      </c>
      <c r="G718" s="6" t="s">
        <v>209</v>
      </c>
      <c r="H718" s="6" t="s">
        <v>1932</v>
      </c>
      <c r="S718" s="15"/>
      <c r="U718" s="15"/>
      <c r="W718" s="15"/>
      <c r="Y718" s="15"/>
      <c r="AA718" s="15"/>
      <c r="AC718" s="15"/>
      <c r="AE718" s="15"/>
      <c r="AG718" s="15"/>
    </row>
    <row r="719" spans="6:33" ht="15.75" customHeight="1" x14ac:dyDescent="0.25">
      <c r="F719" t="s">
        <v>142</v>
      </c>
      <c r="G719" s="6" t="s">
        <v>209</v>
      </c>
      <c r="H719" s="6" t="s">
        <v>1932</v>
      </c>
      <c r="S719" s="15"/>
      <c r="U719" s="15"/>
      <c r="W719" s="15"/>
      <c r="Y719" s="15"/>
      <c r="AA719" s="15"/>
      <c r="AC719" s="15"/>
      <c r="AE719" s="15"/>
      <c r="AG719" s="15"/>
    </row>
    <row r="720" spans="6:33" ht="15.75" customHeight="1" x14ac:dyDescent="0.25">
      <c r="F720" t="s">
        <v>142</v>
      </c>
      <c r="G720" s="6" t="s">
        <v>209</v>
      </c>
      <c r="H720" s="6" t="s">
        <v>1932</v>
      </c>
      <c r="S720" s="15"/>
      <c r="U720" s="15"/>
      <c r="W720" s="15"/>
      <c r="Y720" s="15"/>
      <c r="AA720" s="15"/>
      <c r="AC720" s="15"/>
      <c r="AE720" s="15"/>
      <c r="AG720" s="15"/>
    </row>
    <row r="721" spans="6:33" ht="15.75" customHeight="1" x14ac:dyDescent="0.25">
      <c r="F721" t="s">
        <v>142</v>
      </c>
      <c r="G721" s="6" t="s">
        <v>209</v>
      </c>
      <c r="H721" s="6" t="s">
        <v>1932</v>
      </c>
      <c r="S721" s="15"/>
      <c r="U721" s="15"/>
      <c r="W721" s="15"/>
      <c r="Y721" s="15"/>
      <c r="AA721" s="15"/>
      <c r="AC721" s="15"/>
      <c r="AE721" s="15"/>
      <c r="AG721" s="15"/>
    </row>
    <row r="722" spans="6:33" ht="15.75" customHeight="1" x14ac:dyDescent="0.25">
      <c r="F722" t="s">
        <v>142</v>
      </c>
      <c r="G722" s="6" t="s">
        <v>209</v>
      </c>
      <c r="H722" s="6" t="s">
        <v>1932</v>
      </c>
      <c r="S722" s="15"/>
      <c r="U722" s="15"/>
      <c r="W722" s="15"/>
      <c r="Y722" s="15"/>
      <c r="AA722" s="15"/>
      <c r="AC722" s="15"/>
      <c r="AE722" s="15"/>
      <c r="AG722" s="15"/>
    </row>
    <row r="723" spans="6:33" ht="15.75" customHeight="1" x14ac:dyDescent="0.25">
      <c r="F723" t="s">
        <v>142</v>
      </c>
      <c r="G723" s="6" t="s">
        <v>209</v>
      </c>
      <c r="H723" s="6" t="s">
        <v>1932</v>
      </c>
      <c r="S723" s="15"/>
      <c r="U723" s="15"/>
      <c r="W723" s="15"/>
      <c r="Y723" s="15"/>
      <c r="AA723" s="15"/>
      <c r="AC723" s="15"/>
      <c r="AE723" s="15"/>
      <c r="AG723" s="15"/>
    </row>
    <row r="724" spans="6:33" ht="15.75" customHeight="1" x14ac:dyDescent="0.25">
      <c r="F724" t="s">
        <v>142</v>
      </c>
      <c r="G724" s="6" t="s">
        <v>209</v>
      </c>
      <c r="H724" s="6" t="s">
        <v>1932</v>
      </c>
      <c r="S724" s="15"/>
      <c r="U724" s="15"/>
      <c r="W724" s="15"/>
      <c r="Y724" s="15"/>
      <c r="AA724" s="15"/>
      <c r="AC724" s="15"/>
      <c r="AE724" s="15"/>
      <c r="AG724" s="15"/>
    </row>
    <row r="725" spans="6:33" ht="15.75" customHeight="1" x14ac:dyDescent="0.25">
      <c r="F725" t="s">
        <v>142</v>
      </c>
      <c r="G725" s="6" t="s">
        <v>209</v>
      </c>
      <c r="H725" s="6" t="s">
        <v>1932</v>
      </c>
      <c r="S725" s="15"/>
      <c r="U725" s="15"/>
      <c r="W725" s="15"/>
      <c r="Y725" s="15"/>
      <c r="AA725" s="15"/>
      <c r="AC725" s="15"/>
      <c r="AE725" s="15"/>
      <c r="AG725" s="15"/>
    </row>
    <row r="726" spans="6:33" ht="15.75" customHeight="1" x14ac:dyDescent="0.25">
      <c r="F726" t="s">
        <v>142</v>
      </c>
      <c r="G726" s="6" t="s">
        <v>209</v>
      </c>
      <c r="H726" s="6" t="s">
        <v>1932</v>
      </c>
      <c r="S726" s="15"/>
      <c r="U726" s="15"/>
      <c r="W726" s="15"/>
      <c r="Y726" s="15"/>
      <c r="AA726" s="15"/>
      <c r="AC726" s="15"/>
      <c r="AE726" s="15"/>
      <c r="AG726" s="15"/>
    </row>
    <row r="727" spans="6:33" ht="15.75" customHeight="1" x14ac:dyDescent="0.25">
      <c r="F727" t="s">
        <v>142</v>
      </c>
      <c r="G727" s="6" t="s">
        <v>209</v>
      </c>
      <c r="H727" s="6" t="s">
        <v>1932</v>
      </c>
      <c r="S727" s="15"/>
      <c r="U727" s="15"/>
      <c r="W727" s="15"/>
      <c r="Y727" s="15"/>
      <c r="AA727" s="15"/>
      <c r="AC727" s="15"/>
      <c r="AE727" s="15"/>
      <c r="AG727" s="15"/>
    </row>
    <row r="728" spans="6:33" ht="15.75" customHeight="1" x14ac:dyDescent="0.25">
      <c r="F728" t="s">
        <v>142</v>
      </c>
      <c r="G728" s="6" t="s">
        <v>209</v>
      </c>
      <c r="H728" s="6" t="s">
        <v>1932</v>
      </c>
      <c r="S728" s="15"/>
      <c r="U728" s="15"/>
      <c r="W728" s="15"/>
      <c r="Y728" s="15"/>
      <c r="AA728" s="15"/>
      <c r="AC728" s="15"/>
      <c r="AE728" s="15"/>
      <c r="AG728" s="15"/>
    </row>
    <row r="729" spans="6:33" ht="15.75" customHeight="1" x14ac:dyDescent="0.25">
      <c r="F729" t="s">
        <v>142</v>
      </c>
      <c r="G729" s="6" t="s">
        <v>209</v>
      </c>
      <c r="H729" s="6" t="s">
        <v>1932</v>
      </c>
      <c r="S729" s="15"/>
      <c r="U729" s="15"/>
      <c r="W729" s="15"/>
      <c r="Y729" s="15"/>
      <c r="AA729" s="15"/>
      <c r="AC729" s="15"/>
      <c r="AE729" s="15"/>
      <c r="AG729" s="15"/>
    </row>
    <row r="730" spans="6:33" ht="15.75" customHeight="1" x14ac:dyDescent="0.25">
      <c r="F730" t="s">
        <v>142</v>
      </c>
      <c r="G730" s="6" t="s">
        <v>209</v>
      </c>
      <c r="H730" s="6" t="s">
        <v>1932</v>
      </c>
      <c r="S730" s="15"/>
      <c r="U730" s="15"/>
      <c r="W730" s="15"/>
      <c r="Y730" s="15"/>
      <c r="AA730" s="15"/>
      <c r="AC730" s="15"/>
      <c r="AE730" s="15"/>
      <c r="AG730" s="15"/>
    </row>
    <row r="731" spans="6:33" ht="15.75" customHeight="1" x14ac:dyDescent="0.25">
      <c r="F731" t="s">
        <v>142</v>
      </c>
      <c r="G731" s="6" t="s">
        <v>209</v>
      </c>
      <c r="H731" s="6" t="s">
        <v>1932</v>
      </c>
      <c r="S731" s="15"/>
      <c r="U731" s="15"/>
      <c r="W731" s="15"/>
      <c r="Y731" s="15"/>
      <c r="AA731" s="15"/>
      <c r="AC731" s="15"/>
      <c r="AE731" s="15"/>
      <c r="AG731" s="15"/>
    </row>
    <row r="732" spans="6:33" ht="15.75" customHeight="1" x14ac:dyDescent="0.25">
      <c r="F732" t="s">
        <v>142</v>
      </c>
      <c r="G732" s="6" t="s">
        <v>209</v>
      </c>
      <c r="H732" t="s">
        <v>1932</v>
      </c>
      <c r="S732" s="15"/>
      <c r="U732" s="15"/>
      <c r="W732" s="15"/>
      <c r="Y732" s="15"/>
      <c r="AA732" s="15"/>
      <c r="AC732" s="15"/>
      <c r="AE732" s="15"/>
      <c r="AG732" s="15"/>
    </row>
    <row r="733" spans="6:33" ht="15.75" customHeight="1" x14ac:dyDescent="0.25">
      <c r="F733" t="s">
        <v>142</v>
      </c>
      <c r="G733" s="6" t="s">
        <v>209</v>
      </c>
      <c r="H733" s="6" t="s">
        <v>1932</v>
      </c>
      <c r="S733" s="15"/>
      <c r="U733" s="15"/>
      <c r="W733" s="15"/>
      <c r="Y733" s="15"/>
      <c r="AA733" s="15"/>
      <c r="AC733" s="15"/>
      <c r="AE733" s="15"/>
      <c r="AG733" s="15"/>
    </row>
    <row r="734" spans="6:33" ht="15.75" customHeight="1" x14ac:dyDescent="0.25">
      <c r="F734" t="s">
        <v>142</v>
      </c>
      <c r="G734" s="6" t="s">
        <v>209</v>
      </c>
      <c r="H734" s="6" t="s">
        <v>1932</v>
      </c>
      <c r="S734" s="15"/>
      <c r="U734" s="15"/>
      <c r="W734" s="15"/>
      <c r="Y734" s="15"/>
      <c r="AA734" s="15"/>
      <c r="AC734" s="15"/>
      <c r="AE734" s="15"/>
      <c r="AG734" s="15"/>
    </row>
    <row r="735" spans="6:33" ht="15.75" customHeight="1" x14ac:dyDescent="0.25">
      <c r="F735" t="s">
        <v>142</v>
      </c>
      <c r="G735" s="6" t="s">
        <v>209</v>
      </c>
      <c r="H735" s="6" t="s">
        <v>1932</v>
      </c>
      <c r="S735" s="15"/>
      <c r="U735" s="15"/>
      <c r="W735" s="15"/>
      <c r="Y735" s="15"/>
      <c r="AA735" s="15"/>
      <c r="AC735" s="15"/>
      <c r="AE735" s="15"/>
      <c r="AG735" s="15"/>
    </row>
    <row r="736" spans="6:33" ht="15.75" customHeight="1" x14ac:dyDescent="0.25">
      <c r="F736" t="s">
        <v>142</v>
      </c>
      <c r="G736" s="6" t="s">
        <v>209</v>
      </c>
      <c r="H736" s="6" t="s">
        <v>1932</v>
      </c>
      <c r="S736" s="15"/>
      <c r="U736" s="15"/>
      <c r="W736" s="15"/>
      <c r="Y736" s="15"/>
      <c r="AA736" s="15"/>
      <c r="AC736" s="15"/>
      <c r="AE736" s="15"/>
      <c r="AG736" s="15"/>
    </row>
    <row r="737" spans="6:33" ht="15.75" customHeight="1" x14ac:dyDescent="0.25">
      <c r="F737" t="s">
        <v>142</v>
      </c>
      <c r="G737" s="6" t="s">
        <v>209</v>
      </c>
      <c r="H737" s="6" t="s">
        <v>1932</v>
      </c>
      <c r="S737" s="15"/>
      <c r="U737" s="15"/>
      <c r="W737" s="15"/>
      <c r="Y737" s="15"/>
      <c r="AA737" s="15"/>
      <c r="AC737" s="15"/>
      <c r="AE737" s="15"/>
      <c r="AG737" s="15"/>
    </row>
    <row r="738" spans="6:33" ht="15.75" customHeight="1" x14ac:dyDescent="0.25">
      <c r="F738" t="s">
        <v>142</v>
      </c>
      <c r="G738" s="6" t="s">
        <v>209</v>
      </c>
      <c r="H738" s="6" t="s">
        <v>1815</v>
      </c>
      <c r="S738" s="15"/>
      <c r="U738" s="15"/>
      <c r="W738" s="15"/>
      <c r="Y738" s="15"/>
      <c r="AA738" s="15"/>
      <c r="AC738" s="15"/>
      <c r="AE738" s="15"/>
      <c r="AG738" s="15"/>
    </row>
    <row r="739" spans="6:33" ht="15.75" customHeight="1" x14ac:dyDescent="0.25">
      <c r="F739" t="s">
        <v>142</v>
      </c>
      <c r="G739" s="6" t="s">
        <v>209</v>
      </c>
      <c r="H739" s="6" t="s">
        <v>1815</v>
      </c>
      <c r="S739" s="15"/>
      <c r="U739" s="15"/>
      <c r="W739" s="15"/>
      <c r="Y739" s="15"/>
      <c r="AA739" s="15"/>
      <c r="AC739" s="15"/>
      <c r="AE739" s="15"/>
      <c r="AG739" s="15"/>
    </row>
    <row r="740" spans="6:33" ht="15.75" customHeight="1" x14ac:dyDescent="0.25">
      <c r="F740" t="s">
        <v>142</v>
      </c>
      <c r="G740" s="6" t="s">
        <v>209</v>
      </c>
      <c r="H740" s="6" t="s">
        <v>1815</v>
      </c>
      <c r="S740" s="15"/>
      <c r="U740" s="15"/>
      <c r="W740" s="15"/>
      <c r="Y740" s="15"/>
      <c r="AA740" s="15"/>
      <c r="AC740" s="15"/>
      <c r="AE740" s="15"/>
      <c r="AG740" s="15"/>
    </row>
    <row r="741" spans="6:33" ht="15.75" customHeight="1" x14ac:dyDescent="0.25">
      <c r="F741" t="s">
        <v>142</v>
      </c>
      <c r="G741" s="6" t="s">
        <v>209</v>
      </c>
      <c r="H741" s="6" t="s">
        <v>1815</v>
      </c>
      <c r="S741" s="15"/>
      <c r="U741" s="15"/>
      <c r="W741" s="15"/>
      <c r="Y741" s="15"/>
      <c r="AA741" s="15"/>
      <c r="AC741" s="15"/>
      <c r="AE741" s="15"/>
      <c r="AG741" s="15"/>
    </row>
    <row r="742" spans="6:33" ht="15.75" customHeight="1" x14ac:dyDescent="0.25">
      <c r="F742" t="s">
        <v>142</v>
      </c>
      <c r="G742" s="6" t="s">
        <v>2137</v>
      </c>
      <c r="H742" s="6" t="s">
        <v>1815</v>
      </c>
      <c r="S742" s="15"/>
      <c r="U742" s="15"/>
      <c r="W742" s="15"/>
      <c r="Y742" s="15"/>
      <c r="AA742" s="15"/>
      <c r="AC742" s="15"/>
      <c r="AE742" s="15"/>
      <c r="AG742" s="15"/>
    </row>
    <row r="743" spans="6:33" ht="15.75" customHeight="1" x14ac:dyDescent="0.25">
      <c r="F743" t="s">
        <v>142</v>
      </c>
      <c r="G743" s="6" t="s">
        <v>2137</v>
      </c>
      <c r="H743" s="6" t="s">
        <v>1815</v>
      </c>
      <c r="S743" s="15"/>
      <c r="U743" s="15"/>
      <c r="W743" s="15"/>
      <c r="Y743" s="15"/>
      <c r="AA743" s="15"/>
      <c r="AC743" s="15"/>
      <c r="AE743" s="15"/>
      <c r="AG743" s="15"/>
    </row>
    <row r="744" spans="6:33" ht="15.75" customHeight="1" x14ac:dyDescent="0.25">
      <c r="F744" t="s">
        <v>142</v>
      </c>
      <c r="G744" s="6" t="s">
        <v>2137</v>
      </c>
      <c r="H744" s="6" t="s">
        <v>1815</v>
      </c>
      <c r="S744" s="15"/>
      <c r="U744" s="15"/>
      <c r="W744" s="15"/>
      <c r="Y744" s="15"/>
      <c r="AA744" s="15"/>
      <c r="AC744" s="15"/>
      <c r="AE744" s="15"/>
      <c r="AG744" s="15"/>
    </row>
    <row r="745" spans="6:33" ht="15.75" customHeight="1" x14ac:dyDescent="0.25">
      <c r="F745" t="s">
        <v>142</v>
      </c>
      <c r="G745" s="6" t="s">
        <v>2137</v>
      </c>
      <c r="H745" s="6" t="s">
        <v>1815</v>
      </c>
      <c r="S745" s="15"/>
      <c r="U745" s="15"/>
      <c r="W745" s="15"/>
      <c r="Y745" s="15"/>
      <c r="AA745" s="15"/>
      <c r="AC745" s="15"/>
      <c r="AE745" s="15"/>
      <c r="AG745" s="15"/>
    </row>
    <row r="746" spans="6:33" ht="15.75" customHeight="1" x14ac:dyDescent="0.25">
      <c r="F746" t="s">
        <v>142</v>
      </c>
      <c r="G746" s="6" t="s">
        <v>2137</v>
      </c>
      <c r="H746" s="6" t="s">
        <v>1815</v>
      </c>
      <c r="S746" s="15"/>
      <c r="U746" s="15"/>
      <c r="W746" s="15"/>
      <c r="Y746" s="15"/>
      <c r="AA746" s="15"/>
      <c r="AC746" s="15"/>
      <c r="AE746" s="15"/>
      <c r="AG746" s="15"/>
    </row>
    <row r="747" spans="6:33" ht="15.75" customHeight="1" x14ac:dyDescent="0.25">
      <c r="F747" t="s">
        <v>142</v>
      </c>
      <c r="G747" s="6" t="s">
        <v>2137</v>
      </c>
      <c r="H747" s="6" t="s">
        <v>1815</v>
      </c>
      <c r="S747" s="15"/>
      <c r="U747" s="15"/>
      <c r="W747" s="15"/>
      <c r="Y747" s="15"/>
      <c r="AA747" s="15"/>
      <c r="AC747" s="15"/>
      <c r="AE747" s="15"/>
      <c r="AG747" s="15"/>
    </row>
    <row r="748" spans="6:33" ht="15.75" customHeight="1" x14ac:dyDescent="0.25">
      <c r="F748" t="s">
        <v>142</v>
      </c>
      <c r="G748" s="6" t="s">
        <v>2137</v>
      </c>
      <c r="H748" s="6" t="s">
        <v>1815</v>
      </c>
      <c r="S748" s="15"/>
      <c r="U748" s="15"/>
      <c r="W748" s="15"/>
      <c r="Y748" s="15"/>
      <c r="AA748" s="15"/>
      <c r="AC748" s="15"/>
      <c r="AE748" s="15"/>
      <c r="AG748" s="15"/>
    </row>
    <row r="749" spans="6:33" ht="15.75" customHeight="1" x14ac:dyDescent="0.25">
      <c r="F749" t="s">
        <v>142</v>
      </c>
      <c r="G749" s="6" t="s">
        <v>2137</v>
      </c>
      <c r="H749" s="6" t="s">
        <v>1815</v>
      </c>
      <c r="S749" s="15"/>
      <c r="U749" s="15"/>
      <c r="W749" s="15"/>
      <c r="Y749" s="15"/>
      <c r="AA749" s="15"/>
      <c r="AC749" s="15"/>
      <c r="AE749" s="15"/>
      <c r="AG749" s="15"/>
    </row>
    <row r="750" spans="6:33" ht="15.75" customHeight="1" x14ac:dyDescent="0.25">
      <c r="F750" s="8" t="s">
        <v>142</v>
      </c>
      <c r="G750" s="6" t="s">
        <v>2137</v>
      </c>
      <c r="H750" s="6" t="s">
        <v>1815</v>
      </c>
      <c r="S750" s="15"/>
      <c r="U750" s="15"/>
      <c r="W750" s="15"/>
      <c r="Y750" s="15"/>
      <c r="AA750" s="15"/>
      <c r="AC750" s="15"/>
      <c r="AE750" s="15"/>
      <c r="AG750" s="15"/>
    </row>
    <row r="751" spans="6:33" ht="15.75" customHeight="1" x14ac:dyDescent="0.25">
      <c r="G751" s="6" t="s">
        <v>2137</v>
      </c>
      <c r="H751" s="6" t="s">
        <v>1815</v>
      </c>
      <c r="S751" s="15"/>
      <c r="U751" s="15"/>
      <c r="W751" s="15"/>
      <c r="Y751" s="15"/>
      <c r="AA751" s="15"/>
      <c r="AC751" s="15"/>
      <c r="AE751" s="15"/>
      <c r="AG751" s="15"/>
    </row>
    <row r="752" spans="6:33" ht="15.75" customHeight="1" x14ac:dyDescent="0.25">
      <c r="G752" t="s">
        <v>2137</v>
      </c>
      <c r="H752" s="6" t="s">
        <v>1815</v>
      </c>
      <c r="S752" s="15"/>
      <c r="U752" s="15"/>
      <c r="W752" s="15"/>
      <c r="Y752" s="15"/>
      <c r="AA752" s="15"/>
      <c r="AC752" s="15"/>
      <c r="AE752" s="15"/>
      <c r="AG752" s="15"/>
    </row>
    <row r="753" spans="2:33" ht="15.75" customHeight="1" x14ac:dyDescent="0.25">
      <c r="G753" s="8" t="s">
        <v>2137</v>
      </c>
      <c r="H753" s="6" t="s">
        <v>1815</v>
      </c>
      <c r="S753" s="15"/>
      <c r="U753" s="15"/>
      <c r="W753" s="15"/>
      <c r="Y753" s="15"/>
      <c r="AA753" s="15"/>
      <c r="AC753" s="15"/>
      <c r="AE753" s="15"/>
      <c r="AG753" s="15"/>
    </row>
    <row r="754" spans="2:33" ht="15.75" customHeight="1" x14ac:dyDescent="0.25">
      <c r="G754" s="8" t="s">
        <v>2137</v>
      </c>
      <c r="H754" s="6" t="s">
        <v>1815</v>
      </c>
      <c r="S754" s="15"/>
      <c r="U754" s="15"/>
      <c r="W754" s="15"/>
      <c r="Y754" s="15"/>
      <c r="AA754" s="15"/>
      <c r="AC754" s="15"/>
      <c r="AE754" s="15"/>
      <c r="AG754" s="15"/>
    </row>
    <row r="755" spans="2:33" ht="15.75" customHeight="1" x14ac:dyDescent="0.25">
      <c r="G755" t="s">
        <v>2060</v>
      </c>
      <c r="H755" s="6" t="s">
        <v>1815</v>
      </c>
      <c r="S755" s="15"/>
      <c r="U755" s="15"/>
      <c r="W755" s="15"/>
      <c r="Y755" s="15"/>
      <c r="AA755" s="15"/>
      <c r="AC755" s="15"/>
      <c r="AE755" s="15"/>
      <c r="AG755" s="15"/>
    </row>
    <row r="756" spans="2:33" ht="15.75" customHeight="1" x14ac:dyDescent="0.25">
      <c r="G756" t="s">
        <v>2060</v>
      </c>
      <c r="H756" s="6" t="s">
        <v>1815</v>
      </c>
      <c r="S756" s="15"/>
      <c r="U756" s="15"/>
      <c r="W756" s="15"/>
      <c r="Y756" s="15"/>
      <c r="AA756" s="15"/>
      <c r="AC756" s="15"/>
      <c r="AE756" s="15"/>
      <c r="AG756" s="15"/>
    </row>
    <row r="757" spans="2:33" ht="15.75" customHeight="1" x14ac:dyDescent="0.25">
      <c r="G757" s="6" t="s">
        <v>2060</v>
      </c>
      <c r="H757" s="6" t="s">
        <v>1815</v>
      </c>
      <c r="S757" s="15"/>
      <c r="U757" s="15"/>
      <c r="W757" s="15"/>
      <c r="Y757" s="15"/>
      <c r="AA757" s="15"/>
      <c r="AC757" s="15"/>
      <c r="AE757" s="15"/>
      <c r="AG757" s="15"/>
    </row>
    <row r="758" spans="2:33" ht="15.75" customHeight="1" x14ac:dyDescent="0.25">
      <c r="G758" s="6" t="s">
        <v>2060</v>
      </c>
      <c r="H758" s="6" t="s">
        <v>1815</v>
      </c>
      <c r="S758" s="15"/>
      <c r="U758" s="15"/>
      <c r="W758" s="15"/>
      <c r="Y758" s="15"/>
      <c r="AA758" s="15"/>
      <c r="AC758" s="15"/>
      <c r="AE758" s="15"/>
      <c r="AG758" s="15"/>
    </row>
    <row r="759" spans="2:33" ht="15.75" customHeight="1" x14ac:dyDescent="0.25">
      <c r="G759" s="6" t="s">
        <v>2060</v>
      </c>
      <c r="H759" s="6" t="s">
        <v>1815</v>
      </c>
      <c r="S759" s="15"/>
      <c r="U759" s="15"/>
      <c r="W759" s="15"/>
      <c r="Y759" s="15"/>
      <c r="AA759" s="15"/>
      <c r="AC759" s="15"/>
      <c r="AE759" s="15"/>
      <c r="AG759" s="15"/>
    </row>
    <row r="760" spans="2:33" ht="15.75" customHeight="1" x14ac:dyDescent="0.25">
      <c r="G760" s="6" t="s">
        <v>2060</v>
      </c>
      <c r="H760" s="6" t="s">
        <v>1815</v>
      </c>
      <c r="S760" s="15"/>
      <c r="U760" s="15"/>
      <c r="W760" s="15"/>
      <c r="Y760" s="15"/>
      <c r="AA760" s="15"/>
      <c r="AC760" s="15"/>
      <c r="AE760" s="15"/>
      <c r="AG760" s="15"/>
    </row>
    <row r="761" spans="2:33" ht="15.75" customHeight="1" x14ac:dyDescent="0.25">
      <c r="G761" s="6" t="s">
        <v>2060</v>
      </c>
      <c r="H761" s="6" t="s">
        <v>1815</v>
      </c>
      <c r="S761" s="15"/>
      <c r="U761" s="15"/>
      <c r="W761" s="15"/>
      <c r="Y761" s="15"/>
      <c r="AA761" s="15"/>
      <c r="AC761" s="15"/>
      <c r="AE761" s="15"/>
      <c r="AG761" s="15"/>
    </row>
    <row r="762" spans="2:33" ht="15.75" customHeight="1" x14ac:dyDescent="0.25">
      <c r="G762" s="6" t="s">
        <v>2060</v>
      </c>
      <c r="H762" s="6" t="s">
        <v>1815</v>
      </c>
      <c r="S762" s="15"/>
      <c r="U762" s="15"/>
      <c r="W762" s="15"/>
      <c r="Y762" s="15"/>
      <c r="AA762" s="15"/>
      <c r="AC762" s="15"/>
      <c r="AE762" s="15"/>
      <c r="AG762" s="15"/>
    </row>
    <row r="763" spans="2:33" ht="15.75" customHeight="1" x14ac:dyDescent="0.25">
      <c r="G763" s="6" t="s">
        <v>2060</v>
      </c>
      <c r="H763" s="6" t="s">
        <v>1815</v>
      </c>
      <c r="S763" s="15"/>
      <c r="U763" s="15"/>
      <c r="W763" s="15"/>
      <c r="Y763" s="15"/>
      <c r="AA763" s="15"/>
      <c r="AC763" s="15"/>
      <c r="AE763" s="15"/>
      <c r="AG763" s="15"/>
    </row>
    <row r="764" spans="2:33" ht="15.75" customHeight="1" x14ac:dyDescent="0.25">
      <c r="G764" s="6" t="s">
        <v>2060</v>
      </c>
      <c r="H764" s="6" t="s">
        <v>1815</v>
      </c>
      <c r="S764" s="15"/>
      <c r="U764" s="15"/>
      <c r="W764" s="15"/>
      <c r="Y764" s="15"/>
      <c r="AA764" s="15"/>
      <c r="AC764" s="15"/>
      <c r="AE764" s="15"/>
      <c r="AG764" s="15"/>
    </row>
    <row r="765" spans="2:33" ht="15.75" customHeight="1" x14ac:dyDescent="0.25">
      <c r="G765" s="6" t="s">
        <v>2060</v>
      </c>
      <c r="H765" s="6" t="s">
        <v>1815</v>
      </c>
      <c r="S765" s="15"/>
      <c r="U765" s="15"/>
      <c r="W765" s="15"/>
      <c r="Y765" s="15"/>
      <c r="AA765" s="15"/>
      <c r="AC765" s="15"/>
      <c r="AE765" s="15"/>
      <c r="AG765" s="15"/>
    </row>
    <row r="766" spans="2:33" ht="15.75" customHeight="1" x14ac:dyDescent="0.25">
      <c r="B766" s="6"/>
      <c r="G766" s="6" t="s">
        <v>2060</v>
      </c>
      <c r="H766" s="6" t="s">
        <v>1815</v>
      </c>
      <c r="S766" s="15"/>
      <c r="U766" s="15"/>
      <c r="W766" s="15"/>
      <c r="Y766" s="15"/>
      <c r="AA766" s="15"/>
      <c r="AC766" s="15"/>
      <c r="AE766" s="15"/>
      <c r="AG766" s="15"/>
    </row>
    <row r="767" spans="2:33" ht="15.75" customHeight="1" x14ac:dyDescent="0.25">
      <c r="B767" s="6"/>
      <c r="G767" s="6" t="s">
        <v>2060</v>
      </c>
      <c r="H767" s="6" t="s">
        <v>1815</v>
      </c>
      <c r="S767" s="15"/>
      <c r="U767" s="15"/>
      <c r="W767" s="15"/>
      <c r="Y767" s="15"/>
      <c r="AA767" s="15"/>
      <c r="AC767" s="15"/>
      <c r="AE767" s="15"/>
      <c r="AG767" s="15"/>
    </row>
    <row r="768" spans="2:33" ht="15.75" customHeight="1" x14ac:dyDescent="0.25">
      <c r="G768" s="6" t="s">
        <v>2060</v>
      </c>
      <c r="H768" s="6" t="s">
        <v>1815</v>
      </c>
      <c r="S768" s="15"/>
      <c r="U768" s="15"/>
      <c r="W768" s="15"/>
      <c r="Y768" s="15"/>
      <c r="AA768" s="15"/>
      <c r="AC768" s="15"/>
      <c r="AE768" s="15"/>
      <c r="AG768" s="15"/>
    </row>
    <row r="769" spans="7:33" ht="15.75" customHeight="1" x14ac:dyDescent="0.25">
      <c r="G769" s="6" t="s">
        <v>2060</v>
      </c>
      <c r="H769" s="6" t="s">
        <v>1815</v>
      </c>
      <c r="S769" s="15"/>
      <c r="U769" s="15"/>
      <c r="W769" s="15"/>
      <c r="Y769" s="15"/>
      <c r="AA769" s="15"/>
      <c r="AC769" s="15"/>
      <c r="AE769" s="15"/>
      <c r="AG769" s="15"/>
    </row>
    <row r="770" spans="7:33" ht="15.75" customHeight="1" x14ac:dyDescent="0.25">
      <c r="G770" s="6" t="s">
        <v>2060</v>
      </c>
      <c r="H770" s="6" t="s">
        <v>1815</v>
      </c>
      <c r="S770" s="15"/>
      <c r="U770" s="15"/>
      <c r="W770" s="15"/>
      <c r="Y770" s="15"/>
      <c r="AA770" s="15"/>
      <c r="AC770" s="15"/>
      <c r="AE770" s="15"/>
      <c r="AG770" s="15"/>
    </row>
    <row r="771" spans="7:33" ht="15.75" customHeight="1" x14ac:dyDescent="0.25">
      <c r="G771" s="6" t="s">
        <v>2060</v>
      </c>
      <c r="H771" s="6" t="s">
        <v>1815</v>
      </c>
      <c r="S771" s="15"/>
      <c r="U771" s="15"/>
      <c r="W771" s="15"/>
      <c r="Y771" s="15"/>
      <c r="AA771" s="15"/>
      <c r="AC771" s="15"/>
      <c r="AE771" s="15"/>
      <c r="AG771" s="15"/>
    </row>
    <row r="772" spans="7:33" ht="15.75" customHeight="1" x14ac:dyDescent="0.25">
      <c r="G772" s="6" t="s">
        <v>2060</v>
      </c>
      <c r="H772" s="6" t="s">
        <v>1815</v>
      </c>
      <c r="S772" s="15"/>
      <c r="U772" s="15"/>
      <c r="W772" s="15"/>
      <c r="Y772" s="15"/>
      <c r="AA772" s="15"/>
      <c r="AC772" s="15"/>
      <c r="AE772" s="15"/>
      <c r="AG772" s="15"/>
    </row>
    <row r="773" spans="7:33" ht="15.75" customHeight="1" x14ac:dyDescent="0.25">
      <c r="G773" s="6" t="s">
        <v>2060</v>
      </c>
      <c r="H773" s="6" t="s">
        <v>1815</v>
      </c>
      <c r="S773" s="15"/>
      <c r="U773" s="15"/>
      <c r="W773" s="15"/>
      <c r="Y773" s="15"/>
      <c r="AA773" s="15"/>
      <c r="AC773" s="15"/>
      <c r="AE773" s="15"/>
      <c r="AG773" s="15"/>
    </row>
    <row r="774" spans="7:33" ht="15.75" customHeight="1" x14ac:dyDescent="0.25">
      <c r="G774" s="6" t="s">
        <v>2060</v>
      </c>
      <c r="H774" s="6" t="s">
        <v>1815</v>
      </c>
      <c r="S774" s="15"/>
      <c r="U774" s="15"/>
      <c r="W774" s="15"/>
      <c r="Y774" s="15"/>
      <c r="AA774" s="15"/>
      <c r="AC774" s="15"/>
      <c r="AE774" s="15"/>
      <c r="AG774" s="15"/>
    </row>
    <row r="775" spans="7:33" ht="15.75" customHeight="1" x14ac:dyDescent="0.25">
      <c r="G775" s="6" t="s">
        <v>2060</v>
      </c>
      <c r="H775" s="6" t="s">
        <v>1815</v>
      </c>
      <c r="S775" s="15"/>
      <c r="U775" s="15"/>
      <c r="W775" s="15"/>
      <c r="Y775" s="15"/>
      <c r="AA775" s="15"/>
      <c r="AC775" s="15"/>
      <c r="AE775" s="15"/>
      <c r="AG775" s="15"/>
    </row>
    <row r="776" spans="7:33" ht="15.75" customHeight="1" x14ac:dyDescent="0.25">
      <c r="G776" s="6" t="s">
        <v>2060</v>
      </c>
      <c r="H776" s="6" t="s">
        <v>1815</v>
      </c>
      <c r="S776" s="15"/>
      <c r="U776" s="15"/>
      <c r="W776" s="15"/>
      <c r="Y776" s="15"/>
      <c r="AA776" s="15"/>
      <c r="AC776" s="15"/>
      <c r="AE776" s="15"/>
      <c r="AG776" s="15"/>
    </row>
    <row r="777" spans="7:33" ht="15.75" customHeight="1" x14ac:dyDescent="0.25">
      <c r="G777" s="6" t="s">
        <v>2060</v>
      </c>
      <c r="H777" s="6" t="s">
        <v>1815</v>
      </c>
      <c r="S777" s="15"/>
      <c r="U777" s="15"/>
      <c r="W777" s="15"/>
      <c r="Y777" s="15"/>
      <c r="AA777" s="15"/>
      <c r="AC777" s="15"/>
      <c r="AE777" s="15"/>
      <c r="AG777" s="15"/>
    </row>
    <row r="778" spans="7:33" ht="15.75" customHeight="1" x14ac:dyDescent="0.25">
      <c r="G778" s="6" t="s">
        <v>2060</v>
      </c>
      <c r="H778" s="6" t="s">
        <v>1815</v>
      </c>
      <c r="S778" s="15"/>
      <c r="U778" s="15"/>
      <c r="W778" s="15"/>
      <c r="Y778" s="15"/>
      <c r="AA778" s="15"/>
      <c r="AC778" s="15"/>
      <c r="AE778" s="15"/>
      <c r="AG778" s="15"/>
    </row>
    <row r="779" spans="7:33" ht="15.75" customHeight="1" x14ac:dyDescent="0.25">
      <c r="G779" s="6" t="s">
        <v>2060</v>
      </c>
      <c r="H779" s="6" t="s">
        <v>1815</v>
      </c>
      <c r="S779" s="15"/>
      <c r="U779" s="15"/>
      <c r="W779" s="15"/>
      <c r="Y779" s="15"/>
      <c r="AA779" s="15"/>
      <c r="AC779" s="15"/>
      <c r="AE779" s="15"/>
      <c r="AG779" s="15"/>
    </row>
    <row r="780" spans="7:33" ht="15.75" customHeight="1" x14ac:dyDescent="0.25">
      <c r="G780" s="6" t="s">
        <v>2062</v>
      </c>
      <c r="H780" s="6" t="s">
        <v>1815</v>
      </c>
      <c r="S780" s="15"/>
      <c r="U780" s="15"/>
      <c r="W780" s="15"/>
      <c r="Y780" s="15"/>
      <c r="AA780" s="15"/>
      <c r="AC780" s="15"/>
      <c r="AE780" s="15"/>
      <c r="AG780" s="15"/>
    </row>
    <row r="781" spans="7:33" ht="15.75" customHeight="1" x14ac:dyDescent="0.25">
      <c r="G781" s="6" t="s">
        <v>2062</v>
      </c>
      <c r="H781" s="6" t="s">
        <v>1815</v>
      </c>
      <c r="S781" s="15"/>
      <c r="U781" s="15"/>
      <c r="W781" s="15"/>
      <c r="Y781" s="15"/>
      <c r="AA781" s="15"/>
      <c r="AC781" s="15"/>
      <c r="AE781" s="15"/>
      <c r="AG781" s="15"/>
    </row>
    <row r="782" spans="7:33" ht="15.75" customHeight="1" x14ac:dyDescent="0.25">
      <c r="G782" t="s">
        <v>2062</v>
      </c>
      <c r="H782" s="6" t="s">
        <v>1815</v>
      </c>
      <c r="S782" s="15"/>
      <c r="U782" s="15"/>
      <c r="W782" s="15"/>
      <c r="Y782" s="15"/>
      <c r="AA782" s="15"/>
      <c r="AC782" s="15"/>
      <c r="AE782" s="15"/>
      <c r="AG782" s="15"/>
    </row>
    <row r="783" spans="7:33" ht="15.75" customHeight="1" x14ac:dyDescent="0.25">
      <c r="G783" t="s">
        <v>2062</v>
      </c>
      <c r="H783" s="6" t="s">
        <v>1815</v>
      </c>
      <c r="S783" s="15"/>
      <c r="U783" s="15"/>
      <c r="W783" s="15"/>
      <c r="Y783" s="15"/>
      <c r="AA783" s="15"/>
      <c r="AC783" s="15"/>
      <c r="AE783" s="15"/>
      <c r="AG783" s="15"/>
    </row>
    <row r="784" spans="7:33" ht="15.75" customHeight="1" x14ac:dyDescent="0.25">
      <c r="G784" t="s">
        <v>2062</v>
      </c>
      <c r="H784" s="6" t="s">
        <v>1815</v>
      </c>
      <c r="S784" s="15"/>
      <c r="U784" s="15"/>
      <c r="W784" s="15"/>
      <c r="Y784" s="15"/>
      <c r="AA784" s="15"/>
      <c r="AC784" s="15"/>
      <c r="AE784" s="15"/>
      <c r="AG784" s="15"/>
    </row>
    <row r="785" spans="7:33" ht="15.75" customHeight="1" x14ac:dyDescent="0.25">
      <c r="G785" t="s">
        <v>2062</v>
      </c>
      <c r="H785" s="6" t="s">
        <v>1815</v>
      </c>
      <c r="S785" s="15"/>
      <c r="U785" s="15"/>
      <c r="W785" s="15"/>
      <c r="Y785" s="15"/>
      <c r="AA785" s="15"/>
      <c r="AC785" s="15"/>
      <c r="AE785" s="15"/>
      <c r="AG785" s="15"/>
    </row>
    <row r="786" spans="7:33" ht="15.75" customHeight="1" x14ac:dyDescent="0.25">
      <c r="G786" t="s">
        <v>2062</v>
      </c>
      <c r="H786" s="6" t="s">
        <v>1815</v>
      </c>
      <c r="S786" s="15"/>
      <c r="U786" s="15"/>
      <c r="W786" s="15"/>
      <c r="Y786" s="15"/>
      <c r="AA786" s="15"/>
      <c r="AC786" s="15"/>
      <c r="AE786" s="15"/>
      <c r="AG786" s="15"/>
    </row>
    <row r="787" spans="7:33" ht="15.75" customHeight="1" x14ac:dyDescent="0.25">
      <c r="G787" t="s">
        <v>2062</v>
      </c>
      <c r="H787" s="6" t="s">
        <v>1815</v>
      </c>
      <c r="S787" s="15"/>
      <c r="U787" s="15"/>
      <c r="W787" s="15"/>
      <c r="Y787" s="15"/>
      <c r="AA787" s="15"/>
      <c r="AC787" s="15"/>
      <c r="AE787" s="15"/>
      <c r="AG787" s="15"/>
    </row>
    <row r="788" spans="7:33" ht="15.75" customHeight="1" x14ac:dyDescent="0.25">
      <c r="G788" t="s">
        <v>2062</v>
      </c>
      <c r="H788" s="6" t="s">
        <v>1815</v>
      </c>
      <c r="S788" s="15"/>
      <c r="U788" s="15"/>
      <c r="W788" s="15"/>
      <c r="Y788" s="15"/>
      <c r="AA788" s="15"/>
      <c r="AC788" s="15"/>
      <c r="AE788" s="15"/>
      <c r="AG788" s="15"/>
    </row>
    <row r="789" spans="7:33" ht="15.75" customHeight="1" x14ac:dyDescent="0.25">
      <c r="G789" t="s">
        <v>2062</v>
      </c>
      <c r="H789" s="6" t="s">
        <v>1815</v>
      </c>
      <c r="S789" s="15"/>
      <c r="U789" s="15"/>
      <c r="W789" s="15"/>
      <c r="Y789" s="15"/>
      <c r="AA789" s="15"/>
      <c r="AC789" s="15"/>
      <c r="AE789" s="15"/>
      <c r="AG789" s="15"/>
    </row>
    <row r="790" spans="7:33" ht="15.75" customHeight="1" x14ac:dyDescent="0.25">
      <c r="G790" t="s">
        <v>2062</v>
      </c>
      <c r="H790" s="6" t="s">
        <v>1815</v>
      </c>
      <c r="S790" s="15"/>
      <c r="U790" s="15"/>
      <c r="W790" s="15"/>
      <c r="Y790" s="15"/>
      <c r="AA790" s="15"/>
      <c r="AC790" s="15"/>
      <c r="AE790" s="15"/>
      <c r="AG790" s="15"/>
    </row>
    <row r="791" spans="7:33" ht="15.75" customHeight="1" x14ac:dyDescent="0.25">
      <c r="G791" t="s">
        <v>2062</v>
      </c>
      <c r="H791" s="6" t="s">
        <v>1815</v>
      </c>
      <c r="S791" s="15"/>
      <c r="U791" s="15"/>
      <c r="W791" s="15"/>
      <c r="Y791" s="15"/>
      <c r="AA791" s="15"/>
      <c r="AC791" s="15"/>
      <c r="AE791" s="15"/>
      <c r="AG791" s="15"/>
    </row>
    <row r="792" spans="7:33" ht="15.75" customHeight="1" x14ac:dyDescent="0.25">
      <c r="G792" t="s">
        <v>2062</v>
      </c>
      <c r="H792" s="6" t="s">
        <v>1815</v>
      </c>
      <c r="S792" s="15"/>
      <c r="U792" s="15"/>
      <c r="W792" s="15"/>
      <c r="Y792" s="15"/>
      <c r="AA792" s="15"/>
      <c r="AC792" s="15"/>
      <c r="AE792" s="15"/>
      <c r="AG792" s="15"/>
    </row>
    <row r="793" spans="7:33" ht="15.75" customHeight="1" x14ac:dyDescent="0.25">
      <c r="G793" t="s">
        <v>2062</v>
      </c>
      <c r="H793" s="6" t="s">
        <v>222</v>
      </c>
      <c r="S793" s="15"/>
      <c r="U793" s="15"/>
      <c r="W793" s="15"/>
      <c r="Y793" s="15"/>
      <c r="AA793" s="15"/>
      <c r="AC793" s="15"/>
      <c r="AE793" s="15"/>
      <c r="AG793" s="15"/>
    </row>
    <row r="794" spans="7:33" ht="15.75" customHeight="1" x14ac:dyDescent="0.25">
      <c r="G794" t="s">
        <v>2062</v>
      </c>
      <c r="H794" s="6" t="s">
        <v>222</v>
      </c>
      <c r="S794" s="15"/>
      <c r="U794" s="15"/>
      <c r="W794" s="15"/>
      <c r="Y794" s="15"/>
      <c r="AA794" s="15"/>
      <c r="AC794" s="15"/>
      <c r="AE794" s="15"/>
      <c r="AG794" s="15"/>
    </row>
    <row r="795" spans="7:33" ht="15.75" customHeight="1" x14ac:dyDescent="0.25">
      <c r="G795" t="s">
        <v>2062</v>
      </c>
      <c r="H795" s="6" t="s">
        <v>222</v>
      </c>
      <c r="S795" s="15"/>
      <c r="U795" s="15"/>
      <c r="W795" s="15"/>
      <c r="Y795" s="15"/>
      <c r="AA795" s="15"/>
      <c r="AC795" s="15"/>
      <c r="AE795" s="15"/>
      <c r="AG795" s="15"/>
    </row>
    <row r="796" spans="7:33" ht="15.75" customHeight="1" x14ac:dyDescent="0.25">
      <c r="G796" t="s">
        <v>2062</v>
      </c>
      <c r="H796" s="6" t="s">
        <v>222</v>
      </c>
      <c r="S796" s="15"/>
      <c r="U796" s="15"/>
      <c r="W796" s="15"/>
      <c r="Y796" s="15"/>
      <c r="AA796" s="15"/>
      <c r="AC796" s="15"/>
      <c r="AE796" s="15"/>
      <c r="AG796" s="15"/>
    </row>
    <row r="797" spans="7:33" ht="15.75" customHeight="1" x14ac:dyDescent="0.25">
      <c r="G797" t="s">
        <v>2062</v>
      </c>
      <c r="H797" s="6" t="s">
        <v>222</v>
      </c>
      <c r="S797" s="15"/>
      <c r="U797" s="15"/>
      <c r="W797" s="15"/>
      <c r="Y797" s="15"/>
      <c r="AA797" s="15"/>
      <c r="AC797" s="15"/>
      <c r="AE797" s="15"/>
      <c r="AG797" s="15"/>
    </row>
    <row r="798" spans="7:33" ht="15.75" customHeight="1" x14ac:dyDescent="0.25">
      <c r="G798" t="s">
        <v>2062</v>
      </c>
      <c r="H798" s="6" t="s">
        <v>222</v>
      </c>
      <c r="S798" s="15"/>
      <c r="U798" s="15"/>
      <c r="W798" s="15"/>
      <c r="Y798" s="15"/>
      <c r="AA798" s="15"/>
      <c r="AC798" s="15"/>
      <c r="AE798" s="15"/>
      <c r="AG798" s="15"/>
    </row>
    <row r="799" spans="7:33" ht="15.75" customHeight="1" x14ac:dyDescent="0.25">
      <c r="G799" t="s">
        <v>2062</v>
      </c>
      <c r="H799" s="6" t="s">
        <v>222</v>
      </c>
      <c r="S799" s="15"/>
      <c r="U799" s="15"/>
      <c r="W799" s="15"/>
      <c r="Y799" s="15"/>
      <c r="AA799" s="15"/>
      <c r="AC799" s="15"/>
      <c r="AE799" s="15"/>
      <c r="AG799" s="15"/>
    </row>
    <row r="800" spans="7:33" ht="15.75" customHeight="1" x14ac:dyDescent="0.25">
      <c r="G800" t="s">
        <v>2062</v>
      </c>
      <c r="H800" s="6" t="s">
        <v>222</v>
      </c>
      <c r="S800" s="15"/>
      <c r="U800" s="15"/>
      <c r="W800" s="15"/>
      <c r="Y800" s="15"/>
      <c r="AA800" s="15"/>
      <c r="AC800" s="15"/>
      <c r="AE800" s="15"/>
      <c r="AG800" s="15"/>
    </row>
    <row r="801" spans="7:33" ht="15.75" customHeight="1" x14ac:dyDescent="0.25">
      <c r="G801" t="s">
        <v>2062</v>
      </c>
      <c r="H801" s="6" t="s">
        <v>222</v>
      </c>
      <c r="S801" s="15"/>
      <c r="U801" s="15"/>
      <c r="W801" s="15"/>
      <c r="Y801" s="15"/>
      <c r="AA801" s="15"/>
      <c r="AC801" s="15"/>
      <c r="AE801" s="15"/>
      <c r="AG801" s="15"/>
    </row>
    <row r="802" spans="7:33" ht="15.75" customHeight="1" x14ac:dyDescent="0.25">
      <c r="G802" t="s">
        <v>2062</v>
      </c>
      <c r="H802" s="6" t="s">
        <v>222</v>
      </c>
      <c r="S802" s="15"/>
      <c r="U802" s="15"/>
      <c r="W802" s="15"/>
      <c r="Y802" s="15"/>
      <c r="AA802" s="15"/>
      <c r="AC802" s="15"/>
      <c r="AE802" s="15"/>
      <c r="AG802" s="15"/>
    </row>
    <row r="803" spans="7:33" ht="15.75" customHeight="1" x14ac:dyDescent="0.25">
      <c r="G803" t="s">
        <v>2062</v>
      </c>
      <c r="H803" s="6" t="s">
        <v>222</v>
      </c>
      <c r="S803" s="15"/>
      <c r="U803" s="15"/>
      <c r="W803" s="15"/>
      <c r="Y803" s="15"/>
      <c r="AA803" s="15"/>
      <c r="AC803" s="15"/>
      <c r="AE803" s="15"/>
      <c r="AG803" s="15"/>
    </row>
    <row r="804" spans="7:33" ht="15.75" customHeight="1" x14ac:dyDescent="0.25">
      <c r="G804" s="6" t="s">
        <v>1856</v>
      </c>
      <c r="H804" s="6" t="s">
        <v>222</v>
      </c>
      <c r="S804" s="15"/>
      <c r="U804" s="15"/>
      <c r="W804" s="15"/>
      <c r="Y804" s="15"/>
      <c r="AA804" s="15"/>
      <c r="AC804" s="15"/>
      <c r="AE804" s="15"/>
      <c r="AG804" s="15"/>
    </row>
    <row r="805" spans="7:33" ht="15.75" customHeight="1" x14ac:dyDescent="0.25">
      <c r="G805" s="6" t="s">
        <v>1856</v>
      </c>
      <c r="H805" s="6" t="s">
        <v>222</v>
      </c>
      <c r="S805" s="15"/>
      <c r="U805" s="15"/>
      <c r="W805" s="15"/>
      <c r="Y805" s="15"/>
      <c r="AA805" s="15"/>
      <c r="AC805" s="15"/>
      <c r="AE805" s="15"/>
      <c r="AG805" s="15"/>
    </row>
    <row r="806" spans="7:33" ht="15.75" customHeight="1" x14ac:dyDescent="0.25">
      <c r="G806" s="6" t="s">
        <v>1856</v>
      </c>
      <c r="H806" s="6" t="s">
        <v>222</v>
      </c>
      <c r="S806" s="15"/>
      <c r="U806" s="15"/>
      <c r="W806" s="15"/>
      <c r="Y806" s="15"/>
      <c r="AA806" s="15"/>
      <c r="AC806" s="15"/>
      <c r="AE806" s="15"/>
      <c r="AG806" s="15"/>
    </row>
    <row r="807" spans="7:33" ht="15.75" customHeight="1" x14ac:dyDescent="0.25">
      <c r="G807" s="6" t="s">
        <v>1856</v>
      </c>
      <c r="H807" s="6" t="s">
        <v>222</v>
      </c>
      <c r="S807" s="15"/>
      <c r="U807" s="15"/>
      <c r="W807" s="15"/>
      <c r="Y807" s="15"/>
      <c r="AA807" s="15"/>
      <c r="AC807" s="15"/>
      <c r="AE807" s="15"/>
      <c r="AG807" s="15"/>
    </row>
    <row r="808" spans="7:33" ht="15.75" customHeight="1" x14ac:dyDescent="0.25">
      <c r="G808" s="6" t="s">
        <v>1856</v>
      </c>
      <c r="H808" s="6" t="s">
        <v>222</v>
      </c>
      <c r="S808" s="15"/>
      <c r="U808" s="15"/>
      <c r="W808" s="15"/>
      <c r="Y808" s="15"/>
      <c r="AA808" s="15"/>
      <c r="AC808" s="15"/>
      <c r="AE808" s="15"/>
      <c r="AG808" s="15"/>
    </row>
    <row r="809" spans="7:33" ht="15.75" customHeight="1" x14ac:dyDescent="0.25">
      <c r="G809" s="6" t="s">
        <v>1856</v>
      </c>
      <c r="H809" s="6" t="s">
        <v>222</v>
      </c>
      <c r="S809" s="15"/>
      <c r="U809" s="15"/>
      <c r="W809" s="15"/>
      <c r="Y809" s="15"/>
      <c r="AA809" s="15"/>
      <c r="AC809" s="15"/>
      <c r="AE809" s="15"/>
      <c r="AG809" s="15"/>
    </row>
    <row r="810" spans="7:33" ht="15.75" customHeight="1" x14ac:dyDescent="0.25">
      <c r="G810" s="6" t="s">
        <v>1856</v>
      </c>
      <c r="H810" s="6" t="s">
        <v>222</v>
      </c>
      <c r="S810" s="15"/>
      <c r="U810" s="15"/>
      <c r="W810" s="15"/>
      <c r="Y810" s="15"/>
      <c r="AA810" s="15"/>
      <c r="AC810" s="15"/>
      <c r="AE810" s="15"/>
      <c r="AG810" s="15"/>
    </row>
    <row r="811" spans="7:33" ht="15.75" customHeight="1" x14ac:dyDescent="0.25">
      <c r="G811" s="6" t="s">
        <v>1856</v>
      </c>
      <c r="H811" s="6" t="s">
        <v>222</v>
      </c>
      <c r="S811" s="15"/>
      <c r="U811" s="15"/>
      <c r="W811" s="15"/>
      <c r="Y811" s="15"/>
      <c r="AA811" s="15"/>
      <c r="AC811" s="15"/>
      <c r="AE811" s="15"/>
      <c r="AG811" s="15"/>
    </row>
    <row r="812" spans="7:33" ht="15.75" customHeight="1" x14ac:dyDescent="0.25">
      <c r="G812" s="6" t="s">
        <v>1856</v>
      </c>
      <c r="H812" s="6" t="s">
        <v>222</v>
      </c>
      <c r="S812" s="15"/>
      <c r="U812" s="15"/>
      <c r="W812" s="15"/>
      <c r="Y812" s="15"/>
      <c r="AA812" s="15"/>
      <c r="AC812" s="15"/>
      <c r="AE812" s="15"/>
      <c r="AG812" s="15"/>
    </row>
    <row r="813" spans="7:33" ht="15.75" customHeight="1" x14ac:dyDescent="0.25">
      <c r="G813" s="6" t="s">
        <v>1856</v>
      </c>
      <c r="H813" s="6" t="s">
        <v>222</v>
      </c>
      <c r="S813" s="15"/>
      <c r="U813" s="15"/>
      <c r="W813" s="15"/>
      <c r="Y813" s="15"/>
      <c r="AA813" s="15"/>
      <c r="AC813" s="15"/>
      <c r="AE813" s="15"/>
      <c r="AG813" s="15"/>
    </row>
    <row r="814" spans="7:33" ht="15.75" customHeight="1" x14ac:dyDescent="0.25">
      <c r="G814" s="6" t="s">
        <v>1856</v>
      </c>
      <c r="H814" s="6" t="s">
        <v>222</v>
      </c>
      <c r="S814" s="15"/>
      <c r="U814" s="15"/>
      <c r="W814" s="15"/>
      <c r="Y814" s="15"/>
      <c r="AA814" s="15"/>
      <c r="AC814" s="15"/>
      <c r="AE814" s="15"/>
      <c r="AG814" s="15"/>
    </row>
    <row r="815" spans="7:33" ht="15.75" customHeight="1" x14ac:dyDescent="0.25">
      <c r="G815" s="6" t="s">
        <v>1856</v>
      </c>
      <c r="H815" s="6" t="s">
        <v>222</v>
      </c>
      <c r="S815" s="15"/>
      <c r="U815" s="15"/>
      <c r="W815" s="15"/>
      <c r="Y815" s="15"/>
      <c r="AA815" s="15"/>
      <c r="AC815" s="15"/>
      <c r="AE815" s="15"/>
      <c r="AG815" s="15"/>
    </row>
    <row r="816" spans="7:33" ht="15.75" customHeight="1" x14ac:dyDescent="0.25">
      <c r="G816" s="6" t="s">
        <v>1856</v>
      </c>
      <c r="H816" s="6" t="s">
        <v>222</v>
      </c>
      <c r="S816" s="15"/>
      <c r="U816" s="15"/>
      <c r="W816" s="15"/>
      <c r="Y816" s="15"/>
      <c r="AA816" s="15"/>
      <c r="AC816" s="15"/>
      <c r="AE816" s="15"/>
      <c r="AG816" s="15"/>
    </row>
    <row r="817" spans="7:33" ht="15.75" customHeight="1" x14ac:dyDescent="0.25">
      <c r="G817" s="6" t="s">
        <v>1856</v>
      </c>
      <c r="H817" s="6" t="s">
        <v>222</v>
      </c>
      <c r="S817" s="15"/>
      <c r="U817" s="15"/>
      <c r="W817" s="15"/>
      <c r="Y817" s="15"/>
      <c r="AA817" s="15"/>
      <c r="AC817" s="15"/>
      <c r="AE817" s="15"/>
      <c r="AG817" s="15"/>
    </row>
    <row r="818" spans="7:33" ht="15.75" customHeight="1" x14ac:dyDescent="0.25">
      <c r="G818" s="6" t="s">
        <v>1856</v>
      </c>
      <c r="H818" s="6" t="s">
        <v>222</v>
      </c>
      <c r="S818" s="15"/>
      <c r="U818" s="15"/>
      <c r="W818" s="15"/>
      <c r="Y818" s="15"/>
      <c r="AA818" s="15"/>
      <c r="AC818" s="15"/>
      <c r="AE818" s="15"/>
      <c r="AG818" s="15"/>
    </row>
    <row r="819" spans="7:33" ht="15.75" customHeight="1" x14ac:dyDescent="0.25">
      <c r="G819" s="6" t="s">
        <v>1856</v>
      </c>
      <c r="H819" s="6" t="s">
        <v>222</v>
      </c>
      <c r="S819" s="15"/>
      <c r="U819" s="15"/>
      <c r="W819" s="15"/>
      <c r="Y819" s="15"/>
      <c r="AA819" s="15"/>
      <c r="AC819" s="15"/>
      <c r="AE819" s="15"/>
      <c r="AG819" s="15"/>
    </row>
    <row r="820" spans="7:33" ht="15.75" customHeight="1" x14ac:dyDescent="0.25">
      <c r="G820" s="6" t="s">
        <v>1856</v>
      </c>
      <c r="H820" s="6" t="s">
        <v>222</v>
      </c>
      <c r="S820" s="15"/>
      <c r="U820" s="15"/>
      <c r="W820" s="15"/>
      <c r="Y820" s="15"/>
      <c r="AA820" s="15"/>
      <c r="AC820" s="15"/>
      <c r="AE820" s="15"/>
      <c r="AG820" s="15"/>
    </row>
    <row r="821" spans="7:33" ht="15.75" customHeight="1" x14ac:dyDescent="0.25">
      <c r="G821" s="6" t="s">
        <v>1856</v>
      </c>
      <c r="H821" s="6" t="s">
        <v>222</v>
      </c>
      <c r="S821" s="15"/>
      <c r="U821" s="15"/>
      <c r="W821" s="15"/>
      <c r="Y821" s="15"/>
      <c r="AA821" s="15"/>
      <c r="AC821" s="15"/>
      <c r="AE821" s="15"/>
      <c r="AG821" s="15"/>
    </row>
    <row r="822" spans="7:33" ht="15.75" customHeight="1" x14ac:dyDescent="0.25">
      <c r="G822" s="6" t="s">
        <v>1856</v>
      </c>
      <c r="H822" s="6" t="s">
        <v>222</v>
      </c>
      <c r="S822" s="15"/>
      <c r="U822" s="15"/>
      <c r="W822" s="15"/>
      <c r="Y822" s="15"/>
      <c r="AA822" s="15"/>
      <c r="AC822" s="15"/>
      <c r="AE822" s="15"/>
      <c r="AG822" s="15"/>
    </row>
    <row r="823" spans="7:33" ht="15.75" customHeight="1" x14ac:dyDescent="0.25">
      <c r="G823" s="6" t="s">
        <v>1856</v>
      </c>
      <c r="H823" s="6" t="s">
        <v>222</v>
      </c>
      <c r="S823" s="15"/>
      <c r="U823" s="15"/>
      <c r="W823" s="15"/>
      <c r="Y823" s="15"/>
      <c r="AA823" s="15"/>
      <c r="AC823" s="15"/>
      <c r="AE823" s="15"/>
      <c r="AG823" s="15"/>
    </row>
    <row r="824" spans="7:33" ht="15.75" customHeight="1" x14ac:dyDescent="0.25">
      <c r="G824" s="6" t="s">
        <v>1856</v>
      </c>
      <c r="H824" s="6" t="s">
        <v>222</v>
      </c>
      <c r="S824" s="15"/>
      <c r="U824" s="15"/>
      <c r="W824" s="15"/>
      <c r="Y824" s="15"/>
      <c r="AA824" s="15"/>
      <c r="AC824" s="15"/>
      <c r="AE824" s="15"/>
      <c r="AG824" s="15"/>
    </row>
    <row r="825" spans="7:33" ht="15.75" customHeight="1" x14ac:dyDescent="0.25">
      <c r="G825" s="6" t="s">
        <v>1856</v>
      </c>
      <c r="H825" s="6" t="s">
        <v>222</v>
      </c>
      <c r="S825" s="15"/>
      <c r="U825" s="15"/>
      <c r="W825" s="15"/>
      <c r="Y825" s="15"/>
      <c r="AA825" s="15"/>
      <c r="AC825" s="15"/>
      <c r="AE825" s="15"/>
      <c r="AG825" s="15"/>
    </row>
    <row r="826" spans="7:33" ht="15.75" customHeight="1" x14ac:dyDescent="0.25">
      <c r="G826" s="6" t="s">
        <v>1856</v>
      </c>
      <c r="H826" s="6" t="s">
        <v>222</v>
      </c>
      <c r="S826" s="15"/>
      <c r="U826" s="15"/>
      <c r="W826" s="15"/>
      <c r="Y826" s="15"/>
      <c r="AA826" s="15"/>
      <c r="AC826" s="15"/>
      <c r="AE826" s="15"/>
      <c r="AG826" s="15"/>
    </row>
    <row r="827" spans="7:33" ht="15.75" customHeight="1" x14ac:dyDescent="0.25">
      <c r="G827" s="6" t="s">
        <v>1856</v>
      </c>
      <c r="H827" s="6" t="s">
        <v>222</v>
      </c>
      <c r="S827" s="15"/>
      <c r="U827" s="15"/>
      <c r="W827" s="15"/>
      <c r="Y827" s="15"/>
      <c r="AA827" s="15"/>
      <c r="AC827" s="15"/>
      <c r="AE827" s="15"/>
      <c r="AG827" s="15"/>
    </row>
    <row r="828" spans="7:33" ht="15.75" customHeight="1" x14ac:dyDescent="0.25">
      <c r="G828" s="6" t="s">
        <v>1856</v>
      </c>
      <c r="H828" s="6" t="s">
        <v>222</v>
      </c>
      <c r="S828" s="15"/>
      <c r="U828" s="15"/>
      <c r="W828" s="15"/>
      <c r="Y828" s="15"/>
      <c r="AA828" s="15"/>
      <c r="AC828" s="15"/>
      <c r="AE828" s="15"/>
      <c r="AG828" s="15"/>
    </row>
    <row r="829" spans="7:33" ht="15.75" customHeight="1" x14ac:dyDescent="0.25">
      <c r="G829" s="6" t="s">
        <v>1856</v>
      </c>
      <c r="H829" s="6" t="s">
        <v>222</v>
      </c>
      <c r="S829" s="15"/>
      <c r="U829" s="15"/>
      <c r="W829" s="15"/>
      <c r="Y829" s="15"/>
      <c r="AA829" s="15"/>
      <c r="AC829" s="15"/>
      <c r="AE829" s="15"/>
      <c r="AG829" s="15"/>
    </row>
    <row r="830" spans="7:33" ht="15.75" customHeight="1" x14ac:dyDescent="0.25">
      <c r="G830" s="6" t="s">
        <v>1856</v>
      </c>
      <c r="H830" s="6" t="s">
        <v>222</v>
      </c>
      <c r="S830" s="15"/>
      <c r="U830" s="15"/>
      <c r="W830" s="15"/>
      <c r="Y830" s="15"/>
      <c r="AA830" s="15"/>
      <c r="AC830" s="15"/>
      <c r="AE830" s="15"/>
      <c r="AG830" s="15"/>
    </row>
    <row r="831" spans="7:33" ht="15.75" customHeight="1" x14ac:dyDescent="0.25">
      <c r="G831" s="6" t="s">
        <v>1856</v>
      </c>
      <c r="H831" s="6" t="s">
        <v>222</v>
      </c>
      <c r="S831" s="15"/>
      <c r="U831" s="15"/>
      <c r="W831" s="15"/>
      <c r="Y831" s="15"/>
      <c r="AA831" s="15"/>
      <c r="AC831" s="15"/>
      <c r="AE831" s="15"/>
      <c r="AG831" s="15"/>
    </row>
    <row r="832" spans="7:33" ht="15.75" customHeight="1" x14ac:dyDescent="0.25">
      <c r="G832" s="6" t="s">
        <v>1856</v>
      </c>
      <c r="H832" s="6" t="s">
        <v>222</v>
      </c>
      <c r="S832" s="15"/>
      <c r="U832" s="15"/>
      <c r="W832" s="15"/>
      <c r="Y832" s="15"/>
      <c r="AA832" s="15"/>
      <c r="AC832" s="15"/>
      <c r="AE832" s="15"/>
      <c r="AG832" s="15"/>
    </row>
    <row r="833" spans="2:33" ht="15.75" customHeight="1" x14ac:dyDescent="0.25">
      <c r="G833" s="6" t="s">
        <v>1856</v>
      </c>
      <c r="H833" s="6" t="s">
        <v>222</v>
      </c>
      <c r="S833" s="15"/>
      <c r="U833" s="15"/>
      <c r="W833" s="15"/>
      <c r="Y833" s="15"/>
      <c r="AA833" s="15"/>
      <c r="AC833" s="15"/>
      <c r="AE833" s="15"/>
      <c r="AG833" s="15"/>
    </row>
    <row r="834" spans="2:33" ht="15.75" customHeight="1" x14ac:dyDescent="0.25">
      <c r="G834" s="6" t="s">
        <v>1856</v>
      </c>
      <c r="H834" s="6" t="s">
        <v>222</v>
      </c>
      <c r="S834" s="15"/>
      <c r="U834" s="15"/>
      <c r="W834" s="15"/>
      <c r="Y834" s="15"/>
      <c r="AA834" s="15"/>
      <c r="AC834" s="15"/>
      <c r="AE834" s="15"/>
      <c r="AG834" s="15"/>
    </row>
    <row r="835" spans="2:33" ht="15.75" customHeight="1" x14ac:dyDescent="0.25">
      <c r="G835" s="6" t="s">
        <v>1856</v>
      </c>
      <c r="H835" s="6" t="s">
        <v>222</v>
      </c>
      <c r="S835" s="15"/>
      <c r="U835" s="15"/>
      <c r="W835" s="15"/>
      <c r="Y835" s="15"/>
      <c r="AA835" s="15"/>
      <c r="AC835" s="15"/>
      <c r="AE835" s="15"/>
      <c r="AG835" s="15"/>
    </row>
    <row r="836" spans="2:33" ht="15.75" customHeight="1" x14ac:dyDescent="0.25">
      <c r="G836" s="6" t="s">
        <v>1856</v>
      </c>
      <c r="H836" s="6" t="s">
        <v>222</v>
      </c>
      <c r="S836" s="15"/>
      <c r="U836" s="15"/>
      <c r="W836" s="15"/>
      <c r="Y836" s="15"/>
      <c r="AA836" s="15"/>
      <c r="AC836" s="15"/>
      <c r="AE836" s="15"/>
      <c r="AG836" s="15"/>
    </row>
    <row r="837" spans="2:33" ht="15.75" customHeight="1" x14ac:dyDescent="0.25">
      <c r="G837" s="6" t="s">
        <v>1856</v>
      </c>
      <c r="H837" s="6" t="s">
        <v>222</v>
      </c>
      <c r="S837" s="15"/>
      <c r="U837" s="15"/>
      <c r="W837" s="15"/>
      <c r="Y837" s="15"/>
      <c r="AA837" s="15"/>
      <c r="AC837" s="15"/>
      <c r="AE837" s="15"/>
      <c r="AG837" s="15"/>
    </row>
    <row r="838" spans="2:33" ht="15.75" customHeight="1" x14ac:dyDescent="0.25">
      <c r="B838" s="6"/>
      <c r="G838" s="6" t="s">
        <v>1856</v>
      </c>
      <c r="H838" s="6" t="s">
        <v>222</v>
      </c>
      <c r="S838" s="15"/>
      <c r="U838" s="15"/>
      <c r="W838" s="15"/>
      <c r="Y838" s="15"/>
      <c r="AA838" s="15"/>
      <c r="AC838" s="15"/>
      <c r="AE838" s="15"/>
      <c r="AG838" s="15"/>
    </row>
    <row r="839" spans="2:33" ht="15.75" customHeight="1" x14ac:dyDescent="0.25">
      <c r="G839" s="6" t="s">
        <v>1856</v>
      </c>
      <c r="H839" s="6" t="s">
        <v>222</v>
      </c>
      <c r="S839" s="15"/>
      <c r="U839" s="15"/>
      <c r="W839" s="15"/>
      <c r="Y839" s="15"/>
      <c r="AA839" s="15"/>
      <c r="AC839" s="15"/>
      <c r="AE839" s="15"/>
      <c r="AG839" s="15"/>
    </row>
    <row r="840" spans="2:33" ht="15.75" customHeight="1" x14ac:dyDescent="0.25">
      <c r="G840" s="6" t="s">
        <v>1856</v>
      </c>
      <c r="H840" s="6" t="s">
        <v>222</v>
      </c>
      <c r="S840" s="15"/>
      <c r="U840" s="15"/>
      <c r="W840" s="15"/>
      <c r="Y840" s="15"/>
      <c r="AA840" s="15"/>
      <c r="AC840" s="15"/>
      <c r="AE840" s="15"/>
      <c r="AG840" s="15"/>
    </row>
    <row r="841" spans="2:33" ht="15.75" customHeight="1" x14ac:dyDescent="0.25">
      <c r="G841" s="6" t="s">
        <v>1856</v>
      </c>
      <c r="H841" s="6" t="s">
        <v>222</v>
      </c>
      <c r="S841" s="15"/>
      <c r="U841" s="15"/>
      <c r="W841" s="15"/>
      <c r="Y841" s="15"/>
      <c r="AA841" s="15"/>
      <c r="AC841" s="15"/>
      <c r="AE841" s="15"/>
      <c r="AG841" s="15"/>
    </row>
    <row r="842" spans="2:33" ht="15.75" customHeight="1" x14ac:dyDescent="0.25">
      <c r="G842" s="6" t="s">
        <v>1856</v>
      </c>
      <c r="H842" s="6" t="s">
        <v>222</v>
      </c>
      <c r="S842" s="15"/>
      <c r="U842" s="15"/>
      <c r="W842" s="15"/>
      <c r="Y842" s="15"/>
      <c r="AA842" s="15"/>
      <c r="AC842" s="15"/>
      <c r="AE842" s="15"/>
      <c r="AG842" s="15"/>
    </row>
    <row r="843" spans="2:33" ht="15.75" customHeight="1" x14ac:dyDescent="0.25">
      <c r="G843" s="6" t="s">
        <v>1856</v>
      </c>
      <c r="H843" s="6" t="s">
        <v>222</v>
      </c>
      <c r="S843" s="15"/>
      <c r="U843" s="15"/>
      <c r="W843" s="15"/>
      <c r="Y843" s="15"/>
      <c r="AA843" s="15"/>
      <c r="AC843" s="15"/>
      <c r="AE843" s="15"/>
      <c r="AG843" s="15"/>
    </row>
    <row r="844" spans="2:33" ht="15.75" customHeight="1" x14ac:dyDescent="0.25">
      <c r="G844" s="6" t="s">
        <v>1856</v>
      </c>
      <c r="H844" s="6" t="s">
        <v>222</v>
      </c>
      <c r="S844" s="15"/>
      <c r="U844" s="15"/>
      <c r="W844" s="15"/>
      <c r="Y844" s="15"/>
      <c r="AA844" s="15"/>
      <c r="AC844" s="15"/>
      <c r="AE844" s="15"/>
      <c r="AG844" s="15"/>
    </row>
    <row r="845" spans="2:33" ht="15.75" customHeight="1" x14ac:dyDescent="0.25">
      <c r="G845" s="6" t="s">
        <v>1856</v>
      </c>
      <c r="H845" s="6" t="s">
        <v>222</v>
      </c>
      <c r="S845" s="15"/>
      <c r="U845" s="15"/>
      <c r="W845" s="15"/>
      <c r="Y845" s="15"/>
      <c r="AA845" s="15"/>
      <c r="AC845" s="15"/>
      <c r="AE845" s="15"/>
      <c r="AG845" s="15"/>
    </row>
    <row r="846" spans="2:33" ht="15.75" customHeight="1" x14ac:dyDescent="0.25">
      <c r="G846" s="6" t="s">
        <v>1856</v>
      </c>
      <c r="H846" s="6" t="s">
        <v>222</v>
      </c>
      <c r="S846" s="15"/>
      <c r="U846" s="15"/>
      <c r="W846" s="15"/>
      <c r="Y846" s="15"/>
      <c r="AA846" s="15"/>
      <c r="AC846" s="15"/>
      <c r="AE846" s="15"/>
      <c r="AG846" s="15"/>
    </row>
    <row r="847" spans="2:33" ht="15.75" customHeight="1" x14ac:dyDescent="0.25">
      <c r="G847" s="6" t="s">
        <v>1856</v>
      </c>
      <c r="H847" s="6" t="s">
        <v>222</v>
      </c>
      <c r="S847" s="15"/>
      <c r="U847" s="15"/>
      <c r="W847" s="15"/>
      <c r="Y847" s="15"/>
      <c r="AA847" s="15"/>
      <c r="AC847" s="15"/>
      <c r="AE847" s="15"/>
      <c r="AG847" s="15"/>
    </row>
    <row r="848" spans="2:33" ht="15.75" customHeight="1" x14ac:dyDescent="0.25">
      <c r="G848" s="6" t="s">
        <v>1856</v>
      </c>
      <c r="H848" s="6" t="s">
        <v>222</v>
      </c>
      <c r="S848" s="15"/>
      <c r="U848" s="15"/>
      <c r="W848" s="15"/>
      <c r="Y848" s="15"/>
      <c r="AA848" s="15"/>
      <c r="AC848" s="15"/>
      <c r="AE848" s="15"/>
      <c r="AG848" s="15"/>
    </row>
    <row r="849" spans="7:33" ht="15.75" customHeight="1" x14ac:dyDescent="0.25">
      <c r="G849" s="2"/>
      <c r="H849" s="6" t="s">
        <v>222</v>
      </c>
      <c r="S849" s="15"/>
      <c r="U849" s="15"/>
      <c r="W849" s="15"/>
      <c r="Y849" s="15"/>
      <c r="AA849" s="15"/>
      <c r="AC849" s="15"/>
      <c r="AE849" s="15"/>
      <c r="AG849" s="15"/>
    </row>
    <row r="850" spans="7:33" ht="15.75" customHeight="1" x14ac:dyDescent="0.25">
      <c r="H850" s="6" t="s">
        <v>222</v>
      </c>
      <c r="S850" s="15"/>
      <c r="U850" s="15"/>
      <c r="W850" s="15"/>
      <c r="Y850" s="15"/>
      <c r="AA850" s="15"/>
      <c r="AC850" s="15"/>
      <c r="AE850" s="15"/>
      <c r="AG850" s="15"/>
    </row>
    <row r="851" spans="7:33" ht="15.75" customHeight="1" x14ac:dyDescent="0.25">
      <c r="H851" s="6" t="s">
        <v>222</v>
      </c>
      <c r="S851" s="15"/>
      <c r="U851" s="15"/>
      <c r="W851" s="15"/>
      <c r="Y851" s="15"/>
      <c r="AA851" s="15"/>
      <c r="AC851" s="15"/>
      <c r="AE851" s="15"/>
      <c r="AG851" s="15"/>
    </row>
    <row r="852" spans="7:33" ht="15.75" customHeight="1" x14ac:dyDescent="0.25">
      <c r="H852" s="6" t="s">
        <v>222</v>
      </c>
      <c r="S852" s="15"/>
      <c r="U852" s="15"/>
      <c r="W852" s="15"/>
      <c r="Y852" s="15"/>
      <c r="AA852" s="15"/>
      <c r="AC852" s="15"/>
      <c r="AE852" s="15"/>
      <c r="AG852" s="15"/>
    </row>
    <row r="853" spans="7:33" ht="15.75" customHeight="1" x14ac:dyDescent="0.25">
      <c r="H853" s="6" t="s">
        <v>222</v>
      </c>
      <c r="S853" s="15"/>
      <c r="U853" s="15"/>
      <c r="W853" s="15"/>
      <c r="Y853" s="15"/>
      <c r="AA853" s="15"/>
      <c r="AC853" s="15"/>
      <c r="AE853" s="15"/>
      <c r="AG853" s="15"/>
    </row>
    <row r="854" spans="7:33" ht="15.75" customHeight="1" x14ac:dyDescent="0.25">
      <c r="H854" s="6" t="s">
        <v>222</v>
      </c>
      <c r="S854" s="15"/>
      <c r="U854" s="15"/>
      <c r="W854" s="15"/>
      <c r="Y854" s="15"/>
      <c r="AA854" s="15"/>
      <c r="AC854" s="15"/>
      <c r="AE854" s="15"/>
      <c r="AG854" s="15"/>
    </row>
    <row r="855" spans="7:33" ht="15.75" customHeight="1" x14ac:dyDescent="0.25">
      <c r="H855" s="6" t="s">
        <v>222</v>
      </c>
      <c r="S855" s="15"/>
      <c r="U855" s="15"/>
      <c r="W855" s="15"/>
      <c r="Y855" s="15"/>
      <c r="AA855" s="15"/>
      <c r="AC855" s="15"/>
      <c r="AE855" s="15"/>
      <c r="AG855" s="15"/>
    </row>
    <row r="856" spans="7:33" ht="15.75" customHeight="1" x14ac:dyDescent="0.25">
      <c r="H856" s="6" t="s">
        <v>222</v>
      </c>
      <c r="S856" s="15"/>
      <c r="U856" s="15"/>
      <c r="W856" s="15"/>
      <c r="Y856" s="15"/>
      <c r="AA856" s="15"/>
      <c r="AC856" s="15"/>
      <c r="AE856" s="15"/>
      <c r="AG856" s="15"/>
    </row>
    <row r="857" spans="7:33" ht="15.75" customHeight="1" x14ac:dyDescent="0.25">
      <c r="H857" s="6" t="s">
        <v>222</v>
      </c>
      <c r="S857" s="15"/>
      <c r="U857" s="15"/>
      <c r="W857" s="15"/>
      <c r="Y857" s="15"/>
      <c r="AA857" s="15"/>
      <c r="AC857" s="15"/>
      <c r="AE857" s="15"/>
      <c r="AG857" s="15"/>
    </row>
    <row r="858" spans="7:33" ht="15.75" customHeight="1" x14ac:dyDescent="0.25">
      <c r="H858" s="6" t="s">
        <v>222</v>
      </c>
      <c r="S858" s="15"/>
      <c r="U858" s="15"/>
      <c r="W858" s="15"/>
      <c r="Y858" s="15"/>
      <c r="AA858" s="15"/>
      <c r="AC858" s="15"/>
      <c r="AE858" s="15"/>
      <c r="AG858" s="15"/>
    </row>
    <row r="859" spans="7:33" ht="15.75" customHeight="1" x14ac:dyDescent="0.25">
      <c r="H859" s="6" t="s">
        <v>222</v>
      </c>
      <c r="S859" s="15"/>
      <c r="U859" s="15"/>
      <c r="W859" s="15"/>
      <c r="Y859" s="15"/>
      <c r="AA859" s="15"/>
      <c r="AC859" s="15"/>
      <c r="AE859" s="15"/>
      <c r="AG859" s="15"/>
    </row>
    <row r="860" spans="7:33" ht="15.75" customHeight="1" x14ac:dyDescent="0.25">
      <c r="H860" s="6" t="s">
        <v>222</v>
      </c>
      <c r="S860" s="15"/>
      <c r="U860" s="15"/>
      <c r="W860" s="15"/>
      <c r="Y860" s="15"/>
      <c r="AA860" s="15"/>
      <c r="AC860" s="15"/>
      <c r="AE860" s="15"/>
      <c r="AG860" s="15"/>
    </row>
    <row r="861" spans="7:33" ht="15.75" customHeight="1" x14ac:dyDescent="0.25">
      <c r="H861" s="6" t="s">
        <v>222</v>
      </c>
      <c r="S861" s="15"/>
      <c r="U861" s="15"/>
      <c r="W861" s="15"/>
      <c r="Y861" s="15"/>
      <c r="AA861" s="15"/>
      <c r="AC861" s="15"/>
      <c r="AE861" s="15"/>
      <c r="AG861" s="15"/>
    </row>
    <row r="862" spans="7:33" ht="15.75" customHeight="1" x14ac:dyDescent="0.25">
      <c r="H862" s="6" t="s">
        <v>222</v>
      </c>
      <c r="S862" s="15"/>
      <c r="U862" s="15"/>
      <c r="W862" s="15"/>
      <c r="Y862" s="15"/>
      <c r="AA862" s="15"/>
      <c r="AC862" s="15"/>
      <c r="AE862" s="15"/>
      <c r="AG862" s="15"/>
    </row>
    <row r="863" spans="7:33" ht="15.75" customHeight="1" x14ac:dyDescent="0.25">
      <c r="H863" s="6" t="s">
        <v>222</v>
      </c>
      <c r="S863" s="15"/>
      <c r="U863" s="15"/>
      <c r="W863" s="15"/>
      <c r="Y863" s="15"/>
      <c r="AA863" s="15"/>
      <c r="AC863" s="15"/>
      <c r="AE863" s="15"/>
      <c r="AG863" s="15"/>
    </row>
    <row r="864" spans="7:33" ht="15.75" customHeight="1" x14ac:dyDescent="0.25">
      <c r="H864" s="6" t="s">
        <v>222</v>
      </c>
      <c r="S864" s="15"/>
      <c r="U864" s="15"/>
      <c r="W864" s="15"/>
      <c r="Y864" s="15"/>
      <c r="AA864" s="15"/>
      <c r="AC864" s="15"/>
      <c r="AE864" s="15"/>
      <c r="AG864" s="15"/>
    </row>
    <row r="865" spans="8:33" ht="15.75" customHeight="1" x14ac:dyDescent="0.25">
      <c r="H865" s="6" t="s">
        <v>222</v>
      </c>
      <c r="S865" s="15"/>
      <c r="U865" s="15"/>
      <c r="W865" s="15"/>
      <c r="Y865" s="15"/>
      <c r="AA865" s="15"/>
      <c r="AC865" s="15"/>
      <c r="AE865" s="15"/>
      <c r="AG865" s="15"/>
    </row>
    <row r="866" spans="8:33" ht="15.75" customHeight="1" x14ac:dyDescent="0.25">
      <c r="H866" s="6" t="s">
        <v>222</v>
      </c>
      <c r="S866" s="15"/>
      <c r="U866" s="15"/>
      <c r="W866" s="15"/>
      <c r="Y866" s="15"/>
      <c r="AA866" s="15"/>
      <c r="AC866" s="15"/>
      <c r="AE866" s="15"/>
      <c r="AG866" s="15"/>
    </row>
    <row r="867" spans="8:33" ht="15.75" customHeight="1" x14ac:dyDescent="0.25">
      <c r="H867" s="6" t="s">
        <v>222</v>
      </c>
      <c r="S867" s="15"/>
      <c r="U867" s="15"/>
      <c r="W867" s="15"/>
      <c r="Y867" s="15"/>
      <c r="AA867" s="15"/>
      <c r="AC867" s="15"/>
      <c r="AE867" s="15"/>
      <c r="AG867" s="15"/>
    </row>
    <row r="868" spans="8:33" ht="15.75" customHeight="1" x14ac:dyDescent="0.25">
      <c r="H868" s="6" t="s">
        <v>222</v>
      </c>
      <c r="S868" s="15"/>
      <c r="U868" s="15"/>
      <c r="W868" s="15"/>
      <c r="Y868" s="15"/>
      <c r="AA868" s="15"/>
      <c r="AC868" s="15"/>
      <c r="AE868" s="15"/>
      <c r="AG868" s="15"/>
    </row>
    <row r="869" spans="8:33" ht="15.75" customHeight="1" x14ac:dyDescent="0.25">
      <c r="H869" s="6" t="s">
        <v>222</v>
      </c>
      <c r="S869" s="15"/>
      <c r="U869" s="15"/>
      <c r="W869" s="15"/>
      <c r="Y869" s="15"/>
      <c r="AA869" s="15"/>
      <c r="AC869" s="15"/>
      <c r="AE869" s="15"/>
      <c r="AG869" s="15"/>
    </row>
    <row r="870" spans="8:33" ht="15.75" customHeight="1" x14ac:dyDescent="0.25">
      <c r="H870" s="6" t="s">
        <v>222</v>
      </c>
      <c r="S870" s="15"/>
      <c r="U870" s="15"/>
      <c r="W870" s="15"/>
      <c r="Y870" s="15"/>
      <c r="AA870" s="15"/>
      <c r="AC870" s="15"/>
      <c r="AE870" s="15"/>
      <c r="AG870" s="15"/>
    </row>
    <row r="871" spans="8:33" ht="15.75" customHeight="1" x14ac:dyDescent="0.25">
      <c r="H871" t="s">
        <v>222</v>
      </c>
      <c r="S871" s="15"/>
      <c r="U871" s="15"/>
      <c r="W871" s="15"/>
      <c r="Y871" s="15"/>
      <c r="AA871" s="15"/>
      <c r="AC871" s="15"/>
      <c r="AE871" s="15"/>
      <c r="AG871" s="15"/>
    </row>
    <row r="872" spans="8:33" ht="15.75" customHeight="1" x14ac:dyDescent="0.25">
      <c r="H872" t="s">
        <v>2184</v>
      </c>
      <c r="S872" s="15"/>
      <c r="U872" s="15"/>
      <c r="W872" s="15"/>
      <c r="Y872" s="15"/>
      <c r="AA872" s="15"/>
      <c r="AC872" s="15"/>
      <c r="AE872" s="15"/>
      <c r="AG872" s="15"/>
    </row>
    <row r="873" spans="8:33" ht="15.75" customHeight="1" x14ac:dyDescent="0.25">
      <c r="H873" t="s">
        <v>2184</v>
      </c>
      <c r="S873" s="15"/>
      <c r="U873" s="15"/>
      <c r="W873" s="15"/>
      <c r="Y873" s="15"/>
      <c r="AA873" s="15"/>
      <c r="AC873" s="15"/>
      <c r="AE873" s="15"/>
      <c r="AG873" s="15"/>
    </row>
    <row r="874" spans="8:33" ht="15.75" customHeight="1" x14ac:dyDescent="0.25">
      <c r="H874" t="s">
        <v>2184</v>
      </c>
      <c r="S874" s="15"/>
      <c r="U874" s="15"/>
      <c r="W874" s="15"/>
      <c r="Y874" s="15"/>
      <c r="AA874" s="15"/>
      <c r="AC874" s="15"/>
      <c r="AE874" s="15"/>
      <c r="AG874" s="15"/>
    </row>
    <row r="875" spans="8:33" ht="15.75" customHeight="1" x14ac:dyDescent="0.25">
      <c r="H875" t="s">
        <v>2184</v>
      </c>
      <c r="S875" s="15"/>
      <c r="U875" s="15"/>
      <c r="W875" s="15"/>
      <c r="Y875" s="15"/>
      <c r="AA875" s="15"/>
      <c r="AC875" s="15"/>
      <c r="AE875" s="15"/>
      <c r="AG875" s="15"/>
    </row>
    <row r="876" spans="8:33" ht="15.75" customHeight="1" x14ac:dyDescent="0.25">
      <c r="H876" t="s">
        <v>2184</v>
      </c>
      <c r="S876" s="15"/>
      <c r="U876" s="15"/>
      <c r="W876" s="15"/>
      <c r="Y876" s="15"/>
      <c r="AA876" s="15"/>
      <c r="AC876" s="15"/>
      <c r="AE876" s="15"/>
      <c r="AG876" s="15"/>
    </row>
    <row r="877" spans="8:33" ht="15.75" customHeight="1" x14ac:dyDescent="0.25">
      <c r="H877" t="s">
        <v>2184</v>
      </c>
      <c r="S877" s="15"/>
      <c r="U877" s="15"/>
      <c r="W877" s="15"/>
      <c r="Y877" s="15"/>
      <c r="AA877" s="15"/>
      <c r="AC877" s="15"/>
      <c r="AE877" s="15"/>
      <c r="AG877" s="15"/>
    </row>
    <row r="878" spans="8:33" ht="15.75" customHeight="1" x14ac:dyDescent="0.25">
      <c r="H878" t="s">
        <v>2184</v>
      </c>
      <c r="S878" s="15"/>
      <c r="U878" s="15"/>
      <c r="W878" s="15"/>
      <c r="Y878" s="15"/>
      <c r="AA878" s="15"/>
      <c r="AC878" s="15"/>
      <c r="AE878" s="15"/>
      <c r="AG878" s="15"/>
    </row>
    <row r="879" spans="8:33" ht="15.75" customHeight="1" x14ac:dyDescent="0.25">
      <c r="H879" t="s">
        <v>2184</v>
      </c>
      <c r="S879" s="15"/>
      <c r="U879" s="15"/>
      <c r="W879" s="15"/>
      <c r="Y879" s="15"/>
      <c r="AA879" s="15"/>
      <c r="AC879" s="15"/>
      <c r="AE879" s="15"/>
      <c r="AG879" s="15"/>
    </row>
    <row r="880" spans="8:33" ht="15.75" customHeight="1" x14ac:dyDescent="0.25">
      <c r="H880" t="s">
        <v>2037</v>
      </c>
      <c r="S880" s="15"/>
      <c r="U880" s="15"/>
      <c r="W880" s="15"/>
      <c r="Y880" s="15"/>
      <c r="AA880" s="15"/>
      <c r="AC880" s="15"/>
      <c r="AE880" s="15"/>
      <c r="AG880" s="15"/>
    </row>
    <row r="881" spans="8:33" ht="15.75" customHeight="1" x14ac:dyDescent="0.25">
      <c r="H881" t="s">
        <v>2037</v>
      </c>
      <c r="S881" s="15"/>
      <c r="U881" s="15"/>
      <c r="W881" s="15"/>
      <c r="Y881" s="15"/>
      <c r="AA881" s="15"/>
      <c r="AC881" s="15"/>
      <c r="AE881" s="15"/>
      <c r="AG881" s="15"/>
    </row>
    <row r="882" spans="8:33" ht="15.75" customHeight="1" x14ac:dyDescent="0.25">
      <c r="H882" s="6" t="s">
        <v>2037</v>
      </c>
      <c r="S882" s="15"/>
      <c r="U882" s="15"/>
      <c r="W882" s="15"/>
      <c r="Y882" s="15"/>
      <c r="AA882" s="15"/>
      <c r="AC882" s="15"/>
      <c r="AE882" s="15"/>
      <c r="AG882" s="15"/>
    </row>
    <row r="883" spans="8:33" ht="15.75" customHeight="1" x14ac:dyDescent="0.25">
      <c r="H883" s="6" t="s">
        <v>2037</v>
      </c>
      <c r="S883" s="15"/>
      <c r="U883" s="15"/>
      <c r="W883" s="15"/>
      <c r="Y883" s="15"/>
      <c r="AA883" s="15"/>
      <c r="AC883" s="15"/>
      <c r="AE883" s="15"/>
      <c r="AG883" s="15"/>
    </row>
    <row r="884" spans="8:33" ht="15.75" customHeight="1" x14ac:dyDescent="0.25">
      <c r="H884" s="6" t="s">
        <v>2037</v>
      </c>
      <c r="S884" s="15"/>
      <c r="U884" s="15"/>
      <c r="W884" s="15"/>
      <c r="Y884" s="15"/>
      <c r="AA884" s="15"/>
      <c r="AC884" s="15"/>
      <c r="AE884" s="15"/>
      <c r="AG884" s="15"/>
    </row>
    <row r="885" spans="8:33" ht="15.75" customHeight="1" x14ac:dyDescent="0.25">
      <c r="H885" s="6" t="s">
        <v>2037</v>
      </c>
      <c r="S885" s="15"/>
      <c r="U885" s="15"/>
      <c r="W885" s="15"/>
      <c r="Y885" s="15"/>
      <c r="AA885" s="15"/>
      <c r="AC885" s="15"/>
      <c r="AE885" s="15"/>
      <c r="AG885" s="15"/>
    </row>
    <row r="886" spans="8:33" ht="15.75" customHeight="1" x14ac:dyDescent="0.25">
      <c r="H886" s="6" t="s">
        <v>2037</v>
      </c>
      <c r="S886" s="15"/>
      <c r="U886" s="15"/>
      <c r="W886" s="15"/>
      <c r="Y886" s="15"/>
      <c r="AA886" s="15"/>
      <c r="AC886" s="15"/>
      <c r="AE886" s="15"/>
      <c r="AG886" s="15"/>
    </row>
    <row r="887" spans="8:33" ht="15.75" customHeight="1" x14ac:dyDescent="0.25">
      <c r="H887" s="6" t="s">
        <v>2037</v>
      </c>
      <c r="S887" s="15"/>
      <c r="U887" s="15"/>
      <c r="W887" s="15"/>
      <c r="Y887" s="15"/>
      <c r="AA887" s="15"/>
      <c r="AC887" s="15"/>
      <c r="AE887" s="15"/>
      <c r="AG887" s="15"/>
    </row>
    <row r="888" spans="8:33" ht="15.75" customHeight="1" x14ac:dyDescent="0.25">
      <c r="H888" s="6" t="s">
        <v>2037</v>
      </c>
      <c r="S888" s="15"/>
      <c r="U888" s="15"/>
      <c r="W888" s="15"/>
      <c r="Y888" s="15"/>
      <c r="AA888" s="15"/>
      <c r="AC888" s="15"/>
      <c r="AE888" s="15"/>
      <c r="AG888" s="15"/>
    </row>
    <row r="889" spans="8:33" ht="15.75" customHeight="1" x14ac:dyDescent="0.25">
      <c r="H889" s="6" t="s">
        <v>2037</v>
      </c>
      <c r="S889" s="15"/>
      <c r="U889" s="15"/>
      <c r="W889" s="15"/>
      <c r="Y889" s="15"/>
      <c r="AA889" s="15"/>
      <c r="AC889" s="15"/>
      <c r="AE889" s="15"/>
      <c r="AG889" s="15"/>
    </row>
    <row r="890" spans="8:33" ht="15.75" customHeight="1" x14ac:dyDescent="0.25">
      <c r="H890" s="6" t="s">
        <v>2037</v>
      </c>
      <c r="S890" s="15"/>
      <c r="U890" s="15"/>
      <c r="W890" s="15"/>
      <c r="Y890" s="15"/>
      <c r="AA890" s="15"/>
      <c r="AC890" s="15"/>
      <c r="AE890" s="15"/>
      <c r="AG890" s="15"/>
    </row>
    <row r="891" spans="8:33" ht="15.75" customHeight="1" x14ac:dyDescent="0.25">
      <c r="H891" s="6" t="s">
        <v>2037</v>
      </c>
      <c r="S891" s="15"/>
      <c r="U891" s="15"/>
      <c r="W891" s="15"/>
      <c r="Y891" s="15"/>
      <c r="AA891" s="15"/>
      <c r="AC891" s="15"/>
      <c r="AE891" s="15"/>
      <c r="AG891" s="15"/>
    </row>
    <row r="892" spans="8:33" ht="15.75" customHeight="1" x14ac:dyDescent="0.25">
      <c r="H892" s="6" t="s">
        <v>2037</v>
      </c>
      <c r="S892" s="15"/>
      <c r="U892" s="15"/>
      <c r="W892" s="15"/>
      <c r="Y892" s="15"/>
      <c r="AA892" s="15"/>
      <c r="AC892" s="15"/>
      <c r="AE892" s="15"/>
      <c r="AG892" s="15"/>
    </row>
    <row r="893" spans="8:33" ht="15.75" customHeight="1" x14ac:dyDescent="0.25">
      <c r="H893" s="6" t="s">
        <v>2037</v>
      </c>
      <c r="S893" s="15"/>
      <c r="U893" s="15"/>
      <c r="W893" s="15"/>
      <c r="Y893" s="15"/>
      <c r="AA893" s="15"/>
      <c r="AC893" s="15"/>
      <c r="AE893" s="15"/>
      <c r="AG893" s="15"/>
    </row>
    <row r="894" spans="8:33" ht="15.75" customHeight="1" x14ac:dyDescent="0.25">
      <c r="H894" s="6" t="s">
        <v>2037</v>
      </c>
      <c r="S894" s="15"/>
      <c r="U894" s="15"/>
      <c r="W894" s="15"/>
      <c r="Y894" s="15"/>
      <c r="AA894" s="15"/>
      <c r="AC894" s="15"/>
      <c r="AE894" s="15"/>
      <c r="AG894" s="15"/>
    </row>
    <row r="895" spans="8:33" ht="15.75" customHeight="1" x14ac:dyDescent="0.25">
      <c r="H895" s="6" t="s">
        <v>2037</v>
      </c>
      <c r="S895" s="15"/>
      <c r="U895" s="15"/>
      <c r="W895" s="15"/>
      <c r="Y895" s="15"/>
      <c r="AA895" s="15"/>
      <c r="AC895" s="15"/>
      <c r="AE895" s="15"/>
      <c r="AG895" s="15"/>
    </row>
    <row r="896" spans="8:33" ht="15.75" customHeight="1" x14ac:dyDescent="0.25">
      <c r="H896" s="6" t="s">
        <v>2037</v>
      </c>
      <c r="S896" s="15"/>
      <c r="U896" s="15"/>
      <c r="W896" s="15"/>
      <c r="Y896" s="15"/>
      <c r="AA896" s="15"/>
      <c r="AC896" s="15"/>
      <c r="AE896" s="15"/>
      <c r="AG896" s="15"/>
    </row>
    <row r="897" spans="8:33" ht="15.75" customHeight="1" x14ac:dyDescent="0.25">
      <c r="H897" s="6" t="s">
        <v>2037</v>
      </c>
      <c r="S897" s="15"/>
      <c r="U897" s="15"/>
      <c r="W897" s="15"/>
      <c r="Y897" s="15"/>
      <c r="AA897" s="15"/>
      <c r="AC897" s="15"/>
      <c r="AE897" s="15"/>
      <c r="AG897" s="15"/>
    </row>
    <row r="898" spans="8:33" ht="15.75" customHeight="1" x14ac:dyDescent="0.25">
      <c r="H898" s="6" t="s">
        <v>2037</v>
      </c>
      <c r="S898" s="15"/>
      <c r="U898" s="15"/>
      <c r="W898" s="15"/>
      <c r="Y898" s="15"/>
      <c r="AA898" s="15"/>
      <c r="AC898" s="15"/>
      <c r="AE898" s="15"/>
      <c r="AG898" s="15"/>
    </row>
    <row r="899" spans="8:33" ht="15.75" customHeight="1" x14ac:dyDescent="0.25">
      <c r="H899" s="6" t="s">
        <v>2037</v>
      </c>
      <c r="S899" s="15"/>
      <c r="U899" s="15"/>
      <c r="W899" s="15"/>
      <c r="Y899" s="15"/>
      <c r="AA899" s="15"/>
      <c r="AC899" s="15"/>
      <c r="AE899" s="15"/>
      <c r="AG899" s="15"/>
    </row>
    <row r="900" spans="8:33" ht="15.75" customHeight="1" x14ac:dyDescent="0.25">
      <c r="H900" s="6" t="s">
        <v>2037</v>
      </c>
      <c r="S900" s="15"/>
      <c r="U900" s="15"/>
      <c r="W900" s="15"/>
      <c r="Y900" s="15"/>
      <c r="AA900" s="15"/>
      <c r="AC900" s="15"/>
      <c r="AE900" s="15"/>
      <c r="AG900" s="15"/>
    </row>
    <row r="901" spans="8:33" ht="15.75" customHeight="1" x14ac:dyDescent="0.25">
      <c r="H901" s="6" t="s">
        <v>2037</v>
      </c>
      <c r="S901" s="15"/>
      <c r="U901" s="15"/>
      <c r="W901" s="15"/>
      <c r="Y901" s="15"/>
      <c r="AA901" s="15"/>
      <c r="AC901" s="15"/>
      <c r="AE901" s="15"/>
      <c r="AG901" s="15"/>
    </row>
    <row r="902" spans="8:33" ht="15.75" customHeight="1" x14ac:dyDescent="0.25">
      <c r="H902" s="6" t="s">
        <v>2037</v>
      </c>
      <c r="S902" s="15"/>
      <c r="U902" s="15"/>
      <c r="W902" s="15"/>
      <c r="Y902" s="15"/>
      <c r="AA902" s="15"/>
      <c r="AC902" s="15"/>
      <c r="AE902" s="15"/>
      <c r="AG902" s="15"/>
    </row>
    <row r="903" spans="8:33" ht="15.75" customHeight="1" x14ac:dyDescent="0.25">
      <c r="H903" s="6" t="s">
        <v>2037</v>
      </c>
      <c r="S903" s="15"/>
      <c r="U903" s="15"/>
      <c r="W903" s="15"/>
      <c r="Y903" s="15"/>
      <c r="AA903" s="15"/>
      <c r="AC903" s="15"/>
      <c r="AE903" s="15"/>
      <c r="AG903" s="15"/>
    </row>
    <row r="904" spans="8:33" ht="15.75" customHeight="1" x14ac:dyDescent="0.25">
      <c r="H904" s="6" t="s">
        <v>2037</v>
      </c>
      <c r="S904" s="15"/>
      <c r="U904" s="15"/>
      <c r="W904" s="15"/>
      <c r="Y904" s="15"/>
      <c r="AA904" s="15"/>
      <c r="AC904" s="15"/>
      <c r="AE904" s="15"/>
      <c r="AG904" s="15"/>
    </row>
    <row r="905" spans="8:33" ht="15.75" customHeight="1" x14ac:dyDescent="0.25">
      <c r="H905" s="6" t="s">
        <v>2037</v>
      </c>
      <c r="S905" s="15"/>
      <c r="U905" s="15"/>
      <c r="W905" s="15"/>
      <c r="Y905" s="15"/>
      <c r="AA905" s="15"/>
      <c r="AC905" s="15"/>
      <c r="AE905" s="15"/>
      <c r="AG905" s="15"/>
    </row>
    <row r="906" spans="8:33" ht="15.75" customHeight="1" x14ac:dyDescent="0.25">
      <c r="H906" s="6" t="s">
        <v>2037</v>
      </c>
      <c r="S906" s="15"/>
      <c r="U906" s="15"/>
      <c r="W906" s="15"/>
      <c r="Y906" s="15"/>
      <c r="AA906" s="15"/>
      <c r="AC906" s="15"/>
      <c r="AE906" s="15"/>
      <c r="AG906" s="15"/>
    </row>
    <row r="907" spans="8:33" ht="15.75" customHeight="1" x14ac:dyDescent="0.25">
      <c r="H907" s="6" t="s">
        <v>2037</v>
      </c>
      <c r="S907" s="15"/>
      <c r="U907" s="15"/>
      <c r="W907" s="15"/>
      <c r="Y907" s="15"/>
      <c r="AA907" s="15"/>
      <c r="AC907" s="15"/>
      <c r="AE907" s="15"/>
      <c r="AG907" s="15"/>
    </row>
    <row r="908" spans="8:33" ht="15.75" customHeight="1" x14ac:dyDescent="0.25">
      <c r="H908" s="2"/>
      <c r="S908" s="15"/>
      <c r="U908" s="15"/>
      <c r="W908" s="15"/>
      <c r="Y908" s="15"/>
      <c r="AA908" s="15"/>
      <c r="AC908" s="15"/>
      <c r="AE908" s="15"/>
      <c r="AG908" s="15"/>
    </row>
    <row r="909" spans="8:33" ht="15.75" customHeight="1" x14ac:dyDescent="0.25">
      <c r="S909" s="15"/>
      <c r="U909" s="15"/>
      <c r="W909" s="15"/>
      <c r="Y909" s="15"/>
      <c r="AA909" s="15"/>
      <c r="AC909" s="15"/>
      <c r="AE909" s="15"/>
      <c r="AG909" s="15"/>
    </row>
    <row r="910" spans="8:33" ht="15.75" customHeight="1" x14ac:dyDescent="0.25">
      <c r="S910" s="15"/>
      <c r="U910" s="15"/>
      <c r="W910" s="15"/>
      <c r="Y910" s="15"/>
      <c r="AA910" s="15"/>
      <c r="AC910" s="15"/>
      <c r="AE910" s="15"/>
      <c r="AG910" s="15"/>
    </row>
    <row r="911" spans="8:33" ht="15.75" customHeight="1" x14ac:dyDescent="0.25">
      <c r="S911" s="15"/>
      <c r="U911" s="15"/>
      <c r="W911" s="15"/>
      <c r="Y911" s="15"/>
      <c r="AA911" s="15"/>
      <c r="AC911" s="15"/>
      <c r="AE911" s="15"/>
      <c r="AG911" s="15"/>
    </row>
    <row r="912" spans="8:33" ht="15.75" customHeight="1" x14ac:dyDescent="0.25">
      <c r="S912" s="15"/>
      <c r="U912" s="15"/>
      <c r="W912" s="15"/>
      <c r="Y912" s="15"/>
      <c r="AA912" s="15"/>
      <c r="AC912" s="15"/>
      <c r="AE912" s="15"/>
      <c r="AG912" s="15"/>
    </row>
    <row r="913" spans="19:33" ht="15.75" customHeight="1" x14ac:dyDescent="0.25">
      <c r="S913" s="15"/>
      <c r="U913" s="15"/>
      <c r="W913" s="15"/>
      <c r="Y913" s="15"/>
      <c r="AA913" s="15"/>
      <c r="AC913" s="15"/>
      <c r="AE913" s="15"/>
      <c r="AG913" s="15"/>
    </row>
    <row r="914" spans="19:33" ht="15.75" customHeight="1" x14ac:dyDescent="0.25">
      <c r="S914" s="15"/>
      <c r="U914" s="15"/>
      <c r="W914" s="15"/>
      <c r="Y914" s="15"/>
      <c r="AA914" s="15"/>
      <c r="AC914" s="15"/>
      <c r="AE914" s="15"/>
      <c r="AG914" s="15"/>
    </row>
    <row r="915" spans="19:33" ht="15.75" customHeight="1" x14ac:dyDescent="0.25">
      <c r="S915" s="15"/>
      <c r="U915" s="15"/>
      <c r="W915" s="15"/>
      <c r="Y915" s="15"/>
      <c r="AA915" s="15"/>
      <c r="AC915" s="15"/>
      <c r="AE915" s="15"/>
      <c r="AG915" s="15"/>
    </row>
    <row r="916" spans="19:33" ht="15.75" customHeight="1" x14ac:dyDescent="0.25">
      <c r="S916" s="15"/>
      <c r="U916" s="15"/>
      <c r="W916" s="15"/>
      <c r="Y916" s="15"/>
      <c r="AA916" s="15"/>
      <c r="AC916" s="15"/>
      <c r="AE916" s="15"/>
      <c r="AG916" s="15"/>
    </row>
    <row r="917" spans="19:33" ht="15.75" customHeight="1" x14ac:dyDescent="0.25">
      <c r="S917" s="15"/>
      <c r="U917" s="15"/>
      <c r="W917" s="15"/>
      <c r="Y917" s="15"/>
      <c r="AA917" s="15"/>
      <c r="AC917" s="15"/>
      <c r="AE917" s="15"/>
      <c r="AG917" s="15"/>
    </row>
    <row r="918" spans="19:33" ht="15.75" customHeight="1" x14ac:dyDescent="0.25">
      <c r="S918" s="15"/>
      <c r="U918" s="15"/>
      <c r="W918" s="15"/>
      <c r="Y918" s="15"/>
      <c r="AA918" s="15"/>
      <c r="AC918" s="15"/>
      <c r="AE918" s="15"/>
      <c r="AG918" s="15"/>
    </row>
    <row r="919" spans="19:33" ht="15.75" customHeight="1" x14ac:dyDescent="0.25">
      <c r="S919" s="15"/>
      <c r="U919" s="15"/>
      <c r="W919" s="15"/>
      <c r="Y919" s="15"/>
      <c r="AA919" s="15"/>
      <c r="AC919" s="15"/>
      <c r="AE919" s="15"/>
      <c r="AG919" s="15"/>
    </row>
    <row r="920" spans="19:33" ht="15.75" customHeight="1" x14ac:dyDescent="0.25">
      <c r="S920" s="15"/>
      <c r="U920" s="15"/>
      <c r="W920" s="15"/>
      <c r="Y920" s="15"/>
      <c r="AA920" s="15"/>
      <c r="AC920" s="15"/>
      <c r="AE920" s="15"/>
      <c r="AG920" s="15"/>
    </row>
    <row r="921" spans="19:33" ht="15.75" customHeight="1" x14ac:dyDescent="0.25">
      <c r="S921" s="15"/>
      <c r="U921" s="15"/>
      <c r="W921" s="15"/>
      <c r="Y921" s="15"/>
      <c r="AA921" s="15"/>
      <c r="AC921" s="15"/>
      <c r="AE921" s="15"/>
      <c r="AG921" s="15"/>
    </row>
    <row r="922" spans="19:33" ht="15.75" customHeight="1" x14ac:dyDescent="0.25">
      <c r="S922" s="15"/>
      <c r="U922" s="15"/>
      <c r="W922" s="15"/>
      <c r="Y922" s="15"/>
      <c r="AA922" s="15"/>
      <c r="AC922" s="15"/>
      <c r="AE922" s="15"/>
      <c r="AG922" s="15"/>
    </row>
    <row r="923" spans="19:33" ht="15.75" customHeight="1" x14ac:dyDescent="0.25">
      <c r="S923" s="15"/>
      <c r="U923" s="15"/>
      <c r="W923" s="15"/>
      <c r="Y923" s="15"/>
      <c r="AA923" s="15"/>
      <c r="AC923" s="15"/>
      <c r="AE923" s="15"/>
      <c r="AG923" s="15"/>
    </row>
    <row r="924" spans="19:33" ht="15.75" customHeight="1" x14ac:dyDescent="0.25">
      <c r="S924" s="15"/>
      <c r="U924" s="15"/>
      <c r="W924" s="15"/>
      <c r="Y924" s="15"/>
      <c r="AA924" s="15"/>
      <c r="AC924" s="15"/>
      <c r="AE924" s="15"/>
      <c r="AG924" s="15"/>
    </row>
    <row r="925" spans="19:33" ht="15.75" customHeight="1" x14ac:dyDescent="0.25">
      <c r="S925" s="15"/>
      <c r="U925" s="15"/>
      <c r="W925" s="15"/>
      <c r="Y925" s="15"/>
      <c r="AA925" s="15"/>
      <c r="AC925" s="15"/>
      <c r="AE925" s="15"/>
      <c r="AG925" s="15"/>
    </row>
    <row r="926" spans="19:33" ht="15.75" customHeight="1" x14ac:dyDescent="0.25">
      <c r="S926" s="15"/>
      <c r="U926" s="15"/>
      <c r="W926" s="15"/>
      <c r="Y926" s="15"/>
      <c r="AA926" s="15"/>
      <c r="AC926" s="15"/>
      <c r="AE926" s="15"/>
      <c r="AG926" s="15"/>
    </row>
    <row r="927" spans="19:33" ht="15.75" customHeight="1" x14ac:dyDescent="0.25">
      <c r="S927" s="15"/>
      <c r="U927" s="15"/>
      <c r="W927" s="15"/>
      <c r="Y927" s="15"/>
      <c r="AA927" s="15"/>
      <c r="AC927" s="15"/>
      <c r="AE927" s="15"/>
      <c r="AG927" s="15"/>
    </row>
    <row r="928" spans="19:33" ht="15.75" customHeight="1" x14ac:dyDescent="0.25">
      <c r="S928" s="15"/>
      <c r="U928" s="15"/>
      <c r="W928" s="15"/>
      <c r="Y928" s="15"/>
      <c r="AA928" s="15"/>
      <c r="AC928" s="15"/>
      <c r="AE928" s="15"/>
      <c r="AG928" s="15"/>
    </row>
    <row r="929" spans="19:33" ht="15.75" customHeight="1" x14ac:dyDescent="0.25">
      <c r="S929" s="15"/>
      <c r="U929" s="15"/>
      <c r="W929" s="15"/>
      <c r="Y929" s="15"/>
      <c r="AA929" s="15"/>
      <c r="AC929" s="15"/>
      <c r="AE929" s="15"/>
      <c r="AG929" s="15"/>
    </row>
    <row r="930" spans="19:33" ht="15.75" customHeight="1" x14ac:dyDescent="0.25">
      <c r="S930" s="15"/>
      <c r="U930" s="15"/>
      <c r="W930" s="15"/>
      <c r="Y930" s="15"/>
      <c r="AA930" s="15"/>
      <c r="AC930" s="15"/>
      <c r="AE930" s="15"/>
      <c r="AG930" s="15"/>
    </row>
    <row r="931" spans="19:33" ht="15.75" customHeight="1" x14ac:dyDescent="0.25">
      <c r="S931" s="15"/>
      <c r="U931" s="15"/>
      <c r="W931" s="15"/>
      <c r="Y931" s="15"/>
      <c r="AA931" s="15"/>
      <c r="AC931" s="15"/>
      <c r="AE931" s="15"/>
      <c r="AG931" s="15"/>
    </row>
    <row r="932" spans="19:33" ht="15.75" customHeight="1" x14ac:dyDescent="0.25">
      <c r="S932" s="15"/>
      <c r="U932" s="15"/>
      <c r="W932" s="15"/>
      <c r="Y932" s="15"/>
      <c r="AA932" s="15"/>
      <c r="AC932" s="15"/>
      <c r="AE932" s="15"/>
      <c r="AG932" s="15"/>
    </row>
    <row r="933" spans="19:33" ht="15.75" customHeight="1" x14ac:dyDescent="0.25">
      <c r="S933" s="15"/>
      <c r="U933" s="15"/>
      <c r="W933" s="15"/>
      <c r="Y933" s="15"/>
      <c r="AA933" s="15"/>
      <c r="AC933" s="15"/>
      <c r="AE933" s="15"/>
      <c r="AG933" s="15"/>
    </row>
    <row r="934" spans="19:33" ht="15.75" customHeight="1" x14ac:dyDescent="0.25">
      <c r="S934" s="15"/>
      <c r="U934" s="15"/>
      <c r="W934" s="15"/>
      <c r="Y934" s="15"/>
      <c r="AA934" s="15"/>
      <c r="AC934" s="15"/>
      <c r="AE934" s="15"/>
      <c r="AG934" s="15"/>
    </row>
    <row r="935" spans="19:33" ht="15.75" customHeight="1" x14ac:dyDescent="0.25">
      <c r="S935" s="15"/>
      <c r="U935" s="15"/>
      <c r="W935" s="15"/>
      <c r="Y935" s="15"/>
      <c r="AA935" s="15"/>
      <c r="AC935" s="15"/>
      <c r="AE935" s="15"/>
      <c r="AG935" s="15"/>
    </row>
    <row r="936" spans="19:33" ht="15.75" customHeight="1" x14ac:dyDescent="0.25">
      <c r="S936" s="15"/>
      <c r="U936" s="15"/>
      <c r="W936" s="15"/>
      <c r="Y936" s="15"/>
      <c r="AA936" s="15"/>
      <c r="AC936" s="15"/>
      <c r="AE936" s="15"/>
      <c r="AG936" s="15"/>
    </row>
    <row r="937" spans="19:33" ht="15.75" customHeight="1" x14ac:dyDescent="0.25">
      <c r="S937" s="15"/>
      <c r="U937" s="15"/>
      <c r="W937" s="15"/>
      <c r="Y937" s="15"/>
      <c r="AA937" s="15"/>
      <c r="AC937" s="15"/>
      <c r="AE937" s="15"/>
      <c r="AG937" s="15"/>
    </row>
    <row r="938" spans="19:33" ht="15.75" customHeight="1" x14ac:dyDescent="0.25">
      <c r="S938" s="15"/>
      <c r="U938" s="15"/>
      <c r="W938" s="15"/>
      <c r="Y938" s="15"/>
      <c r="AA938" s="15"/>
      <c r="AC938" s="15"/>
      <c r="AE938" s="15"/>
      <c r="AG938" s="15"/>
    </row>
    <row r="939" spans="19:33" ht="15.75" customHeight="1" x14ac:dyDescent="0.25">
      <c r="S939" s="15"/>
      <c r="U939" s="15"/>
      <c r="W939" s="15"/>
      <c r="Y939" s="15"/>
      <c r="AA939" s="15"/>
      <c r="AC939" s="15"/>
      <c r="AE939" s="15"/>
      <c r="AG939" s="15"/>
    </row>
    <row r="940" spans="19:33" ht="15.75" customHeight="1" x14ac:dyDescent="0.25">
      <c r="S940" s="15"/>
      <c r="U940" s="15"/>
      <c r="W940" s="15"/>
      <c r="Y940" s="15"/>
      <c r="AA940" s="15"/>
      <c r="AC940" s="15"/>
      <c r="AE940" s="15"/>
      <c r="AG940" s="15"/>
    </row>
    <row r="941" spans="19:33" ht="15.75" customHeight="1" x14ac:dyDescent="0.25">
      <c r="S941" s="15"/>
      <c r="U941" s="15"/>
      <c r="W941" s="15"/>
      <c r="Y941" s="15"/>
      <c r="AA941" s="15"/>
      <c r="AC941" s="15"/>
      <c r="AE941" s="15"/>
      <c r="AG941" s="15"/>
    </row>
    <row r="942" spans="19:33" ht="15.75" customHeight="1" x14ac:dyDescent="0.25">
      <c r="S942" s="15"/>
      <c r="U942" s="15"/>
      <c r="W942" s="15"/>
      <c r="Y942" s="15"/>
      <c r="AA942" s="15"/>
      <c r="AC942" s="15"/>
      <c r="AE942" s="15"/>
      <c r="AG942" s="15"/>
    </row>
    <row r="943" spans="19:33" ht="15.75" customHeight="1" x14ac:dyDescent="0.25">
      <c r="S943" s="15"/>
      <c r="U943" s="15"/>
      <c r="W943" s="15"/>
      <c r="Y943" s="15"/>
      <c r="AA943" s="15"/>
      <c r="AC943" s="15"/>
      <c r="AE943" s="15"/>
      <c r="AG943" s="15"/>
    </row>
    <row r="944" spans="19:33" ht="15.75" customHeight="1" x14ac:dyDescent="0.25">
      <c r="S944" s="15"/>
      <c r="U944" s="15"/>
      <c r="W944" s="15"/>
      <c r="Y944" s="15"/>
      <c r="AA944" s="15"/>
      <c r="AC944" s="15"/>
      <c r="AE944" s="15"/>
      <c r="AG944" s="15"/>
    </row>
    <row r="945" spans="19:33" ht="15.75" customHeight="1" x14ac:dyDescent="0.25">
      <c r="S945" s="15"/>
      <c r="U945" s="15"/>
      <c r="W945" s="15"/>
      <c r="Y945" s="15"/>
      <c r="AA945" s="15"/>
      <c r="AC945" s="15"/>
      <c r="AE945" s="15"/>
      <c r="AG945" s="15"/>
    </row>
    <row r="946" spans="19:33" ht="15.75" customHeight="1" x14ac:dyDescent="0.25">
      <c r="S946" s="15"/>
      <c r="U946" s="15"/>
      <c r="W946" s="15"/>
      <c r="Y946" s="15"/>
      <c r="AA946" s="15"/>
      <c r="AC946" s="15"/>
      <c r="AE946" s="15"/>
      <c r="AG946" s="15"/>
    </row>
    <row r="947" spans="19:33" ht="15.75" customHeight="1" x14ac:dyDescent="0.25">
      <c r="S947" s="15"/>
      <c r="U947" s="15"/>
      <c r="W947" s="15"/>
      <c r="Y947" s="15"/>
      <c r="AA947" s="15"/>
      <c r="AC947" s="15"/>
      <c r="AE947" s="15"/>
      <c r="AG947" s="15"/>
    </row>
    <row r="948" spans="19:33" ht="15.75" customHeight="1" x14ac:dyDescent="0.25">
      <c r="S948" s="15"/>
      <c r="U948" s="15"/>
      <c r="W948" s="15"/>
      <c r="Y948" s="15"/>
      <c r="AA948" s="15"/>
      <c r="AC948" s="15"/>
      <c r="AE948" s="15"/>
      <c r="AG948" s="15"/>
    </row>
    <row r="949" spans="19:33" ht="15.75" customHeight="1" x14ac:dyDescent="0.25">
      <c r="S949" s="15"/>
      <c r="U949" s="15"/>
      <c r="W949" s="15"/>
      <c r="Y949" s="15"/>
      <c r="AA949" s="15"/>
      <c r="AC949" s="15"/>
      <c r="AE949" s="15"/>
      <c r="AG949" s="15"/>
    </row>
    <row r="950" spans="19:33" ht="15.75" customHeight="1" x14ac:dyDescent="0.25">
      <c r="S950" s="15"/>
      <c r="U950" s="15"/>
      <c r="W950" s="15"/>
      <c r="Y950" s="15"/>
      <c r="AA950" s="15"/>
      <c r="AC950" s="15"/>
      <c r="AE950" s="15"/>
      <c r="AG950" s="15"/>
    </row>
    <row r="951" spans="19:33" ht="15.75" customHeight="1" x14ac:dyDescent="0.25">
      <c r="S951" s="15"/>
      <c r="U951" s="15"/>
      <c r="W951" s="15"/>
      <c r="Y951" s="15"/>
      <c r="AA951" s="15"/>
      <c r="AC951" s="15"/>
      <c r="AE951" s="15"/>
      <c r="AG951" s="15"/>
    </row>
    <row r="952" spans="19:33" ht="15.75" customHeight="1" x14ac:dyDescent="0.25">
      <c r="S952" s="15"/>
      <c r="U952" s="15"/>
      <c r="W952" s="15"/>
      <c r="Y952" s="15"/>
      <c r="AA952" s="15"/>
      <c r="AC952" s="15"/>
      <c r="AE952" s="15"/>
      <c r="AG952" s="15"/>
    </row>
    <row r="953" spans="19:33" ht="15.75" customHeight="1" x14ac:dyDescent="0.25">
      <c r="S953" s="15"/>
      <c r="U953" s="15"/>
      <c r="W953" s="15"/>
      <c r="Y953" s="15"/>
      <c r="AA953" s="15"/>
      <c r="AC953" s="15"/>
      <c r="AE953" s="15"/>
      <c r="AG953" s="15"/>
    </row>
    <row r="954" spans="19:33" ht="15.75" customHeight="1" x14ac:dyDescent="0.25">
      <c r="S954" s="15"/>
      <c r="U954" s="15"/>
      <c r="W954" s="15"/>
      <c r="Y954" s="15"/>
      <c r="AA954" s="15"/>
      <c r="AC954" s="15"/>
      <c r="AE954" s="15"/>
      <c r="AG954" s="15"/>
    </row>
    <row r="955" spans="19:33" ht="15.75" customHeight="1" x14ac:dyDescent="0.25">
      <c r="S955" s="15"/>
      <c r="U955" s="15"/>
      <c r="W955" s="15"/>
      <c r="Y955" s="15"/>
      <c r="AA955" s="15"/>
      <c r="AC955" s="15"/>
      <c r="AE955" s="15"/>
      <c r="AG955" s="15"/>
    </row>
    <row r="956" spans="19:33" ht="15.75" customHeight="1" x14ac:dyDescent="0.25">
      <c r="S956" s="15"/>
      <c r="U956" s="15"/>
      <c r="W956" s="15"/>
      <c r="Y956" s="15"/>
      <c r="AA956" s="15"/>
      <c r="AC956" s="15"/>
      <c r="AE956" s="15"/>
      <c r="AG956" s="15"/>
    </row>
    <row r="957" spans="19:33" ht="15.75" customHeight="1" x14ac:dyDescent="0.25">
      <c r="S957" s="15"/>
      <c r="U957" s="15"/>
      <c r="W957" s="15"/>
      <c r="Y957" s="15"/>
      <c r="AA957" s="15"/>
      <c r="AC957" s="15"/>
      <c r="AE957" s="15"/>
      <c r="AG957" s="15"/>
    </row>
    <row r="958" spans="19:33" ht="15.75" customHeight="1" x14ac:dyDescent="0.25">
      <c r="S958" s="15"/>
      <c r="U958" s="15"/>
      <c r="W958" s="15"/>
      <c r="Y958" s="15"/>
      <c r="AA958" s="15"/>
      <c r="AC958" s="15"/>
      <c r="AE958" s="15"/>
      <c r="AG958" s="15"/>
    </row>
    <row r="959" spans="19:33" ht="15.75" customHeight="1" x14ac:dyDescent="0.25">
      <c r="S959" s="15"/>
      <c r="U959" s="15"/>
      <c r="W959" s="15"/>
      <c r="Y959" s="15"/>
      <c r="AA959" s="15"/>
      <c r="AC959" s="15"/>
      <c r="AE959" s="15"/>
      <c r="AG959" s="15"/>
    </row>
    <row r="960" spans="19:33" ht="15.75" customHeight="1" x14ac:dyDescent="0.25">
      <c r="S960" s="15"/>
      <c r="U960" s="15"/>
      <c r="W960" s="15"/>
      <c r="Y960" s="15"/>
      <c r="AA960" s="15"/>
      <c r="AC960" s="15"/>
      <c r="AE960" s="15"/>
      <c r="AG960" s="15"/>
    </row>
    <row r="961" spans="19:33" ht="15.75" customHeight="1" x14ac:dyDescent="0.25">
      <c r="S961" s="15"/>
      <c r="U961" s="15"/>
      <c r="W961" s="15"/>
      <c r="Y961" s="15"/>
      <c r="AA961" s="15"/>
      <c r="AC961" s="15"/>
      <c r="AE961" s="15"/>
      <c r="AG961" s="15"/>
    </row>
    <row r="962" spans="19:33" ht="15.75" customHeight="1" x14ac:dyDescent="0.25">
      <c r="S962" s="15"/>
      <c r="U962" s="15"/>
      <c r="W962" s="15"/>
      <c r="Y962" s="15"/>
      <c r="AA962" s="15"/>
      <c r="AC962" s="15"/>
      <c r="AE962" s="15"/>
      <c r="AG962" s="15"/>
    </row>
    <row r="963" spans="19:33" ht="15.75" customHeight="1" x14ac:dyDescent="0.25">
      <c r="S963" s="15"/>
      <c r="U963" s="15"/>
      <c r="W963" s="15"/>
      <c r="Y963" s="15"/>
      <c r="AA963" s="15"/>
      <c r="AC963" s="15"/>
      <c r="AE963" s="15"/>
      <c r="AG963" s="15"/>
    </row>
    <row r="964" spans="19:33" ht="15.75" customHeight="1" x14ac:dyDescent="0.25">
      <c r="S964" s="15"/>
      <c r="U964" s="15"/>
      <c r="W964" s="15"/>
      <c r="Y964" s="15"/>
      <c r="AA964" s="15"/>
      <c r="AC964" s="15"/>
      <c r="AE964" s="15"/>
      <c r="AG964" s="15"/>
    </row>
    <row r="965" spans="19:33" ht="15.75" customHeight="1" x14ac:dyDescent="0.25">
      <c r="S965" s="15"/>
      <c r="U965" s="15"/>
      <c r="W965" s="15"/>
      <c r="Y965" s="15"/>
      <c r="AA965" s="15"/>
      <c r="AC965" s="15"/>
      <c r="AE965" s="15"/>
      <c r="AG965" s="15"/>
    </row>
    <row r="966" spans="19:33" ht="15.75" customHeight="1" x14ac:dyDescent="0.25">
      <c r="S966" s="15"/>
      <c r="U966" s="15"/>
      <c r="W966" s="15"/>
      <c r="Y966" s="15"/>
      <c r="AA966" s="15"/>
      <c r="AC966" s="15"/>
      <c r="AE966" s="15"/>
      <c r="AG966" s="15"/>
    </row>
    <row r="967" spans="19:33" ht="15.75" customHeight="1" x14ac:dyDescent="0.25">
      <c r="S967" s="15"/>
      <c r="U967" s="15"/>
      <c r="W967" s="15"/>
      <c r="Y967" s="15"/>
      <c r="AA967" s="15"/>
      <c r="AC967" s="15"/>
      <c r="AE967" s="15"/>
      <c r="AG967" s="15"/>
    </row>
    <row r="968" spans="19:33" ht="15.75" customHeight="1" x14ac:dyDescent="0.25">
      <c r="S968" s="15"/>
      <c r="U968" s="15"/>
      <c r="W968" s="15"/>
      <c r="Y968" s="15"/>
      <c r="AA968" s="15"/>
      <c r="AC968" s="15"/>
      <c r="AE968" s="15"/>
      <c r="AG968" s="15"/>
    </row>
    <row r="969" spans="19:33" ht="15.75" customHeight="1" x14ac:dyDescent="0.25">
      <c r="S969" s="15"/>
      <c r="U969" s="15"/>
      <c r="W969" s="15"/>
      <c r="Y969" s="15"/>
      <c r="AA969" s="15"/>
      <c r="AC969" s="15"/>
      <c r="AE969" s="15"/>
      <c r="AG969" s="15"/>
    </row>
    <row r="970" spans="19:33" ht="15.75" customHeight="1" x14ac:dyDescent="0.25">
      <c r="S970" s="15"/>
      <c r="U970" s="15"/>
      <c r="W970" s="15"/>
      <c r="Y970" s="15"/>
      <c r="AA970" s="15"/>
      <c r="AC970" s="15"/>
      <c r="AE970" s="15"/>
      <c r="AG970" s="15"/>
    </row>
    <row r="971" spans="19:33" ht="15.75" customHeight="1" x14ac:dyDescent="0.25">
      <c r="S971" s="15"/>
      <c r="U971" s="15"/>
      <c r="W971" s="15"/>
      <c r="Y971" s="15"/>
      <c r="AA971" s="15"/>
      <c r="AC971" s="15"/>
      <c r="AE971" s="15"/>
      <c r="AG971" s="15"/>
    </row>
    <row r="972" spans="19:33" ht="15.75" customHeight="1" x14ac:dyDescent="0.25">
      <c r="S972" s="15"/>
      <c r="U972" s="15"/>
      <c r="W972" s="15"/>
      <c r="Y972" s="15"/>
      <c r="AA972" s="15"/>
      <c r="AC972" s="15"/>
      <c r="AE972" s="15"/>
      <c r="AG972" s="15"/>
    </row>
    <row r="973" spans="19:33" ht="15.75" customHeight="1" x14ac:dyDescent="0.25">
      <c r="S973" s="15"/>
      <c r="U973" s="15"/>
      <c r="W973" s="15"/>
      <c r="Y973" s="15"/>
      <c r="AA973" s="15"/>
      <c r="AC973" s="15"/>
      <c r="AE973" s="15"/>
      <c r="AG973" s="15"/>
    </row>
    <row r="974" spans="19:33" ht="15.75" customHeight="1" x14ac:dyDescent="0.25">
      <c r="S974" s="15"/>
      <c r="U974" s="15"/>
      <c r="W974" s="15"/>
      <c r="Y974" s="15"/>
      <c r="AA974" s="15"/>
      <c r="AC974" s="15"/>
      <c r="AE974" s="15"/>
      <c r="AG974" s="15"/>
    </row>
    <row r="975" spans="19:33" ht="15.75" customHeight="1" x14ac:dyDescent="0.25">
      <c r="S975" s="15"/>
      <c r="U975" s="15"/>
      <c r="W975" s="15"/>
      <c r="Y975" s="15"/>
      <c r="AA975" s="15"/>
      <c r="AC975" s="15"/>
      <c r="AE975" s="15"/>
      <c r="AG975" s="15"/>
    </row>
    <row r="976" spans="19:33" ht="15.75" customHeight="1" x14ac:dyDescent="0.25">
      <c r="S976" s="15"/>
      <c r="U976" s="15"/>
      <c r="W976" s="15"/>
      <c r="Y976" s="15"/>
      <c r="AA976" s="15"/>
      <c r="AC976" s="15"/>
      <c r="AE976" s="15"/>
      <c r="AG976" s="15"/>
    </row>
    <row r="977" spans="19:33" ht="15.75" customHeight="1" x14ac:dyDescent="0.25">
      <c r="S977" s="15"/>
      <c r="U977" s="15"/>
      <c r="W977" s="15"/>
      <c r="Y977" s="15"/>
      <c r="AA977" s="15"/>
      <c r="AC977" s="15"/>
      <c r="AE977" s="15"/>
      <c r="AG977" s="15"/>
    </row>
    <row r="978" spans="19:33" ht="15.75" customHeight="1" x14ac:dyDescent="0.25">
      <c r="S978" s="15"/>
      <c r="U978" s="15"/>
      <c r="W978" s="15"/>
      <c r="Y978" s="15"/>
      <c r="AA978" s="15"/>
      <c r="AC978" s="15"/>
      <c r="AE978" s="15"/>
      <c r="AG978" s="15"/>
    </row>
    <row r="979" spans="19:33" ht="15.75" customHeight="1" x14ac:dyDescent="0.25">
      <c r="S979" s="15"/>
      <c r="U979" s="15"/>
      <c r="W979" s="15"/>
      <c r="Y979" s="15"/>
      <c r="AA979" s="15"/>
      <c r="AC979" s="15"/>
      <c r="AE979" s="15"/>
      <c r="AG979" s="15"/>
    </row>
    <row r="980" spans="19:33" ht="15.75" customHeight="1" x14ac:dyDescent="0.25">
      <c r="S980" s="15"/>
      <c r="U980" s="15"/>
      <c r="W980" s="15"/>
      <c r="Y980" s="15"/>
      <c r="AA980" s="15"/>
      <c r="AC980" s="15"/>
      <c r="AE980" s="15"/>
      <c r="AG980" s="15"/>
    </row>
    <row r="981" spans="19:33" ht="15.75" customHeight="1" x14ac:dyDescent="0.25">
      <c r="S981" s="15"/>
      <c r="U981" s="15"/>
      <c r="W981" s="15"/>
      <c r="Y981" s="15"/>
      <c r="AA981" s="15"/>
      <c r="AC981" s="15"/>
      <c r="AE981" s="15"/>
      <c r="AG981" s="15"/>
    </row>
    <row r="982" spans="19:33" ht="15.75" customHeight="1" x14ac:dyDescent="0.25">
      <c r="S982" s="15"/>
      <c r="U982" s="15"/>
      <c r="W982" s="15"/>
      <c r="Y982" s="15"/>
      <c r="AA982" s="15"/>
      <c r="AC982" s="15"/>
      <c r="AE982" s="15"/>
      <c r="AG982" s="15"/>
    </row>
    <row r="983" spans="19:33" ht="15.75" customHeight="1" x14ac:dyDescent="0.25">
      <c r="S983" s="15"/>
      <c r="U983" s="15"/>
      <c r="W983" s="15"/>
      <c r="Y983" s="15"/>
      <c r="AA983" s="15"/>
      <c r="AC983" s="15"/>
      <c r="AE983" s="15"/>
      <c r="AG983" s="15"/>
    </row>
    <row r="984" spans="19:33" ht="15.75" customHeight="1" x14ac:dyDescent="0.25">
      <c r="S984" s="15"/>
      <c r="U984" s="15"/>
      <c r="W984" s="15"/>
      <c r="Y984" s="15"/>
      <c r="AA984" s="15"/>
      <c r="AC984" s="15"/>
      <c r="AE984" s="15"/>
      <c r="AG984" s="15"/>
    </row>
    <row r="985" spans="19:33" ht="15.75" customHeight="1" x14ac:dyDescent="0.25">
      <c r="S985" s="15"/>
      <c r="U985" s="15"/>
      <c r="W985" s="15"/>
      <c r="Y985" s="15"/>
      <c r="AA985" s="15"/>
      <c r="AC985" s="15"/>
      <c r="AE985" s="15"/>
      <c r="AG985" s="15"/>
    </row>
    <row r="986" spans="19:33" ht="15.75" customHeight="1" x14ac:dyDescent="0.25">
      <c r="S986" s="15"/>
      <c r="U986" s="15"/>
      <c r="W986" s="15"/>
      <c r="Y986" s="15"/>
      <c r="AA986" s="15"/>
      <c r="AC986" s="15"/>
      <c r="AE986" s="15"/>
      <c r="AG986" s="15"/>
    </row>
    <row r="987" spans="19:33" ht="15.75" customHeight="1" x14ac:dyDescent="0.25">
      <c r="S987" s="15"/>
      <c r="U987" s="15"/>
      <c r="W987" s="15"/>
      <c r="Y987" s="15"/>
      <c r="AA987" s="15"/>
      <c r="AC987" s="15"/>
      <c r="AE987" s="15"/>
      <c r="AG987" s="15"/>
    </row>
    <row r="988" spans="19:33" ht="15.75" customHeight="1" x14ac:dyDescent="0.25">
      <c r="S988" s="15"/>
      <c r="U988" s="15"/>
      <c r="W988" s="15"/>
      <c r="Y988" s="15"/>
      <c r="AA988" s="15"/>
      <c r="AC988" s="15"/>
      <c r="AE988" s="15"/>
      <c r="AG988" s="15"/>
    </row>
    <row r="989" spans="19:33" ht="15.75" customHeight="1" x14ac:dyDescent="0.25">
      <c r="S989" s="15"/>
      <c r="U989" s="15"/>
      <c r="W989" s="15"/>
      <c r="Y989" s="15"/>
      <c r="AA989" s="15"/>
      <c r="AC989" s="15"/>
      <c r="AE989" s="15"/>
      <c r="AG989" s="15"/>
    </row>
    <row r="990" spans="19:33" ht="15.75" customHeight="1" x14ac:dyDescent="0.25">
      <c r="S990" s="15"/>
      <c r="U990" s="15"/>
      <c r="W990" s="15"/>
      <c r="Y990" s="15"/>
      <c r="AA990" s="15"/>
      <c r="AC990" s="15"/>
      <c r="AE990" s="15"/>
      <c r="AG990" s="15"/>
    </row>
    <row r="991" spans="19:33" ht="15.75" customHeight="1" x14ac:dyDescent="0.25">
      <c r="S991" s="15"/>
      <c r="U991" s="15"/>
      <c r="W991" s="15"/>
      <c r="Y991" s="15"/>
      <c r="AA991" s="15"/>
      <c r="AC991" s="15"/>
      <c r="AE991" s="15"/>
      <c r="AG991" s="15"/>
    </row>
    <row r="992" spans="19:33" ht="15.75" customHeight="1" x14ac:dyDescent="0.25">
      <c r="S992" s="15"/>
      <c r="U992" s="15"/>
      <c r="W992" s="15"/>
      <c r="Y992" s="15"/>
      <c r="AA992" s="15"/>
      <c r="AC992" s="15"/>
      <c r="AE992" s="15"/>
      <c r="AG992" s="15"/>
    </row>
    <row r="993" spans="19:33" ht="15.75" customHeight="1" x14ac:dyDescent="0.25">
      <c r="S993" s="15"/>
      <c r="U993" s="15"/>
      <c r="W993" s="15"/>
      <c r="Y993" s="15"/>
      <c r="AA993" s="15"/>
      <c r="AC993" s="15"/>
      <c r="AE993" s="15"/>
      <c r="AG993" s="15"/>
    </row>
    <row r="994" spans="19:33" ht="15.75" customHeight="1" x14ac:dyDescent="0.25">
      <c r="S994" s="15"/>
      <c r="U994" s="15"/>
      <c r="W994" s="15"/>
      <c r="Y994" s="15"/>
      <c r="AA994" s="15"/>
      <c r="AC994" s="15"/>
      <c r="AE994" s="15"/>
      <c r="AG994" s="15"/>
    </row>
    <row r="995" spans="19:33" ht="15.75" customHeight="1" x14ac:dyDescent="0.25">
      <c r="S995" s="15"/>
      <c r="U995" s="15"/>
      <c r="W995" s="15"/>
      <c r="Y995" s="15"/>
      <c r="AA995" s="15"/>
      <c r="AC995" s="15"/>
      <c r="AE995" s="15"/>
      <c r="AG995" s="15"/>
    </row>
    <row r="996" spans="19:33" ht="15.75" customHeight="1" x14ac:dyDescent="0.25">
      <c r="S996" s="15"/>
      <c r="U996" s="15"/>
      <c r="W996" s="15"/>
      <c r="Y996" s="15"/>
      <c r="AA996" s="15"/>
      <c r="AC996" s="15"/>
      <c r="AE996" s="15"/>
      <c r="AG996" s="15"/>
    </row>
    <row r="997" spans="19:33" ht="15.75" customHeight="1" x14ac:dyDescent="0.25">
      <c r="S997" s="15"/>
      <c r="U997" s="15"/>
      <c r="W997" s="15"/>
      <c r="Y997" s="15"/>
      <c r="AA997" s="15"/>
      <c r="AC997" s="15"/>
      <c r="AE997" s="15"/>
      <c r="AG997" s="15"/>
    </row>
    <row r="998" spans="19:33" ht="15.75" customHeight="1" x14ac:dyDescent="0.25">
      <c r="S998" s="15"/>
      <c r="U998" s="15"/>
      <c r="W998" s="15"/>
      <c r="Y998" s="15"/>
      <c r="AA998" s="15"/>
      <c r="AC998" s="15"/>
      <c r="AE998" s="15"/>
      <c r="AG998" s="15"/>
    </row>
    <row r="999" spans="19:33" ht="15.75" customHeight="1" x14ac:dyDescent="0.25">
      <c r="S999" s="15"/>
      <c r="U999" s="15"/>
      <c r="W999" s="15"/>
      <c r="Y999" s="15"/>
      <c r="AA999" s="15"/>
      <c r="AC999" s="15"/>
      <c r="AE999" s="15"/>
      <c r="AG999" s="15"/>
    </row>
    <row r="1000" spans="19:33" ht="15.75" customHeight="1" x14ac:dyDescent="0.25">
      <c r="S1000" s="15"/>
      <c r="U1000" s="15"/>
      <c r="W1000" s="15"/>
      <c r="Y1000" s="15"/>
      <c r="AA1000" s="15"/>
      <c r="AC1000" s="15"/>
      <c r="AE1000" s="15"/>
      <c r="AG1000" s="15"/>
    </row>
    <row r="1001" spans="19:33" ht="15.75" customHeight="1" x14ac:dyDescent="0.25">
      <c r="S1001" s="15"/>
      <c r="U1001" s="15"/>
      <c r="W1001" s="15"/>
      <c r="Y1001" s="15"/>
      <c r="AA1001" s="15"/>
      <c r="AC1001" s="15"/>
      <c r="AE1001" s="15"/>
      <c r="AG1001" s="15"/>
    </row>
    <row r="1002" spans="19:33" ht="15.75" customHeight="1" x14ac:dyDescent="0.25">
      <c r="S1002" s="15"/>
      <c r="U1002" s="15"/>
      <c r="W1002" s="15"/>
      <c r="Y1002" s="15"/>
      <c r="AA1002" s="15"/>
      <c r="AC1002" s="15"/>
      <c r="AE1002" s="15"/>
      <c r="AG1002" s="15"/>
    </row>
    <row r="1003" spans="19:33" ht="15.75" customHeight="1" x14ac:dyDescent="0.25">
      <c r="S1003" s="15"/>
      <c r="U1003" s="15"/>
      <c r="W1003" s="15"/>
      <c r="Y1003" s="15"/>
      <c r="AA1003" s="15"/>
      <c r="AC1003" s="15"/>
      <c r="AE1003" s="15"/>
      <c r="AG1003" s="15"/>
    </row>
    <row r="1004" spans="19:33" ht="15.75" customHeight="1" x14ac:dyDescent="0.25">
      <c r="S1004" s="15"/>
      <c r="U1004" s="15"/>
      <c r="W1004" s="15"/>
      <c r="Y1004" s="15"/>
      <c r="AA1004" s="15"/>
      <c r="AC1004" s="15"/>
      <c r="AE1004" s="15"/>
      <c r="AG1004" s="15"/>
    </row>
    <row r="1005" spans="19:33" ht="15.75" customHeight="1" x14ac:dyDescent="0.25">
      <c r="S1005" s="15"/>
      <c r="U1005" s="15"/>
      <c r="W1005" s="15"/>
      <c r="Y1005" s="15"/>
      <c r="AA1005" s="15"/>
      <c r="AC1005" s="15"/>
      <c r="AE1005" s="15"/>
      <c r="AG1005" s="15"/>
    </row>
    <row r="1006" spans="19:33" ht="15.75" customHeight="1" x14ac:dyDescent="0.25">
      <c r="S1006" s="15"/>
      <c r="U1006" s="15"/>
      <c r="W1006" s="15"/>
      <c r="Y1006" s="15"/>
      <c r="AA1006" s="15"/>
      <c r="AC1006" s="15"/>
      <c r="AE1006" s="15"/>
      <c r="AG1006" s="15"/>
    </row>
    <row r="1007" spans="19:33" ht="15.75" customHeight="1" x14ac:dyDescent="0.25">
      <c r="S1007" s="15"/>
      <c r="U1007" s="15"/>
      <c r="W1007" s="15"/>
      <c r="Y1007" s="15"/>
      <c r="AA1007" s="15"/>
      <c r="AC1007" s="15"/>
      <c r="AE1007" s="15"/>
      <c r="AG1007" s="15"/>
    </row>
    <row r="1008" spans="19:33" ht="15.75" customHeight="1" x14ac:dyDescent="0.25">
      <c r="S1008" s="15"/>
      <c r="U1008" s="15"/>
      <c r="W1008" s="15"/>
      <c r="Y1008" s="15"/>
      <c r="AA1008" s="15"/>
      <c r="AC1008" s="15"/>
      <c r="AE1008" s="15"/>
      <c r="AG1008" s="15"/>
    </row>
    <row r="1009" spans="19:33" ht="15.75" customHeight="1" x14ac:dyDescent="0.25">
      <c r="S1009" s="15"/>
      <c r="U1009" s="15"/>
      <c r="W1009" s="15"/>
      <c r="Y1009" s="15"/>
      <c r="AA1009" s="15"/>
      <c r="AC1009" s="15"/>
      <c r="AE1009" s="15"/>
      <c r="AG1009" s="15"/>
    </row>
    <row r="1010" spans="19:33" ht="15.75" customHeight="1" x14ac:dyDescent="0.25">
      <c r="S1010" s="15"/>
      <c r="U1010" s="15"/>
      <c r="W1010" s="15"/>
      <c r="Y1010" s="15"/>
      <c r="AA1010" s="15"/>
      <c r="AC1010" s="15"/>
      <c r="AE1010" s="15"/>
      <c r="AG1010" s="15"/>
    </row>
    <row r="1011" spans="19:33" ht="15.75" customHeight="1" x14ac:dyDescent="0.25">
      <c r="S1011" s="15"/>
      <c r="U1011" s="15"/>
      <c r="W1011" s="15"/>
      <c r="Y1011" s="15"/>
      <c r="AA1011" s="15"/>
      <c r="AC1011" s="15"/>
      <c r="AE1011" s="15"/>
      <c r="AG1011" s="15"/>
    </row>
    <row r="1012" spans="19:33" ht="15.75" customHeight="1" x14ac:dyDescent="0.25">
      <c r="S1012" s="15"/>
      <c r="U1012" s="15"/>
      <c r="W1012" s="15"/>
      <c r="Y1012" s="15"/>
      <c r="AA1012" s="15"/>
      <c r="AC1012" s="15"/>
      <c r="AE1012" s="15"/>
      <c r="AG1012" s="15"/>
    </row>
    <row r="1013" spans="19:33" ht="15.75" customHeight="1" x14ac:dyDescent="0.25">
      <c r="S1013" s="15"/>
      <c r="U1013" s="15"/>
      <c r="W1013" s="15"/>
      <c r="Y1013" s="15"/>
      <c r="AA1013" s="15"/>
      <c r="AC1013" s="15"/>
      <c r="AE1013" s="15"/>
      <c r="AG1013" s="15"/>
    </row>
    <row r="1014" spans="19:33" ht="15.75" customHeight="1" x14ac:dyDescent="0.25">
      <c r="S1014" s="15"/>
      <c r="U1014" s="15"/>
      <c r="W1014" s="15"/>
      <c r="Y1014" s="15"/>
      <c r="AA1014" s="15"/>
      <c r="AC1014" s="15"/>
      <c r="AE1014" s="15"/>
      <c r="AG1014" s="15"/>
    </row>
    <row r="1015" spans="19:33" ht="15.75" customHeight="1" x14ac:dyDescent="0.25">
      <c r="S1015" s="15"/>
      <c r="U1015" s="15"/>
      <c r="W1015" s="15"/>
      <c r="Y1015" s="15"/>
      <c r="AA1015" s="15"/>
      <c r="AC1015" s="15"/>
      <c r="AE1015" s="15"/>
      <c r="AG1015" s="15"/>
    </row>
    <row r="1016" spans="19:33" ht="15.75" customHeight="1" x14ac:dyDescent="0.25">
      <c r="S1016" s="15"/>
      <c r="U1016" s="15"/>
      <c r="W1016" s="15"/>
      <c r="Y1016" s="15"/>
      <c r="AA1016" s="15"/>
      <c r="AC1016" s="15"/>
      <c r="AE1016" s="15"/>
      <c r="AG1016" s="15"/>
    </row>
    <row r="1017" spans="19:33" ht="15.75" customHeight="1" x14ac:dyDescent="0.25">
      <c r="S1017" s="15"/>
      <c r="U1017" s="15"/>
      <c r="W1017" s="15"/>
      <c r="Y1017" s="15"/>
      <c r="AA1017" s="15"/>
      <c r="AC1017" s="15"/>
      <c r="AE1017" s="15"/>
      <c r="AG1017" s="15"/>
    </row>
    <row r="1018" spans="19:33" ht="15.75" customHeight="1" x14ac:dyDescent="0.25">
      <c r="S1018" s="15"/>
      <c r="U1018" s="15"/>
      <c r="W1018" s="15"/>
      <c r="Y1018" s="15"/>
      <c r="AA1018" s="15"/>
      <c r="AC1018" s="15"/>
      <c r="AE1018" s="15"/>
      <c r="AG1018" s="15"/>
    </row>
    <row r="1019" spans="19:33" ht="15.75" customHeight="1" x14ac:dyDescent="0.25">
      <c r="S1019" s="15"/>
      <c r="U1019" s="15"/>
      <c r="W1019" s="15"/>
      <c r="Y1019" s="15"/>
      <c r="AA1019" s="15"/>
      <c r="AC1019" s="15"/>
      <c r="AE1019" s="15"/>
      <c r="AG1019" s="15"/>
    </row>
    <row r="1020" spans="19:33" ht="15.75" customHeight="1" x14ac:dyDescent="0.25">
      <c r="S1020" s="15"/>
      <c r="U1020" s="15"/>
      <c r="W1020" s="15"/>
      <c r="Y1020" s="15"/>
      <c r="AA1020" s="15"/>
      <c r="AC1020" s="15"/>
      <c r="AE1020" s="15"/>
      <c r="AG1020" s="15"/>
    </row>
    <row r="1021" spans="19:33" ht="15.75" customHeight="1" x14ac:dyDescent="0.25">
      <c r="S1021" s="15"/>
      <c r="U1021" s="15"/>
      <c r="W1021" s="15"/>
      <c r="Y1021" s="15"/>
      <c r="AA1021" s="15"/>
      <c r="AC1021" s="15"/>
      <c r="AE1021" s="15"/>
      <c r="AG1021" s="15"/>
    </row>
    <row r="1022" spans="19:33" ht="15.75" customHeight="1" x14ac:dyDescent="0.25">
      <c r="S1022" s="15"/>
      <c r="U1022" s="15"/>
      <c r="W1022" s="15"/>
      <c r="Y1022" s="15"/>
      <c r="AA1022" s="15"/>
      <c r="AC1022" s="15"/>
      <c r="AE1022" s="15"/>
      <c r="AG1022" s="15"/>
    </row>
    <row r="1023" spans="19:33" ht="15.75" customHeight="1" x14ac:dyDescent="0.25">
      <c r="S1023" s="15"/>
      <c r="U1023" s="15"/>
      <c r="W1023" s="15"/>
      <c r="Y1023" s="15"/>
      <c r="AA1023" s="15"/>
      <c r="AC1023" s="15"/>
      <c r="AE1023" s="15"/>
      <c r="AG1023" s="15"/>
    </row>
    <row r="1024" spans="19:33" ht="15.75" customHeight="1" x14ac:dyDescent="0.25">
      <c r="S1024" s="15"/>
      <c r="U1024" s="15"/>
      <c r="W1024" s="15"/>
      <c r="Y1024" s="15"/>
      <c r="AA1024" s="15"/>
      <c r="AC1024" s="15"/>
      <c r="AE1024" s="15"/>
      <c r="AG1024" s="15"/>
    </row>
    <row r="1025" spans="19:33" ht="15.75" customHeight="1" x14ac:dyDescent="0.25">
      <c r="S1025" s="15"/>
      <c r="U1025" s="15"/>
      <c r="W1025" s="15"/>
      <c r="Y1025" s="15"/>
      <c r="AA1025" s="15"/>
      <c r="AC1025" s="15"/>
      <c r="AE1025" s="15"/>
      <c r="AG1025" s="15"/>
    </row>
    <row r="1026" spans="19:33" ht="15.75" customHeight="1" x14ac:dyDescent="0.25">
      <c r="S1026" s="15"/>
      <c r="U1026" s="15"/>
      <c r="W1026" s="15"/>
      <c r="Y1026" s="15"/>
      <c r="AA1026" s="15"/>
      <c r="AC1026" s="15"/>
      <c r="AE1026" s="15"/>
      <c r="AG1026" s="15"/>
    </row>
    <row r="1027" spans="19:33" ht="15.75" customHeight="1" x14ac:dyDescent="0.25">
      <c r="S1027" s="15"/>
      <c r="U1027" s="15"/>
      <c r="W1027" s="15"/>
      <c r="Y1027" s="15"/>
      <c r="AA1027" s="15"/>
      <c r="AC1027" s="15"/>
      <c r="AE1027" s="15"/>
      <c r="AG1027" s="15"/>
    </row>
    <row r="1028" spans="19:33" ht="15.75" customHeight="1" x14ac:dyDescent="0.25">
      <c r="S1028" s="15"/>
      <c r="U1028" s="15"/>
      <c r="W1028" s="15"/>
      <c r="Y1028" s="15"/>
      <c r="AA1028" s="15"/>
      <c r="AC1028" s="15"/>
      <c r="AE1028" s="15"/>
      <c r="AG1028" s="15"/>
    </row>
    <row r="1029" spans="19:33" ht="15.75" customHeight="1" x14ac:dyDescent="0.25">
      <c r="S1029" s="15"/>
      <c r="U1029" s="15"/>
      <c r="W1029" s="15"/>
      <c r="Y1029" s="15"/>
      <c r="AA1029" s="15"/>
      <c r="AC1029" s="15"/>
      <c r="AE1029" s="15"/>
      <c r="AG1029" s="15"/>
    </row>
    <row r="1030" spans="19:33" ht="15.75" customHeight="1" x14ac:dyDescent="0.25">
      <c r="S1030" s="15"/>
      <c r="U1030" s="15"/>
      <c r="W1030" s="15"/>
      <c r="Y1030" s="15"/>
      <c r="AA1030" s="15"/>
      <c r="AC1030" s="15"/>
      <c r="AE1030" s="15"/>
      <c r="AG1030" s="15"/>
    </row>
    <row r="1031" spans="19:33" ht="15.75" customHeight="1" x14ac:dyDescent="0.25">
      <c r="S1031" s="15"/>
      <c r="U1031" s="15"/>
      <c r="W1031" s="15"/>
      <c r="Y1031" s="15"/>
      <c r="AA1031" s="15"/>
      <c r="AC1031" s="15"/>
      <c r="AE1031" s="15"/>
      <c r="AG1031" s="15"/>
    </row>
    <row r="1032" spans="19:33" ht="15.75" customHeight="1" x14ac:dyDescent="0.25">
      <c r="S1032" s="15"/>
      <c r="U1032" s="15"/>
      <c r="W1032" s="15"/>
      <c r="Y1032" s="15"/>
      <c r="AA1032" s="15"/>
      <c r="AC1032" s="15"/>
      <c r="AE1032" s="15"/>
      <c r="AG1032" s="15"/>
    </row>
    <row r="1033" spans="19:33" ht="15.75" customHeight="1" x14ac:dyDescent="0.25">
      <c r="S1033" s="15"/>
      <c r="U1033" s="15"/>
      <c r="W1033" s="15"/>
      <c r="Y1033" s="15"/>
      <c r="AA1033" s="15"/>
      <c r="AC1033" s="15"/>
      <c r="AE1033" s="15"/>
      <c r="AG1033" s="15"/>
    </row>
    <row r="1034" spans="19:33" ht="15.75" customHeight="1" x14ac:dyDescent="0.25">
      <c r="S1034" s="15"/>
      <c r="U1034" s="15"/>
      <c r="W1034" s="15"/>
      <c r="Y1034" s="15"/>
      <c r="AA1034" s="15"/>
      <c r="AC1034" s="15"/>
      <c r="AE1034" s="15"/>
      <c r="AG1034" s="15"/>
    </row>
    <row r="1035" spans="19:33" ht="15.75" customHeight="1" x14ac:dyDescent="0.25">
      <c r="S1035" s="15"/>
      <c r="U1035" s="15"/>
      <c r="W1035" s="15"/>
      <c r="Y1035" s="15"/>
      <c r="AA1035" s="15"/>
      <c r="AC1035" s="15"/>
      <c r="AE1035" s="15"/>
      <c r="AG1035" s="15"/>
    </row>
    <row r="1036" spans="19:33" ht="15.75" customHeight="1" x14ac:dyDescent="0.25">
      <c r="S1036" s="15"/>
      <c r="U1036" s="15"/>
      <c r="W1036" s="15"/>
      <c r="Y1036" s="15"/>
      <c r="AA1036" s="15"/>
      <c r="AC1036" s="15"/>
      <c r="AE1036" s="15"/>
      <c r="AG1036" s="15"/>
    </row>
    <row r="1037" spans="19:33" ht="15.75" customHeight="1" x14ac:dyDescent="0.25">
      <c r="S1037" s="15"/>
      <c r="U1037" s="15"/>
      <c r="W1037" s="15"/>
      <c r="Y1037" s="15"/>
      <c r="AA1037" s="15"/>
      <c r="AC1037" s="15"/>
      <c r="AE1037" s="15"/>
      <c r="AG1037" s="15"/>
    </row>
    <row r="1038" spans="19:33" ht="15.75" customHeight="1" x14ac:dyDescent="0.25">
      <c r="S1038" s="15"/>
      <c r="U1038" s="15"/>
      <c r="W1038" s="15"/>
      <c r="Y1038" s="15"/>
      <c r="AA1038" s="15"/>
      <c r="AC1038" s="15"/>
      <c r="AE1038" s="15"/>
      <c r="AG1038" s="15"/>
    </row>
    <row r="1039" spans="19:33" ht="15.75" customHeight="1" x14ac:dyDescent="0.25">
      <c r="S1039" s="15"/>
      <c r="U1039" s="15"/>
      <c r="W1039" s="15"/>
      <c r="Y1039" s="15"/>
      <c r="AA1039" s="15"/>
      <c r="AC1039" s="15"/>
      <c r="AE1039" s="15"/>
      <c r="AG1039" s="15"/>
    </row>
    <row r="1040" spans="19:33" ht="15.75" customHeight="1" x14ac:dyDescent="0.25">
      <c r="S1040" s="15"/>
      <c r="U1040" s="15"/>
      <c r="W1040" s="15"/>
      <c r="Y1040" s="15"/>
      <c r="AA1040" s="15"/>
      <c r="AC1040" s="15"/>
      <c r="AE1040" s="15"/>
      <c r="AG1040" s="15"/>
    </row>
    <row r="1041" spans="19:33" ht="15.75" customHeight="1" x14ac:dyDescent="0.25">
      <c r="S1041" s="15"/>
      <c r="U1041" s="15"/>
      <c r="W1041" s="15"/>
      <c r="Y1041" s="15"/>
      <c r="AA1041" s="15"/>
      <c r="AC1041" s="15"/>
      <c r="AE1041" s="15"/>
      <c r="AG1041" s="15"/>
    </row>
    <row r="1042" spans="19:33" ht="15.75" customHeight="1" x14ac:dyDescent="0.25">
      <c r="S1042" s="15"/>
      <c r="U1042" s="15"/>
      <c r="W1042" s="15"/>
      <c r="Y1042" s="15"/>
      <c r="AA1042" s="15"/>
      <c r="AC1042" s="15"/>
      <c r="AE1042" s="15"/>
      <c r="AG1042" s="15"/>
    </row>
    <row r="1043" spans="19:33" ht="15.75" customHeight="1" x14ac:dyDescent="0.25">
      <c r="S1043" s="15"/>
      <c r="U1043" s="15"/>
      <c r="W1043" s="15"/>
      <c r="Y1043" s="15"/>
      <c r="AA1043" s="15"/>
      <c r="AC1043" s="15"/>
      <c r="AE1043" s="15"/>
      <c r="AG1043" s="15"/>
    </row>
    <row r="1044" spans="19:33" ht="15.75" customHeight="1" x14ac:dyDescent="0.25">
      <c r="S1044" s="15"/>
      <c r="U1044" s="15"/>
      <c r="W1044" s="15"/>
      <c r="Y1044" s="15"/>
      <c r="AA1044" s="15"/>
      <c r="AC1044" s="15"/>
      <c r="AE1044" s="15"/>
      <c r="AG1044" s="15"/>
    </row>
    <row r="1045" spans="19:33" ht="15.75" customHeight="1" x14ac:dyDescent="0.25">
      <c r="S1045" s="15"/>
      <c r="U1045" s="15"/>
      <c r="W1045" s="15"/>
      <c r="Y1045" s="15"/>
      <c r="AA1045" s="15"/>
      <c r="AC1045" s="15"/>
      <c r="AE1045" s="15"/>
      <c r="AG1045" s="15"/>
    </row>
    <row r="1046" spans="19:33" ht="15.75" customHeight="1" x14ac:dyDescent="0.25">
      <c r="S1046" s="15"/>
      <c r="U1046" s="15"/>
      <c r="W1046" s="15"/>
      <c r="Y1046" s="15"/>
      <c r="AA1046" s="15"/>
      <c r="AC1046" s="15"/>
      <c r="AE1046" s="15"/>
      <c r="AG1046" s="15"/>
    </row>
    <row r="1047" spans="19:33" ht="15.75" customHeight="1" x14ac:dyDescent="0.25">
      <c r="S1047" s="15"/>
      <c r="U1047" s="15"/>
      <c r="W1047" s="15"/>
      <c r="Y1047" s="15"/>
      <c r="AA1047" s="15"/>
      <c r="AC1047" s="15"/>
      <c r="AE1047" s="15"/>
      <c r="AG1047" s="15"/>
    </row>
    <row r="1048" spans="19:33" ht="15.75" customHeight="1" x14ac:dyDescent="0.25">
      <c r="S1048" s="15"/>
      <c r="U1048" s="15"/>
      <c r="W1048" s="15"/>
      <c r="Y1048" s="15"/>
      <c r="AA1048" s="15"/>
      <c r="AC1048" s="15"/>
      <c r="AE1048" s="15"/>
      <c r="AG1048" s="15"/>
    </row>
    <row r="1049" spans="19:33" ht="15.75" customHeight="1" x14ac:dyDescent="0.25">
      <c r="S1049" s="15"/>
      <c r="U1049" s="15"/>
      <c r="W1049" s="15"/>
      <c r="Y1049" s="15"/>
      <c r="AA1049" s="15"/>
      <c r="AC1049" s="15"/>
      <c r="AE1049" s="15"/>
      <c r="AG1049" s="15"/>
    </row>
    <row r="1050" spans="19:33" ht="15.75" customHeight="1" x14ac:dyDescent="0.25">
      <c r="S1050" s="15"/>
      <c r="U1050" s="15"/>
      <c r="W1050" s="15"/>
      <c r="Y1050" s="15"/>
      <c r="AA1050" s="15"/>
      <c r="AC1050" s="15"/>
      <c r="AE1050" s="15"/>
      <c r="AG1050" s="15"/>
    </row>
    <row r="1051" spans="19:33" ht="15.75" customHeight="1" x14ac:dyDescent="0.25">
      <c r="S1051" s="15"/>
      <c r="U1051" s="15"/>
      <c r="W1051" s="15"/>
      <c r="Y1051" s="15"/>
      <c r="AA1051" s="15"/>
      <c r="AC1051" s="15"/>
      <c r="AE1051" s="15"/>
      <c r="AG1051" s="15"/>
    </row>
    <row r="1052" spans="19:33" ht="15.75" customHeight="1" x14ac:dyDescent="0.25">
      <c r="S1052" s="15"/>
      <c r="U1052" s="15"/>
      <c r="W1052" s="15"/>
      <c r="Y1052" s="15"/>
      <c r="AA1052" s="15"/>
      <c r="AC1052" s="15"/>
      <c r="AE1052" s="15"/>
      <c r="AG1052" s="15"/>
    </row>
    <row r="1053" spans="19:33" ht="15.75" customHeight="1" x14ac:dyDescent="0.25">
      <c r="S1053" s="15"/>
      <c r="U1053" s="15"/>
      <c r="W1053" s="15"/>
      <c r="Y1053" s="15"/>
      <c r="AA1053" s="15"/>
      <c r="AC1053" s="15"/>
      <c r="AE1053" s="15"/>
      <c r="AG1053" s="15"/>
    </row>
    <row r="1054" spans="19:33" ht="15.75" customHeight="1" x14ac:dyDescent="0.25">
      <c r="S1054" s="15"/>
      <c r="U1054" s="15"/>
      <c r="W1054" s="15"/>
      <c r="Y1054" s="15"/>
      <c r="AA1054" s="15"/>
      <c r="AC1054" s="15"/>
      <c r="AE1054" s="15"/>
      <c r="AG1054" s="15"/>
    </row>
    <row r="1055" spans="19:33" ht="15.75" customHeight="1" x14ac:dyDescent="0.25">
      <c r="S1055" s="15"/>
      <c r="U1055" s="15"/>
      <c r="W1055" s="15"/>
      <c r="Y1055" s="15"/>
      <c r="AA1055" s="15"/>
      <c r="AC1055" s="15"/>
      <c r="AE1055" s="15"/>
      <c r="AG1055" s="15"/>
    </row>
    <row r="1056" spans="19:33" ht="15.75" customHeight="1" x14ac:dyDescent="0.25">
      <c r="S1056" s="15"/>
      <c r="U1056" s="15"/>
      <c r="W1056" s="15"/>
      <c r="Y1056" s="15"/>
      <c r="AA1056" s="15"/>
      <c r="AC1056" s="15"/>
      <c r="AE1056" s="15"/>
      <c r="AG1056" s="15"/>
    </row>
    <row r="1057" spans="19:33" ht="15.75" customHeight="1" x14ac:dyDescent="0.25">
      <c r="S1057" s="15"/>
      <c r="U1057" s="15"/>
      <c r="W1057" s="15"/>
      <c r="Y1057" s="15"/>
      <c r="AA1057" s="15"/>
      <c r="AC1057" s="15"/>
      <c r="AE1057" s="15"/>
      <c r="AG1057" s="15"/>
    </row>
    <row r="1058" spans="19:33" ht="15.75" customHeight="1" x14ac:dyDescent="0.25">
      <c r="S1058" s="15"/>
      <c r="U1058" s="15"/>
      <c r="W1058" s="15"/>
      <c r="Y1058" s="15"/>
      <c r="AA1058" s="15"/>
      <c r="AC1058" s="15"/>
      <c r="AE1058" s="15"/>
      <c r="AG1058" s="15"/>
    </row>
    <row r="1059" spans="19:33" ht="15.75" customHeight="1" x14ac:dyDescent="0.25">
      <c r="S1059" s="15"/>
      <c r="U1059" s="15"/>
      <c r="W1059" s="15"/>
      <c r="Y1059" s="15"/>
      <c r="AA1059" s="15"/>
      <c r="AC1059" s="15"/>
      <c r="AE1059" s="15"/>
      <c r="AG1059" s="15"/>
    </row>
    <row r="1060" spans="19:33" ht="15.75" customHeight="1" x14ac:dyDescent="0.25">
      <c r="S1060" s="15"/>
      <c r="U1060" s="15"/>
      <c r="W1060" s="15"/>
      <c r="Y1060" s="15"/>
      <c r="AA1060" s="15"/>
      <c r="AC1060" s="15"/>
      <c r="AE1060" s="15"/>
      <c r="AG1060" s="15"/>
    </row>
    <row r="1061" spans="19:33" ht="15.75" customHeight="1" x14ac:dyDescent="0.25">
      <c r="S1061" s="15"/>
      <c r="U1061" s="15"/>
      <c r="W1061" s="15"/>
      <c r="Y1061" s="15"/>
      <c r="AA1061" s="15"/>
      <c r="AC1061" s="15"/>
      <c r="AE1061" s="15"/>
      <c r="AG1061" s="15"/>
    </row>
    <row r="1062" spans="19:33" ht="15.75" customHeight="1" x14ac:dyDescent="0.25">
      <c r="S1062" s="15"/>
      <c r="U1062" s="15"/>
      <c r="W1062" s="15"/>
      <c r="Y1062" s="15"/>
      <c r="AA1062" s="15"/>
      <c r="AC1062" s="15"/>
      <c r="AE1062" s="15"/>
      <c r="AG1062" s="15"/>
    </row>
    <row r="1063" spans="19:33" ht="15.75" customHeight="1" x14ac:dyDescent="0.25">
      <c r="S1063" s="15"/>
      <c r="U1063" s="15"/>
      <c r="W1063" s="15"/>
      <c r="Y1063" s="15"/>
      <c r="AA1063" s="15"/>
      <c r="AC1063" s="15"/>
      <c r="AE1063" s="15"/>
      <c r="AG1063" s="15"/>
    </row>
    <row r="1064" spans="19:33" ht="15.75" customHeight="1" x14ac:dyDescent="0.25">
      <c r="S1064" s="15"/>
      <c r="U1064" s="15"/>
      <c r="W1064" s="15"/>
      <c r="Y1064" s="15"/>
      <c r="AA1064" s="15"/>
      <c r="AC1064" s="15"/>
      <c r="AE1064" s="15"/>
      <c r="AG1064" s="15"/>
    </row>
    <row r="1065" spans="19:33" ht="15.75" customHeight="1" x14ac:dyDescent="0.25">
      <c r="S1065" s="15"/>
      <c r="U1065" s="15"/>
      <c r="W1065" s="15"/>
      <c r="Y1065" s="15"/>
      <c r="AA1065" s="15"/>
      <c r="AC1065" s="15"/>
      <c r="AE1065" s="15"/>
      <c r="AG1065" s="15"/>
    </row>
    <row r="1066" spans="19:33" ht="15.75" customHeight="1" x14ac:dyDescent="0.25">
      <c r="S1066" s="15"/>
      <c r="U1066" s="15"/>
      <c r="W1066" s="15"/>
      <c r="Y1066" s="15"/>
      <c r="AA1066" s="15"/>
      <c r="AC1066" s="15"/>
      <c r="AE1066" s="15"/>
      <c r="AG1066" s="15"/>
    </row>
    <row r="1067" spans="19:33" ht="15.75" customHeight="1" x14ac:dyDescent="0.25">
      <c r="S1067" s="15"/>
      <c r="U1067" s="15"/>
      <c r="W1067" s="15"/>
      <c r="Y1067" s="15"/>
      <c r="AA1067" s="15"/>
      <c r="AC1067" s="15"/>
      <c r="AE1067" s="15"/>
      <c r="AG1067" s="15"/>
    </row>
    <row r="1068" spans="19:33" ht="15.75" customHeight="1" x14ac:dyDescent="0.25">
      <c r="S1068" s="15"/>
      <c r="U1068" s="15"/>
      <c r="W1068" s="15"/>
      <c r="Y1068" s="15"/>
      <c r="AA1068" s="15"/>
      <c r="AC1068" s="15"/>
      <c r="AE1068" s="15"/>
      <c r="AG1068" s="15"/>
    </row>
    <row r="1069" spans="19:33" ht="15.75" customHeight="1" x14ac:dyDescent="0.25">
      <c r="S1069" s="15"/>
      <c r="U1069" s="15"/>
      <c r="W1069" s="15"/>
      <c r="Y1069" s="15"/>
      <c r="AA1069" s="15"/>
      <c r="AC1069" s="15"/>
      <c r="AE1069" s="15"/>
      <c r="AG1069" s="15"/>
    </row>
    <row r="1070" spans="19:33" ht="15.75" customHeight="1" x14ac:dyDescent="0.25">
      <c r="S1070" s="15"/>
      <c r="U1070" s="15"/>
      <c r="W1070" s="15"/>
      <c r="Y1070" s="15"/>
      <c r="AA1070" s="15"/>
      <c r="AC1070" s="15"/>
      <c r="AE1070" s="15"/>
      <c r="AG1070" s="15"/>
    </row>
    <row r="1071" spans="19:33" ht="15.75" customHeight="1" x14ac:dyDescent="0.25">
      <c r="S1071" s="15"/>
      <c r="U1071" s="15"/>
      <c r="W1071" s="15"/>
      <c r="Y1071" s="15"/>
      <c r="AA1071" s="15"/>
      <c r="AC1071" s="15"/>
      <c r="AE1071" s="15"/>
      <c r="AG1071" s="15"/>
    </row>
    <row r="1072" spans="19:33" ht="15.75" customHeight="1" x14ac:dyDescent="0.25">
      <c r="S1072" s="15"/>
      <c r="U1072" s="15"/>
      <c r="W1072" s="15"/>
      <c r="Y1072" s="15"/>
      <c r="AA1072" s="15"/>
      <c r="AC1072" s="15"/>
      <c r="AE1072" s="15"/>
      <c r="AG1072" s="15"/>
    </row>
    <row r="1073" spans="19:33" ht="15.75" customHeight="1" x14ac:dyDescent="0.25">
      <c r="S1073" s="15"/>
      <c r="U1073" s="15"/>
      <c r="W1073" s="15"/>
      <c r="Y1073" s="15"/>
      <c r="AA1073" s="15"/>
      <c r="AC1073" s="15"/>
      <c r="AE1073" s="15"/>
      <c r="AG1073" s="15"/>
    </row>
    <row r="1074" spans="19:33" ht="15.75" customHeight="1" x14ac:dyDescent="0.25">
      <c r="S1074" s="15"/>
      <c r="U1074" s="15"/>
      <c r="W1074" s="15"/>
      <c r="Y1074" s="15"/>
      <c r="AA1074" s="15"/>
      <c r="AC1074" s="15"/>
      <c r="AE1074" s="15"/>
      <c r="AG1074" s="15"/>
    </row>
    <row r="1075" spans="19:33" ht="15.75" customHeight="1" x14ac:dyDescent="0.25">
      <c r="S1075" s="15"/>
      <c r="U1075" s="15"/>
      <c r="W1075" s="15"/>
      <c r="Y1075" s="15"/>
      <c r="AA1075" s="15"/>
      <c r="AC1075" s="15"/>
      <c r="AE1075" s="15"/>
      <c r="AG1075" s="15"/>
    </row>
    <row r="1076" spans="19:33" ht="15.75" customHeight="1" x14ac:dyDescent="0.25">
      <c r="S1076" s="15"/>
      <c r="U1076" s="15"/>
      <c r="W1076" s="15"/>
      <c r="Y1076" s="15"/>
      <c r="AA1076" s="15"/>
      <c r="AC1076" s="15"/>
      <c r="AE1076" s="15"/>
      <c r="AG1076" s="15"/>
    </row>
    <row r="1077" spans="19:33" ht="15.75" customHeight="1" x14ac:dyDescent="0.25">
      <c r="S1077" s="15"/>
      <c r="U1077" s="15"/>
      <c r="W1077" s="15"/>
      <c r="Y1077" s="15"/>
      <c r="AA1077" s="15"/>
      <c r="AC1077" s="15"/>
      <c r="AE1077" s="15"/>
      <c r="AG1077" s="15"/>
    </row>
    <row r="1078" spans="19:33" ht="15.75" customHeight="1" x14ac:dyDescent="0.25">
      <c r="S1078" s="15"/>
      <c r="U1078" s="15"/>
      <c r="W1078" s="15"/>
      <c r="Y1078" s="15"/>
      <c r="AA1078" s="15"/>
      <c r="AC1078" s="15"/>
      <c r="AE1078" s="15"/>
      <c r="AG1078" s="15"/>
    </row>
    <row r="1079" spans="19:33" ht="15.75" customHeight="1" x14ac:dyDescent="0.25">
      <c r="S1079" s="15"/>
      <c r="U1079" s="15"/>
      <c r="W1079" s="15"/>
      <c r="Y1079" s="15"/>
      <c r="AA1079" s="15"/>
      <c r="AC1079" s="15"/>
      <c r="AE1079" s="15"/>
      <c r="AG1079" s="15"/>
    </row>
    <row r="1080" spans="19:33" ht="15.75" customHeight="1" x14ac:dyDescent="0.25">
      <c r="S1080" s="15"/>
      <c r="U1080" s="15"/>
      <c r="W1080" s="15"/>
      <c r="Y1080" s="15"/>
      <c r="AA1080" s="15"/>
      <c r="AC1080" s="15"/>
      <c r="AE1080" s="15"/>
      <c r="AG1080" s="15"/>
    </row>
    <row r="1081" spans="19:33" ht="15.75" customHeight="1" x14ac:dyDescent="0.25">
      <c r="S1081" s="15"/>
      <c r="U1081" s="15"/>
      <c r="W1081" s="15"/>
      <c r="Y1081" s="15"/>
      <c r="AA1081" s="15"/>
      <c r="AC1081" s="15"/>
      <c r="AE1081" s="15"/>
      <c r="AG1081" s="15"/>
    </row>
    <row r="1082" spans="19:33" ht="15.75" customHeight="1" x14ac:dyDescent="0.25">
      <c r="S1082" s="15"/>
      <c r="U1082" s="15"/>
      <c r="W1082" s="15"/>
      <c r="Y1082" s="15"/>
      <c r="AA1082" s="15"/>
      <c r="AC1082" s="15"/>
      <c r="AE1082" s="15"/>
      <c r="AG1082" s="15"/>
    </row>
    <row r="1083" spans="19:33" ht="15.75" customHeight="1" x14ac:dyDescent="0.25">
      <c r="S1083" s="15"/>
      <c r="U1083" s="15"/>
      <c r="W1083" s="15"/>
      <c r="Y1083" s="15"/>
      <c r="AA1083" s="15"/>
      <c r="AC1083" s="15"/>
      <c r="AE1083" s="15"/>
      <c r="AG1083" s="15"/>
    </row>
    <row r="1084" spans="19:33" ht="15.75" customHeight="1" x14ac:dyDescent="0.25">
      <c r="S1084" s="15"/>
      <c r="U1084" s="15"/>
      <c r="W1084" s="15"/>
      <c r="Y1084" s="15"/>
      <c r="AA1084" s="15"/>
      <c r="AC1084" s="15"/>
      <c r="AE1084" s="15"/>
      <c r="AG1084" s="15"/>
    </row>
    <row r="1085" spans="19:33" ht="15.75" customHeight="1" x14ac:dyDescent="0.25">
      <c r="S1085" s="15"/>
      <c r="U1085" s="15"/>
      <c r="W1085" s="15"/>
      <c r="Y1085" s="15"/>
      <c r="AA1085" s="15"/>
      <c r="AC1085" s="15"/>
      <c r="AE1085" s="15"/>
      <c r="AG1085" s="15"/>
    </row>
    <row r="1086" spans="19:33" ht="15.75" customHeight="1" x14ac:dyDescent="0.25">
      <c r="S1086" s="15"/>
      <c r="U1086" s="15"/>
      <c r="W1086" s="15"/>
      <c r="Y1086" s="15"/>
      <c r="AA1086" s="15"/>
      <c r="AC1086" s="15"/>
      <c r="AE1086" s="15"/>
      <c r="AG1086" s="15"/>
    </row>
    <row r="1087" spans="19:33" ht="15.75" customHeight="1" x14ac:dyDescent="0.25">
      <c r="S1087" s="15"/>
      <c r="U1087" s="15"/>
      <c r="W1087" s="15"/>
      <c r="Y1087" s="15"/>
      <c r="AA1087" s="15"/>
      <c r="AC1087" s="15"/>
      <c r="AE1087" s="15"/>
      <c r="AG1087" s="15"/>
    </row>
    <row r="1088" spans="19:33" ht="15.75" customHeight="1" x14ac:dyDescent="0.25">
      <c r="S1088" s="15"/>
      <c r="U1088" s="15"/>
      <c r="W1088" s="15"/>
      <c r="Y1088" s="15"/>
      <c r="AA1088" s="15"/>
      <c r="AC1088" s="15"/>
      <c r="AE1088" s="15"/>
      <c r="AG1088" s="15"/>
    </row>
    <row r="1089" spans="5:33" ht="15.75" customHeight="1" x14ac:dyDescent="0.25">
      <c r="S1089" s="15"/>
      <c r="U1089" s="15"/>
      <c r="W1089" s="15"/>
      <c r="Y1089" s="15"/>
      <c r="AA1089" s="15"/>
      <c r="AC1089" s="15"/>
      <c r="AE1089" s="15"/>
      <c r="AG1089" s="15"/>
    </row>
    <row r="1090" spans="5:33" ht="15.75" customHeight="1" x14ac:dyDescent="0.25">
      <c r="E1090" s="6"/>
      <c r="S1090" s="15"/>
      <c r="U1090" s="15"/>
      <c r="W1090" s="15"/>
      <c r="Y1090" s="15"/>
      <c r="AA1090" s="15"/>
      <c r="AC1090" s="15"/>
      <c r="AE1090" s="15"/>
      <c r="AG1090" s="15"/>
    </row>
    <row r="1091" spans="5:33" ht="15.75" customHeight="1" x14ac:dyDescent="0.25">
      <c r="S1091" s="15"/>
      <c r="U1091" s="15"/>
      <c r="W1091" s="15"/>
      <c r="Y1091" s="15"/>
      <c r="AA1091" s="15"/>
      <c r="AC1091" s="15"/>
      <c r="AE1091" s="15"/>
      <c r="AG1091" s="15"/>
    </row>
    <row r="1092" spans="5:33" ht="15.75" customHeight="1" x14ac:dyDescent="0.25">
      <c r="S1092" s="15"/>
      <c r="U1092" s="15"/>
      <c r="W1092" s="15"/>
      <c r="Y1092" s="15"/>
      <c r="AA1092" s="15"/>
      <c r="AC1092" s="15"/>
      <c r="AE1092" s="15"/>
      <c r="AG1092" s="15"/>
    </row>
    <row r="1093" spans="5:33" ht="15.75" customHeight="1" x14ac:dyDescent="0.25">
      <c r="S1093" s="15"/>
      <c r="U1093" s="15"/>
      <c r="W1093" s="15"/>
      <c r="Y1093" s="15"/>
      <c r="AA1093" s="15"/>
      <c r="AC1093" s="15"/>
      <c r="AE1093" s="15"/>
      <c r="AG1093" s="15"/>
    </row>
    <row r="1094" spans="5:33" ht="15.75" customHeight="1" x14ac:dyDescent="0.25">
      <c r="S1094" s="15"/>
      <c r="U1094" s="15"/>
      <c r="W1094" s="15"/>
      <c r="Y1094" s="15"/>
      <c r="AA1094" s="15"/>
      <c r="AC1094" s="15"/>
      <c r="AE1094" s="15"/>
      <c r="AG1094" s="15"/>
    </row>
    <row r="1095" spans="5:33" ht="15.75" customHeight="1" x14ac:dyDescent="0.25">
      <c r="S1095" s="15"/>
      <c r="U1095" s="15"/>
      <c r="W1095" s="15"/>
      <c r="Y1095" s="15"/>
      <c r="AA1095" s="15"/>
      <c r="AC1095" s="15"/>
      <c r="AE1095" s="15"/>
      <c r="AG1095" s="15"/>
    </row>
    <row r="1096" spans="5:33" ht="15.75" customHeight="1" x14ac:dyDescent="0.25">
      <c r="S1096" s="15"/>
      <c r="U1096" s="15"/>
      <c r="W1096" s="15"/>
      <c r="Y1096" s="15"/>
      <c r="AA1096" s="15"/>
      <c r="AC1096" s="15"/>
      <c r="AE1096" s="15"/>
      <c r="AG1096" s="15"/>
    </row>
    <row r="1097" spans="5:33" ht="15.75" customHeight="1" x14ac:dyDescent="0.25">
      <c r="S1097" s="15"/>
      <c r="U1097" s="15"/>
      <c r="W1097" s="15"/>
      <c r="Y1097" s="15"/>
      <c r="AA1097" s="15"/>
      <c r="AC1097" s="15"/>
      <c r="AE1097" s="15"/>
      <c r="AG1097" s="15"/>
    </row>
    <row r="1098" spans="5:33" ht="15.75" customHeight="1" x14ac:dyDescent="0.25">
      <c r="S1098" s="15"/>
      <c r="U1098" s="15"/>
      <c r="W1098" s="15"/>
      <c r="Y1098" s="15"/>
      <c r="AA1098" s="15"/>
      <c r="AC1098" s="15"/>
      <c r="AE1098" s="15"/>
      <c r="AG1098" s="15"/>
    </row>
    <row r="1099" spans="5:33" ht="15.75" customHeight="1" x14ac:dyDescent="0.25">
      <c r="S1099" s="15"/>
      <c r="U1099" s="15"/>
      <c r="W1099" s="15"/>
      <c r="Y1099" s="15"/>
      <c r="AA1099" s="15"/>
      <c r="AC1099" s="15"/>
      <c r="AE1099" s="15"/>
      <c r="AG1099" s="15"/>
    </row>
    <row r="1100" spans="5:33" ht="15.75" customHeight="1" x14ac:dyDescent="0.25">
      <c r="S1100" s="15"/>
      <c r="U1100" s="15"/>
      <c r="W1100" s="15"/>
      <c r="Y1100" s="15"/>
      <c r="AA1100" s="15"/>
      <c r="AC1100" s="15"/>
      <c r="AE1100" s="15"/>
      <c r="AG1100" s="15"/>
    </row>
    <row r="1101" spans="5:33" ht="15.75" customHeight="1" x14ac:dyDescent="0.25">
      <c r="S1101" s="15"/>
      <c r="U1101" s="15"/>
      <c r="W1101" s="15"/>
      <c r="Y1101" s="15"/>
      <c r="AA1101" s="15"/>
      <c r="AC1101" s="15"/>
      <c r="AE1101" s="15"/>
      <c r="AG1101" s="15"/>
    </row>
    <row r="1102" spans="5:33" ht="15.75" customHeight="1" x14ac:dyDescent="0.25">
      <c r="S1102" s="15"/>
      <c r="U1102" s="15"/>
      <c r="W1102" s="15"/>
      <c r="Y1102" s="15"/>
      <c r="AA1102" s="15"/>
      <c r="AC1102" s="15"/>
      <c r="AE1102" s="15"/>
      <c r="AG1102" s="15"/>
    </row>
    <row r="1103" spans="5:33" ht="15.75" customHeight="1" x14ac:dyDescent="0.25">
      <c r="S1103" s="15"/>
      <c r="U1103" s="15"/>
      <c r="W1103" s="15"/>
      <c r="Y1103" s="15"/>
      <c r="AA1103" s="15"/>
      <c r="AC1103" s="15"/>
      <c r="AE1103" s="15"/>
      <c r="AG1103" s="15"/>
    </row>
    <row r="1104" spans="5:33" ht="15.75" customHeight="1" x14ac:dyDescent="0.25">
      <c r="S1104" s="15"/>
      <c r="U1104" s="15"/>
      <c r="W1104" s="15"/>
      <c r="Y1104" s="15"/>
      <c r="AA1104" s="15"/>
      <c r="AC1104" s="15"/>
      <c r="AE1104" s="15"/>
      <c r="AG1104" s="15"/>
    </row>
  </sheetData>
  <hyperlinks>
    <hyperlink ref="V16" r:id="rId1" display="http://s.t.int/" xr:uid="{00000000-0004-0000-0500-000000000000}"/>
    <hyperlink ref="O101" r:id="rId2" xr:uid="{00000000-0004-0000-0500-000001000000}"/>
  </hyperlinks>
  <pageMargins left="0.7" right="0.7" top="0.75" bottom="0.75" header="0" footer="0"/>
  <pageSetup paperSize="9"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outlinePr summaryBelow="0" summaryRight="0"/>
  </sheetPr>
  <dimension ref="A1:H1000"/>
  <sheetViews>
    <sheetView workbookViewId="0">
      <pane ySplit="1" topLeftCell="A2" activePane="bottomLeft" state="frozen"/>
      <selection pane="bottomLeft" activeCell="B3" sqref="B3"/>
    </sheetView>
  </sheetViews>
  <sheetFormatPr baseColWidth="10" defaultColWidth="14.44140625" defaultRowHeight="15" customHeight="1" x14ac:dyDescent="0.25"/>
  <cols>
    <col min="1" max="1" width="31.109375" customWidth="1"/>
    <col min="2" max="2" width="37.44140625" customWidth="1"/>
    <col min="3" max="3" width="31.6640625" customWidth="1"/>
    <col min="4" max="4" width="31.33203125" customWidth="1"/>
    <col min="5" max="6" width="14.44140625" customWidth="1"/>
  </cols>
  <sheetData>
    <row r="1" spans="1:8" ht="15.75" customHeight="1" x14ac:dyDescent="0.25">
      <c r="A1" s="23" t="s">
        <v>2223</v>
      </c>
      <c r="B1" s="23" t="s">
        <v>2228</v>
      </c>
      <c r="C1" s="23" t="s">
        <v>189</v>
      </c>
      <c r="D1" s="23" t="s">
        <v>199</v>
      </c>
      <c r="E1" s="23" t="s">
        <v>211</v>
      </c>
      <c r="F1" s="24"/>
      <c r="G1" s="24"/>
    </row>
    <row r="2" spans="1:8" ht="15.75" customHeight="1" x14ac:dyDescent="0.25">
      <c r="A2" s="24" t="s">
        <v>107</v>
      </c>
      <c r="B2" s="24" t="s">
        <v>97</v>
      </c>
      <c r="C2" s="24" t="s">
        <v>111</v>
      </c>
      <c r="D2" s="24" t="s">
        <v>152</v>
      </c>
      <c r="E2" s="24" t="s">
        <v>284</v>
      </c>
      <c r="F2" s="24"/>
      <c r="G2" s="24"/>
    </row>
    <row r="3" spans="1:8" ht="15.75" customHeight="1" x14ac:dyDescent="0.25">
      <c r="A3" s="24" t="s">
        <v>135</v>
      </c>
      <c r="B3" s="24" t="s">
        <v>111</v>
      </c>
      <c r="C3" s="24" t="s">
        <v>124</v>
      </c>
      <c r="D3" s="24" t="s">
        <v>166</v>
      </c>
      <c r="E3" s="24" t="s">
        <v>271</v>
      </c>
      <c r="F3" s="24"/>
      <c r="G3" s="24"/>
    </row>
    <row r="4" spans="1:8" ht="15.75" customHeight="1" x14ac:dyDescent="0.25">
      <c r="A4" s="24" t="s">
        <v>141</v>
      </c>
      <c r="B4" s="24" t="s">
        <v>117</v>
      </c>
      <c r="C4" s="24" t="s">
        <v>241</v>
      </c>
      <c r="D4" s="24" t="s">
        <v>178</v>
      </c>
      <c r="E4" s="24" t="s">
        <v>513</v>
      </c>
      <c r="F4" s="24"/>
      <c r="G4" s="24"/>
    </row>
    <row r="5" spans="1:8" ht="15.75" customHeight="1" x14ac:dyDescent="0.25">
      <c r="A5" s="24" t="s">
        <v>148</v>
      </c>
      <c r="B5" s="24" t="s">
        <v>120</v>
      </c>
      <c r="C5" s="24" t="s">
        <v>278</v>
      </c>
      <c r="D5" s="24" t="s">
        <v>695</v>
      </c>
      <c r="E5" s="24" t="s">
        <v>581</v>
      </c>
      <c r="F5" s="24"/>
      <c r="G5" s="24"/>
    </row>
    <row r="6" spans="1:8" ht="15.75" customHeight="1" x14ac:dyDescent="0.25">
      <c r="A6" s="24" t="s">
        <v>198</v>
      </c>
      <c r="B6" s="24" t="s">
        <v>130</v>
      </c>
      <c r="C6" s="24" t="s">
        <v>382</v>
      </c>
      <c r="D6" s="24" t="s">
        <v>757</v>
      </c>
      <c r="E6" s="24" t="s">
        <v>623</v>
      </c>
      <c r="F6" s="24"/>
      <c r="G6" s="24"/>
    </row>
    <row r="7" spans="1:8" ht="15.75" customHeight="1" x14ac:dyDescent="0.25">
      <c r="A7" s="24" t="s">
        <v>221</v>
      </c>
      <c r="B7" s="24" t="s">
        <v>148</v>
      </c>
      <c r="C7" s="24" t="s">
        <v>406</v>
      </c>
      <c r="D7" s="24" t="s">
        <v>816</v>
      </c>
      <c r="E7" s="24" t="s">
        <v>684</v>
      </c>
      <c r="F7" s="24"/>
      <c r="G7" s="24"/>
    </row>
    <row r="8" spans="1:8" ht="15.75" customHeight="1" x14ac:dyDescent="0.25">
      <c r="A8" s="24" t="s">
        <v>268</v>
      </c>
      <c r="B8" s="24" t="s">
        <v>151</v>
      </c>
      <c r="C8" s="24" t="s">
        <v>432</v>
      </c>
      <c r="D8" s="24" t="s">
        <v>823</v>
      </c>
      <c r="E8" s="24" t="s">
        <v>647</v>
      </c>
      <c r="F8" s="24"/>
      <c r="G8" s="24"/>
    </row>
    <row r="9" spans="1:8" ht="15.75" customHeight="1" x14ac:dyDescent="0.25">
      <c r="A9" s="24" t="s">
        <v>331</v>
      </c>
      <c r="B9" s="24" t="s">
        <v>159</v>
      </c>
      <c r="C9" s="24" t="s">
        <v>489</v>
      </c>
      <c r="D9" s="24" t="s">
        <v>903</v>
      </c>
      <c r="E9" s="24" t="s">
        <v>698</v>
      </c>
      <c r="F9" s="24"/>
      <c r="G9" s="24"/>
    </row>
    <row r="10" spans="1:8" ht="15.75" customHeight="1" x14ac:dyDescent="0.25">
      <c r="A10" s="24" t="s">
        <v>345</v>
      </c>
      <c r="B10" s="24" t="s">
        <v>164</v>
      </c>
      <c r="C10" s="24" t="s">
        <v>508</v>
      </c>
      <c r="D10" s="24" t="s">
        <v>910</v>
      </c>
      <c r="E10" s="24" t="s">
        <v>746</v>
      </c>
      <c r="F10" s="24"/>
      <c r="G10" s="24"/>
    </row>
    <row r="11" spans="1:8" ht="15.75" customHeight="1" x14ac:dyDescent="0.25">
      <c r="A11" s="24" t="s">
        <v>357</v>
      </c>
      <c r="B11" s="24" t="s">
        <v>172</v>
      </c>
      <c r="C11" s="24" t="s">
        <v>523</v>
      </c>
      <c r="D11" s="24" t="s">
        <v>981</v>
      </c>
      <c r="E11" s="24" t="s">
        <v>774</v>
      </c>
      <c r="F11" s="24"/>
      <c r="G11" s="24"/>
    </row>
    <row r="12" spans="1:8" ht="15.75" customHeight="1" x14ac:dyDescent="0.25">
      <c r="A12" s="24" t="s">
        <v>389</v>
      </c>
      <c r="B12" s="24" t="s">
        <v>193</v>
      </c>
      <c r="C12" s="24" t="s">
        <v>528</v>
      </c>
      <c r="D12" s="24" t="s">
        <v>995</v>
      </c>
      <c r="E12" s="24" t="s">
        <v>785</v>
      </c>
      <c r="F12" s="24"/>
      <c r="G12" s="24"/>
    </row>
    <row r="13" spans="1:8" ht="15.75" customHeight="1" x14ac:dyDescent="0.25">
      <c r="A13" s="24" t="s">
        <v>394</v>
      </c>
      <c r="B13" s="24" t="s">
        <v>210</v>
      </c>
      <c r="C13" s="24" t="s">
        <v>2245</v>
      </c>
      <c r="D13" s="24" t="s">
        <v>1000</v>
      </c>
      <c r="E13" s="24" t="s">
        <v>813</v>
      </c>
      <c r="F13" s="24"/>
      <c r="G13" s="24"/>
    </row>
    <row r="14" spans="1:8" ht="15.75" customHeight="1" x14ac:dyDescent="0.25">
      <c r="A14" s="24" t="s">
        <v>461</v>
      </c>
      <c r="B14" s="24" t="s">
        <v>221</v>
      </c>
      <c r="C14" s="24" t="s">
        <v>2247</v>
      </c>
      <c r="D14" s="24" t="s">
        <v>1058</v>
      </c>
      <c r="E14" s="24" t="s">
        <v>902</v>
      </c>
      <c r="F14" s="24"/>
      <c r="G14" s="24"/>
    </row>
    <row r="15" spans="1:8" ht="15.75" customHeight="1" x14ac:dyDescent="0.25">
      <c r="A15" s="24" t="s">
        <v>494</v>
      </c>
      <c r="B15" s="24" t="s">
        <v>229</v>
      </c>
      <c r="C15" s="24" t="s">
        <v>541</v>
      </c>
      <c r="D15" s="24" t="s">
        <v>1096</v>
      </c>
      <c r="E15" s="24" t="s">
        <v>1049</v>
      </c>
      <c r="F15" s="24"/>
      <c r="G15" s="24"/>
      <c r="H15" s="6"/>
    </row>
    <row r="16" spans="1:8" ht="15.75" customHeight="1" x14ac:dyDescent="0.25">
      <c r="A16" s="24" t="s">
        <v>497</v>
      </c>
      <c r="B16" s="24" t="s">
        <v>251</v>
      </c>
      <c r="C16" s="24" t="s">
        <v>571</v>
      </c>
      <c r="D16" s="24" t="s">
        <v>910</v>
      </c>
      <c r="E16" s="24" t="s">
        <v>1088</v>
      </c>
      <c r="F16" s="24"/>
      <c r="G16" s="24"/>
    </row>
    <row r="17" spans="1:8" ht="15.75" customHeight="1" x14ac:dyDescent="0.25">
      <c r="A17" s="24" t="s">
        <v>526</v>
      </c>
      <c r="B17" s="24" t="s">
        <v>257</v>
      </c>
      <c r="C17" s="24" t="s">
        <v>584</v>
      </c>
      <c r="D17" s="24" t="s">
        <v>1158</v>
      </c>
      <c r="E17" s="24" t="s">
        <v>1277</v>
      </c>
      <c r="F17" s="24"/>
      <c r="G17" s="24"/>
      <c r="H17" s="6"/>
    </row>
    <row r="18" spans="1:8" ht="15.75" customHeight="1" x14ac:dyDescent="0.25">
      <c r="A18" s="24" t="s">
        <v>534</v>
      </c>
      <c r="B18" s="24" t="s">
        <v>264</v>
      </c>
      <c r="C18" s="24" t="s">
        <v>592</v>
      </c>
      <c r="D18" s="24" t="s">
        <v>1207</v>
      </c>
      <c r="E18" s="24" t="s">
        <v>1289</v>
      </c>
      <c r="F18" s="24"/>
      <c r="G18" s="24"/>
    </row>
    <row r="19" spans="1:8" ht="15.75" customHeight="1" x14ac:dyDescent="0.25">
      <c r="A19" s="24" t="s">
        <v>538</v>
      </c>
      <c r="B19" s="24" t="s">
        <v>275</v>
      </c>
      <c r="C19" s="24" t="s">
        <v>677</v>
      </c>
      <c r="D19" s="24" t="s">
        <v>1302</v>
      </c>
      <c r="E19" s="24" t="s">
        <v>1370</v>
      </c>
      <c r="F19" s="24"/>
      <c r="G19" s="24"/>
    </row>
    <row r="20" spans="1:8" ht="15.75" customHeight="1" x14ac:dyDescent="0.25">
      <c r="A20" s="24" t="s">
        <v>546</v>
      </c>
      <c r="B20" s="24" t="s">
        <v>290</v>
      </c>
      <c r="C20" s="24" t="s">
        <v>680</v>
      </c>
      <c r="D20" s="24" t="s">
        <v>1342</v>
      </c>
      <c r="E20" s="24" t="s">
        <v>1459</v>
      </c>
      <c r="F20" s="24"/>
      <c r="G20" s="24"/>
    </row>
    <row r="21" spans="1:8" ht="15.75" customHeight="1" x14ac:dyDescent="0.25">
      <c r="A21" s="24" t="s">
        <v>552</v>
      </c>
      <c r="B21" s="24" t="s">
        <v>298</v>
      </c>
      <c r="C21" s="24" t="s">
        <v>712</v>
      </c>
      <c r="D21" s="24" t="s">
        <v>757</v>
      </c>
      <c r="E21" s="24" t="s">
        <v>1494</v>
      </c>
      <c r="F21" s="24"/>
      <c r="G21" s="24"/>
    </row>
    <row r="22" spans="1:8" ht="15.75" customHeight="1" x14ac:dyDescent="0.25">
      <c r="A22" s="24" t="s">
        <v>556</v>
      </c>
      <c r="B22" s="24" t="s">
        <v>302</v>
      </c>
      <c r="C22" s="24" t="s">
        <v>715</v>
      </c>
      <c r="D22" s="24" t="s">
        <v>1483</v>
      </c>
      <c r="E22" s="24" t="s">
        <v>1728</v>
      </c>
      <c r="F22" s="24"/>
      <c r="G22" s="24"/>
    </row>
    <row r="23" spans="1:8" ht="15.75" customHeight="1" x14ac:dyDescent="0.25">
      <c r="A23" s="24" t="s">
        <v>560</v>
      </c>
      <c r="B23" s="24" t="s">
        <v>310</v>
      </c>
      <c r="C23" s="24" t="s">
        <v>762</v>
      </c>
      <c r="D23" s="24" t="s">
        <v>1534</v>
      </c>
      <c r="E23" s="24" t="s">
        <v>1748</v>
      </c>
      <c r="F23" s="24"/>
      <c r="G23" s="24"/>
    </row>
    <row r="24" spans="1:8" ht="15.75" customHeight="1" x14ac:dyDescent="0.25">
      <c r="A24" s="24" t="s">
        <v>563</v>
      </c>
      <c r="B24" s="24" t="s">
        <v>317</v>
      </c>
      <c r="C24" s="24" t="s">
        <v>765</v>
      </c>
      <c r="D24" s="24" t="s">
        <v>1544</v>
      </c>
      <c r="E24" s="24" t="s">
        <v>1884</v>
      </c>
      <c r="F24" s="24"/>
      <c r="G24" s="24"/>
    </row>
    <row r="25" spans="1:8" ht="15.75" customHeight="1" x14ac:dyDescent="0.25">
      <c r="A25" s="24" t="s">
        <v>575</v>
      </c>
      <c r="B25" s="24" t="s">
        <v>326</v>
      </c>
      <c r="C25" s="24" t="s">
        <v>785</v>
      </c>
      <c r="D25" s="24" t="s">
        <v>757</v>
      </c>
      <c r="E25" s="24" t="s">
        <v>1887</v>
      </c>
      <c r="F25" s="24"/>
      <c r="G25" s="24"/>
    </row>
    <row r="26" spans="1:8" ht="15.75" customHeight="1" x14ac:dyDescent="0.25">
      <c r="A26" s="24" t="s">
        <v>584</v>
      </c>
      <c r="B26" s="24" t="s">
        <v>337</v>
      </c>
      <c r="C26" s="24" t="s">
        <v>879</v>
      </c>
      <c r="D26" s="24" t="s">
        <v>1634</v>
      </c>
      <c r="E26" s="24" t="s">
        <v>1911</v>
      </c>
      <c r="F26" s="24"/>
      <c r="G26" s="24"/>
    </row>
    <row r="27" spans="1:8" ht="15.75" customHeight="1" x14ac:dyDescent="0.25">
      <c r="A27" s="24" t="s">
        <v>594</v>
      </c>
      <c r="B27" s="24" t="s">
        <v>345</v>
      </c>
      <c r="C27" s="24" t="s">
        <v>884</v>
      </c>
      <c r="D27" s="24" t="s">
        <v>1652</v>
      </c>
      <c r="E27" s="24" t="s">
        <v>2246</v>
      </c>
      <c r="F27" s="24"/>
      <c r="G27" s="24"/>
    </row>
    <row r="28" spans="1:8" ht="15.75" customHeight="1" x14ac:dyDescent="0.25">
      <c r="A28" s="24" t="s">
        <v>599</v>
      </c>
      <c r="B28" s="24" t="s">
        <v>351</v>
      </c>
      <c r="C28" s="24" t="s">
        <v>2257</v>
      </c>
      <c r="D28" s="24" t="s">
        <v>1677</v>
      </c>
      <c r="E28" s="24" t="s">
        <v>2258</v>
      </c>
      <c r="F28" s="24"/>
      <c r="G28" s="24"/>
    </row>
    <row r="29" spans="1:8" ht="15.75" customHeight="1" x14ac:dyDescent="0.25">
      <c r="A29" s="24" t="s">
        <v>611</v>
      </c>
      <c r="B29" s="24" t="s">
        <v>365</v>
      </c>
      <c r="C29" s="24" t="s">
        <v>962</v>
      </c>
      <c r="D29" s="24" t="s">
        <v>757</v>
      </c>
      <c r="E29" s="24" t="s">
        <v>2259</v>
      </c>
      <c r="F29" s="24"/>
      <c r="G29" s="24"/>
    </row>
    <row r="30" spans="1:8" ht="15.75" customHeight="1" x14ac:dyDescent="0.25">
      <c r="A30" s="24" t="s">
        <v>2261</v>
      </c>
      <c r="B30" s="24" t="s">
        <v>372</v>
      </c>
      <c r="C30" s="24" t="s">
        <v>984</v>
      </c>
      <c r="D30" s="24" t="s">
        <v>1719</v>
      </c>
      <c r="E30" s="24" t="s">
        <v>2263</v>
      </c>
      <c r="F30" s="24"/>
      <c r="G30" s="24"/>
    </row>
    <row r="31" spans="1:8" ht="15.75" customHeight="1" x14ac:dyDescent="0.25">
      <c r="A31" s="24" t="s">
        <v>619</v>
      </c>
      <c r="B31" s="24" t="s">
        <v>382</v>
      </c>
      <c r="C31" s="24" t="s">
        <v>1016</v>
      </c>
      <c r="D31" s="24" t="s">
        <v>1741</v>
      </c>
      <c r="E31" s="24" t="s">
        <v>2265</v>
      </c>
      <c r="F31" s="24"/>
      <c r="G31" s="24"/>
    </row>
    <row r="32" spans="1:8" ht="15.75" customHeight="1" x14ac:dyDescent="0.25">
      <c r="A32" s="24" t="s">
        <v>626</v>
      </c>
      <c r="B32" s="24" t="s">
        <v>394</v>
      </c>
      <c r="C32" s="24" t="s">
        <v>1019</v>
      </c>
      <c r="D32" s="24" t="s">
        <v>1901</v>
      </c>
      <c r="E32" s="24" t="s">
        <v>2266</v>
      </c>
      <c r="F32" s="24"/>
      <c r="G32" s="24"/>
    </row>
    <row r="33" spans="1:7" ht="15.75" customHeight="1" x14ac:dyDescent="0.25">
      <c r="A33" s="24" t="s">
        <v>659</v>
      </c>
      <c r="B33" s="24" t="s">
        <v>400</v>
      </c>
      <c r="C33" s="24" t="s">
        <v>1025</v>
      </c>
      <c r="D33" s="24" t="s">
        <v>1907</v>
      </c>
      <c r="E33" s="24" t="s">
        <v>2267</v>
      </c>
      <c r="F33" s="24"/>
      <c r="G33" s="24"/>
    </row>
    <row r="34" spans="1:7" ht="15.75" customHeight="1" x14ac:dyDescent="0.25">
      <c r="A34" s="24" t="s">
        <v>670</v>
      </c>
      <c r="B34" s="24" t="s">
        <v>414</v>
      </c>
      <c r="C34" s="24" t="s">
        <v>1046</v>
      </c>
      <c r="D34" s="24" t="s">
        <v>1955</v>
      </c>
      <c r="E34" s="24" t="s">
        <v>2267</v>
      </c>
      <c r="F34" s="24"/>
      <c r="G34" s="24"/>
    </row>
    <row r="35" spans="1:7" ht="15.75" customHeight="1" x14ac:dyDescent="0.25">
      <c r="A35" s="24" t="s">
        <v>677</v>
      </c>
      <c r="B35" s="24" t="s">
        <v>422</v>
      </c>
      <c r="C35" s="24" t="s">
        <v>1059</v>
      </c>
      <c r="D35" s="24" t="s">
        <v>2219</v>
      </c>
      <c r="E35" s="24" t="s">
        <v>2268</v>
      </c>
      <c r="F35" s="24"/>
      <c r="G35" s="24"/>
    </row>
    <row r="36" spans="1:7" ht="15.75" customHeight="1" x14ac:dyDescent="0.25">
      <c r="A36" s="24" t="s">
        <v>680</v>
      </c>
      <c r="B36" s="24" t="s">
        <v>426</v>
      </c>
      <c r="C36" s="24" t="s">
        <v>1067</v>
      </c>
      <c r="D36" s="24" t="s">
        <v>2271</v>
      </c>
      <c r="E36" s="24" t="s">
        <v>2272</v>
      </c>
      <c r="F36" s="24"/>
      <c r="G36" s="24"/>
    </row>
    <row r="37" spans="1:7" ht="15.75" customHeight="1" x14ac:dyDescent="0.25">
      <c r="A37" s="24" t="s">
        <v>702</v>
      </c>
      <c r="B37" s="24" t="s">
        <v>430</v>
      </c>
      <c r="C37" s="24" t="s">
        <v>1103</v>
      </c>
      <c r="D37" s="24" t="s">
        <v>2274</v>
      </c>
      <c r="E37" s="24" t="s">
        <v>2275</v>
      </c>
      <c r="F37" s="24"/>
      <c r="G37" s="24"/>
    </row>
    <row r="38" spans="1:7" ht="15.75" customHeight="1" x14ac:dyDescent="0.25">
      <c r="A38" s="24" t="s">
        <v>719</v>
      </c>
      <c r="B38" s="24" t="s">
        <v>432</v>
      </c>
      <c r="C38" s="24" t="s">
        <v>1107</v>
      </c>
      <c r="D38" s="24" t="s">
        <v>2276</v>
      </c>
      <c r="E38" s="24" t="s">
        <v>2277</v>
      </c>
      <c r="F38" s="24"/>
      <c r="G38" s="24"/>
    </row>
    <row r="39" spans="1:7" ht="15.75" customHeight="1" x14ac:dyDescent="0.25">
      <c r="A39" s="24" t="s">
        <v>739</v>
      </c>
      <c r="B39" s="24" t="s">
        <v>436</v>
      </c>
      <c r="C39" s="24" t="s">
        <v>1129</v>
      </c>
      <c r="D39" s="24" t="s">
        <v>2279</v>
      </c>
      <c r="E39" s="24" t="s">
        <v>2280</v>
      </c>
      <c r="F39" s="24"/>
      <c r="G39" s="24"/>
    </row>
    <row r="40" spans="1:7" ht="15.75" customHeight="1" x14ac:dyDescent="0.25">
      <c r="A40" s="24" t="s">
        <v>765</v>
      </c>
      <c r="B40" s="24" t="s">
        <v>438</v>
      </c>
      <c r="C40" s="24" t="s">
        <v>1215</v>
      </c>
      <c r="D40" s="24" t="s">
        <v>2283</v>
      </c>
      <c r="E40" s="24" t="s">
        <v>2284</v>
      </c>
      <c r="F40" s="24"/>
      <c r="G40" s="24"/>
    </row>
    <row r="41" spans="1:7" ht="15.75" customHeight="1" x14ac:dyDescent="0.25">
      <c r="A41" s="24" t="s">
        <v>778</v>
      </c>
      <c r="B41" s="24" t="s">
        <v>443</v>
      </c>
      <c r="C41" s="24" t="s">
        <v>1239</v>
      </c>
      <c r="D41" s="24" t="s">
        <v>2285</v>
      </c>
      <c r="E41" s="24" t="s">
        <v>2287</v>
      </c>
      <c r="F41" s="24"/>
      <c r="G41" s="24"/>
    </row>
    <row r="42" spans="1:7" ht="15.75" customHeight="1" x14ac:dyDescent="0.25">
      <c r="A42" s="24" t="s">
        <v>781</v>
      </c>
      <c r="B42" s="24" t="s">
        <v>448</v>
      </c>
      <c r="C42" s="24" t="s">
        <v>1285</v>
      </c>
      <c r="D42" s="24" t="s">
        <v>2289</v>
      </c>
      <c r="E42" s="24" t="s">
        <v>2290</v>
      </c>
      <c r="F42" s="24"/>
      <c r="G42" s="24"/>
    </row>
    <row r="43" spans="1:7" ht="15.75" customHeight="1" x14ac:dyDescent="0.25">
      <c r="A43" s="24" t="s">
        <v>781</v>
      </c>
      <c r="B43" s="24" t="s">
        <v>451</v>
      </c>
      <c r="C43" s="24" t="s">
        <v>1294</v>
      </c>
      <c r="D43" s="24" t="s">
        <v>2293</v>
      </c>
      <c r="E43" s="24" t="s">
        <v>2294</v>
      </c>
      <c r="F43" s="24"/>
      <c r="G43" s="24"/>
    </row>
    <row r="44" spans="1:7" ht="15.75" customHeight="1" x14ac:dyDescent="0.25">
      <c r="A44" s="24" t="s">
        <v>825</v>
      </c>
      <c r="B44" s="24" t="s">
        <v>454</v>
      </c>
      <c r="C44" s="24" t="s">
        <v>1332</v>
      </c>
      <c r="D44" s="24" t="s">
        <v>2295</v>
      </c>
      <c r="E44" s="24" t="s">
        <v>2296</v>
      </c>
      <c r="F44" s="24"/>
      <c r="G44" s="24"/>
    </row>
    <row r="45" spans="1:7" ht="15.75" customHeight="1" x14ac:dyDescent="0.25">
      <c r="A45" s="24" t="s">
        <v>835</v>
      </c>
      <c r="B45" s="24" t="s">
        <v>458</v>
      </c>
      <c r="C45" s="24" t="s">
        <v>1395</v>
      </c>
      <c r="D45" s="24" t="s">
        <v>2297</v>
      </c>
      <c r="E45" s="24" t="s">
        <v>2298</v>
      </c>
      <c r="F45" s="24"/>
      <c r="G45" s="24"/>
    </row>
    <row r="46" spans="1:7" ht="15.75" customHeight="1" x14ac:dyDescent="0.25">
      <c r="A46" s="24" t="s">
        <v>838</v>
      </c>
      <c r="B46" s="24" t="s">
        <v>461</v>
      </c>
      <c r="C46" s="24" t="s">
        <v>1416</v>
      </c>
      <c r="D46" s="24" t="s">
        <v>2302</v>
      </c>
      <c r="E46" s="24" t="s">
        <v>2303</v>
      </c>
      <c r="F46" s="24"/>
      <c r="G46" s="24"/>
    </row>
    <row r="47" spans="1:7" ht="15.75" customHeight="1" x14ac:dyDescent="0.25">
      <c r="A47" s="24" t="s">
        <v>843</v>
      </c>
      <c r="B47" s="24" t="s">
        <v>465</v>
      </c>
      <c r="C47" s="24" t="s">
        <v>1466</v>
      </c>
      <c r="D47" s="24" t="s">
        <v>2306</v>
      </c>
      <c r="E47" s="24" t="s">
        <v>2308</v>
      </c>
      <c r="F47" s="24"/>
      <c r="G47" s="24"/>
    </row>
    <row r="48" spans="1:7" ht="15.75" customHeight="1" x14ac:dyDescent="0.25">
      <c r="A48" s="24" t="s">
        <v>848</v>
      </c>
      <c r="B48" s="24" t="s">
        <v>466</v>
      </c>
      <c r="C48" s="24" t="s">
        <v>1470</v>
      </c>
      <c r="D48" s="24" t="s">
        <v>2309</v>
      </c>
      <c r="E48" s="24" t="s">
        <v>2310</v>
      </c>
      <c r="F48" s="24"/>
      <c r="G48" s="24"/>
    </row>
    <row r="49" spans="1:7" ht="15.75" customHeight="1" x14ac:dyDescent="0.25">
      <c r="A49" s="26" t="s">
        <v>864</v>
      </c>
      <c r="B49" s="24" t="s">
        <v>469</v>
      </c>
      <c r="C49" s="24" t="s">
        <v>1505</v>
      </c>
      <c r="D49" s="24" t="s">
        <v>2314</v>
      </c>
      <c r="E49" s="24" t="s">
        <v>2316</v>
      </c>
      <c r="F49" s="24"/>
      <c r="G49" s="24"/>
    </row>
    <row r="50" spans="1:7" ht="15.75" customHeight="1" x14ac:dyDescent="0.25">
      <c r="A50" s="24" t="s">
        <v>107</v>
      </c>
      <c r="B50" s="24" t="s">
        <v>472</v>
      </c>
      <c r="C50" s="24" t="s">
        <v>1577</v>
      </c>
      <c r="D50" s="24" t="s">
        <v>2317</v>
      </c>
      <c r="E50" s="24" t="s">
        <v>2318</v>
      </c>
      <c r="F50" s="24"/>
      <c r="G50" s="24"/>
    </row>
    <row r="51" spans="1:7" ht="15.75" customHeight="1" x14ac:dyDescent="0.25">
      <c r="A51" s="24" t="s">
        <v>891</v>
      </c>
      <c r="B51" s="24" t="s">
        <v>475</v>
      </c>
      <c r="C51" s="24" t="s">
        <v>1580</v>
      </c>
      <c r="D51" s="24" t="s">
        <v>2321</v>
      </c>
      <c r="E51" s="24" t="s">
        <v>2322</v>
      </c>
      <c r="F51" s="24"/>
      <c r="G51" s="24"/>
    </row>
    <row r="52" spans="1:7" ht="15.75" customHeight="1" x14ac:dyDescent="0.25">
      <c r="A52" s="24" t="s">
        <v>888</v>
      </c>
      <c r="B52" s="24" t="s">
        <v>480</v>
      </c>
      <c r="C52" s="24" t="s">
        <v>1590</v>
      </c>
      <c r="D52" s="24" t="s">
        <v>2324</v>
      </c>
      <c r="E52" s="24" t="s">
        <v>2325</v>
      </c>
      <c r="F52" s="24"/>
      <c r="G52" s="24"/>
    </row>
    <row r="53" spans="1:7" ht="15.75" customHeight="1" x14ac:dyDescent="0.25">
      <c r="A53" s="24" t="s">
        <v>928</v>
      </c>
      <c r="B53" s="24" t="s">
        <v>485</v>
      </c>
      <c r="C53" s="24" t="s">
        <v>1616</v>
      </c>
      <c r="D53" s="24" t="s">
        <v>2327</v>
      </c>
      <c r="E53" s="24" t="s">
        <v>2329</v>
      </c>
      <c r="F53" s="24"/>
      <c r="G53" s="24"/>
    </row>
    <row r="54" spans="1:7" ht="15.75" customHeight="1" x14ac:dyDescent="0.25">
      <c r="A54" s="24" t="s">
        <v>939</v>
      </c>
      <c r="B54" s="24" t="s">
        <v>489</v>
      </c>
      <c r="C54" s="24" t="s">
        <v>1668</v>
      </c>
      <c r="D54" s="24" t="s">
        <v>2331</v>
      </c>
      <c r="E54" s="24" t="s">
        <v>2332</v>
      </c>
      <c r="F54" s="24"/>
      <c r="G54" s="24"/>
    </row>
    <row r="55" spans="1:7" ht="15.75" customHeight="1" x14ac:dyDescent="0.25">
      <c r="A55" s="24" t="s">
        <v>942</v>
      </c>
      <c r="B55" s="24" t="s">
        <v>497</v>
      </c>
      <c r="C55" s="24" t="s">
        <v>1677</v>
      </c>
      <c r="D55" s="24" t="s">
        <v>2335</v>
      </c>
      <c r="E55" s="24" t="s">
        <v>2336</v>
      </c>
      <c r="F55" s="24"/>
      <c r="G55" s="24"/>
    </row>
    <row r="56" spans="1:7" ht="15.75" customHeight="1" x14ac:dyDescent="0.25">
      <c r="A56" s="24" t="s">
        <v>988</v>
      </c>
      <c r="B56" s="24" t="s">
        <v>501</v>
      </c>
      <c r="C56" s="24" t="s">
        <v>2261</v>
      </c>
      <c r="D56" s="24" t="s">
        <v>2338</v>
      </c>
      <c r="E56" s="24" t="s">
        <v>2339</v>
      </c>
      <c r="F56" s="24"/>
      <c r="G56" s="24"/>
    </row>
    <row r="57" spans="1:7" ht="15.75" customHeight="1" x14ac:dyDescent="0.25">
      <c r="A57" s="24" t="s">
        <v>1022</v>
      </c>
      <c r="B57" s="24" t="s">
        <v>505</v>
      </c>
      <c r="C57" s="24" t="s">
        <v>1766</v>
      </c>
      <c r="D57" s="24" t="s">
        <v>2340</v>
      </c>
      <c r="E57" s="24" t="s">
        <v>2342</v>
      </c>
      <c r="F57" s="24"/>
      <c r="G57" s="24"/>
    </row>
    <row r="58" spans="1:7" ht="15.75" customHeight="1" x14ac:dyDescent="0.25">
      <c r="A58" s="24" t="s">
        <v>1034</v>
      </c>
      <c r="B58" s="24" t="s">
        <v>517</v>
      </c>
      <c r="C58" s="24" t="s">
        <v>1774</v>
      </c>
      <c r="D58" s="24" t="s">
        <v>2345</v>
      </c>
      <c r="E58" s="24" t="s">
        <v>2347</v>
      </c>
      <c r="F58" s="24"/>
      <c r="G58" s="24"/>
    </row>
    <row r="59" spans="1:7" ht="15.75" customHeight="1" x14ac:dyDescent="0.25">
      <c r="A59" s="24" t="s">
        <v>1038</v>
      </c>
      <c r="B59" s="24" t="s">
        <v>520</v>
      </c>
      <c r="C59" s="24" t="s">
        <v>1779</v>
      </c>
      <c r="D59" s="24" t="s">
        <v>2348</v>
      </c>
      <c r="E59" s="24" t="s">
        <v>2349</v>
      </c>
      <c r="F59" s="24"/>
      <c r="G59" s="24"/>
    </row>
    <row r="60" spans="1:7" ht="15.75" customHeight="1" x14ac:dyDescent="0.25">
      <c r="A60" s="24" t="s">
        <v>1042</v>
      </c>
      <c r="B60" s="24" t="s">
        <v>531</v>
      </c>
      <c r="C60" s="24" t="s">
        <v>1796</v>
      </c>
      <c r="D60" s="24" t="s">
        <v>2352</v>
      </c>
      <c r="E60" s="24" t="s">
        <v>2354</v>
      </c>
      <c r="F60" s="24"/>
      <c r="G60" s="24"/>
    </row>
    <row r="61" spans="1:7" ht="15.75" customHeight="1" x14ac:dyDescent="0.25">
      <c r="A61" s="24" t="s">
        <v>1052</v>
      </c>
      <c r="B61" s="24" t="s">
        <v>534</v>
      </c>
      <c r="C61" s="24" t="s">
        <v>1803</v>
      </c>
      <c r="D61" s="24" t="s">
        <v>2355</v>
      </c>
      <c r="E61" s="24" t="s">
        <v>2356</v>
      </c>
      <c r="F61" s="24"/>
      <c r="G61" s="24"/>
    </row>
    <row r="62" spans="1:7" ht="15.75" customHeight="1" x14ac:dyDescent="0.25">
      <c r="A62" s="24" t="s">
        <v>1085</v>
      </c>
      <c r="B62" s="24" t="s">
        <v>538</v>
      </c>
      <c r="C62" s="24" t="s">
        <v>1807</v>
      </c>
      <c r="D62" s="24" t="s">
        <v>2358</v>
      </c>
      <c r="E62" s="24"/>
      <c r="F62" s="24"/>
      <c r="G62" s="24"/>
    </row>
    <row r="63" spans="1:7" ht="15.75" customHeight="1" x14ac:dyDescent="0.25">
      <c r="A63" s="24" t="s">
        <v>1145</v>
      </c>
      <c r="B63" s="24" t="s">
        <v>541</v>
      </c>
      <c r="C63" s="24" t="s">
        <v>1840</v>
      </c>
      <c r="D63" s="24" t="s">
        <v>2361</v>
      </c>
      <c r="E63" s="24"/>
      <c r="F63" s="24"/>
      <c r="G63" s="24"/>
    </row>
    <row r="64" spans="1:7" ht="15.75" customHeight="1" x14ac:dyDescent="0.25">
      <c r="A64" s="24" t="s">
        <v>1152</v>
      </c>
      <c r="B64" s="24" t="s">
        <v>550</v>
      </c>
      <c r="C64" s="24" t="s">
        <v>1849</v>
      </c>
      <c r="D64" s="24" t="s">
        <v>2362</v>
      </c>
      <c r="E64" s="24"/>
      <c r="F64" s="24"/>
      <c r="G64" s="24"/>
    </row>
    <row r="65" spans="1:7" ht="15.75" customHeight="1" x14ac:dyDescent="0.25">
      <c r="A65" s="24" t="s">
        <v>1155</v>
      </c>
      <c r="B65" s="24" t="s">
        <v>552</v>
      </c>
      <c r="C65" s="24" t="s">
        <v>1867</v>
      </c>
      <c r="D65" s="24" t="s">
        <v>2366</v>
      </c>
      <c r="E65" s="24"/>
      <c r="F65" s="24"/>
      <c r="G65" s="24"/>
    </row>
    <row r="66" spans="1:7" ht="15.75" customHeight="1" x14ac:dyDescent="0.25">
      <c r="A66" s="24" t="s">
        <v>1164</v>
      </c>
      <c r="B66" s="24" t="s">
        <v>556</v>
      </c>
      <c r="C66" s="24" t="s">
        <v>1939</v>
      </c>
      <c r="D66" s="24" t="s">
        <v>2368</v>
      </c>
      <c r="E66" s="24"/>
      <c r="F66" s="24"/>
      <c r="G66" s="24"/>
    </row>
    <row r="67" spans="1:7" ht="15.75" customHeight="1" x14ac:dyDescent="0.25">
      <c r="A67" s="24" t="s">
        <v>1167</v>
      </c>
      <c r="B67" s="24" t="s">
        <v>560</v>
      </c>
      <c r="C67" s="24" t="s">
        <v>1944</v>
      </c>
      <c r="D67" s="24" t="s">
        <v>2369</v>
      </c>
      <c r="E67" s="24"/>
      <c r="F67" s="24"/>
      <c r="G67" s="24"/>
    </row>
    <row r="68" spans="1:7" ht="15.75" customHeight="1" x14ac:dyDescent="0.25">
      <c r="A68" s="24" t="s">
        <v>1219</v>
      </c>
      <c r="B68" s="24" t="s">
        <v>563</v>
      </c>
      <c r="C68" s="24" t="s">
        <v>1950</v>
      </c>
      <c r="D68" s="24" t="s">
        <v>2373</v>
      </c>
      <c r="E68" s="24"/>
      <c r="F68" s="24"/>
      <c r="G68" s="24"/>
    </row>
    <row r="69" spans="1:7" ht="15.75" customHeight="1" x14ac:dyDescent="0.25">
      <c r="A69" s="24" t="s">
        <v>1230</v>
      </c>
      <c r="B69" s="24" t="s">
        <v>567</v>
      </c>
      <c r="C69" s="24" t="s">
        <v>1959</v>
      </c>
      <c r="D69" s="24" t="s">
        <v>2378</v>
      </c>
      <c r="E69" s="24"/>
      <c r="F69" s="24"/>
      <c r="G69" s="24"/>
    </row>
    <row r="70" spans="1:7" ht="15.75" customHeight="1" x14ac:dyDescent="0.25">
      <c r="A70" s="24" t="s">
        <v>1242</v>
      </c>
      <c r="B70" s="24" t="s">
        <v>575</v>
      </c>
      <c r="C70" s="24" t="s">
        <v>1989</v>
      </c>
      <c r="D70" s="24" t="s">
        <v>2382</v>
      </c>
      <c r="E70" s="24"/>
      <c r="F70" s="24"/>
      <c r="G70" s="24"/>
    </row>
    <row r="71" spans="1:7" ht="15.75" customHeight="1" x14ac:dyDescent="0.25">
      <c r="A71" s="24" t="s">
        <v>1246</v>
      </c>
      <c r="B71" s="24" t="s">
        <v>578</v>
      </c>
      <c r="C71" s="24" t="s">
        <v>2043</v>
      </c>
      <c r="D71" s="24"/>
      <c r="E71" s="24"/>
      <c r="F71" s="24"/>
      <c r="G71" s="24"/>
    </row>
    <row r="72" spans="1:7" ht="15.75" customHeight="1" x14ac:dyDescent="0.25">
      <c r="A72" s="24" t="s">
        <v>1252</v>
      </c>
      <c r="B72" s="24" t="s">
        <v>584</v>
      </c>
      <c r="C72" s="24" t="s">
        <v>2066</v>
      </c>
      <c r="D72" s="24"/>
      <c r="E72" s="24"/>
      <c r="F72" s="24"/>
      <c r="G72" s="24"/>
    </row>
    <row r="73" spans="1:7" ht="15.75" customHeight="1" x14ac:dyDescent="0.25">
      <c r="A73" s="24" t="s">
        <v>1257</v>
      </c>
      <c r="B73" s="24" t="s">
        <v>588</v>
      </c>
      <c r="C73" s="24" t="s">
        <v>2069</v>
      </c>
      <c r="D73" s="24"/>
      <c r="E73" s="24"/>
      <c r="F73" s="24"/>
      <c r="G73" s="24"/>
    </row>
    <row r="74" spans="1:7" ht="15.75" customHeight="1" x14ac:dyDescent="0.25">
      <c r="A74" s="24" t="s">
        <v>1272</v>
      </c>
      <c r="B74" s="24" t="s">
        <v>592</v>
      </c>
      <c r="C74" s="24" t="s">
        <v>2098</v>
      </c>
      <c r="D74" s="24"/>
      <c r="E74" s="24"/>
      <c r="F74" s="24"/>
      <c r="G74" s="24"/>
    </row>
    <row r="75" spans="1:7" ht="15.75" customHeight="1" x14ac:dyDescent="0.25">
      <c r="A75" s="24" t="s">
        <v>1260</v>
      </c>
      <c r="B75" s="24" t="s">
        <v>595</v>
      </c>
      <c r="C75" s="24" t="s">
        <v>2132</v>
      </c>
      <c r="D75" s="24"/>
      <c r="E75" s="24"/>
      <c r="F75" s="24"/>
      <c r="G75" s="24"/>
    </row>
    <row r="76" spans="1:7" ht="15.75" customHeight="1" x14ac:dyDescent="0.25">
      <c r="A76" s="24" t="s">
        <v>1281</v>
      </c>
      <c r="B76" s="24" t="s">
        <v>599</v>
      </c>
      <c r="C76" s="27" t="s">
        <v>2388</v>
      </c>
      <c r="D76" s="24"/>
      <c r="E76" s="24"/>
      <c r="F76" s="24"/>
      <c r="G76" s="24"/>
    </row>
    <row r="77" spans="1:7" ht="15.75" customHeight="1" x14ac:dyDescent="0.25">
      <c r="A77" s="24" t="s">
        <v>1294</v>
      </c>
      <c r="B77" s="24" t="s">
        <v>594</v>
      </c>
      <c r="C77" s="27" t="s">
        <v>2394</v>
      </c>
      <c r="D77" s="24"/>
      <c r="E77" s="24"/>
      <c r="F77" s="24"/>
      <c r="G77" s="24"/>
    </row>
    <row r="78" spans="1:7" ht="15.75" customHeight="1" x14ac:dyDescent="0.25">
      <c r="A78" s="24" t="s">
        <v>1311</v>
      </c>
      <c r="B78" s="24" t="s">
        <v>601</v>
      </c>
      <c r="C78" s="24" t="s">
        <v>2241</v>
      </c>
      <c r="D78" s="24"/>
      <c r="E78" s="24"/>
      <c r="F78" s="24"/>
      <c r="G78" s="24"/>
    </row>
    <row r="79" spans="1:7" ht="15.75" customHeight="1" x14ac:dyDescent="0.25">
      <c r="A79" s="24" t="s">
        <v>1319</v>
      </c>
      <c r="B79" s="24" t="s">
        <v>604</v>
      </c>
      <c r="C79" s="24" t="s">
        <v>2307</v>
      </c>
      <c r="D79" s="24"/>
      <c r="E79" s="24"/>
      <c r="F79" s="24"/>
      <c r="G79" s="24"/>
    </row>
    <row r="80" spans="1:7" ht="15.75" customHeight="1" x14ac:dyDescent="0.25">
      <c r="A80" s="24" t="s">
        <v>1323</v>
      </c>
      <c r="B80" s="24" t="s">
        <v>607</v>
      </c>
      <c r="C80" s="24" t="s">
        <v>2353</v>
      </c>
      <c r="D80" s="24"/>
      <c r="E80" s="24"/>
      <c r="F80" s="24"/>
      <c r="G80" s="24"/>
    </row>
    <row r="81" spans="1:7" ht="15.75" customHeight="1" x14ac:dyDescent="0.25">
      <c r="A81" s="24" t="s">
        <v>1327</v>
      </c>
      <c r="B81" s="24" t="s">
        <v>2261</v>
      </c>
      <c r="C81" s="24" t="s">
        <v>2398</v>
      </c>
      <c r="D81" s="24"/>
      <c r="E81" s="24"/>
      <c r="F81" s="24"/>
      <c r="G81" s="24"/>
    </row>
    <row r="82" spans="1:7" ht="15.75" customHeight="1" x14ac:dyDescent="0.25">
      <c r="A82" s="24" t="s">
        <v>1336</v>
      </c>
      <c r="B82" s="24" t="s">
        <v>619</v>
      </c>
      <c r="C82" s="24" t="s">
        <v>2399</v>
      </c>
      <c r="D82" s="24"/>
      <c r="E82" s="24"/>
      <c r="F82" s="24"/>
      <c r="G82" s="24"/>
    </row>
    <row r="83" spans="1:7" ht="15.75" customHeight="1" x14ac:dyDescent="0.25">
      <c r="A83" s="24" t="s">
        <v>1342</v>
      </c>
      <c r="B83" s="24" t="s">
        <v>629</v>
      </c>
      <c r="C83" s="24" t="s">
        <v>2401</v>
      </c>
      <c r="D83" s="24"/>
      <c r="E83" s="24"/>
      <c r="F83" s="24"/>
      <c r="G83" s="24"/>
    </row>
    <row r="84" spans="1:7" ht="15.75" customHeight="1" x14ac:dyDescent="0.25">
      <c r="A84" s="24" t="s">
        <v>1387</v>
      </c>
      <c r="B84" s="24" t="s">
        <v>632</v>
      </c>
      <c r="C84" s="24" t="s">
        <v>2403</v>
      </c>
      <c r="D84" s="24"/>
      <c r="E84" s="24"/>
      <c r="F84" s="24"/>
      <c r="G84" s="24"/>
    </row>
    <row r="85" spans="1:7" ht="15.75" customHeight="1" x14ac:dyDescent="0.25">
      <c r="A85" s="24" t="s">
        <v>1405</v>
      </c>
      <c r="B85" s="24" t="s">
        <v>635</v>
      </c>
      <c r="C85" s="24" t="s">
        <v>2404</v>
      </c>
      <c r="D85" s="24"/>
      <c r="E85" s="24"/>
      <c r="F85" s="24"/>
      <c r="G85" s="24"/>
    </row>
    <row r="86" spans="1:7" ht="15.75" customHeight="1" x14ac:dyDescent="0.25">
      <c r="A86" s="24" t="s">
        <v>1412</v>
      </c>
      <c r="B86" s="24" t="s">
        <v>639</v>
      </c>
      <c r="C86" s="24" t="s">
        <v>2406</v>
      </c>
      <c r="D86" s="24"/>
      <c r="E86" s="24"/>
      <c r="F86" s="24"/>
      <c r="G86" s="24"/>
    </row>
    <row r="87" spans="1:7" ht="15.75" customHeight="1" x14ac:dyDescent="0.25">
      <c r="A87" s="24" t="s">
        <v>1429</v>
      </c>
      <c r="B87" s="24" t="s">
        <v>642</v>
      </c>
      <c r="C87" s="24" t="s">
        <v>2407</v>
      </c>
      <c r="D87" s="24"/>
      <c r="E87" s="24"/>
      <c r="F87" s="24"/>
      <c r="G87" s="24"/>
    </row>
    <row r="88" spans="1:7" ht="15.75" customHeight="1" x14ac:dyDescent="0.25">
      <c r="A88" s="24" t="s">
        <v>1434</v>
      </c>
      <c r="B88" s="24" t="s">
        <v>680</v>
      </c>
      <c r="C88" s="24" t="s">
        <v>2408</v>
      </c>
      <c r="D88" s="24"/>
      <c r="E88" s="24"/>
      <c r="F88" s="24"/>
      <c r="G88" s="24"/>
    </row>
    <row r="89" spans="1:7" ht="15.75" customHeight="1" x14ac:dyDescent="0.25">
      <c r="A89" s="24" t="s">
        <v>1445</v>
      </c>
      <c r="B89" s="24" t="s">
        <v>650</v>
      </c>
      <c r="C89" s="24" t="s">
        <v>2409</v>
      </c>
      <c r="D89" s="24"/>
      <c r="E89" s="24"/>
      <c r="F89" s="24"/>
      <c r="G89" s="24"/>
    </row>
    <row r="90" spans="1:7" ht="15.75" customHeight="1" x14ac:dyDescent="0.25">
      <c r="A90" s="24" t="s">
        <v>1447</v>
      </c>
      <c r="B90" s="24" t="s">
        <v>654</v>
      </c>
      <c r="C90" s="24" t="s">
        <v>2412</v>
      </c>
      <c r="D90" s="24"/>
      <c r="E90" s="24"/>
      <c r="F90" s="24"/>
      <c r="G90" s="24"/>
    </row>
    <row r="91" spans="1:7" ht="15.75" customHeight="1" x14ac:dyDescent="0.25">
      <c r="A91" s="24" t="s">
        <v>1461</v>
      </c>
      <c r="B91" s="24" t="s">
        <v>659</v>
      </c>
      <c r="C91" s="24" t="s">
        <v>2414</v>
      </c>
      <c r="D91" s="24"/>
      <c r="E91" s="24"/>
      <c r="F91" s="24"/>
      <c r="G91" s="24"/>
    </row>
    <row r="92" spans="1:7" ht="15.75" customHeight="1" x14ac:dyDescent="0.25">
      <c r="A92" s="24" t="s">
        <v>1456</v>
      </c>
      <c r="B92" s="24" t="s">
        <v>662</v>
      </c>
      <c r="C92" s="24" t="s">
        <v>2415</v>
      </c>
      <c r="D92" s="24"/>
      <c r="E92" s="24"/>
      <c r="F92" s="24"/>
      <c r="G92" s="24"/>
    </row>
    <row r="93" spans="1:7" ht="15.75" customHeight="1" x14ac:dyDescent="0.25">
      <c r="A93" s="24" t="s">
        <v>1463</v>
      </c>
      <c r="B93" s="24" t="s">
        <v>667</v>
      </c>
      <c r="C93" s="24" t="s">
        <v>2416</v>
      </c>
      <c r="D93" s="24"/>
      <c r="E93" s="24"/>
      <c r="F93" s="24"/>
      <c r="G93" s="24"/>
    </row>
    <row r="94" spans="1:7" ht="15.75" customHeight="1" x14ac:dyDescent="0.25">
      <c r="A94" s="24" t="s">
        <v>1491</v>
      </c>
      <c r="B94" s="24" t="s">
        <v>670</v>
      </c>
      <c r="C94" s="24" t="s">
        <v>2417</v>
      </c>
      <c r="D94" s="24"/>
      <c r="E94" s="24"/>
      <c r="F94" s="24"/>
      <c r="G94" s="24"/>
    </row>
    <row r="95" spans="1:7" ht="15.75" customHeight="1" x14ac:dyDescent="0.25">
      <c r="A95" s="24" t="s">
        <v>1505</v>
      </c>
      <c r="B95" s="24" t="s">
        <v>674</v>
      </c>
      <c r="C95" s="24" t="s">
        <v>2419</v>
      </c>
      <c r="D95" s="24"/>
      <c r="E95" s="24"/>
      <c r="F95" s="24"/>
      <c r="G95" s="24"/>
    </row>
    <row r="96" spans="1:7" ht="15.75" customHeight="1" x14ac:dyDescent="0.25">
      <c r="A96" s="24" t="s">
        <v>1523</v>
      </c>
      <c r="B96" s="24" t="s">
        <v>677</v>
      </c>
      <c r="C96" s="24" t="s">
        <v>2423</v>
      </c>
      <c r="D96" s="24"/>
      <c r="E96" s="24"/>
      <c r="F96" s="24"/>
      <c r="G96" s="24"/>
    </row>
    <row r="97" spans="1:7" ht="15.75" customHeight="1" x14ac:dyDescent="0.25">
      <c r="A97" s="24" t="s">
        <v>1556</v>
      </c>
      <c r="B97" s="24" t="s">
        <v>688</v>
      </c>
      <c r="C97" s="24" t="s">
        <v>2424</v>
      </c>
      <c r="D97" s="24"/>
      <c r="E97" s="24"/>
      <c r="F97" s="24"/>
      <c r="G97" s="24"/>
    </row>
    <row r="98" spans="1:7" ht="15.75" customHeight="1" x14ac:dyDescent="0.25">
      <c r="A98" s="24" t="s">
        <v>1543</v>
      </c>
      <c r="B98" s="24" t="s">
        <v>2425</v>
      </c>
      <c r="C98" s="24" t="s">
        <v>2427</v>
      </c>
      <c r="D98" s="24"/>
      <c r="E98" s="24"/>
      <c r="F98" s="24"/>
      <c r="G98" s="24"/>
    </row>
    <row r="99" spans="1:7" ht="15.75" customHeight="1" x14ac:dyDescent="0.25">
      <c r="A99" s="24" t="s">
        <v>1563</v>
      </c>
      <c r="B99" s="24" t="s">
        <v>702</v>
      </c>
      <c r="C99" s="24" t="s">
        <v>2429</v>
      </c>
      <c r="D99" s="24"/>
      <c r="E99" s="24"/>
      <c r="F99" s="24"/>
      <c r="G99" s="24"/>
    </row>
    <row r="100" spans="1:7" ht="15.75" customHeight="1" x14ac:dyDescent="0.25">
      <c r="A100" s="24" t="s">
        <v>1573</v>
      </c>
      <c r="B100" s="24" t="s">
        <v>704</v>
      </c>
      <c r="C100" s="24" t="s">
        <v>2430</v>
      </c>
      <c r="D100" s="24"/>
      <c r="E100" s="24"/>
      <c r="F100" s="24"/>
      <c r="G100" s="24"/>
    </row>
    <row r="101" spans="1:7" ht="15.75" customHeight="1" x14ac:dyDescent="0.25">
      <c r="A101" s="24" t="s">
        <v>1585</v>
      </c>
      <c r="B101" s="24" t="s">
        <v>707</v>
      </c>
      <c r="C101" s="24" t="s">
        <v>2434</v>
      </c>
      <c r="D101" s="24"/>
      <c r="E101" s="24"/>
      <c r="F101" s="24"/>
      <c r="G101" s="24"/>
    </row>
    <row r="102" spans="1:7" ht="15.75" customHeight="1" x14ac:dyDescent="0.25">
      <c r="A102" s="24" t="s">
        <v>1594</v>
      </c>
      <c r="B102" s="24" t="s">
        <v>712</v>
      </c>
      <c r="C102" s="24" t="s">
        <v>2435</v>
      </c>
      <c r="D102" s="24"/>
      <c r="E102" s="24"/>
      <c r="F102" s="24"/>
      <c r="G102" s="24"/>
    </row>
    <row r="103" spans="1:7" ht="15.75" customHeight="1" x14ac:dyDescent="0.25">
      <c r="A103" s="24" t="s">
        <v>1600</v>
      </c>
      <c r="B103" s="24" t="s">
        <v>719</v>
      </c>
      <c r="C103" s="24" t="s">
        <v>2394</v>
      </c>
      <c r="D103" s="24"/>
      <c r="E103" s="24"/>
      <c r="F103" s="24"/>
      <c r="G103" s="24"/>
    </row>
    <row r="104" spans="1:7" ht="15.75" customHeight="1" x14ac:dyDescent="0.25">
      <c r="A104" s="24" t="s">
        <v>1625</v>
      </c>
      <c r="B104" s="24" t="s">
        <v>724</v>
      </c>
      <c r="C104" s="24" t="s">
        <v>2439</v>
      </c>
      <c r="D104" s="24"/>
      <c r="E104" s="24"/>
      <c r="F104" s="24"/>
      <c r="G104" s="24"/>
    </row>
    <row r="105" spans="1:7" ht="15.75" customHeight="1" x14ac:dyDescent="0.25">
      <c r="A105" s="24" t="s">
        <v>1638</v>
      </c>
      <c r="B105" s="24" t="s">
        <v>729</v>
      </c>
      <c r="C105" s="24" t="s">
        <v>2440</v>
      </c>
      <c r="D105" s="24"/>
      <c r="E105" s="24"/>
      <c r="F105" s="24"/>
      <c r="G105" s="24"/>
    </row>
    <row r="106" spans="1:7" ht="15.75" customHeight="1" x14ac:dyDescent="0.25">
      <c r="A106" s="24" t="s">
        <v>1646</v>
      </c>
      <c r="B106" s="24" t="s">
        <v>732</v>
      </c>
      <c r="C106" s="24" t="s">
        <v>2442</v>
      </c>
      <c r="D106" s="24"/>
      <c r="E106" s="24"/>
      <c r="F106" s="24"/>
      <c r="G106" s="24"/>
    </row>
    <row r="107" spans="1:7" ht="15.75" customHeight="1" x14ac:dyDescent="0.25">
      <c r="A107" s="24" t="s">
        <v>1655</v>
      </c>
      <c r="B107" s="24" t="s">
        <v>737</v>
      </c>
      <c r="C107" s="24" t="s">
        <v>2446</v>
      </c>
      <c r="D107" s="24"/>
      <c r="E107" s="24"/>
      <c r="F107" s="24"/>
      <c r="G107" s="24"/>
    </row>
    <row r="108" spans="1:7" ht="15.75" customHeight="1" x14ac:dyDescent="0.25">
      <c r="A108" s="24" t="s">
        <v>1664</v>
      </c>
      <c r="B108" s="24" t="s">
        <v>739</v>
      </c>
      <c r="C108" s="24" t="s">
        <v>2447</v>
      </c>
      <c r="D108" s="24"/>
      <c r="E108" s="24"/>
      <c r="F108" s="24"/>
      <c r="G108" s="24"/>
    </row>
    <row r="109" spans="1:7" ht="15.75" customHeight="1" x14ac:dyDescent="0.25">
      <c r="A109" s="24" t="s">
        <v>1683</v>
      </c>
      <c r="B109" s="24" t="s">
        <v>743</v>
      </c>
      <c r="C109" s="24" t="s">
        <v>2449</v>
      </c>
      <c r="D109" s="24"/>
      <c r="E109" s="24"/>
      <c r="F109" s="24"/>
      <c r="G109" s="24"/>
    </row>
    <row r="110" spans="1:7" ht="15.75" customHeight="1" x14ac:dyDescent="0.25">
      <c r="A110" s="24" t="s">
        <v>1699</v>
      </c>
      <c r="B110" s="24" t="s">
        <v>751</v>
      </c>
      <c r="C110" s="24" t="s">
        <v>2452</v>
      </c>
      <c r="D110" s="24"/>
      <c r="E110" s="24"/>
      <c r="F110" s="24"/>
      <c r="G110" s="24"/>
    </row>
    <row r="111" spans="1:7" ht="15.75" customHeight="1" x14ac:dyDescent="0.25">
      <c r="A111" s="24" t="s">
        <v>1701</v>
      </c>
      <c r="B111" s="24" t="s">
        <v>754</v>
      </c>
      <c r="C111" s="24" t="s">
        <v>2454</v>
      </c>
      <c r="D111" s="24"/>
      <c r="E111" s="24"/>
      <c r="F111" s="24"/>
      <c r="G111" s="24"/>
    </row>
    <row r="112" spans="1:7" ht="15.75" customHeight="1" x14ac:dyDescent="0.25">
      <c r="A112" s="24" t="s">
        <v>1731</v>
      </c>
      <c r="B112" s="24" t="s">
        <v>760</v>
      </c>
      <c r="C112" s="24" t="s">
        <v>2455</v>
      </c>
      <c r="D112" s="24"/>
      <c r="E112" s="24"/>
      <c r="F112" s="24"/>
      <c r="G112" s="24"/>
    </row>
    <row r="113" spans="1:7" ht="15.75" customHeight="1" x14ac:dyDescent="0.25">
      <c r="A113" s="24" t="s">
        <v>1745</v>
      </c>
      <c r="B113" s="24" t="s">
        <v>762</v>
      </c>
      <c r="C113" s="24" t="s">
        <v>2457</v>
      </c>
      <c r="D113" s="24"/>
      <c r="E113" s="24"/>
      <c r="F113" s="24"/>
      <c r="G113" s="24"/>
    </row>
    <row r="114" spans="1:7" ht="15.75" customHeight="1" x14ac:dyDescent="0.25">
      <c r="A114" s="24" t="s">
        <v>1770</v>
      </c>
      <c r="B114" s="24" t="s">
        <v>768</v>
      </c>
      <c r="C114" s="24" t="s">
        <v>2394</v>
      </c>
      <c r="D114" s="24"/>
      <c r="E114" s="24"/>
      <c r="F114" s="24"/>
      <c r="G114" s="24"/>
    </row>
    <row r="115" spans="1:7" ht="15.75" customHeight="1" x14ac:dyDescent="0.25">
      <c r="A115" s="24" t="s">
        <v>1779</v>
      </c>
      <c r="B115" s="24" t="s">
        <v>778</v>
      </c>
      <c r="C115" s="24" t="s">
        <v>2460</v>
      </c>
      <c r="D115" s="24"/>
      <c r="E115" s="24"/>
      <c r="F115" s="24"/>
      <c r="G115" s="24"/>
    </row>
    <row r="116" spans="1:7" ht="15.75" customHeight="1" x14ac:dyDescent="0.25">
      <c r="A116" s="24" t="s">
        <v>1827</v>
      </c>
      <c r="B116" s="24" t="s">
        <v>788</v>
      </c>
      <c r="C116" s="24" t="s">
        <v>2461</v>
      </c>
      <c r="D116" s="24"/>
      <c r="E116" s="24"/>
      <c r="F116" s="24"/>
      <c r="G116" s="24"/>
    </row>
    <row r="117" spans="1:7" ht="15.75" customHeight="1" x14ac:dyDescent="0.25">
      <c r="A117" s="24" t="s">
        <v>1823</v>
      </c>
      <c r="B117" s="24" t="s">
        <v>791</v>
      </c>
      <c r="C117" s="24" t="s">
        <v>2463</v>
      </c>
      <c r="D117" s="24"/>
      <c r="E117" s="24"/>
      <c r="F117" s="24"/>
      <c r="G117" s="24"/>
    </row>
    <row r="118" spans="1:7" ht="15.75" customHeight="1" x14ac:dyDescent="0.25">
      <c r="A118" s="24" t="s">
        <v>1843</v>
      </c>
      <c r="B118" s="24" t="s">
        <v>796</v>
      </c>
      <c r="C118" s="24" t="s">
        <v>2465</v>
      </c>
      <c r="D118" s="24"/>
      <c r="E118" s="24"/>
      <c r="F118" s="24"/>
      <c r="G118" s="24"/>
    </row>
    <row r="119" spans="1:7" ht="15.75" customHeight="1" x14ac:dyDescent="0.25">
      <c r="A119" s="24" t="s">
        <v>1852</v>
      </c>
      <c r="B119" s="24" t="s">
        <v>799</v>
      </c>
      <c r="C119" s="24" t="s">
        <v>2468</v>
      </c>
      <c r="D119" s="24"/>
      <c r="E119" s="24"/>
      <c r="F119" s="24"/>
      <c r="G119" s="24"/>
    </row>
    <row r="120" spans="1:7" ht="15.75" customHeight="1" x14ac:dyDescent="0.25">
      <c r="A120" s="24" t="s">
        <v>1859</v>
      </c>
      <c r="B120" s="24" t="s">
        <v>802</v>
      </c>
      <c r="C120" s="24" t="s">
        <v>2470</v>
      </c>
      <c r="D120" s="24"/>
      <c r="E120" s="24"/>
      <c r="F120" s="24"/>
      <c r="G120" s="24"/>
    </row>
    <row r="121" spans="1:7" ht="15.75" customHeight="1" x14ac:dyDescent="0.25">
      <c r="A121" s="24" t="s">
        <v>1870</v>
      </c>
      <c r="B121" s="24" t="s">
        <v>805</v>
      </c>
      <c r="C121" s="24" t="s">
        <v>2472</v>
      </c>
      <c r="D121" s="24"/>
      <c r="E121" s="24"/>
      <c r="F121" s="24"/>
      <c r="G121" s="24"/>
    </row>
    <row r="122" spans="1:7" ht="15.75" customHeight="1" x14ac:dyDescent="0.25">
      <c r="A122" s="24" t="s">
        <v>1876</v>
      </c>
      <c r="B122" s="24" t="s">
        <v>809</v>
      </c>
      <c r="C122" s="24" t="s">
        <v>2475</v>
      </c>
      <c r="D122" s="24"/>
      <c r="E122" s="24"/>
      <c r="F122" s="24"/>
      <c r="G122" s="24"/>
    </row>
    <row r="123" spans="1:7" ht="15.75" customHeight="1" x14ac:dyDescent="0.25">
      <c r="A123" s="24" t="s">
        <v>1882</v>
      </c>
      <c r="B123" s="24" t="s">
        <v>820</v>
      </c>
      <c r="C123" s="24" t="s">
        <v>2477</v>
      </c>
      <c r="D123" s="24"/>
      <c r="E123" s="24"/>
      <c r="F123" s="24"/>
      <c r="G123" s="24"/>
    </row>
    <row r="124" spans="1:7" ht="15.75" customHeight="1" x14ac:dyDescent="0.25">
      <c r="A124" s="24" t="s">
        <v>1920</v>
      </c>
      <c r="B124" s="24" t="s">
        <v>831</v>
      </c>
      <c r="C124" s="24" t="s">
        <v>2479</v>
      </c>
      <c r="D124" s="24"/>
      <c r="E124" s="24"/>
      <c r="F124" s="24"/>
      <c r="G124" s="24"/>
    </row>
    <row r="125" spans="1:7" ht="15.75" customHeight="1" x14ac:dyDescent="0.25">
      <c r="A125" s="24" t="s">
        <v>1927</v>
      </c>
      <c r="B125" s="24" t="s">
        <v>828</v>
      </c>
      <c r="C125" s="24" t="s">
        <v>2480</v>
      </c>
      <c r="D125" s="24"/>
      <c r="E125" s="24"/>
      <c r="F125" s="24"/>
      <c r="G125" s="24"/>
    </row>
    <row r="126" spans="1:7" ht="15.75" customHeight="1" x14ac:dyDescent="0.25">
      <c r="A126" s="24" t="s">
        <v>1979</v>
      </c>
      <c r="B126" s="24" t="s">
        <v>835</v>
      </c>
      <c r="C126" s="24" t="s">
        <v>2482</v>
      </c>
      <c r="D126" s="24"/>
      <c r="E126" s="24"/>
      <c r="F126" s="24"/>
      <c r="G126" s="24"/>
    </row>
    <row r="127" spans="1:7" ht="15.75" customHeight="1" x14ac:dyDescent="0.25">
      <c r="A127" s="24" t="s">
        <v>1984</v>
      </c>
      <c r="B127" s="24" t="s">
        <v>838</v>
      </c>
      <c r="C127" s="24" t="s">
        <v>2483</v>
      </c>
      <c r="D127" s="24"/>
      <c r="E127" s="24"/>
      <c r="F127" s="24"/>
      <c r="G127" s="24"/>
    </row>
    <row r="128" spans="1:7" ht="15.75" customHeight="1" x14ac:dyDescent="0.25">
      <c r="A128" s="24" t="s">
        <v>2004</v>
      </c>
      <c r="B128" s="24" t="s">
        <v>840</v>
      </c>
      <c r="C128" s="24" t="s">
        <v>2485</v>
      </c>
      <c r="D128" s="24"/>
      <c r="E128" s="24"/>
      <c r="F128" s="24"/>
      <c r="G128" s="24"/>
    </row>
    <row r="129" spans="1:7" ht="15.75" customHeight="1" x14ac:dyDescent="0.25">
      <c r="A129" s="24" t="s">
        <v>2017</v>
      </c>
      <c r="B129" s="24" t="s">
        <v>853</v>
      </c>
      <c r="C129" s="24" t="s">
        <v>2486</v>
      </c>
      <c r="D129" s="24"/>
      <c r="E129" s="24"/>
      <c r="F129" s="24"/>
      <c r="G129" s="24"/>
    </row>
    <row r="130" spans="1:7" ht="15.75" customHeight="1" x14ac:dyDescent="0.25">
      <c r="A130" s="24" t="s">
        <v>2027</v>
      </c>
      <c r="B130" s="24" t="s">
        <v>857</v>
      </c>
      <c r="C130" s="24" t="s">
        <v>2489</v>
      </c>
      <c r="D130" s="24"/>
      <c r="E130" s="24"/>
      <c r="F130" s="24"/>
      <c r="G130" s="24"/>
    </row>
    <row r="131" spans="1:7" ht="15.75" customHeight="1" x14ac:dyDescent="0.25">
      <c r="A131" s="24" t="s">
        <v>2056</v>
      </c>
      <c r="B131" s="24" t="s">
        <v>860</v>
      </c>
      <c r="C131" s="24" t="s">
        <v>2491</v>
      </c>
      <c r="D131" s="24"/>
      <c r="E131" s="24"/>
      <c r="F131" s="24"/>
      <c r="G131" s="24"/>
    </row>
    <row r="132" spans="1:7" ht="15.75" customHeight="1" x14ac:dyDescent="0.25">
      <c r="A132" s="24" t="s">
        <v>2111</v>
      </c>
      <c r="B132" s="24" t="s">
        <v>867</v>
      </c>
      <c r="C132" s="24" t="s">
        <v>2492</v>
      </c>
      <c r="D132" s="24"/>
      <c r="E132" s="24"/>
      <c r="F132" s="24"/>
      <c r="G132" s="24"/>
    </row>
    <row r="133" spans="1:7" ht="15.75" customHeight="1" x14ac:dyDescent="0.25">
      <c r="A133" s="24" t="s">
        <v>2125</v>
      </c>
      <c r="B133" s="24" t="s">
        <v>870</v>
      </c>
      <c r="C133" s="24" t="s">
        <v>2496</v>
      </c>
      <c r="D133" s="24"/>
      <c r="E133" s="24"/>
      <c r="F133" s="24"/>
      <c r="G133" s="24"/>
    </row>
    <row r="134" spans="1:7" ht="15.75" customHeight="1" x14ac:dyDescent="0.25">
      <c r="A134" s="24" t="s">
        <v>2139</v>
      </c>
      <c r="B134" s="24" t="s">
        <v>874</v>
      </c>
      <c r="C134" s="24" t="s">
        <v>2498</v>
      </c>
      <c r="D134" s="24"/>
      <c r="E134" s="24"/>
      <c r="F134" s="24"/>
      <c r="G134" s="24"/>
    </row>
    <row r="135" spans="1:7" ht="15.75" customHeight="1" x14ac:dyDescent="0.25">
      <c r="A135" s="24" t="s">
        <v>2161</v>
      </c>
      <c r="B135" s="24" t="s">
        <v>879</v>
      </c>
      <c r="C135" s="24" t="s">
        <v>2499</v>
      </c>
      <c r="D135" s="24"/>
      <c r="E135" s="24"/>
      <c r="F135" s="24"/>
      <c r="G135" s="24"/>
    </row>
    <row r="136" spans="1:7" ht="15.75" customHeight="1" x14ac:dyDescent="0.25">
      <c r="A136" s="24" t="s">
        <v>2178</v>
      </c>
      <c r="B136" s="24" t="s">
        <v>884</v>
      </c>
      <c r="C136" s="24" t="s">
        <v>2501</v>
      </c>
      <c r="D136" s="24"/>
      <c r="E136" s="24"/>
      <c r="F136" s="24"/>
      <c r="G136" s="24"/>
    </row>
    <row r="137" spans="1:7" ht="15.75" customHeight="1" x14ac:dyDescent="0.25">
      <c r="A137" s="24" t="s">
        <v>2187</v>
      </c>
      <c r="B137" s="24" t="s">
        <v>886</v>
      </c>
      <c r="C137" s="24" t="s">
        <v>2496</v>
      </c>
      <c r="D137" s="24"/>
      <c r="E137" s="24"/>
      <c r="F137" s="24"/>
      <c r="G137" s="24"/>
    </row>
    <row r="138" spans="1:7" ht="15.75" customHeight="1" x14ac:dyDescent="0.25">
      <c r="A138" s="24" t="s">
        <v>2193</v>
      </c>
      <c r="B138" s="24" t="s">
        <v>891</v>
      </c>
      <c r="C138" s="24" t="s">
        <v>2503</v>
      </c>
      <c r="D138" s="24"/>
      <c r="E138" s="24"/>
      <c r="F138" s="24"/>
      <c r="G138" s="24"/>
    </row>
    <row r="139" spans="1:7" ht="15.75" customHeight="1" x14ac:dyDescent="0.25">
      <c r="A139" s="24" t="s">
        <v>2206</v>
      </c>
      <c r="B139" s="24" t="s">
        <v>888</v>
      </c>
      <c r="C139" s="24" t="s">
        <v>2504</v>
      </c>
      <c r="D139" s="24"/>
      <c r="E139" s="24"/>
      <c r="F139" s="24"/>
      <c r="G139" s="24"/>
    </row>
    <row r="140" spans="1:7" ht="15.75" customHeight="1" x14ac:dyDescent="0.25">
      <c r="A140" s="24" t="s">
        <v>2237</v>
      </c>
      <c r="B140" s="24" t="s">
        <v>896</v>
      </c>
      <c r="C140" s="24" t="s">
        <v>2507</v>
      </c>
      <c r="D140" s="24"/>
      <c r="E140" s="24"/>
      <c r="F140" s="24"/>
      <c r="G140" s="24"/>
    </row>
    <row r="141" spans="1:7" ht="15.75" customHeight="1" x14ac:dyDescent="0.25">
      <c r="A141" s="24" t="s">
        <v>2262</v>
      </c>
      <c r="B141" s="24" t="s">
        <v>899</v>
      </c>
      <c r="C141" s="24" t="s">
        <v>2509</v>
      </c>
      <c r="D141" s="24"/>
      <c r="E141" s="24"/>
      <c r="F141" s="24"/>
      <c r="G141" s="24"/>
    </row>
    <row r="142" spans="1:7" ht="15.75" customHeight="1" x14ac:dyDescent="0.25">
      <c r="A142" s="24" t="s">
        <v>2320</v>
      </c>
      <c r="B142" s="24" t="s">
        <v>924</v>
      </c>
      <c r="C142" s="24" t="s">
        <v>2510</v>
      </c>
      <c r="D142" s="24"/>
      <c r="E142" s="24"/>
      <c r="F142" s="24"/>
      <c r="G142" s="24"/>
    </row>
    <row r="143" spans="1:7" ht="15.75" customHeight="1" x14ac:dyDescent="0.25">
      <c r="A143" s="24" t="s">
        <v>2359</v>
      </c>
      <c r="B143" s="24" t="s">
        <v>905</v>
      </c>
      <c r="C143" s="24" t="s">
        <v>2512</v>
      </c>
      <c r="D143" s="24"/>
      <c r="E143" s="24"/>
      <c r="F143" s="24"/>
      <c r="G143" s="24"/>
    </row>
    <row r="144" spans="1:7" ht="15.75" customHeight="1" x14ac:dyDescent="0.25">
      <c r="A144" s="24" t="s">
        <v>2365</v>
      </c>
      <c r="B144" s="24" t="s">
        <v>908</v>
      </c>
      <c r="C144" s="24" t="s">
        <v>2514</v>
      </c>
      <c r="D144" s="24"/>
      <c r="E144" s="24"/>
      <c r="F144" s="24"/>
      <c r="G144" s="24"/>
    </row>
    <row r="145" spans="1:7" ht="15.75" customHeight="1" x14ac:dyDescent="0.25">
      <c r="A145" s="24" t="s">
        <v>2381</v>
      </c>
      <c r="B145" s="24" t="s">
        <v>913</v>
      </c>
      <c r="C145" s="24" t="s">
        <v>2496</v>
      </c>
      <c r="D145" s="24"/>
      <c r="E145" s="24"/>
      <c r="F145" s="24"/>
      <c r="G145" s="24"/>
    </row>
    <row r="146" spans="1:7" ht="15.75" customHeight="1" x14ac:dyDescent="0.25">
      <c r="A146" s="24" t="s">
        <v>2391</v>
      </c>
      <c r="B146" s="24" t="s">
        <v>915</v>
      </c>
      <c r="C146" s="24" t="s">
        <v>2517</v>
      </c>
      <c r="D146" s="24"/>
      <c r="E146" s="24"/>
      <c r="F146" s="24"/>
      <c r="G146" s="24"/>
    </row>
    <row r="147" spans="1:7" ht="15.75" customHeight="1" x14ac:dyDescent="0.25">
      <c r="A147" s="24" t="s">
        <v>2402</v>
      </c>
      <c r="B147" s="24" t="s">
        <v>928</v>
      </c>
      <c r="C147" s="24" t="s">
        <v>2519</v>
      </c>
      <c r="D147" s="24"/>
      <c r="E147" s="24"/>
      <c r="F147" s="24"/>
      <c r="G147" s="24"/>
    </row>
    <row r="148" spans="1:7" ht="15.75" customHeight="1" x14ac:dyDescent="0.25">
      <c r="A148" s="24" t="s">
        <v>2437</v>
      </c>
      <c r="B148" s="24" t="s">
        <v>933</v>
      </c>
      <c r="C148" s="24" t="s">
        <v>2520</v>
      </c>
      <c r="D148" s="24"/>
      <c r="E148" s="24"/>
      <c r="F148" s="24"/>
      <c r="G148" s="24"/>
    </row>
    <row r="149" spans="1:7" ht="15.75" customHeight="1" x14ac:dyDescent="0.25">
      <c r="A149" s="24" t="s">
        <v>2444</v>
      </c>
      <c r="B149" s="24" t="s">
        <v>426</v>
      </c>
      <c r="C149" s="24" t="s">
        <v>2522</v>
      </c>
      <c r="D149" s="24"/>
      <c r="E149" s="24"/>
      <c r="F149" s="24"/>
      <c r="G149" s="24"/>
    </row>
    <row r="150" spans="1:7" ht="15.75" customHeight="1" x14ac:dyDescent="0.25">
      <c r="A150" s="24" t="s">
        <v>2451</v>
      </c>
      <c r="B150" s="24" t="s">
        <v>946</v>
      </c>
      <c r="C150" s="24" t="s">
        <v>2526</v>
      </c>
      <c r="D150" s="24"/>
      <c r="E150" s="24"/>
      <c r="F150" s="24"/>
      <c r="G150" s="24"/>
    </row>
    <row r="151" spans="1:7" ht="15.75" customHeight="1" x14ac:dyDescent="0.25">
      <c r="A151" s="24" t="s">
        <v>2458</v>
      </c>
      <c r="B151" s="24" t="s">
        <v>949</v>
      </c>
      <c r="C151" s="24" t="s">
        <v>2528</v>
      </c>
      <c r="D151" s="24"/>
      <c r="E151" s="24"/>
      <c r="F151" s="24"/>
      <c r="G151" s="24"/>
    </row>
    <row r="152" spans="1:7" ht="15.75" customHeight="1" x14ac:dyDescent="0.25">
      <c r="A152" s="24" t="s">
        <v>2467</v>
      </c>
      <c r="B152" s="24" t="s">
        <v>953</v>
      </c>
      <c r="C152" s="24" t="s">
        <v>2529</v>
      </c>
      <c r="D152" s="24"/>
      <c r="E152" s="24"/>
      <c r="F152" s="24"/>
      <c r="G152" s="24"/>
    </row>
    <row r="153" spans="1:7" ht="15.75" customHeight="1" x14ac:dyDescent="0.25">
      <c r="A153" s="24" t="s">
        <v>2473</v>
      </c>
      <c r="B153" s="24" t="s">
        <v>957</v>
      </c>
      <c r="C153" s="24" t="s">
        <v>2354</v>
      </c>
      <c r="D153" s="24"/>
      <c r="E153" s="24"/>
      <c r="F153" s="24"/>
      <c r="G153" s="24"/>
    </row>
    <row r="154" spans="1:7" ht="15.75" customHeight="1" x14ac:dyDescent="0.25">
      <c r="A154" s="24" t="s">
        <v>2488</v>
      </c>
      <c r="B154" s="24" t="s">
        <v>960</v>
      </c>
      <c r="C154" s="24" t="s">
        <v>2532</v>
      </c>
      <c r="D154" s="24"/>
      <c r="E154" s="24"/>
      <c r="F154" s="24"/>
      <c r="G154" s="24"/>
    </row>
    <row r="155" spans="1:7" ht="15.75" customHeight="1" x14ac:dyDescent="0.25">
      <c r="A155" s="24" t="s">
        <v>2533</v>
      </c>
      <c r="B155" s="24" t="s">
        <v>964</v>
      </c>
      <c r="C155" s="24" t="s">
        <v>2394</v>
      </c>
      <c r="D155" s="24"/>
      <c r="E155" s="24"/>
      <c r="F155" s="24"/>
      <c r="G155" s="24"/>
    </row>
    <row r="156" spans="1:7" ht="15.75" customHeight="1" x14ac:dyDescent="0.25">
      <c r="A156" s="24" t="s">
        <v>2536</v>
      </c>
      <c r="B156" s="24" t="s">
        <v>966</v>
      </c>
      <c r="C156" s="24" t="s">
        <v>2538</v>
      </c>
      <c r="D156" s="24"/>
      <c r="E156" s="24"/>
      <c r="F156" s="24"/>
      <c r="G156" s="24"/>
    </row>
    <row r="157" spans="1:7" ht="15.75" customHeight="1" x14ac:dyDescent="0.25">
      <c r="A157" s="24" t="s">
        <v>2540</v>
      </c>
      <c r="B157" s="24" t="s">
        <v>968</v>
      </c>
      <c r="C157" s="24" t="s">
        <v>2541</v>
      </c>
      <c r="D157" s="24"/>
      <c r="E157" s="24"/>
      <c r="F157" s="24"/>
      <c r="G157" s="24"/>
    </row>
    <row r="158" spans="1:7" ht="15.75" customHeight="1" x14ac:dyDescent="0.25">
      <c r="A158" s="24" t="s">
        <v>2542</v>
      </c>
      <c r="B158" s="24" t="s">
        <v>550</v>
      </c>
      <c r="C158" s="24"/>
      <c r="D158" s="24"/>
      <c r="E158" s="24"/>
      <c r="F158" s="24"/>
      <c r="G158" s="24"/>
    </row>
    <row r="159" spans="1:7" ht="15.75" customHeight="1" x14ac:dyDescent="0.25">
      <c r="A159" s="24" t="s">
        <v>2537</v>
      </c>
      <c r="B159" s="24" t="s">
        <v>974</v>
      </c>
      <c r="C159" s="24"/>
      <c r="D159" s="24"/>
      <c r="E159" s="24"/>
      <c r="F159" s="24"/>
      <c r="G159" s="24"/>
    </row>
    <row r="160" spans="1:7" ht="15.75" customHeight="1" x14ac:dyDescent="0.25">
      <c r="A160" s="24" t="s">
        <v>2546</v>
      </c>
      <c r="B160" s="24" t="s">
        <v>979</v>
      </c>
      <c r="C160" s="24"/>
      <c r="D160" s="24"/>
      <c r="E160" s="24"/>
      <c r="F160" s="24"/>
      <c r="G160" s="24"/>
    </row>
    <row r="161" spans="1:7" ht="15.75" customHeight="1" x14ac:dyDescent="0.25">
      <c r="A161" s="24" t="s">
        <v>2548</v>
      </c>
      <c r="B161" s="24" t="s">
        <v>991</v>
      </c>
      <c r="C161" s="24"/>
      <c r="D161" s="24"/>
      <c r="E161" s="24"/>
      <c r="F161" s="24"/>
      <c r="G161" s="24"/>
    </row>
    <row r="162" spans="1:7" ht="15.75" customHeight="1" x14ac:dyDescent="0.25">
      <c r="A162" s="24" t="s">
        <v>2549</v>
      </c>
      <c r="B162" s="24" t="s">
        <v>984</v>
      </c>
      <c r="C162" s="24"/>
      <c r="D162" s="24"/>
      <c r="E162" s="24"/>
      <c r="F162" s="24"/>
      <c r="G162" s="24"/>
    </row>
    <row r="163" spans="1:7" ht="15.75" customHeight="1" x14ac:dyDescent="0.25">
      <c r="A163" s="24" t="s">
        <v>2551</v>
      </c>
      <c r="B163" s="24" t="s">
        <v>1004</v>
      </c>
      <c r="C163" s="24"/>
      <c r="D163" s="24"/>
      <c r="E163" s="24"/>
      <c r="F163" s="24"/>
      <c r="G163" s="24"/>
    </row>
    <row r="164" spans="1:7" ht="15.75" customHeight="1" x14ac:dyDescent="0.25">
      <c r="A164" s="24" t="s">
        <v>2553</v>
      </c>
      <c r="B164" s="24" t="s">
        <v>1007</v>
      </c>
      <c r="C164" s="24"/>
      <c r="D164" s="24"/>
      <c r="E164" s="24"/>
      <c r="F164" s="24"/>
      <c r="G164" s="24"/>
    </row>
    <row r="165" spans="1:7" ht="15.75" customHeight="1" x14ac:dyDescent="0.25">
      <c r="A165" s="24" t="s">
        <v>2554</v>
      </c>
      <c r="B165" s="24" t="s">
        <v>1011</v>
      </c>
      <c r="C165" s="24"/>
      <c r="D165" s="24"/>
      <c r="E165" s="24"/>
      <c r="F165" s="24"/>
      <c r="G165" s="24"/>
    </row>
    <row r="166" spans="1:7" ht="15.75" customHeight="1" x14ac:dyDescent="0.25">
      <c r="A166" s="24" t="s">
        <v>2555</v>
      </c>
      <c r="B166" s="24" t="s">
        <v>1013</v>
      </c>
      <c r="C166" s="24"/>
      <c r="D166" s="24"/>
      <c r="E166" s="24"/>
      <c r="F166" s="24"/>
      <c r="G166" s="24"/>
    </row>
    <row r="167" spans="1:7" ht="15.75" customHeight="1" x14ac:dyDescent="0.25">
      <c r="A167" s="24" t="s">
        <v>2556</v>
      </c>
      <c r="B167" s="24" t="s">
        <v>1016</v>
      </c>
      <c r="C167" s="24"/>
      <c r="D167" s="24"/>
      <c r="E167" s="24"/>
      <c r="F167" s="24"/>
      <c r="G167" s="24"/>
    </row>
    <row r="168" spans="1:7" ht="15.75" customHeight="1" x14ac:dyDescent="0.25">
      <c r="A168" s="24" t="s">
        <v>2557</v>
      </c>
      <c r="B168" s="24" t="s">
        <v>1019</v>
      </c>
      <c r="C168" s="24"/>
      <c r="D168" s="24"/>
      <c r="E168" s="24"/>
      <c r="F168" s="24"/>
      <c r="G168" s="24"/>
    </row>
    <row r="169" spans="1:7" ht="15.75" customHeight="1" x14ac:dyDescent="0.25">
      <c r="A169" s="24" t="s">
        <v>2558</v>
      </c>
      <c r="B169" s="24" t="s">
        <v>1025</v>
      </c>
      <c r="C169" s="24"/>
      <c r="D169" s="24"/>
      <c r="E169" s="24"/>
      <c r="F169" s="24"/>
      <c r="G169" s="24"/>
    </row>
    <row r="170" spans="1:7" ht="15.75" customHeight="1" x14ac:dyDescent="0.25">
      <c r="A170" s="24" t="s">
        <v>2560</v>
      </c>
      <c r="B170" s="24" t="s">
        <v>1028</v>
      </c>
      <c r="C170" s="24"/>
      <c r="D170" s="24"/>
      <c r="E170" s="24"/>
      <c r="F170" s="24"/>
      <c r="G170" s="24"/>
    </row>
    <row r="171" spans="1:7" ht="15.75" customHeight="1" x14ac:dyDescent="0.25">
      <c r="A171" s="24" t="s">
        <v>2414</v>
      </c>
      <c r="B171" s="24" t="s">
        <v>1031</v>
      </c>
      <c r="C171" s="24"/>
      <c r="D171" s="24"/>
      <c r="E171" s="24"/>
      <c r="F171" s="24"/>
      <c r="G171" s="24"/>
    </row>
    <row r="172" spans="1:7" ht="15.75" customHeight="1" x14ac:dyDescent="0.25">
      <c r="A172" s="24" t="s">
        <v>2415</v>
      </c>
      <c r="B172" s="24" t="s">
        <v>1034</v>
      </c>
      <c r="C172" s="24"/>
      <c r="D172" s="24"/>
      <c r="E172" s="24"/>
      <c r="F172" s="24"/>
      <c r="G172" s="24"/>
    </row>
    <row r="173" spans="1:7" ht="15.75" customHeight="1" x14ac:dyDescent="0.25">
      <c r="A173" s="24" t="s">
        <v>2562</v>
      </c>
      <c r="B173" s="24" t="s">
        <v>1038</v>
      </c>
      <c r="C173" s="24"/>
      <c r="D173" s="24"/>
      <c r="E173" s="24"/>
      <c r="F173" s="24"/>
      <c r="G173" s="24"/>
    </row>
    <row r="174" spans="1:7" ht="15.75" customHeight="1" x14ac:dyDescent="0.25">
      <c r="A174" s="24" t="s">
        <v>2293</v>
      </c>
      <c r="B174" s="24" t="s">
        <v>1046</v>
      </c>
      <c r="C174" s="24"/>
      <c r="D174" s="24"/>
      <c r="E174" s="24"/>
      <c r="F174" s="24"/>
      <c r="G174" s="24"/>
    </row>
    <row r="175" spans="1:7" ht="15.75" customHeight="1" x14ac:dyDescent="0.25">
      <c r="A175" s="24" t="s">
        <v>2563</v>
      </c>
      <c r="B175" s="24" t="s">
        <v>1055</v>
      </c>
      <c r="C175" s="24"/>
      <c r="D175" s="24"/>
      <c r="E175" s="24"/>
      <c r="F175" s="24"/>
      <c r="G175" s="24"/>
    </row>
    <row r="176" spans="1:7" ht="15.75" customHeight="1" x14ac:dyDescent="0.25">
      <c r="A176" s="24" t="s">
        <v>2564</v>
      </c>
      <c r="B176" s="24" t="s">
        <v>1058</v>
      </c>
      <c r="C176" s="24"/>
      <c r="D176" s="24"/>
      <c r="E176" s="24"/>
      <c r="F176" s="24"/>
      <c r="G176" s="24"/>
    </row>
    <row r="177" spans="1:7" ht="15.75" customHeight="1" x14ac:dyDescent="0.25">
      <c r="A177" s="24" t="s">
        <v>2567</v>
      </c>
      <c r="B177" s="24" t="s">
        <v>601</v>
      </c>
      <c r="C177" s="24"/>
      <c r="D177" s="24"/>
      <c r="E177" s="24"/>
      <c r="F177" s="24"/>
      <c r="G177" s="24"/>
    </row>
    <row r="178" spans="1:7" ht="15.75" customHeight="1" x14ac:dyDescent="0.25">
      <c r="A178" s="24" t="s">
        <v>2568</v>
      </c>
      <c r="B178" s="24" t="s">
        <v>1065</v>
      </c>
      <c r="C178" s="24"/>
      <c r="D178" s="24"/>
      <c r="E178" s="24"/>
      <c r="F178" s="24"/>
      <c r="G178" s="24"/>
    </row>
    <row r="179" spans="1:7" ht="15.75" customHeight="1" x14ac:dyDescent="0.25">
      <c r="A179" s="24" t="s">
        <v>2570</v>
      </c>
      <c r="B179" s="24" t="s">
        <v>1071</v>
      </c>
      <c r="C179" s="24"/>
      <c r="D179" s="24"/>
      <c r="E179" s="24"/>
      <c r="F179" s="24"/>
      <c r="G179" s="24"/>
    </row>
    <row r="180" spans="1:7" ht="15.75" customHeight="1" x14ac:dyDescent="0.25">
      <c r="A180" s="24" t="s">
        <v>2571</v>
      </c>
      <c r="B180" s="24" t="s">
        <v>1074</v>
      </c>
      <c r="C180" s="24"/>
      <c r="D180" s="24"/>
      <c r="E180" s="24"/>
      <c r="F180" s="24"/>
      <c r="G180" s="24"/>
    </row>
    <row r="181" spans="1:7" ht="15.75" customHeight="1" x14ac:dyDescent="0.25">
      <c r="A181" s="24" t="s">
        <v>2574</v>
      </c>
      <c r="B181" s="24" t="s">
        <v>1077</v>
      </c>
      <c r="C181" s="24"/>
      <c r="D181" s="24"/>
      <c r="E181" s="24"/>
      <c r="F181" s="24"/>
      <c r="G181" s="24"/>
    </row>
    <row r="182" spans="1:7" ht="15.75" customHeight="1" x14ac:dyDescent="0.25">
      <c r="A182" s="24" t="s">
        <v>2577</v>
      </c>
      <c r="B182" s="24" t="s">
        <v>1081</v>
      </c>
      <c r="C182" s="24"/>
      <c r="D182" s="24"/>
      <c r="E182" s="24"/>
      <c r="F182" s="24"/>
      <c r="G182" s="24"/>
    </row>
    <row r="183" spans="1:7" ht="15.75" customHeight="1" x14ac:dyDescent="0.25">
      <c r="A183" s="24" t="s">
        <v>2578</v>
      </c>
      <c r="B183" s="24" t="s">
        <v>1092</v>
      </c>
      <c r="C183" s="24"/>
      <c r="D183" s="24"/>
      <c r="E183" s="24"/>
      <c r="F183" s="24"/>
      <c r="G183" s="24"/>
    </row>
    <row r="184" spans="1:7" ht="15.75" customHeight="1" x14ac:dyDescent="0.25">
      <c r="A184" s="24" t="s">
        <v>2429</v>
      </c>
      <c r="B184" s="24" t="s">
        <v>1097</v>
      </c>
      <c r="C184" s="24"/>
      <c r="D184" s="24"/>
      <c r="E184" s="24"/>
      <c r="F184" s="24"/>
      <c r="G184" s="24"/>
    </row>
    <row r="185" spans="1:7" ht="15.75" customHeight="1" x14ac:dyDescent="0.25">
      <c r="A185" s="24" t="s">
        <v>2580</v>
      </c>
      <c r="B185" s="24" t="s">
        <v>1100</v>
      </c>
      <c r="C185" s="24"/>
      <c r="D185" s="24"/>
      <c r="E185" s="24"/>
      <c r="F185" s="24"/>
      <c r="G185" s="24"/>
    </row>
    <row r="186" spans="1:7" ht="15.75" customHeight="1" x14ac:dyDescent="0.25">
      <c r="A186" s="24" t="s">
        <v>2581</v>
      </c>
      <c r="B186" s="24" t="s">
        <v>1105</v>
      </c>
      <c r="C186" s="24"/>
      <c r="D186" s="24"/>
      <c r="E186" s="24"/>
      <c r="F186" s="24"/>
      <c r="G186" s="24"/>
    </row>
    <row r="187" spans="1:7" ht="15.75" customHeight="1" x14ac:dyDescent="0.25">
      <c r="A187" s="24" t="s">
        <v>2582</v>
      </c>
      <c r="B187" s="24" t="s">
        <v>1109</v>
      </c>
      <c r="C187" s="24"/>
      <c r="D187" s="24"/>
      <c r="E187" s="24"/>
      <c r="F187" s="24"/>
      <c r="G187" s="24"/>
    </row>
    <row r="188" spans="1:7" ht="15.75" customHeight="1" x14ac:dyDescent="0.25">
      <c r="A188" s="24" t="s">
        <v>2584</v>
      </c>
      <c r="B188" s="24" t="s">
        <v>1112</v>
      </c>
      <c r="C188" s="24"/>
      <c r="D188" s="24"/>
      <c r="E188" s="24"/>
      <c r="F188" s="24"/>
      <c r="G188" s="24"/>
    </row>
    <row r="189" spans="1:7" ht="15.75" customHeight="1" x14ac:dyDescent="0.25">
      <c r="A189" s="24" t="s">
        <v>2586</v>
      </c>
      <c r="B189" s="24" t="s">
        <v>1114</v>
      </c>
      <c r="C189" s="24"/>
      <c r="D189" s="24"/>
      <c r="E189" s="24"/>
      <c r="F189" s="24"/>
      <c r="G189" s="24"/>
    </row>
    <row r="190" spans="1:7" ht="15.75" customHeight="1" x14ac:dyDescent="0.25">
      <c r="A190" s="24" t="s">
        <v>953</v>
      </c>
      <c r="B190" s="24" t="s">
        <v>1121</v>
      </c>
      <c r="C190" s="24"/>
      <c r="D190" s="24"/>
      <c r="E190" s="24"/>
      <c r="F190" s="24"/>
      <c r="G190" s="24"/>
    </row>
    <row r="191" spans="1:7" ht="15.75" customHeight="1" x14ac:dyDescent="0.25">
      <c r="A191" s="24" t="s">
        <v>2588</v>
      </c>
      <c r="B191" s="24" t="s">
        <v>1123</v>
      </c>
      <c r="C191" s="24"/>
      <c r="D191" s="24"/>
      <c r="E191" s="24"/>
      <c r="F191" s="24"/>
      <c r="G191" s="24"/>
    </row>
    <row r="192" spans="1:7" ht="15.75" customHeight="1" x14ac:dyDescent="0.25">
      <c r="A192" s="24" t="s">
        <v>2306</v>
      </c>
      <c r="B192" s="24" t="s">
        <v>1126</v>
      </c>
      <c r="C192" s="24"/>
      <c r="D192" s="24"/>
      <c r="E192" s="24"/>
      <c r="F192" s="24"/>
      <c r="G192" s="24"/>
    </row>
    <row r="193" spans="1:7" ht="15.75" customHeight="1" x14ac:dyDescent="0.25">
      <c r="A193" s="24" t="s">
        <v>2592</v>
      </c>
      <c r="B193" s="24" t="s">
        <v>1137</v>
      </c>
      <c r="C193" s="24"/>
      <c r="D193" s="24"/>
      <c r="E193" s="24"/>
      <c r="F193" s="24"/>
      <c r="G193" s="24"/>
    </row>
    <row r="194" spans="1:7" ht="15.75" customHeight="1" x14ac:dyDescent="0.25">
      <c r="A194" s="24" t="s">
        <v>2593</v>
      </c>
      <c r="B194" s="24" t="s">
        <v>1140</v>
      </c>
      <c r="C194" s="24"/>
      <c r="D194" s="24"/>
      <c r="E194" s="24"/>
      <c r="F194" s="24"/>
      <c r="G194" s="24"/>
    </row>
    <row r="195" spans="1:7" ht="15.75" customHeight="1" x14ac:dyDescent="0.25">
      <c r="A195" s="24" t="s">
        <v>2594</v>
      </c>
      <c r="B195" s="24" t="s">
        <v>1134</v>
      </c>
      <c r="C195" s="24"/>
      <c r="D195" s="24"/>
      <c r="E195" s="24"/>
      <c r="F195" s="24"/>
      <c r="G195" s="24"/>
    </row>
    <row r="196" spans="1:7" ht="15.75" customHeight="1" x14ac:dyDescent="0.25">
      <c r="A196" s="24" t="s">
        <v>2549</v>
      </c>
      <c r="B196" s="24" t="s">
        <v>1147</v>
      </c>
      <c r="C196" s="24"/>
      <c r="D196" s="24"/>
      <c r="E196" s="24"/>
      <c r="F196" s="24"/>
      <c r="G196" s="24"/>
    </row>
    <row r="197" spans="1:7" ht="15.75" customHeight="1" x14ac:dyDescent="0.25">
      <c r="A197" s="24" t="s">
        <v>2597</v>
      </c>
      <c r="B197" s="24" t="s">
        <v>1149</v>
      </c>
      <c r="C197" s="24"/>
      <c r="D197" s="24"/>
      <c r="E197" s="24"/>
      <c r="F197" s="24"/>
      <c r="G197" s="24"/>
    </row>
    <row r="198" spans="1:7" ht="15.75" customHeight="1" x14ac:dyDescent="0.25">
      <c r="A198" s="24" t="s">
        <v>2599</v>
      </c>
      <c r="B198" s="24" t="s">
        <v>1152</v>
      </c>
      <c r="C198" s="24"/>
      <c r="D198" s="24"/>
      <c r="E198" s="24"/>
      <c r="F198" s="24"/>
      <c r="G198" s="24"/>
    </row>
    <row r="199" spans="1:7" ht="15.75" customHeight="1" x14ac:dyDescent="0.25">
      <c r="A199" s="24" t="s">
        <v>2601</v>
      </c>
      <c r="B199" s="24" t="s">
        <v>1155</v>
      </c>
      <c r="C199" s="24"/>
      <c r="D199" s="24"/>
      <c r="E199" s="24"/>
      <c r="F199" s="24"/>
      <c r="G199" s="24"/>
    </row>
    <row r="200" spans="1:7" ht="15.75" customHeight="1" x14ac:dyDescent="0.25">
      <c r="A200" s="24" t="s">
        <v>2603</v>
      </c>
      <c r="B200" s="24" t="s">
        <v>1160</v>
      </c>
      <c r="C200" s="24"/>
      <c r="D200" s="24"/>
      <c r="E200" s="24"/>
      <c r="F200" s="24"/>
      <c r="G200" s="24"/>
    </row>
    <row r="201" spans="1:7" ht="15.75" customHeight="1" x14ac:dyDescent="0.25">
      <c r="A201" s="24" t="s">
        <v>2605</v>
      </c>
      <c r="B201" s="24" t="s">
        <v>1164</v>
      </c>
      <c r="C201" s="24"/>
      <c r="D201" s="24"/>
      <c r="E201" s="24"/>
      <c r="F201" s="24"/>
      <c r="G201" s="24"/>
    </row>
    <row r="202" spans="1:7" ht="15.75" customHeight="1" x14ac:dyDescent="0.25">
      <c r="A202" s="24" t="s">
        <v>2607</v>
      </c>
      <c r="B202" s="24" t="s">
        <v>1167</v>
      </c>
      <c r="C202" s="24"/>
      <c r="D202" s="24"/>
      <c r="E202" s="24"/>
      <c r="F202" s="24"/>
      <c r="G202" s="24"/>
    </row>
    <row r="203" spans="1:7" ht="15.75" customHeight="1" x14ac:dyDescent="0.25">
      <c r="A203" s="24" t="s">
        <v>2608</v>
      </c>
      <c r="B203" s="24" t="s">
        <v>1170</v>
      </c>
      <c r="C203" s="24"/>
      <c r="D203" s="24"/>
      <c r="E203" s="24"/>
      <c r="F203" s="24"/>
      <c r="G203" s="24"/>
    </row>
    <row r="204" spans="1:7" ht="15.75" customHeight="1" x14ac:dyDescent="0.25">
      <c r="A204" s="24" t="s">
        <v>2610</v>
      </c>
      <c r="B204" s="24" t="s">
        <v>1172</v>
      </c>
      <c r="C204" s="24"/>
      <c r="D204" s="24"/>
      <c r="E204" s="24"/>
      <c r="F204" s="24"/>
      <c r="G204" s="24"/>
    </row>
    <row r="205" spans="1:7" ht="15.75" customHeight="1" x14ac:dyDescent="0.25">
      <c r="A205" s="24" t="s">
        <v>2612</v>
      </c>
      <c r="B205" s="24" t="s">
        <v>1177</v>
      </c>
      <c r="C205" s="24"/>
      <c r="D205" s="24"/>
      <c r="E205" s="24"/>
      <c r="F205" s="24"/>
      <c r="G205" s="24"/>
    </row>
    <row r="206" spans="1:7" ht="15.75" customHeight="1" x14ac:dyDescent="0.25">
      <c r="A206" s="24" t="s">
        <v>2447</v>
      </c>
      <c r="B206" s="24" t="s">
        <v>1189</v>
      </c>
      <c r="C206" s="24"/>
      <c r="D206" s="24"/>
      <c r="E206" s="24"/>
      <c r="F206" s="24"/>
      <c r="G206" s="24"/>
    </row>
    <row r="207" spans="1:7" ht="15.75" customHeight="1" x14ac:dyDescent="0.25">
      <c r="A207" s="24" t="s">
        <v>2614</v>
      </c>
      <c r="B207" s="24" t="s">
        <v>1194</v>
      </c>
      <c r="C207" s="24"/>
      <c r="D207" s="24"/>
      <c r="E207" s="24"/>
      <c r="F207" s="24"/>
      <c r="G207" s="24"/>
    </row>
    <row r="208" spans="1:7" ht="15.75" customHeight="1" x14ac:dyDescent="0.25">
      <c r="A208" s="24" t="s">
        <v>2617</v>
      </c>
      <c r="B208" s="24" t="s">
        <v>1200</v>
      </c>
      <c r="C208" s="24"/>
      <c r="D208" s="24"/>
      <c r="E208" s="24"/>
      <c r="F208" s="24"/>
      <c r="G208" s="24"/>
    </row>
    <row r="209" spans="1:7" ht="15.75" customHeight="1" x14ac:dyDescent="0.25">
      <c r="A209" s="24" t="s">
        <v>2619</v>
      </c>
      <c r="B209" s="24" t="s">
        <v>1205</v>
      </c>
      <c r="C209" s="24"/>
      <c r="D209" s="24"/>
      <c r="E209" s="24"/>
      <c r="F209" s="24"/>
      <c r="G209" s="24"/>
    </row>
    <row r="210" spans="1:7" ht="15.75" customHeight="1" x14ac:dyDescent="0.25">
      <c r="A210" s="24" t="s">
        <v>2620</v>
      </c>
      <c r="B210" s="24" t="s">
        <v>1207</v>
      </c>
      <c r="C210" s="24"/>
      <c r="D210" s="24"/>
      <c r="E210" s="24"/>
      <c r="F210" s="24"/>
      <c r="G210" s="24"/>
    </row>
    <row r="211" spans="1:7" ht="15.75" customHeight="1" x14ac:dyDescent="0.25">
      <c r="A211" s="24" t="s">
        <v>2621</v>
      </c>
      <c r="B211" s="24" t="s">
        <v>1211</v>
      </c>
      <c r="C211" s="24"/>
      <c r="D211" s="24"/>
      <c r="E211" s="24"/>
      <c r="F211" s="24"/>
      <c r="G211" s="24"/>
    </row>
    <row r="212" spans="1:7" ht="15.75" customHeight="1" x14ac:dyDescent="0.25">
      <c r="A212" s="24" t="s">
        <v>2622</v>
      </c>
      <c r="B212" s="24" t="s">
        <v>1215</v>
      </c>
      <c r="C212" s="24"/>
      <c r="D212" s="24"/>
      <c r="E212" s="24"/>
      <c r="F212" s="24"/>
      <c r="G212" s="24"/>
    </row>
    <row r="213" spans="1:7" ht="15.75" customHeight="1" x14ac:dyDescent="0.25">
      <c r="A213" s="24" t="s">
        <v>2623</v>
      </c>
      <c r="B213" s="24" t="s">
        <v>1224</v>
      </c>
      <c r="C213" s="24"/>
      <c r="D213" s="24"/>
      <c r="E213" s="24"/>
      <c r="F213" s="24"/>
      <c r="G213" s="24"/>
    </row>
    <row r="214" spans="1:7" ht="15.75" customHeight="1" x14ac:dyDescent="0.25">
      <c r="A214" s="24" t="s">
        <v>2624</v>
      </c>
      <c r="B214" s="24" t="s">
        <v>1235</v>
      </c>
      <c r="C214" s="24"/>
      <c r="D214" s="24"/>
      <c r="E214" s="24"/>
      <c r="F214" s="24"/>
      <c r="G214" s="24"/>
    </row>
    <row r="215" spans="1:7" ht="15.75" customHeight="1" x14ac:dyDescent="0.25">
      <c r="A215" s="24" t="s">
        <v>2626</v>
      </c>
      <c r="B215" s="24" t="s">
        <v>2627</v>
      </c>
      <c r="C215" s="24"/>
      <c r="D215" s="24"/>
      <c r="E215" s="24"/>
      <c r="F215" s="24"/>
      <c r="G215" s="24"/>
    </row>
    <row r="216" spans="1:7" ht="15.75" customHeight="1" x14ac:dyDescent="0.25">
      <c r="A216" s="24" t="s">
        <v>2629</v>
      </c>
      <c r="B216" s="24" t="s">
        <v>1238</v>
      </c>
      <c r="C216" s="24"/>
      <c r="D216" s="24"/>
      <c r="E216" s="24"/>
      <c r="F216" s="24"/>
      <c r="G216" s="24"/>
    </row>
    <row r="217" spans="1:7" ht="15.75" customHeight="1" x14ac:dyDescent="0.25">
      <c r="A217" s="24" t="s">
        <v>2630</v>
      </c>
      <c r="B217" s="24" t="s">
        <v>1252</v>
      </c>
      <c r="C217" s="24"/>
      <c r="D217" s="24"/>
      <c r="E217" s="24"/>
      <c r="F217" s="24"/>
      <c r="G217" s="24"/>
    </row>
    <row r="218" spans="1:7" ht="15.75" customHeight="1" x14ac:dyDescent="0.25">
      <c r="A218" s="24" t="s">
        <v>2470</v>
      </c>
      <c r="B218" s="24" t="s">
        <v>1262</v>
      </c>
      <c r="C218" s="24"/>
      <c r="D218" s="24"/>
      <c r="E218" s="24"/>
      <c r="F218" s="24"/>
      <c r="G218" s="24"/>
    </row>
    <row r="219" spans="1:7" ht="15.75" customHeight="1" x14ac:dyDescent="0.25">
      <c r="A219" s="24" t="s">
        <v>2635</v>
      </c>
      <c r="B219" s="24" t="s">
        <v>1265</v>
      </c>
      <c r="C219" s="24"/>
      <c r="D219" s="24"/>
      <c r="E219" s="24"/>
      <c r="F219" s="24"/>
      <c r="G219" s="24"/>
    </row>
    <row r="220" spans="1:7" ht="15.75" customHeight="1" x14ac:dyDescent="0.25">
      <c r="A220" s="24" t="s">
        <v>2636</v>
      </c>
      <c r="B220" s="24" t="s">
        <v>1269</v>
      </c>
      <c r="C220" s="24"/>
      <c r="D220" s="24"/>
      <c r="E220" s="24"/>
      <c r="F220" s="24"/>
      <c r="G220" s="24"/>
    </row>
    <row r="221" spans="1:7" ht="15.75" customHeight="1" x14ac:dyDescent="0.25">
      <c r="A221" s="24" t="s">
        <v>2637</v>
      </c>
      <c r="B221" s="24" t="s">
        <v>1272</v>
      </c>
      <c r="C221" s="24"/>
      <c r="D221" s="24"/>
      <c r="E221" s="24"/>
      <c r="F221" s="24"/>
      <c r="G221" s="24"/>
    </row>
    <row r="222" spans="1:7" ht="15.75" customHeight="1" x14ac:dyDescent="0.25">
      <c r="A222" s="24" t="s">
        <v>2640</v>
      </c>
      <c r="B222" s="24" t="s">
        <v>1274</v>
      </c>
      <c r="C222" s="24"/>
      <c r="D222" s="24"/>
      <c r="E222" s="24"/>
      <c r="F222" s="24"/>
      <c r="G222" s="24"/>
    </row>
    <row r="223" spans="1:7" ht="15.75" customHeight="1" x14ac:dyDescent="0.25">
      <c r="A223" s="24" t="s">
        <v>2642</v>
      </c>
      <c r="B223" s="24" t="s">
        <v>1297</v>
      </c>
      <c r="C223" s="24"/>
      <c r="D223" s="24"/>
      <c r="E223" s="24"/>
      <c r="F223" s="24"/>
      <c r="G223" s="24"/>
    </row>
    <row r="224" spans="1:7" ht="15.75" customHeight="1" x14ac:dyDescent="0.25">
      <c r="A224" s="24" t="s">
        <v>2643</v>
      </c>
      <c r="B224" s="24" t="s">
        <v>1299</v>
      </c>
      <c r="C224" s="24"/>
      <c r="D224" s="24"/>
      <c r="E224" s="24"/>
      <c r="F224" s="24"/>
      <c r="G224" s="24"/>
    </row>
    <row r="225" spans="1:7" ht="15.75" customHeight="1" x14ac:dyDescent="0.25">
      <c r="A225" s="24" t="s">
        <v>2644</v>
      </c>
      <c r="B225" s="24" t="s">
        <v>1302</v>
      </c>
      <c r="C225" s="24"/>
      <c r="D225" s="24"/>
      <c r="E225" s="24"/>
      <c r="F225" s="24"/>
      <c r="G225" s="24"/>
    </row>
    <row r="226" spans="1:7" ht="15.75" customHeight="1" x14ac:dyDescent="0.25">
      <c r="A226" s="24" t="s">
        <v>2647</v>
      </c>
      <c r="B226" s="24" t="s">
        <v>1306</v>
      </c>
      <c r="C226" s="24"/>
      <c r="D226" s="24"/>
      <c r="E226" s="24"/>
      <c r="F226" s="24"/>
      <c r="G226" s="24"/>
    </row>
    <row r="227" spans="1:7" ht="15.75" customHeight="1" x14ac:dyDescent="0.25">
      <c r="A227" s="24" t="s">
        <v>2648</v>
      </c>
      <c r="B227" s="24" t="s">
        <v>1308</v>
      </c>
      <c r="C227" s="24"/>
      <c r="D227" s="24"/>
      <c r="E227" s="24"/>
      <c r="F227" s="24"/>
      <c r="G227" s="24"/>
    </row>
    <row r="228" spans="1:7" ht="15.75" customHeight="1" x14ac:dyDescent="0.25">
      <c r="A228" s="24" t="s">
        <v>2649</v>
      </c>
      <c r="B228" s="24" t="s">
        <v>1316</v>
      </c>
      <c r="C228" s="24"/>
      <c r="D228" s="24"/>
      <c r="E228" s="24"/>
      <c r="F228" s="24"/>
      <c r="G228" s="24"/>
    </row>
    <row r="229" spans="1:7" ht="15.75" customHeight="1" x14ac:dyDescent="0.25">
      <c r="A229" s="24" t="s">
        <v>2651</v>
      </c>
      <c r="B229" s="24" t="s">
        <v>1323</v>
      </c>
      <c r="C229" s="24"/>
      <c r="D229" s="24"/>
      <c r="E229" s="24"/>
      <c r="F229" s="24"/>
      <c r="G229" s="24"/>
    </row>
    <row r="230" spans="1:7" ht="15.75" customHeight="1" x14ac:dyDescent="0.25">
      <c r="A230" s="24" t="s">
        <v>2303</v>
      </c>
      <c r="B230" s="24" t="s">
        <v>1332</v>
      </c>
      <c r="C230" s="24"/>
      <c r="D230" s="24"/>
      <c r="E230" s="24"/>
      <c r="F230" s="24"/>
      <c r="G230" s="24"/>
    </row>
    <row r="231" spans="1:7" ht="15.75" customHeight="1" x14ac:dyDescent="0.25">
      <c r="A231" s="24" t="s">
        <v>2653</v>
      </c>
      <c r="B231" s="24" t="s">
        <v>1332</v>
      </c>
      <c r="C231" s="24"/>
      <c r="D231" s="24"/>
      <c r="E231" s="24"/>
      <c r="F231" s="24"/>
      <c r="G231" s="24"/>
    </row>
    <row r="232" spans="1:7" ht="15.75" customHeight="1" x14ac:dyDescent="0.25">
      <c r="A232" s="24" t="s">
        <v>2657</v>
      </c>
      <c r="B232" s="24" t="s">
        <v>1336</v>
      </c>
      <c r="C232" s="24"/>
      <c r="D232" s="24"/>
      <c r="E232" s="24"/>
      <c r="F232" s="24"/>
      <c r="G232" s="24"/>
    </row>
    <row r="233" spans="1:7" ht="15.75" customHeight="1" x14ac:dyDescent="0.25">
      <c r="A233" s="24" t="s">
        <v>2659</v>
      </c>
      <c r="B233" s="24" t="s">
        <v>1339</v>
      </c>
      <c r="C233" s="24"/>
      <c r="D233" s="24"/>
      <c r="E233" s="24"/>
      <c r="F233" s="24"/>
      <c r="G233" s="24"/>
    </row>
    <row r="234" spans="1:7" ht="15.75" customHeight="1" x14ac:dyDescent="0.25">
      <c r="A234" s="24" t="s">
        <v>2661</v>
      </c>
      <c r="B234" s="24" t="s">
        <v>1342</v>
      </c>
      <c r="C234" s="24"/>
      <c r="D234" s="24"/>
      <c r="E234" s="24"/>
      <c r="F234" s="24"/>
      <c r="G234" s="24"/>
    </row>
    <row r="235" spans="1:7" ht="15.75" customHeight="1" x14ac:dyDescent="0.25">
      <c r="A235" s="24" t="s">
        <v>2663</v>
      </c>
      <c r="B235" s="24" t="s">
        <v>1345</v>
      </c>
      <c r="C235" s="24"/>
      <c r="D235" s="24"/>
      <c r="E235" s="24"/>
      <c r="F235" s="24"/>
      <c r="G235" s="24"/>
    </row>
    <row r="236" spans="1:7" ht="15.75" customHeight="1" x14ac:dyDescent="0.25">
      <c r="A236" s="24" t="s">
        <v>2665</v>
      </c>
      <c r="B236" s="24" t="s">
        <v>1348</v>
      </c>
      <c r="C236" s="24"/>
      <c r="D236" s="24"/>
      <c r="E236" s="24"/>
      <c r="F236" s="24"/>
      <c r="G236" s="24"/>
    </row>
    <row r="237" spans="1:7" ht="15.75" customHeight="1" x14ac:dyDescent="0.25">
      <c r="A237" s="24" t="s">
        <v>2667</v>
      </c>
      <c r="B237" s="24" t="s">
        <v>1366</v>
      </c>
      <c r="C237" s="24"/>
      <c r="D237" s="24"/>
      <c r="E237" s="24"/>
      <c r="F237" s="24"/>
      <c r="G237" s="24"/>
    </row>
    <row r="238" spans="1:7" ht="15.75" customHeight="1" x14ac:dyDescent="0.25">
      <c r="A238" s="24" t="s">
        <v>1763</v>
      </c>
      <c r="B238" s="24" t="s">
        <v>1384</v>
      </c>
      <c r="C238" s="24"/>
      <c r="D238" s="24"/>
      <c r="E238" s="24"/>
      <c r="F238" s="24"/>
      <c r="G238" s="24"/>
    </row>
    <row r="239" spans="1:7" ht="15.75" customHeight="1" x14ac:dyDescent="0.25">
      <c r="A239" s="24" t="s">
        <v>2671</v>
      </c>
      <c r="B239" s="24" t="s">
        <v>1387</v>
      </c>
      <c r="C239" s="24"/>
      <c r="D239" s="24"/>
      <c r="E239" s="24"/>
      <c r="F239" s="24"/>
      <c r="G239" s="24"/>
    </row>
    <row r="240" spans="1:7" ht="15.75" customHeight="1" x14ac:dyDescent="0.25">
      <c r="A240" s="24" t="s">
        <v>2672</v>
      </c>
      <c r="B240" s="24" t="s">
        <v>1390</v>
      </c>
      <c r="C240" s="24"/>
      <c r="D240" s="24"/>
      <c r="E240" s="24"/>
      <c r="F240" s="24"/>
      <c r="G240" s="24"/>
    </row>
    <row r="241" spans="1:7" ht="15.75" customHeight="1" x14ac:dyDescent="0.25">
      <c r="A241" s="24" t="s">
        <v>2673</v>
      </c>
      <c r="B241" s="24" t="s">
        <v>1395</v>
      </c>
      <c r="C241" s="24"/>
      <c r="D241" s="24"/>
      <c r="E241" s="24"/>
      <c r="F241" s="24"/>
      <c r="G241" s="24"/>
    </row>
    <row r="242" spans="1:7" ht="15.75" customHeight="1" x14ac:dyDescent="0.25">
      <c r="A242" s="24" t="s">
        <v>2675</v>
      </c>
      <c r="B242" s="24" t="s">
        <v>1397</v>
      </c>
      <c r="C242" s="24"/>
      <c r="D242" s="24"/>
      <c r="E242" s="24"/>
      <c r="F242" s="24"/>
      <c r="G242" s="24"/>
    </row>
    <row r="243" spans="1:7" ht="15.75" customHeight="1" x14ac:dyDescent="0.25">
      <c r="A243" s="24" t="s">
        <v>2678</v>
      </c>
      <c r="B243" s="24" t="s">
        <v>1400</v>
      </c>
      <c r="C243" s="24"/>
      <c r="D243" s="24"/>
      <c r="E243" s="24"/>
      <c r="F243" s="24"/>
      <c r="G243" s="24"/>
    </row>
    <row r="244" spans="1:7" ht="15.75" customHeight="1" x14ac:dyDescent="0.25">
      <c r="A244" s="24" t="s">
        <v>2680</v>
      </c>
      <c r="B244" s="24" t="s">
        <v>1409</v>
      </c>
      <c r="C244" s="24"/>
      <c r="D244" s="24"/>
      <c r="E244" s="24"/>
      <c r="F244" s="24"/>
      <c r="G244" s="24"/>
    </row>
    <row r="245" spans="1:7" ht="15.75" customHeight="1" x14ac:dyDescent="0.25">
      <c r="A245" s="24" t="s">
        <v>2681</v>
      </c>
      <c r="B245" s="24" t="s">
        <v>1412</v>
      </c>
      <c r="C245" s="24"/>
      <c r="D245" s="24"/>
      <c r="E245" s="24"/>
      <c r="F245" s="24"/>
      <c r="G245" s="24"/>
    </row>
    <row r="246" spans="1:7" ht="15.75" customHeight="1" x14ac:dyDescent="0.25">
      <c r="A246" s="24" t="s">
        <v>2682</v>
      </c>
      <c r="B246" s="24" t="s">
        <v>1416</v>
      </c>
      <c r="C246" s="24"/>
      <c r="D246" s="24"/>
      <c r="E246" s="24"/>
      <c r="F246" s="24"/>
      <c r="G246" s="24"/>
    </row>
    <row r="247" spans="1:7" ht="15.75" customHeight="1" x14ac:dyDescent="0.25">
      <c r="A247" s="24" t="s">
        <v>2684</v>
      </c>
      <c r="B247" s="24" t="s">
        <v>1420</v>
      </c>
      <c r="C247" s="24"/>
      <c r="D247" s="24"/>
      <c r="E247" s="24"/>
      <c r="F247" s="24"/>
      <c r="G247" s="24"/>
    </row>
    <row r="248" spans="1:7" ht="15.75" customHeight="1" x14ac:dyDescent="0.25">
      <c r="A248" s="24" t="s">
        <v>2686</v>
      </c>
      <c r="B248" s="24" t="s">
        <v>1423</v>
      </c>
      <c r="C248" s="24"/>
      <c r="D248" s="24"/>
      <c r="E248" s="24"/>
      <c r="F248" s="24"/>
      <c r="G248" s="24"/>
    </row>
    <row r="249" spans="1:7" ht="15.75" customHeight="1" x14ac:dyDescent="0.25">
      <c r="A249" s="24" t="s">
        <v>2520</v>
      </c>
      <c r="B249" s="24" t="s">
        <v>1426</v>
      </c>
      <c r="C249" s="24"/>
      <c r="D249" s="24"/>
      <c r="E249" s="24"/>
      <c r="F249" s="24"/>
      <c r="G249" s="24"/>
    </row>
    <row r="250" spans="1:7" ht="15.75" customHeight="1" x14ac:dyDescent="0.25">
      <c r="A250" s="24" t="s">
        <v>2688</v>
      </c>
      <c r="B250" s="24" t="s">
        <v>1429</v>
      </c>
      <c r="C250" s="24"/>
      <c r="D250" s="24"/>
      <c r="E250" s="24"/>
      <c r="F250" s="24"/>
      <c r="G250" s="24"/>
    </row>
    <row r="251" spans="1:7" ht="15.75" customHeight="1" x14ac:dyDescent="0.25">
      <c r="A251" s="24" t="s">
        <v>2690</v>
      </c>
      <c r="B251" s="24" t="s">
        <v>1437</v>
      </c>
      <c r="C251" s="24"/>
      <c r="D251" s="24"/>
      <c r="E251" s="24"/>
      <c r="F251" s="24"/>
      <c r="G251" s="24"/>
    </row>
    <row r="252" spans="1:7" ht="15.75" customHeight="1" x14ac:dyDescent="0.25">
      <c r="A252" s="24" t="s">
        <v>2693</v>
      </c>
      <c r="B252" s="24" t="s">
        <v>1440</v>
      </c>
      <c r="C252" s="24"/>
      <c r="D252" s="24"/>
      <c r="E252" s="24"/>
      <c r="F252" s="24"/>
      <c r="G252" s="24"/>
    </row>
    <row r="253" spans="1:7" ht="15.75" customHeight="1" x14ac:dyDescent="0.25">
      <c r="A253" s="24" t="s">
        <v>2694</v>
      </c>
      <c r="B253" s="24" t="s">
        <v>1451</v>
      </c>
      <c r="C253" s="24"/>
      <c r="D253" s="24"/>
      <c r="E253" s="24"/>
      <c r="F253" s="24"/>
      <c r="G253" s="24"/>
    </row>
    <row r="254" spans="1:7" ht="15.75" customHeight="1" x14ac:dyDescent="0.25">
      <c r="A254" s="24" t="s">
        <v>2695</v>
      </c>
      <c r="B254" s="24" t="s">
        <v>1461</v>
      </c>
      <c r="C254" s="24"/>
      <c r="D254" s="24"/>
      <c r="E254" s="24"/>
      <c r="F254" s="24"/>
      <c r="G254" s="24"/>
    </row>
    <row r="255" spans="1:7" ht="15.75" customHeight="1" x14ac:dyDescent="0.25">
      <c r="A255" s="24" t="s">
        <v>2698</v>
      </c>
      <c r="B255" s="24" t="s">
        <v>1463</v>
      </c>
      <c r="C255" s="24"/>
      <c r="D255" s="24"/>
      <c r="E255" s="24"/>
      <c r="F255" s="24"/>
      <c r="G255" s="24"/>
    </row>
    <row r="256" spans="1:7" ht="15.75" customHeight="1" x14ac:dyDescent="0.25">
      <c r="A256" s="24" t="s">
        <v>2699</v>
      </c>
      <c r="B256" s="24" t="s">
        <v>1466</v>
      </c>
      <c r="C256" s="24"/>
      <c r="D256" s="24"/>
      <c r="E256" s="24"/>
      <c r="F256" s="24"/>
      <c r="G256" s="24"/>
    </row>
    <row r="257" spans="1:7" ht="15.75" customHeight="1" x14ac:dyDescent="0.25">
      <c r="A257" s="24" t="s">
        <v>2701</v>
      </c>
      <c r="B257" s="24" t="s">
        <v>1470</v>
      </c>
      <c r="C257" s="24"/>
      <c r="D257" s="24"/>
      <c r="E257" s="24"/>
      <c r="F257" s="24"/>
      <c r="G257" s="24"/>
    </row>
    <row r="258" spans="1:7" ht="15.75" customHeight="1" x14ac:dyDescent="0.25">
      <c r="A258" s="24" t="s">
        <v>2702</v>
      </c>
      <c r="B258" s="24" t="s">
        <v>1473</v>
      </c>
      <c r="C258" s="24"/>
      <c r="D258" s="24"/>
      <c r="E258" s="24"/>
      <c r="F258" s="24"/>
      <c r="G258" s="24"/>
    </row>
    <row r="259" spans="1:7" ht="15.75" customHeight="1" x14ac:dyDescent="0.25">
      <c r="A259" s="24" t="s">
        <v>2703</v>
      </c>
      <c r="B259" s="24" t="s">
        <v>1475</v>
      </c>
      <c r="C259" s="24"/>
      <c r="D259" s="24"/>
      <c r="E259" s="24"/>
      <c r="F259" s="24"/>
      <c r="G259" s="24"/>
    </row>
    <row r="260" spans="1:7" ht="15.75" customHeight="1" x14ac:dyDescent="0.25">
      <c r="A260" s="24" t="s">
        <v>2704</v>
      </c>
      <c r="B260" s="24" t="s">
        <v>1479</v>
      </c>
      <c r="C260" s="24"/>
      <c r="D260" s="24"/>
      <c r="E260" s="24"/>
      <c r="F260" s="24"/>
      <c r="G260" s="24"/>
    </row>
    <row r="261" spans="1:7" ht="15.75" customHeight="1" x14ac:dyDescent="0.25">
      <c r="A261" s="24" t="s">
        <v>2705</v>
      </c>
      <c r="B261" s="24" t="s">
        <v>1483</v>
      </c>
      <c r="C261" s="24"/>
      <c r="D261" s="24"/>
      <c r="E261" s="24"/>
      <c r="F261" s="24"/>
      <c r="G261" s="24"/>
    </row>
    <row r="262" spans="1:7" ht="15.75" customHeight="1" x14ac:dyDescent="0.25">
      <c r="A262" s="24" t="s">
        <v>2706</v>
      </c>
      <c r="B262" s="24" t="s">
        <v>1485</v>
      </c>
      <c r="C262" s="24"/>
      <c r="D262" s="24"/>
      <c r="E262" s="24"/>
      <c r="F262" s="24"/>
      <c r="G262" s="24"/>
    </row>
    <row r="263" spans="1:7" ht="15.75" customHeight="1" x14ac:dyDescent="0.25">
      <c r="A263" s="24" t="s">
        <v>2707</v>
      </c>
      <c r="B263" s="24" t="s">
        <v>1488</v>
      </c>
      <c r="C263" s="24"/>
      <c r="D263" s="24"/>
      <c r="E263" s="24"/>
      <c r="F263" s="24"/>
      <c r="G263" s="24"/>
    </row>
    <row r="264" spans="1:7" ht="15.75" customHeight="1" x14ac:dyDescent="0.25">
      <c r="A264" s="24" t="s">
        <v>2708</v>
      </c>
      <c r="B264" s="24" t="s">
        <v>1491</v>
      </c>
      <c r="C264" s="24"/>
      <c r="D264" s="24"/>
      <c r="E264" s="24"/>
      <c r="F264" s="24"/>
      <c r="G264" s="24"/>
    </row>
    <row r="265" spans="1:7" ht="15.75" customHeight="1" x14ac:dyDescent="0.25">
      <c r="A265" s="24"/>
      <c r="B265" s="24" t="s">
        <v>1498</v>
      </c>
      <c r="C265" s="24"/>
      <c r="D265" s="24"/>
      <c r="E265" s="24"/>
      <c r="F265" s="24"/>
      <c r="G265" s="24"/>
    </row>
    <row r="266" spans="1:7" ht="15.75" customHeight="1" x14ac:dyDescent="0.25">
      <c r="A266" s="24"/>
      <c r="B266" s="24" t="s">
        <v>1501</v>
      </c>
      <c r="C266" s="24"/>
      <c r="D266" s="24"/>
      <c r="E266" s="24"/>
      <c r="F266" s="24"/>
      <c r="G266" s="24"/>
    </row>
    <row r="267" spans="1:7" ht="15.75" customHeight="1" x14ac:dyDescent="0.25">
      <c r="A267" s="24"/>
      <c r="B267" s="24" t="s">
        <v>1505</v>
      </c>
      <c r="C267" s="24"/>
      <c r="D267" s="24"/>
      <c r="E267" s="24"/>
      <c r="F267" s="24"/>
      <c r="G267" s="24"/>
    </row>
    <row r="268" spans="1:7" ht="15.75" customHeight="1" x14ac:dyDescent="0.25">
      <c r="A268" s="24"/>
      <c r="B268" s="24" t="s">
        <v>1507</v>
      </c>
      <c r="C268" s="24"/>
      <c r="D268" s="24"/>
      <c r="E268" s="24"/>
      <c r="F268" s="24"/>
      <c r="G268" s="24"/>
    </row>
    <row r="269" spans="1:7" ht="15.75" customHeight="1" x14ac:dyDescent="0.25">
      <c r="A269" s="24"/>
      <c r="B269" s="24" t="s">
        <v>1510</v>
      </c>
      <c r="C269" s="24"/>
      <c r="D269" s="24"/>
      <c r="E269" s="24"/>
      <c r="F269" s="24"/>
      <c r="G269" s="24"/>
    </row>
    <row r="270" spans="1:7" ht="15.75" customHeight="1" x14ac:dyDescent="0.25">
      <c r="A270" s="24"/>
      <c r="B270" s="24" t="s">
        <v>1512</v>
      </c>
      <c r="C270" s="24"/>
      <c r="D270" s="24"/>
      <c r="E270" s="24"/>
      <c r="F270" s="24"/>
      <c r="G270" s="24"/>
    </row>
    <row r="271" spans="1:7" ht="15.75" customHeight="1" x14ac:dyDescent="0.25">
      <c r="A271" s="24"/>
      <c r="B271" s="24" t="s">
        <v>1517</v>
      </c>
      <c r="C271" s="24"/>
      <c r="D271" s="24"/>
      <c r="E271" s="24"/>
      <c r="F271" s="24"/>
      <c r="G271" s="24"/>
    </row>
    <row r="272" spans="1:7" ht="15.75" customHeight="1" x14ac:dyDescent="0.25">
      <c r="A272" s="24"/>
      <c r="B272" s="24" t="s">
        <v>1520</v>
      </c>
      <c r="C272" s="24"/>
      <c r="D272" s="24"/>
      <c r="E272" s="24"/>
      <c r="F272" s="24"/>
      <c r="G272" s="24"/>
    </row>
    <row r="273" spans="1:7" ht="15.75" customHeight="1" x14ac:dyDescent="0.25">
      <c r="A273" s="24"/>
      <c r="B273" s="24" t="s">
        <v>1526</v>
      </c>
      <c r="C273" s="24"/>
      <c r="D273" s="24"/>
      <c r="E273" s="24"/>
      <c r="F273" s="24"/>
      <c r="G273" s="24"/>
    </row>
    <row r="274" spans="1:7" ht="15.75" customHeight="1" x14ac:dyDescent="0.25">
      <c r="A274" s="24"/>
      <c r="B274" s="24" t="s">
        <v>1530</v>
      </c>
      <c r="C274" s="24"/>
      <c r="D274" s="24"/>
      <c r="E274" s="24"/>
      <c r="F274" s="24"/>
      <c r="G274" s="24"/>
    </row>
    <row r="275" spans="1:7" ht="15.75" customHeight="1" x14ac:dyDescent="0.25">
      <c r="A275" s="24"/>
      <c r="B275" s="24" t="s">
        <v>1532</v>
      </c>
      <c r="C275" s="24"/>
      <c r="D275" s="24"/>
      <c r="E275" s="24"/>
      <c r="F275" s="24"/>
      <c r="G275" s="24"/>
    </row>
    <row r="276" spans="1:7" ht="15.75" customHeight="1" x14ac:dyDescent="0.25">
      <c r="A276" s="24"/>
      <c r="B276" s="24" t="s">
        <v>1537</v>
      </c>
      <c r="C276" s="24"/>
      <c r="D276" s="24"/>
      <c r="E276" s="24"/>
      <c r="F276" s="24"/>
      <c r="G276" s="24"/>
    </row>
    <row r="277" spans="1:7" ht="15.75" customHeight="1" x14ac:dyDescent="0.25">
      <c r="A277" s="24"/>
      <c r="B277" s="24" t="s">
        <v>1543</v>
      </c>
      <c r="C277" s="24"/>
      <c r="D277" s="24"/>
      <c r="E277" s="24"/>
      <c r="F277" s="24"/>
      <c r="G277" s="24"/>
    </row>
    <row r="278" spans="1:7" ht="15.75" customHeight="1" x14ac:dyDescent="0.25">
      <c r="A278" s="24"/>
      <c r="B278" s="24" t="s">
        <v>1547</v>
      </c>
      <c r="C278" s="24"/>
      <c r="D278" s="24"/>
      <c r="E278" s="24"/>
      <c r="F278" s="24"/>
      <c r="G278" s="24"/>
    </row>
    <row r="279" spans="1:7" ht="15.75" customHeight="1" x14ac:dyDescent="0.25">
      <c r="A279" s="24"/>
      <c r="B279" s="24" t="s">
        <v>1551</v>
      </c>
      <c r="C279" s="24"/>
      <c r="D279" s="24"/>
      <c r="E279" s="24"/>
      <c r="F279" s="24"/>
      <c r="G279" s="24"/>
    </row>
    <row r="280" spans="1:7" ht="15.75" customHeight="1" x14ac:dyDescent="0.25">
      <c r="A280" s="24"/>
      <c r="B280" s="24" t="s">
        <v>1553</v>
      </c>
      <c r="C280" s="24"/>
      <c r="D280" s="24"/>
      <c r="E280" s="24"/>
      <c r="F280" s="24"/>
      <c r="G280" s="24"/>
    </row>
    <row r="281" spans="1:7" ht="15.75" customHeight="1" x14ac:dyDescent="0.25">
      <c r="A281" s="24"/>
      <c r="B281" s="24" t="s">
        <v>1559</v>
      </c>
      <c r="C281" s="24"/>
      <c r="D281" s="24"/>
      <c r="E281" s="24"/>
      <c r="F281" s="24"/>
      <c r="G281" s="24"/>
    </row>
    <row r="282" spans="1:7" ht="15.75" customHeight="1" x14ac:dyDescent="0.25">
      <c r="A282" s="24"/>
      <c r="B282" s="24" t="s">
        <v>1561</v>
      </c>
      <c r="C282" s="24"/>
      <c r="D282" s="24"/>
      <c r="E282" s="24"/>
      <c r="F282" s="24"/>
      <c r="G282" s="24"/>
    </row>
    <row r="283" spans="1:7" ht="15.75" customHeight="1" x14ac:dyDescent="0.25">
      <c r="A283" s="24"/>
      <c r="B283" s="24" t="s">
        <v>1563</v>
      </c>
      <c r="C283" s="24"/>
      <c r="D283" s="24"/>
      <c r="E283" s="24"/>
      <c r="F283" s="24"/>
      <c r="G283" s="24"/>
    </row>
    <row r="284" spans="1:7" ht="15.75" customHeight="1" x14ac:dyDescent="0.25">
      <c r="A284" s="24"/>
      <c r="B284" s="24" t="s">
        <v>1568</v>
      </c>
      <c r="C284" s="24"/>
      <c r="D284" s="24"/>
      <c r="E284" s="24"/>
      <c r="F284" s="24"/>
      <c r="G284" s="24"/>
    </row>
    <row r="285" spans="1:7" ht="15.75" customHeight="1" x14ac:dyDescent="0.25">
      <c r="A285" s="24"/>
      <c r="B285" s="24" t="s">
        <v>1585</v>
      </c>
      <c r="C285" s="24"/>
      <c r="D285" s="24"/>
      <c r="E285" s="24"/>
      <c r="F285" s="24"/>
      <c r="G285" s="24"/>
    </row>
    <row r="286" spans="1:7" ht="15.75" customHeight="1" x14ac:dyDescent="0.25">
      <c r="A286" s="24"/>
      <c r="B286" s="24" t="s">
        <v>1588</v>
      </c>
      <c r="C286" s="24"/>
      <c r="D286" s="24"/>
      <c r="E286" s="24"/>
      <c r="F286" s="24"/>
      <c r="G286" s="24"/>
    </row>
    <row r="287" spans="1:7" ht="15.75" customHeight="1" x14ac:dyDescent="0.25">
      <c r="A287" s="24"/>
      <c r="B287" s="24" t="s">
        <v>1590</v>
      </c>
      <c r="C287" s="24"/>
      <c r="D287" s="24"/>
      <c r="E287" s="24"/>
      <c r="F287" s="24"/>
      <c r="G287" s="24"/>
    </row>
    <row r="288" spans="1:7" ht="15.75" customHeight="1" x14ac:dyDescent="0.25">
      <c r="A288" s="24"/>
      <c r="B288" s="24" t="s">
        <v>1594</v>
      </c>
      <c r="C288" s="24"/>
      <c r="D288" s="24"/>
      <c r="E288" s="24"/>
      <c r="F288" s="24"/>
      <c r="G288" s="24"/>
    </row>
    <row r="289" spans="1:7" ht="15.75" customHeight="1" x14ac:dyDescent="0.25">
      <c r="A289" s="24"/>
      <c r="B289" s="24" t="s">
        <v>1597</v>
      </c>
      <c r="C289" s="24"/>
      <c r="D289" s="24"/>
      <c r="E289" s="24"/>
      <c r="F289" s="24"/>
      <c r="G289" s="24"/>
    </row>
    <row r="290" spans="1:7" ht="15.75" customHeight="1" x14ac:dyDescent="0.25">
      <c r="A290" s="24"/>
      <c r="B290" s="24" t="s">
        <v>1600</v>
      </c>
      <c r="C290" s="24"/>
      <c r="D290" s="24"/>
      <c r="E290" s="24"/>
      <c r="F290" s="24"/>
      <c r="G290" s="24"/>
    </row>
    <row r="291" spans="1:7" ht="15.75" customHeight="1" x14ac:dyDescent="0.25">
      <c r="A291" s="24"/>
      <c r="B291" s="24" t="s">
        <v>1604</v>
      </c>
      <c r="C291" s="24"/>
      <c r="D291" s="24"/>
      <c r="E291" s="24"/>
      <c r="F291" s="24"/>
      <c r="G291" s="24"/>
    </row>
    <row r="292" spans="1:7" ht="15.75" customHeight="1" x14ac:dyDescent="0.25">
      <c r="A292" s="24"/>
      <c r="B292" s="24" t="s">
        <v>1608</v>
      </c>
      <c r="C292" s="24"/>
      <c r="D292" s="24"/>
      <c r="E292" s="24"/>
      <c r="F292" s="24"/>
      <c r="G292" s="24"/>
    </row>
    <row r="293" spans="1:7" ht="15.75" customHeight="1" x14ac:dyDescent="0.25">
      <c r="A293" s="24"/>
      <c r="B293" s="24" t="s">
        <v>1613</v>
      </c>
      <c r="C293" s="24"/>
      <c r="D293" s="24"/>
      <c r="E293" s="24"/>
      <c r="F293" s="24"/>
      <c r="G293" s="24"/>
    </row>
    <row r="294" spans="1:7" ht="15.75" customHeight="1" x14ac:dyDescent="0.25">
      <c r="A294" s="24"/>
      <c r="B294" s="24" t="s">
        <v>1620</v>
      </c>
      <c r="C294" s="24"/>
      <c r="D294" s="24"/>
      <c r="E294" s="24"/>
      <c r="F294" s="24"/>
      <c r="G294" s="24"/>
    </row>
    <row r="295" spans="1:7" ht="15.75" customHeight="1" x14ac:dyDescent="0.25">
      <c r="A295" s="24"/>
      <c r="B295" s="24" t="s">
        <v>1629</v>
      </c>
      <c r="C295" s="24"/>
      <c r="D295" s="24"/>
      <c r="E295" s="24"/>
      <c r="F295" s="24"/>
      <c r="G295" s="24"/>
    </row>
    <row r="296" spans="1:7" ht="15.75" customHeight="1" x14ac:dyDescent="0.25">
      <c r="A296" s="24"/>
      <c r="B296" s="24" t="s">
        <v>1625</v>
      </c>
      <c r="C296" s="24"/>
      <c r="D296" s="24"/>
      <c r="E296" s="24"/>
      <c r="F296" s="24"/>
      <c r="G296" s="24"/>
    </row>
    <row r="297" spans="1:7" ht="15.75" customHeight="1" x14ac:dyDescent="0.25">
      <c r="A297" s="24"/>
      <c r="B297" s="24" t="s">
        <v>1631</v>
      </c>
      <c r="C297" s="24"/>
      <c r="D297" s="24"/>
      <c r="E297" s="24"/>
      <c r="F297" s="24"/>
      <c r="G297" s="24"/>
    </row>
    <row r="298" spans="1:7" ht="15.75" customHeight="1" x14ac:dyDescent="0.25">
      <c r="A298" s="24"/>
      <c r="B298" s="24" t="s">
        <v>1641</v>
      </c>
      <c r="C298" s="24"/>
      <c r="D298" s="24"/>
      <c r="E298" s="24"/>
      <c r="F298" s="24"/>
      <c r="G298" s="24"/>
    </row>
    <row r="299" spans="1:7" ht="15.75" customHeight="1" x14ac:dyDescent="0.25">
      <c r="A299" s="24"/>
      <c r="B299" s="24" t="s">
        <v>1649</v>
      </c>
      <c r="C299" s="24"/>
      <c r="D299" s="24"/>
      <c r="E299" s="24"/>
      <c r="F299" s="24"/>
      <c r="G299" s="24"/>
    </row>
    <row r="300" spans="1:7" ht="15.75" customHeight="1" x14ac:dyDescent="0.25">
      <c r="A300" s="24"/>
      <c r="B300" s="24" t="s">
        <v>1659</v>
      </c>
      <c r="C300" s="24"/>
      <c r="D300" s="24"/>
      <c r="E300" s="24"/>
      <c r="F300" s="24"/>
      <c r="G300" s="24"/>
    </row>
    <row r="301" spans="1:7" ht="15.75" customHeight="1" x14ac:dyDescent="0.25">
      <c r="A301" s="24"/>
      <c r="B301" s="24" t="s">
        <v>1671</v>
      </c>
      <c r="C301" s="24"/>
      <c r="D301" s="24"/>
      <c r="E301" s="24"/>
      <c r="F301" s="24"/>
      <c r="G301" s="24"/>
    </row>
    <row r="302" spans="1:7" ht="15.75" customHeight="1" x14ac:dyDescent="0.25">
      <c r="A302" s="24"/>
      <c r="B302" s="24" t="s">
        <v>1674</v>
      </c>
      <c r="C302" s="24"/>
      <c r="D302" s="24"/>
      <c r="E302" s="24"/>
      <c r="F302" s="24"/>
      <c r="G302" s="24"/>
    </row>
    <row r="303" spans="1:7" ht="15.75" customHeight="1" x14ac:dyDescent="0.25">
      <c r="A303" s="24"/>
      <c r="B303" s="24" t="s">
        <v>1681</v>
      </c>
      <c r="C303" s="24"/>
      <c r="D303" s="24"/>
      <c r="E303" s="24"/>
      <c r="F303" s="24"/>
      <c r="G303" s="24"/>
    </row>
    <row r="304" spans="1:7" ht="15.75" customHeight="1" x14ac:dyDescent="0.25">
      <c r="A304" s="24"/>
      <c r="B304" s="24" t="s">
        <v>1683</v>
      </c>
      <c r="C304" s="24"/>
      <c r="D304" s="24"/>
      <c r="E304" s="24"/>
      <c r="F304" s="24"/>
      <c r="G304" s="24"/>
    </row>
    <row r="305" spans="1:7" ht="15.75" customHeight="1" x14ac:dyDescent="0.25">
      <c r="A305" s="24"/>
      <c r="B305" s="24" t="s">
        <v>1686</v>
      </c>
      <c r="C305" s="24"/>
      <c r="D305" s="24"/>
      <c r="E305" s="24"/>
      <c r="F305" s="24"/>
      <c r="G305" s="24"/>
    </row>
    <row r="306" spans="1:7" ht="15.75" customHeight="1" x14ac:dyDescent="0.25">
      <c r="A306" s="24"/>
      <c r="B306" s="24" t="s">
        <v>1690</v>
      </c>
      <c r="C306" s="24"/>
      <c r="D306" s="24"/>
      <c r="E306" s="24"/>
      <c r="F306" s="24"/>
      <c r="G306" s="24"/>
    </row>
    <row r="307" spans="1:7" ht="15.75" customHeight="1" x14ac:dyDescent="0.25">
      <c r="A307" s="24"/>
      <c r="B307" s="24" t="s">
        <v>1695</v>
      </c>
      <c r="C307" s="24"/>
      <c r="D307" s="24"/>
      <c r="E307" s="24"/>
      <c r="F307" s="24"/>
      <c r="G307" s="24"/>
    </row>
    <row r="308" spans="1:7" ht="15.75" customHeight="1" x14ac:dyDescent="0.25">
      <c r="A308" s="24"/>
      <c r="B308" s="24" t="s">
        <v>1698</v>
      </c>
      <c r="C308" s="24"/>
      <c r="D308" s="24"/>
      <c r="E308" s="24"/>
      <c r="F308" s="24"/>
      <c r="G308" s="24"/>
    </row>
    <row r="309" spans="1:7" ht="15.75" customHeight="1" x14ac:dyDescent="0.25">
      <c r="B309" s="24" t="s">
        <v>1701</v>
      </c>
      <c r="C309" s="24"/>
      <c r="D309" s="24"/>
      <c r="E309" s="24"/>
      <c r="F309" s="24"/>
      <c r="G309" s="24"/>
    </row>
    <row r="310" spans="1:7" ht="15.75" customHeight="1" x14ac:dyDescent="0.25">
      <c r="A310" s="24"/>
      <c r="B310" s="24" t="s">
        <v>1706</v>
      </c>
      <c r="C310" s="24"/>
      <c r="D310" s="24"/>
      <c r="E310" s="24"/>
      <c r="F310" s="24"/>
      <c r="G310" s="24"/>
    </row>
    <row r="311" spans="1:7" ht="15.75" customHeight="1" x14ac:dyDescent="0.25">
      <c r="B311" s="24" t="s">
        <v>1709</v>
      </c>
      <c r="C311" s="24"/>
      <c r="D311" s="24"/>
      <c r="E311" s="24"/>
      <c r="F311" s="24"/>
      <c r="G311" s="24"/>
    </row>
    <row r="312" spans="1:7" ht="15.75" customHeight="1" x14ac:dyDescent="0.25">
      <c r="B312" s="24" t="s">
        <v>953</v>
      </c>
      <c r="F312" s="24"/>
      <c r="G312" s="24"/>
    </row>
    <row r="313" spans="1:7" ht="15.75" customHeight="1" x14ac:dyDescent="0.25">
      <c r="B313" s="24" t="s">
        <v>1715</v>
      </c>
      <c r="F313" s="24"/>
      <c r="G313" s="24"/>
    </row>
    <row r="314" spans="1:7" ht="15.75" customHeight="1" x14ac:dyDescent="0.25">
      <c r="B314" s="24" t="s">
        <v>1722</v>
      </c>
      <c r="F314" s="24"/>
      <c r="G314" s="24"/>
    </row>
    <row r="315" spans="1:7" ht="15.75" customHeight="1" x14ac:dyDescent="0.25">
      <c r="B315" s="24" t="s">
        <v>1725</v>
      </c>
      <c r="F315" s="24"/>
      <c r="G315" s="24"/>
    </row>
    <row r="316" spans="1:7" ht="15.75" customHeight="1" x14ac:dyDescent="0.25">
      <c r="B316" s="24" t="s">
        <v>1731</v>
      </c>
      <c r="D316" s="24"/>
      <c r="F316" s="24"/>
      <c r="G316" s="24"/>
    </row>
    <row r="317" spans="1:7" ht="15.75" customHeight="1" x14ac:dyDescent="0.25">
      <c r="B317" s="24" t="s">
        <v>1735</v>
      </c>
      <c r="D317" s="24"/>
      <c r="E317" s="24"/>
      <c r="F317" s="24"/>
      <c r="G317" s="24"/>
    </row>
    <row r="318" spans="1:7" ht="15.75" customHeight="1" x14ac:dyDescent="0.25">
      <c r="B318" s="24" t="s">
        <v>1739</v>
      </c>
      <c r="D318" s="24"/>
      <c r="E318" s="24"/>
      <c r="F318" s="24"/>
      <c r="G318" s="24"/>
    </row>
    <row r="319" spans="1:7" ht="15.75" customHeight="1" x14ac:dyDescent="0.25">
      <c r="B319" s="24" t="s">
        <v>1754</v>
      </c>
      <c r="D319" s="24"/>
      <c r="E319" s="24"/>
      <c r="F319" s="24"/>
      <c r="G319" s="24"/>
    </row>
    <row r="320" spans="1:7" ht="15.75" customHeight="1" x14ac:dyDescent="0.25">
      <c r="B320" s="24" t="s">
        <v>1758</v>
      </c>
      <c r="D320" s="24"/>
      <c r="E320" s="24"/>
      <c r="F320" s="24"/>
      <c r="G320" s="24"/>
    </row>
    <row r="321" spans="1:7" ht="15.75" customHeight="1" x14ac:dyDescent="0.25">
      <c r="B321" s="24" t="s">
        <v>1763</v>
      </c>
      <c r="D321" s="24"/>
      <c r="E321" s="24"/>
      <c r="F321" s="24"/>
      <c r="G321" s="24"/>
    </row>
    <row r="322" spans="1:7" ht="15.75" customHeight="1" x14ac:dyDescent="0.25">
      <c r="B322" s="24" t="s">
        <v>1774</v>
      </c>
      <c r="D322" s="24"/>
      <c r="E322" s="24"/>
      <c r="F322" s="24"/>
      <c r="G322" s="24"/>
    </row>
    <row r="323" spans="1:7" ht="15.75" customHeight="1" x14ac:dyDescent="0.25">
      <c r="B323" s="24" t="s">
        <v>1779</v>
      </c>
      <c r="C323" s="24"/>
      <c r="D323" s="24"/>
      <c r="E323" s="24"/>
      <c r="F323" s="24"/>
      <c r="G323" s="24"/>
    </row>
    <row r="324" spans="1:7" ht="15.75" customHeight="1" x14ac:dyDescent="0.25">
      <c r="B324" s="24" t="s">
        <v>1782</v>
      </c>
      <c r="C324" s="24"/>
      <c r="D324" s="24"/>
      <c r="E324" s="24"/>
      <c r="F324" s="24"/>
      <c r="G324" s="24"/>
    </row>
    <row r="325" spans="1:7" ht="15.75" customHeight="1" x14ac:dyDescent="0.25">
      <c r="B325" s="24" t="s">
        <v>1785</v>
      </c>
      <c r="C325" s="24"/>
      <c r="D325" s="24"/>
      <c r="E325" s="24"/>
      <c r="F325" s="24"/>
      <c r="G325" s="24"/>
    </row>
    <row r="326" spans="1:7" ht="15.75" customHeight="1" x14ac:dyDescent="0.25">
      <c r="B326" s="24" t="s">
        <v>1788</v>
      </c>
      <c r="C326" s="24"/>
      <c r="D326" s="24"/>
      <c r="E326" s="24"/>
      <c r="F326" s="24"/>
      <c r="G326" s="24"/>
    </row>
    <row r="327" spans="1:7" ht="15.75" customHeight="1" x14ac:dyDescent="0.25">
      <c r="A327" s="24"/>
      <c r="B327" s="24" t="s">
        <v>1792</v>
      </c>
      <c r="C327" s="24"/>
      <c r="D327" s="24"/>
      <c r="E327" s="24"/>
      <c r="F327" s="24"/>
      <c r="G327" s="24"/>
    </row>
    <row r="328" spans="1:7" ht="15.75" customHeight="1" x14ac:dyDescent="0.25">
      <c r="B328" s="24" t="s">
        <v>1796</v>
      </c>
      <c r="C328" s="24"/>
      <c r="D328" s="24"/>
      <c r="E328" s="24"/>
      <c r="F328" s="24"/>
      <c r="G328" s="24"/>
    </row>
    <row r="329" spans="1:7" ht="15.75" customHeight="1" x14ac:dyDescent="0.25">
      <c r="B329" s="24" t="s">
        <v>1800</v>
      </c>
      <c r="C329" s="24"/>
      <c r="D329" s="24"/>
      <c r="E329" s="24"/>
      <c r="F329" s="24"/>
      <c r="G329" s="24"/>
    </row>
    <row r="330" spans="1:7" ht="15.75" customHeight="1" x14ac:dyDescent="0.25">
      <c r="B330" s="24" t="s">
        <v>1803</v>
      </c>
      <c r="C330" s="24"/>
      <c r="D330" s="24"/>
      <c r="E330" s="24"/>
      <c r="F330" s="24"/>
      <c r="G330" s="24"/>
    </row>
    <row r="331" spans="1:7" ht="15.75" customHeight="1" x14ac:dyDescent="0.25">
      <c r="A331" s="24"/>
      <c r="B331" s="24" t="s">
        <v>1807</v>
      </c>
      <c r="C331" s="24"/>
      <c r="D331" s="24"/>
      <c r="E331" s="24"/>
      <c r="F331" s="24"/>
      <c r="G331" s="24"/>
    </row>
    <row r="332" spans="1:7" ht="15.75" customHeight="1" x14ac:dyDescent="0.25">
      <c r="B332" s="24" t="s">
        <v>1810</v>
      </c>
      <c r="C332" s="24"/>
      <c r="D332" s="24"/>
      <c r="E332" s="24"/>
      <c r="F332" s="24"/>
      <c r="G332" s="24"/>
    </row>
    <row r="333" spans="1:7" ht="15.75" customHeight="1" x14ac:dyDescent="0.25">
      <c r="B333" s="24" t="s">
        <v>1813</v>
      </c>
      <c r="C333" s="24"/>
      <c r="D333" s="24"/>
      <c r="E333" s="24"/>
      <c r="F333" s="24"/>
      <c r="G333" s="24"/>
    </row>
    <row r="334" spans="1:7" ht="15.75" customHeight="1" x14ac:dyDescent="0.25">
      <c r="B334" s="24" t="s">
        <v>1817</v>
      </c>
      <c r="C334" s="24"/>
      <c r="D334" s="24"/>
      <c r="E334" s="24"/>
      <c r="F334" s="24"/>
      <c r="G334" s="24"/>
    </row>
    <row r="335" spans="1:7" ht="15.75" customHeight="1" x14ac:dyDescent="0.25">
      <c r="B335" s="24" t="s">
        <v>1831</v>
      </c>
      <c r="C335" s="24"/>
      <c r="D335" s="24"/>
      <c r="E335" s="24"/>
      <c r="F335" s="24"/>
      <c r="G335" s="24"/>
    </row>
    <row r="336" spans="1:7" ht="15.75" customHeight="1" x14ac:dyDescent="0.25">
      <c r="B336" s="24" t="s">
        <v>1835</v>
      </c>
      <c r="C336" s="24"/>
      <c r="D336" s="24"/>
      <c r="E336" s="24"/>
      <c r="F336" s="24"/>
      <c r="G336" s="24"/>
    </row>
    <row r="337" spans="1:7" ht="15.75" customHeight="1" x14ac:dyDescent="0.25">
      <c r="B337" s="24" t="s">
        <v>1820</v>
      </c>
      <c r="C337" s="24"/>
      <c r="D337" s="24"/>
      <c r="E337" s="24"/>
      <c r="F337" s="24"/>
      <c r="G337" s="24"/>
    </row>
    <row r="338" spans="1:7" ht="15.75" customHeight="1" x14ac:dyDescent="0.25">
      <c r="B338" s="24" t="s">
        <v>1823</v>
      </c>
      <c r="C338" s="24"/>
      <c r="D338" s="24"/>
      <c r="E338" s="24"/>
      <c r="F338" s="24"/>
      <c r="G338" s="24"/>
    </row>
    <row r="339" spans="1:7" ht="15.75" customHeight="1" x14ac:dyDescent="0.25">
      <c r="B339" s="24" t="s">
        <v>1840</v>
      </c>
      <c r="C339" s="24"/>
      <c r="D339" s="24"/>
      <c r="E339" s="24"/>
      <c r="F339" s="24"/>
      <c r="G339" s="24"/>
    </row>
    <row r="340" spans="1:7" ht="15.75" customHeight="1" x14ac:dyDescent="0.25">
      <c r="B340" s="24" t="s">
        <v>1843</v>
      </c>
      <c r="C340" s="24"/>
      <c r="D340" s="24"/>
      <c r="E340" s="24"/>
      <c r="F340" s="24"/>
      <c r="G340" s="24"/>
    </row>
    <row r="341" spans="1:7" ht="15.75" customHeight="1" x14ac:dyDescent="0.25">
      <c r="B341" s="24" t="s">
        <v>1852</v>
      </c>
      <c r="C341" s="24"/>
      <c r="D341" s="24"/>
      <c r="E341" s="24"/>
      <c r="F341" s="24"/>
      <c r="G341" s="24"/>
    </row>
    <row r="342" spans="1:7" ht="15.75" customHeight="1" x14ac:dyDescent="0.25">
      <c r="B342" s="24" t="s">
        <v>1855</v>
      </c>
      <c r="C342" s="24"/>
      <c r="D342" s="24"/>
      <c r="E342" s="24"/>
      <c r="F342" s="24"/>
      <c r="G342" s="24"/>
    </row>
    <row r="343" spans="1:7" ht="15.75" customHeight="1" x14ac:dyDescent="0.25">
      <c r="B343" s="24" t="s">
        <v>1861</v>
      </c>
      <c r="C343" s="24"/>
      <c r="D343" s="24"/>
      <c r="E343" s="24"/>
      <c r="F343" s="24"/>
      <c r="G343" s="24"/>
    </row>
    <row r="344" spans="1:7" ht="15.75" customHeight="1" x14ac:dyDescent="0.25">
      <c r="B344" s="24" t="s">
        <v>1867</v>
      </c>
      <c r="C344" s="24"/>
      <c r="D344" s="24"/>
      <c r="E344" s="24"/>
      <c r="F344" s="24"/>
      <c r="G344" s="24"/>
    </row>
    <row r="345" spans="1:7" ht="15.75" customHeight="1" x14ac:dyDescent="0.25">
      <c r="B345" s="24" t="s">
        <v>1876</v>
      </c>
      <c r="C345" s="24"/>
      <c r="D345" s="24"/>
      <c r="E345" s="24"/>
      <c r="F345" s="24"/>
      <c r="G345" s="24"/>
    </row>
    <row r="346" spans="1:7" ht="15.75" customHeight="1" x14ac:dyDescent="0.25">
      <c r="B346" s="24" t="s">
        <v>1870</v>
      </c>
      <c r="C346" s="24"/>
      <c r="D346" s="24"/>
      <c r="E346" s="24"/>
      <c r="F346" s="24"/>
      <c r="G346" s="24"/>
    </row>
    <row r="347" spans="1:7" ht="15.75" customHeight="1" x14ac:dyDescent="0.25">
      <c r="B347" s="24" t="s">
        <v>1879</v>
      </c>
      <c r="C347" s="24"/>
      <c r="D347" s="24"/>
      <c r="E347" s="24"/>
      <c r="F347" s="24"/>
      <c r="G347" s="24"/>
    </row>
    <row r="348" spans="1:7" ht="15.75" customHeight="1" x14ac:dyDescent="0.25">
      <c r="B348" s="24" t="s">
        <v>1890</v>
      </c>
      <c r="C348" s="24"/>
      <c r="D348" s="24"/>
      <c r="E348" s="24"/>
      <c r="F348" s="24"/>
      <c r="G348" s="24"/>
    </row>
    <row r="349" spans="1:7" ht="15.75" customHeight="1" x14ac:dyDescent="0.25">
      <c r="B349" s="24" t="s">
        <v>1894</v>
      </c>
      <c r="C349" s="24"/>
      <c r="D349" s="24"/>
      <c r="E349" s="24"/>
      <c r="F349" s="24"/>
      <c r="G349" s="24"/>
    </row>
    <row r="350" spans="1:7" ht="15.75" customHeight="1" x14ac:dyDescent="0.25">
      <c r="A350" s="24"/>
      <c r="B350" s="24" t="s">
        <v>1897</v>
      </c>
      <c r="C350" s="24"/>
      <c r="D350" s="24"/>
      <c r="E350" s="24"/>
      <c r="F350" s="24"/>
      <c r="G350" s="24"/>
    </row>
    <row r="351" spans="1:7" ht="15.75" customHeight="1" x14ac:dyDescent="0.25">
      <c r="B351" s="24" t="s">
        <v>1904</v>
      </c>
      <c r="C351" s="24"/>
      <c r="D351" s="24"/>
      <c r="E351" s="24"/>
      <c r="F351" s="24"/>
      <c r="G351" s="24"/>
    </row>
    <row r="352" spans="1:7" ht="15.75" customHeight="1" x14ac:dyDescent="0.25">
      <c r="B352" s="24" t="s">
        <v>1914</v>
      </c>
      <c r="C352" s="24"/>
      <c r="D352" s="24"/>
      <c r="E352" s="24"/>
      <c r="F352" s="24"/>
      <c r="G352" s="24"/>
    </row>
    <row r="353" spans="2:7" ht="15.75" customHeight="1" x14ac:dyDescent="0.25">
      <c r="B353" s="24" t="s">
        <v>1917</v>
      </c>
      <c r="C353" s="24"/>
      <c r="D353" s="24"/>
      <c r="E353" s="24"/>
      <c r="F353" s="24"/>
      <c r="G353" s="24"/>
    </row>
    <row r="354" spans="2:7" ht="15.75" customHeight="1" x14ac:dyDescent="0.25">
      <c r="B354" s="24" t="s">
        <v>1920</v>
      </c>
      <c r="C354" s="24"/>
      <c r="D354" s="24"/>
      <c r="E354" s="24"/>
      <c r="F354" s="24"/>
      <c r="G354" s="24"/>
    </row>
    <row r="355" spans="2:7" ht="15.75" customHeight="1" x14ac:dyDescent="0.25">
      <c r="B355" s="24" t="s">
        <v>1923</v>
      </c>
      <c r="C355" s="24"/>
      <c r="D355" s="24"/>
      <c r="E355" s="24"/>
      <c r="F355" s="24"/>
      <c r="G355" s="24"/>
    </row>
    <row r="356" spans="2:7" ht="15.75" customHeight="1" x14ac:dyDescent="0.25">
      <c r="B356" s="24" t="s">
        <v>1935</v>
      </c>
      <c r="C356" s="24"/>
      <c r="D356" s="24"/>
      <c r="E356" s="24"/>
      <c r="F356" s="24"/>
      <c r="G356" s="24"/>
    </row>
    <row r="357" spans="2:7" ht="15.75" customHeight="1" x14ac:dyDescent="0.25">
      <c r="B357" s="24" t="s">
        <v>1939</v>
      </c>
      <c r="C357" s="24"/>
      <c r="D357" s="24"/>
      <c r="E357" s="24"/>
      <c r="F357" s="24"/>
      <c r="G357" s="24"/>
    </row>
    <row r="358" spans="2:7" ht="15.75" customHeight="1" x14ac:dyDescent="0.25">
      <c r="B358" s="24" t="s">
        <v>1944</v>
      </c>
      <c r="C358" s="24"/>
      <c r="D358" s="24"/>
      <c r="E358" s="24"/>
      <c r="F358" s="24"/>
      <c r="G358" s="24"/>
    </row>
    <row r="359" spans="2:7" ht="15.75" customHeight="1" x14ac:dyDescent="0.25">
      <c r="B359" s="24" t="s">
        <v>1947</v>
      </c>
      <c r="C359" s="24"/>
      <c r="D359" s="24"/>
      <c r="E359" s="24"/>
      <c r="F359" s="24"/>
      <c r="G359" s="24"/>
    </row>
    <row r="360" spans="2:7" ht="15.75" customHeight="1" x14ac:dyDescent="0.25">
      <c r="B360" s="24" t="s">
        <v>1950</v>
      </c>
      <c r="E360" s="24"/>
      <c r="F360" s="24"/>
      <c r="G360" s="24"/>
    </row>
    <row r="361" spans="2:7" ht="15.75" customHeight="1" x14ac:dyDescent="0.25">
      <c r="B361" s="24" t="s">
        <v>1955</v>
      </c>
      <c r="D361" s="24"/>
      <c r="E361" s="24"/>
      <c r="F361" s="24"/>
      <c r="G361" s="24"/>
    </row>
    <row r="362" spans="2:7" ht="15.75" customHeight="1" x14ac:dyDescent="0.25">
      <c r="B362" s="24" t="s">
        <v>1962</v>
      </c>
      <c r="C362" s="24"/>
      <c r="D362" s="24"/>
      <c r="E362" s="24"/>
      <c r="F362" s="24"/>
      <c r="G362" s="24"/>
    </row>
    <row r="363" spans="2:7" ht="15.75" customHeight="1" x14ac:dyDescent="0.25">
      <c r="B363" s="24" t="s">
        <v>1964</v>
      </c>
      <c r="C363" s="24"/>
      <c r="D363" s="24"/>
      <c r="E363" s="24"/>
      <c r="F363" s="24"/>
      <c r="G363" s="24"/>
    </row>
    <row r="364" spans="2:7" ht="15.75" customHeight="1" x14ac:dyDescent="0.25">
      <c r="B364" s="24" t="s">
        <v>1968</v>
      </c>
      <c r="C364" s="24"/>
      <c r="D364" s="24"/>
      <c r="E364" s="24"/>
      <c r="F364" s="24"/>
      <c r="G364" s="24"/>
    </row>
    <row r="365" spans="2:7" ht="15.75" customHeight="1" x14ac:dyDescent="0.25">
      <c r="B365" s="24" t="s">
        <v>1970</v>
      </c>
      <c r="C365" s="24"/>
      <c r="D365" s="24"/>
      <c r="E365" s="24"/>
      <c r="F365" s="24"/>
      <c r="G365" s="24"/>
    </row>
    <row r="366" spans="2:7" ht="15.75" customHeight="1" x14ac:dyDescent="0.25">
      <c r="B366" s="24" t="s">
        <v>430</v>
      </c>
      <c r="C366" s="24"/>
      <c r="D366" s="24"/>
      <c r="E366" s="24"/>
      <c r="F366" s="24"/>
      <c r="G366" s="24"/>
    </row>
    <row r="367" spans="2:7" ht="15.75" customHeight="1" x14ac:dyDescent="0.25">
      <c r="B367" s="24" t="s">
        <v>1979</v>
      </c>
      <c r="E367" s="24"/>
      <c r="F367" s="24"/>
      <c r="G367" s="24"/>
    </row>
    <row r="368" spans="2:7" ht="15.75" customHeight="1" x14ac:dyDescent="0.25">
      <c r="B368" s="24" t="s">
        <v>1989</v>
      </c>
      <c r="E368" s="24"/>
      <c r="F368" s="24"/>
      <c r="G368" s="24"/>
    </row>
    <row r="369" spans="2:7" ht="15.75" customHeight="1" x14ac:dyDescent="0.25">
      <c r="B369" s="24" t="s">
        <v>1994</v>
      </c>
      <c r="D369" s="24"/>
      <c r="E369" s="24"/>
      <c r="F369" s="24"/>
      <c r="G369" s="24"/>
    </row>
    <row r="370" spans="2:7" ht="15.75" customHeight="1" x14ac:dyDescent="0.25">
      <c r="B370" s="24" t="s">
        <v>1999</v>
      </c>
      <c r="D370" s="24"/>
      <c r="E370" s="24"/>
      <c r="F370" s="24"/>
      <c r="G370" s="24"/>
    </row>
    <row r="371" spans="2:7" ht="15.75" customHeight="1" x14ac:dyDescent="0.25">
      <c r="B371" s="24" t="s">
        <v>2012</v>
      </c>
      <c r="D371" s="24"/>
      <c r="E371" s="24"/>
      <c r="F371" s="24"/>
      <c r="G371" s="24"/>
    </row>
    <row r="372" spans="2:7" ht="15.75" customHeight="1" x14ac:dyDescent="0.25">
      <c r="B372" s="24" t="s">
        <v>2022</v>
      </c>
      <c r="D372" s="24"/>
      <c r="E372" s="24"/>
      <c r="F372" s="24"/>
      <c r="G372" s="24"/>
    </row>
    <row r="373" spans="2:7" ht="15.75" customHeight="1" x14ac:dyDescent="0.25">
      <c r="B373" s="24" t="s">
        <v>2027</v>
      </c>
      <c r="D373" s="24"/>
      <c r="E373" s="24"/>
      <c r="F373" s="24"/>
      <c r="G373" s="24"/>
    </row>
    <row r="374" spans="2:7" ht="15.75" customHeight="1" x14ac:dyDescent="0.25">
      <c r="B374" s="24" t="s">
        <v>2033</v>
      </c>
      <c r="D374" s="24"/>
      <c r="E374" s="24"/>
      <c r="F374" s="24"/>
      <c r="G374" s="24"/>
    </row>
    <row r="375" spans="2:7" ht="15.75" customHeight="1" x14ac:dyDescent="0.25">
      <c r="B375" s="24" t="s">
        <v>2043</v>
      </c>
      <c r="D375" s="24"/>
      <c r="E375" s="24"/>
      <c r="F375" s="24"/>
      <c r="G375" s="24"/>
    </row>
    <row r="376" spans="2:7" ht="15.75" customHeight="1" x14ac:dyDescent="0.25">
      <c r="B376" s="24" t="s">
        <v>2048</v>
      </c>
      <c r="D376" s="24"/>
      <c r="E376" s="24"/>
      <c r="F376" s="24"/>
      <c r="G376" s="24"/>
    </row>
    <row r="377" spans="2:7" ht="15.75" customHeight="1" x14ac:dyDescent="0.25">
      <c r="B377" s="24" t="s">
        <v>2056</v>
      </c>
      <c r="D377" s="24"/>
      <c r="E377" s="24"/>
      <c r="F377" s="24"/>
      <c r="G377" s="24"/>
    </row>
    <row r="378" spans="2:7" ht="15.75" customHeight="1" x14ac:dyDescent="0.25">
      <c r="B378" s="24" t="s">
        <v>2066</v>
      </c>
      <c r="C378" s="24"/>
      <c r="D378" s="24"/>
      <c r="E378" s="24"/>
      <c r="F378" s="24"/>
      <c r="G378" s="24"/>
    </row>
    <row r="379" spans="2:7" ht="15.75" customHeight="1" x14ac:dyDescent="0.25">
      <c r="B379" s="24" t="s">
        <v>2073</v>
      </c>
      <c r="C379" s="24"/>
      <c r="D379" s="24"/>
      <c r="E379" s="24"/>
      <c r="F379" s="24"/>
      <c r="G379" s="24"/>
    </row>
    <row r="380" spans="2:7" ht="15.75" customHeight="1" x14ac:dyDescent="0.25">
      <c r="B380" s="24" t="s">
        <v>2079</v>
      </c>
      <c r="C380" s="24"/>
      <c r="D380" s="24"/>
      <c r="E380" s="24"/>
      <c r="F380" s="24"/>
      <c r="G380" s="24"/>
    </row>
    <row r="381" spans="2:7" ht="15.75" customHeight="1" x14ac:dyDescent="0.25">
      <c r="B381" s="24" t="s">
        <v>2087</v>
      </c>
      <c r="C381" s="24"/>
      <c r="D381" s="24"/>
      <c r="E381" s="24"/>
      <c r="F381" s="24"/>
      <c r="G381" s="24"/>
    </row>
    <row r="382" spans="2:7" ht="15.75" customHeight="1" x14ac:dyDescent="0.25">
      <c r="B382" s="24" t="s">
        <v>2090</v>
      </c>
      <c r="C382" s="24"/>
      <c r="D382" s="24"/>
      <c r="E382" s="24"/>
      <c r="F382" s="24"/>
      <c r="G382" s="24"/>
    </row>
    <row r="383" spans="2:7" ht="15.75" customHeight="1" x14ac:dyDescent="0.25">
      <c r="B383" s="24" t="s">
        <v>2095</v>
      </c>
      <c r="C383" s="24"/>
      <c r="D383" s="24"/>
      <c r="E383" s="24"/>
      <c r="F383" s="24"/>
      <c r="G383" s="24"/>
    </row>
    <row r="384" spans="2:7" ht="15.75" customHeight="1" x14ac:dyDescent="0.25">
      <c r="B384" s="24" t="s">
        <v>430</v>
      </c>
      <c r="C384" s="24"/>
      <c r="D384" s="24"/>
      <c r="E384" s="24"/>
      <c r="F384" s="24"/>
      <c r="G384" s="24"/>
    </row>
    <row r="385" spans="1:7" ht="15.75" customHeight="1" x14ac:dyDescent="0.25">
      <c r="A385" s="24"/>
      <c r="B385" s="24" t="s">
        <v>2107</v>
      </c>
      <c r="C385" s="24"/>
      <c r="D385" s="24"/>
      <c r="E385" s="24"/>
      <c r="F385" s="24"/>
      <c r="G385" s="24"/>
    </row>
    <row r="386" spans="1:7" ht="15.75" customHeight="1" x14ac:dyDescent="0.25">
      <c r="A386" s="24"/>
      <c r="B386" s="24" t="s">
        <v>2120</v>
      </c>
      <c r="C386" s="24"/>
      <c r="D386" s="24"/>
      <c r="E386" s="24"/>
      <c r="F386" s="24"/>
      <c r="G386" s="24"/>
    </row>
    <row r="387" spans="1:7" ht="15.75" customHeight="1" x14ac:dyDescent="0.25">
      <c r="B387" s="24" t="s">
        <v>2144</v>
      </c>
      <c r="C387" s="24"/>
      <c r="D387" s="24"/>
      <c r="E387" s="24"/>
      <c r="F387" s="24"/>
      <c r="G387" s="24"/>
    </row>
    <row r="388" spans="1:7" ht="15.75" customHeight="1" x14ac:dyDescent="0.25">
      <c r="B388" s="24" t="s">
        <v>2129</v>
      </c>
      <c r="C388" s="24"/>
      <c r="D388" s="24"/>
      <c r="E388" s="24"/>
      <c r="F388" s="24"/>
      <c r="G388" s="24"/>
    </row>
    <row r="389" spans="1:7" ht="15.75" customHeight="1" x14ac:dyDescent="0.25">
      <c r="B389" s="24" t="s">
        <v>2151</v>
      </c>
      <c r="C389" s="24"/>
      <c r="D389" s="24"/>
      <c r="E389" s="24"/>
      <c r="F389" s="24"/>
      <c r="G389" s="24"/>
    </row>
    <row r="390" spans="1:7" ht="15.75" customHeight="1" x14ac:dyDescent="0.25">
      <c r="B390" s="24" t="s">
        <v>2156</v>
      </c>
      <c r="C390" s="24"/>
      <c r="D390" s="24"/>
      <c r="E390" s="24"/>
      <c r="F390" s="24"/>
      <c r="G390" s="24"/>
    </row>
    <row r="391" spans="1:7" ht="15.75" customHeight="1" x14ac:dyDescent="0.25">
      <c r="B391" s="24" t="s">
        <v>2167</v>
      </c>
      <c r="C391" s="24"/>
      <c r="D391" s="24"/>
      <c r="E391" s="24"/>
      <c r="F391" s="24"/>
      <c r="G391" s="24"/>
    </row>
    <row r="392" spans="1:7" ht="15.75" customHeight="1" x14ac:dyDescent="0.25">
      <c r="B392" s="24" t="s">
        <v>2174</v>
      </c>
      <c r="C392" s="24"/>
      <c r="D392" s="24"/>
      <c r="E392" s="24"/>
      <c r="F392" s="24"/>
      <c r="G392" s="24"/>
    </row>
    <row r="393" spans="1:7" ht="15.75" customHeight="1" x14ac:dyDescent="0.25">
      <c r="B393" s="24" t="s">
        <v>2178</v>
      </c>
      <c r="C393" s="24"/>
      <c r="D393" s="24"/>
      <c r="E393" s="24"/>
      <c r="F393" s="24"/>
      <c r="G393" s="24"/>
    </row>
    <row r="394" spans="1:7" ht="15.75" customHeight="1" x14ac:dyDescent="0.25">
      <c r="B394" s="24" t="s">
        <v>2181</v>
      </c>
      <c r="C394" s="24"/>
      <c r="D394" s="24"/>
      <c r="E394" s="24"/>
      <c r="F394" s="24"/>
      <c r="G394" s="24"/>
    </row>
    <row r="395" spans="1:7" ht="15.75" customHeight="1" x14ac:dyDescent="0.25">
      <c r="B395" s="24" t="s">
        <v>2187</v>
      </c>
      <c r="C395" s="24"/>
      <c r="D395" s="24"/>
      <c r="E395" s="24"/>
      <c r="F395" s="24"/>
      <c r="G395" s="24"/>
    </row>
    <row r="396" spans="1:7" ht="15.75" customHeight="1" x14ac:dyDescent="0.25">
      <c r="B396" s="24" t="s">
        <v>2189</v>
      </c>
      <c r="C396" s="24"/>
      <c r="D396" s="24"/>
      <c r="E396" s="24"/>
      <c r="F396" s="24"/>
      <c r="G396" s="24"/>
    </row>
    <row r="397" spans="1:7" ht="15.75" customHeight="1" x14ac:dyDescent="0.25">
      <c r="B397" s="24" t="s">
        <v>2202</v>
      </c>
      <c r="C397" s="24"/>
      <c r="D397" s="24"/>
      <c r="E397" s="24"/>
      <c r="F397" s="24"/>
      <c r="G397" s="24"/>
    </row>
    <row r="398" spans="1:7" ht="15.75" customHeight="1" x14ac:dyDescent="0.25">
      <c r="B398" s="24" t="s">
        <v>2211</v>
      </c>
      <c r="C398" s="24"/>
      <c r="D398" s="24"/>
      <c r="E398" s="24"/>
      <c r="F398" s="24"/>
      <c r="G398" s="24"/>
    </row>
    <row r="399" spans="1:7" ht="15.75" customHeight="1" x14ac:dyDescent="0.25">
      <c r="B399" s="24" t="s">
        <v>2217</v>
      </c>
      <c r="C399" s="24"/>
      <c r="D399" s="24"/>
      <c r="E399" s="24"/>
      <c r="F399" s="24"/>
      <c r="G399" s="24"/>
    </row>
    <row r="400" spans="1:7" ht="15.75" customHeight="1" x14ac:dyDescent="0.25">
      <c r="A400" s="24"/>
      <c r="B400" s="24" t="s">
        <v>2222</v>
      </c>
      <c r="C400" s="24"/>
      <c r="D400" s="24"/>
      <c r="E400" s="24"/>
      <c r="F400" s="24"/>
      <c r="G400" s="24"/>
    </row>
    <row r="401" spans="1:7" ht="15.75" customHeight="1" x14ac:dyDescent="0.25">
      <c r="B401" s="24" t="s">
        <v>2226</v>
      </c>
      <c r="C401" s="24"/>
      <c r="D401" s="24"/>
      <c r="E401" s="24"/>
      <c r="F401" s="24"/>
      <c r="G401" s="24"/>
    </row>
    <row r="402" spans="1:7" ht="15.75" customHeight="1" x14ac:dyDescent="0.25">
      <c r="B402" s="24" t="s">
        <v>2230</v>
      </c>
      <c r="C402" s="24"/>
      <c r="D402" s="24"/>
      <c r="E402" s="24"/>
      <c r="F402" s="24"/>
      <c r="G402" s="24"/>
    </row>
    <row r="403" spans="1:7" ht="15.75" customHeight="1" x14ac:dyDescent="0.25">
      <c r="A403" s="24"/>
      <c r="B403" s="24" t="s">
        <v>2233</v>
      </c>
      <c r="C403" s="24"/>
      <c r="D403" s="24"/>
      <c r="E403" s="24"/>
      <c r="F403" s="24"/>
      <c r="G403" s="24"/>
    </row>
    <row r="404" spans="1:7" ht="15.75" customHeight="1" x14ac:dyDescent="0.25">
      <c r="B404" s="24" t="s">
        <v>2237</v>
      </c>
      <c r="C404" s="24"/>
      <c r="D404" s="24"/>
      <c r="E404" s="24"/>
      <c r="F404" s="24"/>
      <c r="G404" s="24"/>
    </row>
    <row r="405" spans="1:7" ht="15.75" customHeight="1" x14ac:dyDescent="0.25">
      <c r="B405" s="24" t="s">
        <v>2250</v>
      </c>
      <c r="C405" s="24"/>
      <c r="D405" s="24"/>
      <c r="E405" s="24"/>
      <c r="F405" s="24"/>
      <c r="G405" s="24"/>
    </row>
    <row r="406" spans="1:7" ht="15.75" customHeight="1" x14ac:dyDescent="0.25">
      <c r="B406" s="24" t="s">
        <v>2254</v>
      </c>
      <c r="C406" s="24"/>
      <c r="D406" s="24"/>
      <c r="E406" s="24"/>
      <c r="F406" s="24"/>
      <c r="G406" s="24"/>
    </row>
    <row r="407" spans="1:7" ht="15.75" customHeight="1" x14ac:dyDescent="0.25">
      <c r="B407" s="24" t="s">
        <v>550</v>
      </c>
      <c r="C407" s="24"/>
      <c r="D407" s="24"/>
      <c r="E407" s="24"/>
      <c r="F407" s="24"/>
      <c r="G407" s="24"/>
    </row>
    <row r="408" spans="1:7" ht="15.75" customHeight="1" x14ac:dyDescent="0.25">
      <c r="B408" s="24" t="s">
        <v>2281</v>
      </c>
      <c r="C408" s="24"/>
      <c r="D408" s="24"/>
      <c r="E408" s="24"/>
      <c r="F408" s="24"/>
      <c r="G408" s="24"/>
    </row>
    <row r="409" spans="1:7" ht="15.75" customHeight="1" x14ac:dyDescent="0.25">
      <c r="B409" s="24" t="s">
        <v>2300</v>
      </c>
      <c r="C409" s="24"/>
      <c r="D409" s="24"/>
      <c r="E409" s="24"/>
      <c r="F409" s="24"/>
      <c r="G409" s="24"/>
    </row>
    <row r="410" spans="1:7" ht="15.75" customHeight="1" x14ac:dyDescent="0.25">
      <c r="B410" s="24" t="s">
        <v>2307</v>
      </c>
      <c r="E410" s="24"/>
      <c r="F410" s="24"/>
      <c r="G410" s="24"/>
    </row>
    <row r="411" spans="1:7" ht="15.75" customHeight="1" x14ac:dyDescent="0.25">
      <c r="B411" s="24" t="s">
        <v>2313</v>
      </c>
      <c r="E411" s="24"/>
      <c r="F411" s="24"/>
      <c r="G411" s="24"/>
    </row>
    <row r="412" spans="1:7" ht="15.75" customHeight="1" x14ac:dyDescent="0.25">
      <c r="B412" s="24" t="s">
        <v>2328</v>
      </c>
      <c r="E412" s="24"/>
      <c r="F412" s="24"/>
      <c r="G412" s="24"/>
    </row>
    <row r="413" spans="1:7" ht="15.75" customHeight="1" x14ac:dyDescent="0.25">
      <c r="B413" s="24" t="s">
        <v>2271</v>
      </c>
      <c r="D413" s="24"/>
      <c r="E413" s="24"/>
      <c r="F413" s="24"/>
      <c r="G413" s="24"/>
    </row>
    <row r="414" spans="1:7" ht="15.75" customHeight="1" x14ac:dyDescent="0.25">
      <c r="B414" s="24" t="s">
        <v>2344</v>
      </c>
      <c r="D414" s="24"/>
      <c r="E414" s="24"/>
      <c r="F414" s="24"/>
      <c r="G414" s="24"/>
    </row>
    <row r="415" spans="1:7" ht="15.75" customHeight="1" x14ac:dyDescent="0.25">
      <c r="B415" s="24" t="s">
        <v>2365</v>
      </c>
      <c r="D415" s="24"/>
      <c r="E415" s="24"/>
      <c r="F415" s="24"/>
      <c r="G415" s="24"/>
    </row>
    <row r="416" spans="1:7" ht="15.75" customHeight="1" x14ac:dyDescent="0.25">
      <c r="B416" s="24" t="s">
        <v>2372</v>
      </c>
      <c r="D416" s="24"/>
      <c r="E416" s="24"/>
      <c r="F416" s="24"/>
      <c r="G416" s="24"/>
    </row>
    <row r="417" spans="2:7" ht="15.75" customHeight="1" x14ac:dyDescent="0.25">
      <c r="B417" s="24" t="s">
        <v>2376</v>
      </c>
      <c r="D417" s="24"/>
      <c r="E417" s="24"/>
      <c r="F417" s="24"/>
      <c r="G417" s="24"/>
    </row>
    <row r="418" spans="2:7" ht="15.75" customHeight="1" x14ac:dyDescent="0.25">
      <c r="B418" s="24" t="s">
        <v>2381</v>
      </c>
      <c r="D418" s="24"/>
      <c r="E418" s="24"/>
      <c r="F418" s="24"/>
      <c r="G418" s="24"/>
    </row>
    <row r="419" spans="2:7" ht="15.75" customHeight="1" x14ac:dyDescent="0.25">
      <c r="B419" s="24" t="s">
        <v>2384</v>
      </c>
      <c r="D419" s="24"/>
      <c r="E419" s="24"/>
      <c r="F419" s="24"/>
      <c r="G419" s="24"/>
    </row>
    <row r="420" spans="2:7" ht="15.75" customHeight="1" x14ac:dyDescent="0.25">
      <c r="B420" s="24" t="s">
        <v>2386</v>
      </c>
      <c r="C420" s="24"/>
      <c r="D420" s="24"/>
      <c r="E420" s="24"/>
      <c r="F420" s="24"/>
      <c r="G420" s="24"/>
    </row>
    <row r="421" spans="2:7" ht="15.75" customHeight="1" x14ac:dyDescent="0.25">
      <c r="B421" s="24" t="s">
        <v>2391</v>
      </c>
      <c r="C421" s="24"/>
      <c r="D421" s="24"/>
      <c r="E421" s="24"/>
      <c r="F421" s="24"/>
      <c r="G421" s="24"/>
    </row>
    <row r="422" spans="2:7" ht="15.75" customHeight="1" x14ac:dyDescent="0.25">
      <c r="B422" s="24" t="s">
        <v>2393</v>
      </c>
      <c r="C422" s="24"/>
      <c r="D422" s="24"/>
      <c r="E422" s="24"/>
      <c r="F422" s="24"/>
      <c r="G422" s="24"/>
    </row>
    <row r="423" spans="2:7" ht="15.75" customHeight="1" x14ac:dyDescent="0.25">
      <c r="B423" s="24" t="s">
        <v>2396</v>
      </c>
      <c r="C423" s="24"/>
      <c r="D423" s="24"/>
      <c r="E423" s="24"/>
      <c r="F423" s="24"/>
      <c r="G423" s="24"/>
    </row>
    <row r="424" spans="2:7" ht="15.75" customHeight="1" x14ac:dyDescent="0.25">
      <c r="B424" s="24" t="s">
        <v>2413</v>
      </c>
      <c r="C424" s="24"/>
      <c r="D424" s="24"/>
      <c r="E424" s="24"/>
      <c r="F424" s="24"/>
      <c r="G424" s="24"/>
    </row>
    <row r="425" spans="2:7" ht="15.75" customHeight="1" x14ac:dyDescent="0.25">
      <c r="B425" s="24" t="s">
        <v>2421</v>
      </c>
      <c r="C425" s="24"/>
      <c r="D425" s="24"/>
      <c r="E425" s="24"/>
      <c r="F425" s="24"/>
      <c r="G425" s="24"/>
    </row>
    <row r="426" spans="2:7" ht="15.75" customHeight="1" x14ac:dyDescent="0.25">
      <c r="B426" s="24" t="s">
        <v>2426</v>
      </c>
      <c r="C426" s="24"/>
      <c r="D426" s="24"/>
      <c r="E426" s="24"/>
      <c r="F426" s="24"/>
      <c r="G426" s="24"/>
    </row>
    <row r="427" spans="2:7" ht="15.75" customHeight="1" x14ac:dyDescent="0.25">
      <c r="B427" s="24" t="s">
        <v>2433</v>
      </c>
      <c r="C427" s="24"/>
      <c r="D427" s="24"/>
      <c r="E427" s="24"/>
      <c r="F427" s="24"/>
      <c r="G427" s="24"/>
    </row>
    <row r="428" spans="2:7" ht="15.75" customHeight="1" x14ac:dyDescent="0.25">
      <c r="B428" s="24" t="s">
        <v>2444</v>
      </c>
      <c r="C428" s="24"/>
      <c r="D428" s="24"/>
      <c r="E428" s="24"/>
      <c r="F428" s="24"/>
      <c r="G428" s="24"/>
    </row>
    <row r="429" spans="2:7" ht="15.75" customHeight="1" x14ac:dyDescent="0.25">
      <c r="B429" s="24" t="s">
        <v>2451</v>
      </c>
      <c r="C429" s="24"/>
      <c r="D429" s="24"/>
      <c r="E429" s="24"/>
      <c r="F429" s="24"/>
      <c r="G429" s="24"/>
    </row>
    <row r="430" spans="2:7" ht="15.75" customHeight="1" x14ac:dyDescent="0.25">
      <c r="B430" s="24" t="s">
        <v>2458</v>
      </c>
      <c r="C430" s="24"/>
      <c r="D430" s="24"/>
      <c r="E430" s="24"/>
      <c r="F430" s="24"/>
      <c r="G430" s="24"/>
    </row>
    <row r="431" spans="2:7" ht="15.75" customHeight="1" x14ac:dyDescent="0.25">
      <c r="B431" s="24" t="s">
        <v>2398</v>
      </c>
      <c r="C431" s="24"/>
      <c r="D431" s="24"/>
      <c r="E431" s="24"/>
      <c r="F431" s="24"/>
      <c r="G431" s="24"/>
    </row>
    <row r="432" spans="2:7" ht="15.75" customHeight="1" x14ac:dyDescent="0.25">
      <c r="B432" s="24" t="s">
        <v>2473</v>
      </c>
      <c r="C432" s="24"/>
      <c r="D432" s="24"/>
      <c r="E432" s="24"/>
      <c r="F432" s="24"/>
      <c r="G432" s="24"/>
    </row>
    <row r="433" spans="1:7" ht="15.75" customHeight="1" x14ac:dyDescent="0.25">
      <c r="B433" s="24" t="s">
        <v>2399</v>
      </c>
      <c r="C433" s="24"/>
      <c r="D433" s="24"/>
      <c r="E433" s="24"/>
      <c r="F433" s="24"/>
      <c r="G433" s="24"/>
    </row>
    <row r="434" spans="1:7" ht="15.75" customHeight="1" x14ac:dyDescent="0.25">
      <c r="B434" s="24" t="s">
        <v>2481</v>
      </c>
      <c r="C434" s="24"/>
      <c r="D434" s="24"/>
      <c r="E434" s="24"/>
      <c r="F434" s="24"/>
      <c r="G434" s="24"/>
    </row>
    <row r="435" spans="1:7" ht="15.75" customHeight="1" x14ac:dyDescent="0.25">
      <c r="B435" s="24" t="s">
        <v>2495</v>
      </c>
      <c r="C435" s="24"/>
      <c r="D435" s="24"/>
      <c r="E435" s="24"/>
      <c r="F435" s="24"/>
      <c r="G435" s="24"/>
    </row>
    <row r="436" spans="1:7" ht="15.75" customHeight="1" x14ac:dyDescent="0.25">
      <c r="B436" s="24" t="s">
        <v>2506</v>
      </c>
      <c r="C436" s="24"/>
      <c r="D436" s="24"/>
      <c r="E436" s="24"/>
      <c r="F436" s="24"/>
      <c r="G436" s="24"/>
    </row>
    <row r="437" spans="1:7" ht="15.75" customHeight="1" x14ac:dyDescent="0.25">
      <c r="A437" s="24"/>
      <c r="B437" s="24" t="s">
        <v>2511</v>
      </c>
      <c r="C437" s="24"/>
      <c r="D437" s="24"/>
      <c r="E437" s="24"/>
      <c r="F437" s="24"/>
      <c r="G437" s="24"/>
    </row>
    <row r="438" spans="1:7" ht="15.75" customHeight="1" x14ac:dyDescent="0.25">
      <c r="B438" s="24" t="s">
        <v>2516</v>
      </c>
      <c r="C438" s="24"/>
      <c r="D438" s="24"/>
      <c r="E438" s="24"/>
      <c r="F438" s="24"/>
      <c r="G438" s="24"/>
    </row>
    <row r="439" spans="1:7" ht="15.75" customHeight="1" x14ac:dyDescent="0.25">
      <c r="B439" s="24" t="s">
        <v>2527</v>
      </c>
      <c r="C439" s="24"/>
      <c r="D439" s="24"/>
      <c r="E439" s="24"/>
      <c r="F439" s="24"/>
      <c r="G439" s="24"/>
    </row>
    <row r="440" spans="1:7" ht="15.75" customHeight="1" x14ac:dyDescent="0.25">
      <c r="B440" s="24" t="s">
        <v>2530</v>
      </c>
      <c r="C440" s="24"/>
      <c r="D440" s="24"/>
      <c r="E440" s="24"/>
      <c r="F440" s="24"/>
      <c r="G440" s="24"/>
    </row>
    <row r="441" spans="1:7" ht="15.75" customHeight="1" x14ac:dyDescent="0.25">
      <c r="B441" s="24" t="s">
        <v>2658</v>
      </c>
      <c r="C441" s="24"/>
      <c r="D441" s="24"/>
      <c r="E441" s="24"/>
      <c r="F441" s="24"/>
      <c r="G441" s="24"/>
    </row>
    <row r="442" spans="1:7" ht="15.75" customHeight="1" x14ac:dyDescent="0.25">
      <c r="B442" s="24" t="s">
        <v>2545</v>
      </c>
      <c r="C442" s="24"/>
      <c r="D442" s="24"/>
      <c r="E442" s="24"/>
      <c r="F442" s="24"/>
      <c r="G442" s="24"/>
    </row>
    <row r="443" spans="1:7" ht="15.75" customHeight="1" x14ac:dyDescent="0.25">
      <c r="B443" s="24" t="s">
        <v>2276</v>
      </c>
      <c r="C443" s="24"/>
      <c r="D443" s="24"/>
      <c r="E443" s="24"/>
      <c r="F443" s="24"/>
      <c r="G443" s="24"/>
    </row>
    <row r="444" spans="1:7" ht="15.75" customHeight="1" x14ac:dyDescent="0.25">
      <c r="B444" s="24" t="s">
        <v>2533</v>
      </c>
      <c r="C444" s="24"/>
      <c r="D444" s="24"/>
      <c r="E444" s="24"/>
      <c r="F444" s="24"/>
      <c r="G444" s="24"/>
    </row>
    <row r="445" spans="1:7" ht="15.75" customHeight="1" x14ac:dyDescent="0.25">
      <c r="B445" s="24" t="s">
        <v>2579</v>
      </c>
      <c r="C445" s="24"/>
      <c r="D445" s="24"/>
      <c r="E445" s="24"/>
      <c r="F445" s="24"/>
      <c r="G445" s="24"/>
    </row>
    <row r="446" spans="1:7" ht="15.75" customHeight="1" x14ac:dyDescent="0.25">
      <c r="B446" s="24" t="s">
        <v>2403</v>
      </c>
      <c r="C446" s="24"/>
      <c r="D446" s="24"/>
      <c r="E446" s="24"/>
      <c r="F446" s="24"/>
      <c r="G446" s="24"/>
    </row>
    <row r="447" spans="1:7" ht="15.75" customHeight="1" x14ac:dyDescent="0.25">
      <c r="B447" s="24" t="s">
        <v>2575</v>
      </c>
      <c r="C447" s="24"/>
      <c r="D447" s="24"/>
      <c r="E447" s="24"/>
      <c r="F447" s="24"/>
      <c r="G447" s="24"/>
    </row>
    <row r="448" spans="1:7" ht="15.75" customHeight="1" x14ac:dyDescent="0.25">
      <c r="B448" s="24" t="s">
        <v>2598</v>
      </c>
      <c r="C448" s="24"/>
      <c r="D448" s="24"/>
      <c r="E448" s="24"/>
      <c r="F448" s="24"/>
      <c r="G448" s="24"/>
    </row>
    <row r="449" spans="2:7" ht="15.75" customHeight="1" x14ac:dyDescent="0.25">
      <c r="B449" s="24" t="s">
        <v>2611</v>
      </c>
      <c r="C449" s="24"/>
      <c r="D449" s="24"/>
      <c r="E449" s="24"/>
      <c r="F449" s="24"/>
      <c r="G449" s="24"/>
    </row>
    <row r="450" spans="2:7" ht="15.75" customHeight="1" x14ac:dyDescent="0.25">
      <c r="B450" s="24" t="s">
        <v>2616</v>
      </c>
      <c r="C450" s="24"/>
      <c r="D450" s="24"/>
      <c r="E450" s="24"/>
      <c r="F450" s="24"/>
      <c r="G450" s="24"/>
    </row>
    <row r="451" spans="2:7" ht="15.75" customHeight="1" x14ac:dyDescent="0.25">
      <c r="B451" s="24" t="s">
        <v>588</v>
      </c>
      <c r="C451" s="24"/>
      <c r="D451" s="24"/>
      <c r="E451" s="24"/>
      <c r="F451" s="24"/>
      <c r="G451" s="24"/>
    </row>
    <row r="452" spans="2:7" ht="15.75" customHeight="1" x14ac:dyDescent="0.25">
      <c r="B452" s="24" t="s">
        <v>2633</v>
      </c>
      <c r="C452" s="24"/>
      <c r="D452" s="24"/>
      <c r="E452" s="24"/>
      <c r="F452" s="24"/>
      <c r="G452" s="24"/>
    </row>
    <row r="453" spans="2:7" ht="15.75" customHeight="1" x14ac:dyDescent="0.25">
      <c r="B453" s="24" t="s">
        <v>2639</v>
      </c>
      <c r="C453" s="24"/>
      <c r="D453" s="24"/>
      <c r="E453" s="24"/>
      <c r="F453" s="24"/>
      <c r="G453" s="24"/>
    </row>
    <row r="454" spans="2:7" ht="15.75" customHeight="1" x14ac:dyDescent="0.25">
      <c r="B454" s="24" t="s">
        <v>2664</v>
      </c>
      <c r="C454" s="24"/>
      <c r="D454" s="24"/>
      <c r="E454" s="24"/>
      <c r="F454" s="24"/>
      <c r="G454" s="24"/>
    </row>
    <row r="455" spans="2:7" ht="15.75" customHeight="1" x14ac:dyDescent="0.25">
      <c r="B455" s="24" t="s">
        <v>2670</v>
      </c>
      <c r="C455" s="24"/>
      <c r="D455" s="24"/>
      <c r="E455" s="24"/>
      <c r="F455" s="24"/>
      <c r="G455" s="24"/>
    </row>
    <row r="456" spans="2:7" ht="15.75" customHeight="1" x14ac:dyDescent="0.25">
      <c r="B456" s="24" t="s">
        <v>2677</v>
      </c>
      <c r="C456" s="24"/>
      <c r="D456" s="24"/>
      <c r="E456" s="24"/>
      <c r="F456" s="24"/>
      <c r="G456" s="24"/>
    </row>
    <row r="457" spans="2:7" ht="15.75" customHeight="1" x14ac:dyDescent="0.25">
      <c r="B457" s="24" t="s">
        <v>2685</v>
      </c>
      <c r="C457" s="24"/>
      <c r="D457" s="24"/>
      <c r="E457" s="24"/>
      <c r="F457" s="24"/>
      <c r="G457" s="24"/>
    </row>
    <row r="458" spans="2:7" ht="15.75" customHeight="1" x14ac:dyDescent="0.25">
      <c r="B458" s="24" t="s">
        <v>2691</v>
      </c>
      <c r="C458" s="24"/>
      <c r="D458" s="24"/>
      <c r="E458" s="24"/>
      <c r="F458" s="24"/>
      <c r="G458" s="24"/>
    </row>
    <row r="459" spans="2:7" ht="15.75" customHeight="1" x14ac:dyDescent="0.25">
      <c r="B459" s="24" t="s">
        <v>2407</v>
      </c>
      <c r="C459" s="24"/>
      <c r="D459" s="24"/>
      <c r="E459" s="24"/>
      <c r="F459" s="24"/>
      <c r="G459" s="24"/>
    </row>
    <row r="460" spans="2:7" ht="15.75" customHeight="1" x14ac:dyDescent="0.25">
      <c r="B460" s="24" t="s">
        <v>2548</v>
      </c>
      <c r="C460" s="24"/>
      <c r="D460" s="24"/>
      <c r="E460" s="24"/>
      <c r="F460" s="24"/>
      <c r="G460" s="24"/>
    </row>
    <row r="461" spans="2:7" ht="15.75" customHeight="1" x14ac:dyDescent="0.25">
      <c r="B461" s="24" t="s">
        <v>2713</v>
      </c>
      <c r="C461" s="24"/>
      <c r="D461" s="24"/>
      <c r="E461" s="24"/>
      <c r="F461" s="24"/>
      <c r="G461" s="24"/>
    </row>
    <row r="462" spans="2:7" ht="15.75" customHeight="1" x14ac:dyDescent="0.25">
      <c r="B462" s="24" t="s">
        <v>2408</v>
      </c>
      <c r="C462" s="24"/>
      <c r="D462" s="24"/>
      <c r="E462" s="24"/>
      <c r="F462" s="24"/>
      <c r="G462" s="24"/>
    </row>
    <row r="463" spans="2:7" ht="15.75" customHeight="1" x14ac:dyDescent="0.25">
      <c r="B463" s="24" t="s">
        <v>2719</v>
      </c>
      <c r="C463" s="24"/>
      <c r="D463" s="24"/>
      <c r="E463" s="24"/>
      <c r="F463" s="24"/>
      <c r="G463" s="24"/>
    </row>
    <row r="464" spans="2:7" ht="15.75" customHeight="1" x14ac:dyDescent="0.25">
      <c r="B464" s="24" t="s">
        <v>2724</v>
      </c>
      <c r="C464" s="24"/>
      <c r="D464" s="24"/>
      <c r="E464" s="24"/>
      <c r="F464" s="24"/>
      <c r="G464" s="24"/>
    </row>
    <row r="465" spans="1:7" ht="15.75" customHeight="1" x14ac:dyDescent="0.25">
      <c r="B465" s="24" t="s">
        <v>2728</v>
      </c>
      <c r="C465" s="24"/>
      <c r="D465" s="24"/>
      <c r="E465" s="24"/>
      <c r="F465" s="24"/>
      <c r="G465" s="24"/>
    </row>
    <row r="466" spans="1:7" ht="15.75" customHeight="1" x14ac:dyDescent="0.25">
      <c r="B466" s="24" t="s">
        <v>2735</v>
      </c>
      <c r="C466" s="24"/>
      <c r="D466" s="24"/>
      <c r="E466" s="24"/>
      <c r="F466" s="24"/>
      <c r="G466" s="24"/>
    </row>
    <row r="467" spans="1:7" ht="15.75" customHeight="1" x14ac:dyDescent="0.25">
      <c r="A467" s="24"/>
      <c r="B467" s="24" t="s">
        <v>2739</v>
      </c>
      <c r="C467" s="24"/>
      <c r="D467" s="24"/>
      <c r="E467" s="24"/>
      <c r="F467" s="24"/>
      <c r="G467" s="24"/>
    </row>
    <row r="468" spans="1:7" ht="15.75" customHeight="1" x14ac:dyDescent="0.25">
      <c r="B468" s="24" t="s">
        <v>2409</v>
      </c>
      <c r="F468" s="24"/>
      <c r="G468" s="24"/>
    </row>
    <row r="469" spans="1:7" ht="15.75" customHeight="1" x14ac:dyDescent="0.25">
      <c r="B469" s="24" t="s">
        <v>2748</v>
      </c>
      <c r="F469" s="24"/>
      <c r="G469" s="24"/>
    </row>
    <row r="470" spans="1:7" ht="15.75" customHeight="1" x14ac:dyDescent="0.25">
      <c r="B470" s="24" t="s">
        <v>2750</v>
      </c>
      <c r="F470" s="24"/>
      <c r="G470" s="24"/>
    </row>
    <row r="471" spans="1:7" ht="15.75" customHeight="1" x14ac:dyDescent="0.25">
      <c r="B471" s="24" t="s">
        <v>2756</v>
      </c>
      <c r="F471" s="24"/>
      <c r="G471" s="24"/>
    </row>
    <row r="472" spans="1:7" ht="15.75" customHeight="1" x14ac:dyDescent="0.25">
      <c r="B472" s="24" t="s">
        <v>2758</v>
      </c>
      <c r="E472" s="24"/>
      <c r="F472" s="24"/>
      <c r="G472" s="24"/>
    </row>
    <row r="473" spans="1:7" ht="15.75" customHeight="1" x14ac:dyDescent="0.25">
      <c r="B473" s="24" t="s">
        <v>2760</v>
      </c>
      <c r="E473" s="24"/>
      <c r="F473" s="24"/>
      <c r="G473" s="24"/>
    </row>
    <row r="474" spans="1:7" ht="15.75" customHeight="1" x14ac:dyDescent="0.25">
      <c r="B474" s="24" t="s">
        <v>2766</v>
      </c>
      <c r="D474" s="24"/>
      <c r="E474" s="24"/>
      <c r="F474" s="24"/>
      <c r="G474" s="24"/>
    </row>
    <row r="475" spans="1:7" ht="15.75" customHeight="1" x14ac:dyDescent="0.25">
      <c r="B475" s="24" t="s">
        <v>2771</v>
      </c>
      <c r="C475" s="24"/>
      <c r="D475" s="24"/>
      <c r="E475" s="24"/>
      <c r="F475" s="24"/>
      <c r="G475" s="24"/>
    </row>
    <row r="476" spans="1:7" ht="15.75" customHeight="1" x14ac:dyDescent="0.25">
      <c r="B476" s="24" t="s">
        <v>426</v>
      </c>
      <c r="C476" s="24"/>
      <c r="D476" s="24"/>
      <c r="E476" s="24"/>
      <c r="F476" s="24"/>
      <c r="G476" s="24"/>
    </row>
    <row r="477" spans="1:7" ht="15.75" customHeight="1" x14ac:dyDescent="0.25">
      <c r="B477" s="24" t="s">
        <v>2778</v>
      </c>
      <c r="C477" s="24"/>
      <c r="D477" s="24"/>
      <c r="E477" s="24"/>
      <c r="F477" s="24"/>
      <c r="G477" s="24"/>
    </row>
    <row r="478" spans="1:7" ht="15.75" customHeight="1" x14ac:dyDescent="0.25">
      <c r="B478" s="24" t="s">
        <v>2780</v>
      </c>
      <c r="C478" s="24"/>
      <c r="D478" s="24"/>
      <c r="E478" s="24"/>
      <c r="F478" s="24"/>
      <c r="G478" s="24"/>
    </row>
    <row r="479" spans="1:7" ht="15.75" customHeight="1" x14ac:dyDescent="0.25">
      <c r="B479" s="24" t="s">
        <v>2784</v>
      </c>
      <c r="C479" s="24"/>
      <c r="D479" s="24"/>
      <c r="E479" s="24"/>
      <c r="F479" s="24"/>
      <c r="G479" s="24"/>
    </row>
    <row r="480" spans="1:7" ht="15.75" customHeight="1" x14ac:dyDescent="0.25">
      <c r="B480" s="24" t="s">
        <v>2787</v>
      </c>
      <c r="C480" s="24"/>
      <c r="D480" s="24"/>
      <c r="E480" s="24"/>
      <c r="F480" s="24"/>
      <c r="G480" s="24"/>
    </row>
    <row r="481" spans="2:7" ht="15.75" customHeight="1" x14ac:dyDescent="0.25">
      <c r="B481" s="24" t="s">
        <v>2795</v>
      </c>
      <c r="C481" s="24"/>
      <c r="D481" s="24"/>
      <c r="E481" s="24"/>
      <c r="F481" s="24"/>
      <c r="G481" s="24"/>
    </row>
    <row r="482" spans="2:7" ht="15.75" customHeight="1" x14ac:dyDescent="0.25">
      <c r="B482" s="24" t="s">
        <v>2798</v>
      </c>
      <c r="C482" s="24"/>
      <c r="D482" s="24"/>
      <c r="E482" s="24"/>
      <c r="F482" s="24"/>
      <c r="G482" s="24"/>
    </row>
    <row r="483" spans="2:7" ht="15.75" customHeight="1" x14ac:dyDescent="0.25">
      <c r="B483" s="24" t="s">
        <v>2801</v>
      </c>
      <c r="C483" s="24"/>
      <c r="D483" s="24"/>
      <c r="E483" s="24"/>
      <c r="F483" s="24"/>
      <c r="G483" s="24"/>
    </row>
    <row r="484" spans="2:7" ht="15.75" customHeight="1" x14ac:dyDescent="0.25">
      <c r="B484" s="24" t="s">
        <v>2803</v>
      </c>
      <c r="C484" s="24"/>
      <c r="D484" s="24"/>
      <c r="E484" s="24"/>
      <c r="F484" s="24"/>
      <c r="G484" s="24"/>
    </row>
    <row r="485" spans="2:7" ht="15.75" customHeight="1" x14ac:dyDescent="0.25">
      <c r="B485" s="24" t="s">
        <v>2807</v>
      </c>
      <c r="C485" s="24"/>
      <c r="D485" s="24"/>
      <c r="E485" s="24"/>
      <c r="F485" s="24"/>
      <c r="G485" s="24"/>
    </row>
    <row r="486" spans="2:7" ht="15.75" customHeight="1" x14ac:dyDescent="0.25">
      <c r="B486" s="24" t="s">
        <v>2555</v>
      </c>
      <c r="C486" s="24"/>
      <c r="D486" s="24"/>
      <c r="E486" s="24"/>
      <c r="F486" s="24"/>
      <c r="G486" s="24"/>
    </row>
    <row r="487" spans="2:7" ht="15.75" customHeight="1" x14ac:dyDescent="0.25">
      <c r="B487" s="24" t="s">
        <v>2814</v>
      </c>
      <c r="C487" s="24"/>
      <c r="D487" s="24"/>
      <c r="E487" s="24"/>
      <c r="F487" s="24"/>
      <c r="G487" s="24"/>
    </row>
    <row r="488" spans="2:7" ht="15.75" customHeight="1" x14ac:dyDescent="0.25">
      <c r="B488" s="24" t="s">
        <v>2556</v>
      </c>
      <c r="C488" s="24"/>
      <c r="D488" s="24"/>
      <c r="E488" s="24"/>
      <c r="F488" s="24"/>
      <c r="G488" s="24"/>
    </row>
    <row r="489" spans="2:7" ht="15.75" customHeight="1" x14ac:dyDescent="0.25">
      <c r="B489" s="24" t="s">
        <v>2557</v>
      </c>
      <c r="C489" s="24"/>
      <c r="D489" s="24"/>
      <c r="E489" s="24"/>
      <c r="F489" s="24"/>
      <c r="G489" s="24"/>
    </row>
    <row r="490" spans="2:7" ht="15.75" customHeight="1" x14ac:dyDescent="0.25">
      <c r="B490" s="24" t="s">
        <v>2823</v>
      </c>
      <c r="C490" s="24"/>
      <c r="D490" s="24"/>
      <c r="E490" s="24"/>
      <c r="F490" s="24"/>
      <c r="G490" s="24"/>
    </row>
    <row r="491" spans="2:7" ht="15.75" customHeight="1" x14ac:dyDescent="0.25">
      <c r="B491" s="24" t="s">
        <v>2825</v>
      </c>
      <c r="C491" s="24"/>
      <c r="D491" s="24"/>
      <c r="E491" s="24"/>
      <c r="F491" s="24"/>
      <c r="G491" s="24"/>
    </row>
    <row r="492" spans="2:7" ht="15.75" customHeight="1" x14ac:dyDescent="0.25">
      <c r="B492" s="24" t="s">
        <v>2834</v>
      </c>
      <c r="C492" s="24"/>
      <c r="D492" s="24"/>
      <c r="E492" s="24"/>
      <c r="F492" s="24"/>
      <c r="G492" s="24"/>
    </row>
    <row r="493" spans="2:7" ht="15.75" customHeight="1" x14ac:dyDescent="0.25">
      <c r="B493" s="24" t="s">
        <v>2835</v>
      </c>
      <c r="C493" s="24"/>
      <c r="D493" s="24"/>
      <c r="E493" s="24"/>
      <c r="F493" s="24"/>
      <c r="G493" s="24"/>
    </row>
    <row r="494" spans="2:7" ht="15.75" customHeight="1" x14ac:dyDescent="0.25">
      <c r="B494" s="24" t="s">
        <v>2837</v>
      </c>
      <c r="C494" s="24"/>
      <c r="D494" s="24"/>
      <c r="E494" s="24"/>
      <c r="F494" s="24"/>
      <c r="G494" s="24"/>
    </row>
    <row r="495" spans="2:7" ht="15.75" customHeight="1" x14ac:dyDescent="0.25">
      <c r="B495" s="24" t="s">
        <v>2838</v>
      </c>
      <c r="C495" s="24"/>
      <c r="D495" s="24"/>
      <c r="E495" s="24"/>
      <c r="F495" s="24"/>
      <c r="G495" s="24"/>
    </row>
    <row r="496" spans="2:7" ht="15.75" customHeight="1" x14ac:dyDescent="0.25">
      <c r="B496" s="24" t="s">
        <v>2840</v>
      </c>
      <c r="C496" s="24"/>
      <c r="D496" s="24"/>
      <c r="E496" s="24"/>
      <c r="F496" s="24"/>
      <c r="G496" s="24"/>
    </row>
    <row r="497" spans="1:7" ht="15.75" customHeight="1" x14ac:dyDescent="0.25">
      <c r="B497" s="24" t="s">
        <v>2841</v>
      </c>
      <c r="C497" s="24"/>
      <c r="D497" s="24"/>
      <c r="E497" s="24"/>
      <c r="F497" s="24"/>
      <c r="G497" s="24"/>
    </row>
    <row r="498" spans="1:7" ht="15.75" customHeight="1" x14ac:dyDescent="0.25">
      <c r="B498" s="24" t="s">
        <v>2842</v>
      </c>
      <c r="C498" s="24"/>
      <c r="D498" s="24"/>
      <c r="E498" s="24"/>
      <c r="F498" s="24"/>
      <c r="G498" s="24"/>
    </row>
    <row r="499" spans="1:7" ht="15.75" customHeight="1" x14ac:dyDescent="0.25">
      <c r="B499" s="24" t="s">
        <v>2844</v>
      </c>
      <c r="C499" s="24"/>
      <c r="D499" s="24"/>
      <c r="E499" s="24"/>
      <c r="F499" s="24"/>
      <c r="G499" s="24"/>
    </row>
    <row r="500" spans="1:7" ht="15.75" customHeight="1" x14ac:dyDescent="0.25">
      <c r="A500" s="24"/>
      <c r="B500" s="24" t="s">
        <v>2845</v>
      </c>
      <c r="C500" s="24"/>
      <c r="D500" s="24"/>
      <c r="E500" s="24"/>
      <c r="F500" s="24"/>
      <c r="G500" s="24"/>
    </row>
    <row r="501" spans="1:7" ht="15.75" customHeight="1" x14ac:dyDescent="0.25">
      <c r="B501" s="24" t="s">
        <v>2846</v>
      </c>
      <c r="C501" s="24"/>
      <c r="D501" s="24"/>
      <c r="E501" s="24"/>
      <c r="F501" s="24"/>
      <c r="G501" s="24"/>
    </row>
    <row r="502" spans="1:7" ht="15.75" customHeight="1" x14ac:dyDescent="0.25">
      <c r="A502" s="24"/>
      <c r="B502" s="24" t="s">
        <v>2847</v>
      </c>
      <c r="C502" s="24"/>
      <c r="D502" s="24"/>
      <c r="E502" s="24"/>
      <c r="F502" s="24"/>
      <c r="G502" s="24"/>
    </row>
    <row r="503" spans="1:7" ht="15.75" customHeight="1" x14ac:dyDescent="0.25">
      <c r="B503" s="24" t="s">
        <v>2849</v>
      </c>
      <c r="C503" s="24"/>
      <c r="D503" s="24"/>
      <c r="E503" s="24"/>
      <c r="F503" s="24"/>
      <c r="G503" s="24"/>
    </row>
    <row r="504" spans="1:7" ht="15.75" customHeight="1" x14ac:dyDescent="0.25">
      <c r="B504" s="24" t="s">
        <v>2850</v>
      </c>
      <c r="C504" s="24"/>
      <c r="D504" s="24"/>
      <c r="E504" s="24"/>
      <c r="F504" s="24"/>
      <c r="G504" s="24"/>
    </row>
    <row r="505" spans="1:7" ht="15.75" customHeight="1" x14ac:dyDescent="0.25">
      <c r="A505" s="24"/>
      <c r="B505" s="24" t="s">
        <v>2851</v>
      </c>
      <c r="C505" s="24"/>
      <c r="D505" s="24"/>
      <c r="E505" s="24"/>
      <c r="F505" s="24"/>
      <c r="G505" s="24"/>
    </row>
    <row r="506" spans="1:7" ht="15.75" customHeight="1" x14ac:dyDescent="0.25">
      <c r="B506" s="24" t="s">
        <v>2852</v>
      </c>
      <c r="C506" s="24"/>
      <c r="D506" s="24"/>
      <c r="E506" s="24"/>
      <c r="F506" s="24"/>
      <c r="G506" s="24"/>
    </row>
    <row r="507" spans="1:7" ht="15.75" customHeight="1" x14ac:dyDescent="0.25">
      <c r="B507" s="24" t="s">
        <v>2416</v>
      </c>
      <c r="C507" s="24"/>
      <c r="D507" s="24"/>
      <c r="E507" s="24"/>
      <c r="F507" s="24"/>
      <c r="G507" s="24"/>
    </row>
    <row r="508" spans="1:7" ht="15.75" customHeight="1" x14ac:dyDescent="0.25">
      <c r="A508" s="24"/>
      <c r="B508" s="24" t="s">
        <v>2855</v>
      </c>
      <c r="C508" s="24"/>
      <c r="D508" s="24"/>
      <c r="E508" s="24"/>
      <c r="F508" s="24"/>
      <c r="G508" s="24"/>
    </row>
    <row r="509" spans="1:7" ht="15.75" customHeight="1" x14ac:dyDescent="0.25">
      <c r="A509" s="24"/>
      <c r="B509" s="24" t="s">
        <v>2856</v>
      </c>
      <c r="C509" s="24"/>
      <c r="D509" s="24"/>
      <c r="E509" s="24"/>
      <c r="F509" s="24"/>
      <c r="G509" s="24"/>
    </row>
    <row r="510" spans="1:7" ht="15.75" customHeight="1" x14ac:dyDescent="0.25">
      <c r="B510" s="24" t="s">
        <v>2417</v>
      </c>
      <c r="C510" s="24"/>
      <c r="D510" s="24"/>
      <c r="E510" s="24"/>
      <c r="F510" s="24"/>
      <c r="G510" s="24"/>
    </row>
    <row r="511" spans="1:7" ht="15.75" customHeight="1" x14ac:dyDescent="0.25">
      <c r="B511" s="24" t="s">
        <v>2860</v>
      </c>
      <c r="C511" s="24"/>
      <c r="D511" s="24"/>
      <c r="E511" s="24"/>
      <c r="F511" s="24"/>
      <c r="G511" s="24"/>
    </row>
    <row r="512" spans="1:7" ht="15.75" customHeight="1" x14ac:dyDescent="0.25">
      <c r="B512" s="24" t="s">
        <v>2861</v>
      </c>
      <c r="C512" s="24"/>
      <c r="D512" s="24"/>
      <c r="E512" s="24"/>
      <c r="F512" s="24"/>
      <c r="G512" s="24"/>
    </row>
    <row r="513" spans="2:7" ht="15.75" customHeight="1" x14ac:dyDescent="0.25">
      <c r="B513" s="24" t="s">
        <v>2863</v>
      </c>
      <c r="C513" s="24"/>
      <c r="D513" s="24"/>
      <c r="E513" s="24"/>
      <c r="F513" s="24"/>
      <c r="G513" s="24"/>
    </row>
    <row r="514" spans="2:7" ht="15.75" customHeight="1" x14ac:dyDescent="0.25">
      <c r="B514" s="24" t="s">
        <v>2864</v>
      </c>
      <c r="C514" s="24"/>
      <c r="D514" s="24"/>
      <c r="E514" s="24"/>
      <c r="F514" s="24"/>
      <c r="G514" s="24"/>
    </row>
    <row r="515" spans="2:7" ht="15.75" customHeight="1" x14ac:dyDescent="0.25">
      <c r="B515" s="24" t="s">
        <v>2865</v>
      </c>
      <c r="C515" s="24"/>
      <c r="D515" s="24"/>
      <c r="E515" s="24"/>
      <c r="F515" s="24"/>
      <c r="G515" s="24"/>
    </row>
    <row r="516" spans="2:7" ht="15.75" customHeight="1" x14ac:dyDescent="0.25">
      <c r="B516" s="24" t="s">
        <v>2866</v>
      </c>
      <c r="C516" s="24"/>
      <c r="D516" s="24"/>
      <c r="E516" s="24"/>
      <c r="F516" s="24"/>
      <c r="G516" s="24"/>
    </row>
    <row r="517" spans="2:7" ht="15.75" customHeight="1" x14ac:dyDescent="0.25">
      <c r="B517" s="24" t="s">
        <v>2568</v>
      </c>
      <c r="C517" s="24"/>
      <c r="D517" s="24"/>
      <c r="E517" s="24"/>
      <c r="F517" s="24"/>
      <c r="G517" s="24"/>
    </row>
    <row r="518" spans="2:7" ht="15.75" customHeight="1" x14ac:dyDescent="0.25">
      <c r="B518" s="24" t="s">
        <v>2245</v>
      </c>
      <c r="D518" s="24"/>
      <c r="E518" s="24"/>
      <c r="F518" s="24"/>
      <c r="G518" s="24"/>
    </row>
    <row r="519" spans="2:7" ht="15.75" customHeight="1" x14ac:dyDescent="0.25">
      <c r="B519" s="24" t="s">
        <v>2868</v>
      </c>
      <c r="D519" s="24"/>
      <c r="E519" s="24"/>
      <c r="F519" s="24"/>
      <c r="G519" s="24"/>
    </row>
    <row r="520" spans="2:7" ht="15.75" customHeight="1" x14ac:dyDescent="0.25">
      <c r="B520" s="24" t="s">
        <v>2869</v>
      </c>
      <c r="D520" s="24"/>
      <c r="F520" s="24"/>
      <c r="G520" s="24"/>
    </row>
    <row r="521" spans="2:7" ht="15.75" customHeight="1" x14ac:dyDescent="0.25">
      <c r="B521" s="24" t="s">
        <v>2870</v>
      </c>
      <c r="D521" s="24"/>
      <c r="F521" s="24"/>
      <c r="G521" s="24"/>
    </row>
    <row r="522" spans="2:7" ht="15.75" customHeight="1" x14ac:dyDescent="0.25">
      <c r="B522" s="24" t="s">
        <v>2871</v>
      </c>
      <c r="D522" s="24"/>
      <c r="F522" s="24"/>
      <c r="G522" s="24"/>
    </row>
    <row r="523" spans="2:7" ht="15.75" customHeight="1" x14ac:dyDescent="0.25">
      <c r="B523" s="24" t="s">
        <v>2424</v>
      </c>
      <c r="D523" s="24"/>
      <c r="F523" s="24"/>
      <c r="G523" s="24"/>
    </row>
    <row r="524" spans="2:7" ht="15.75" customHeight="1" x14ac:dyDescent="0.25">
      <c r="B524" s="24" t="s">
        <v>2574</v>
      </c>
      <c r="D524" s="24"/>
      <c r="E524" s="24"/>
      <c r="F524" s="24"/>
      <c r="G524" s="24"/>
    </row>
    <row r="525" spans="2:7" ht="15.75" customHeight="1" x14ac:dyDescent="0.25">
      <c r="B525" s="24" t="s">
        <v>2874</v>
      </c>
      <c r="C525" s="24"/>
      <c r="D525" s="24"/>
      <c r="E525" s="24"/>
      <c r="F525" s="24"/>
      <c r="G525" s="24"/>
    </row>
    <row r="526" spans="2:7" ht="15.75" customHeight="1" x14ac:dyDescent="0.25">
      <c r="B526" s="24" t="s">
        <v>2876</v>
      </c>
      <c r="C526" s="24"/>
      <c r="D526" s="24"/>
      <c r="E526" s="24"/>
      <c r="F526" s="24"/>
      <c r="G526" s="24"/>
    </row>
    <row r="527" spans="2:7" ht="15.75" customHeight="1" x14ac:dyDescent="0.25">
      <c r="B527" s="24" t="s">
        <v>2877</v>
      </c>
      <c r="C527" s="24"/>
      <c r="D527" s="24"/>
      <c r="E527" s="24"/>
      <c r="F527" s="24"/>
      <c r="G527" s="24"/>
    </row>
    <row r="528" spans="2:7" ht="15.75" customHeight="1" x14ac:dyDescent="0.25">
      <c r="B528" s="24" t="s">
        <v>2878</v>
      </c>
      <c r="C528" s="24"/>
      <c r="D528" s="24"/>
      <c r="E528" s="24"/>
      <c r="F528" s="24"/>
      <c r="G528" s="24"/>
    </row>
    <row r="529" spans="1:7" ht="15.75" customHeight="1" x14ac:dyDescent="0.25">
      <c r="A529" s="24"/>
      <c r="B529" s="24" t="s">
        <v>2879</v>
      </c>
      <c r="C529" s="24"/>
      <c r="D529" s="24"/>
      <c r="E529" s="24"/>
      <c r="F529" s="24"/>
      <c r="G529" s="24"/>
    </row>
    <row r="530" spans="1:7" ht="15.75" customHeight="1" x14ac:dyDescent="0.25">
      <c r="B530" s="24" t="s">
        <v>2578</v>
      </c>
      <c r="C530" s="24"/>
      <c r="D530" s="24"/>
      <c r="E530" s="24"/>
      <c r="F530" s="24"/>
      <c r="G530" s="24"/>
    </row>
    <row r="531" spans="1:7" ht="15.75" customHeight="1" x14ac:dyDescent="0.25">
      <c r="B531" s="24" t="s">
        <v>2880</v>
      </c>
      <c r="C531" s="24"/>
      <c r="D531" s="24"/>
      <c r="E531" s="24"/>
      <c r="F531" s="24"/>
      <c r="G531" s="24"/>
    </row>
    <row r="532" spans="1:7" ht="15.75" customHeight="1" x14ac:dyDescent="0.25">
      <c r="B532" s="24" t="s">
        <v>2881</v>
      </c>
      <c r="C532" s="24"/>
      <c r="D532" s="24"/>
      <c r="E532" s="24"/>
      <c r="F532" s="24"/>
      <c r="G532" s="24"/>
    </row>
    <row r="533" spans="1:7" ht="15.75" customHeight="1" x14ac:dyDescent="0.25">
      <c r="B533" s="24" t="s">
        <v>2580</v>
      </c>
      <c r="F533" s="24"/>
      <c r="G533" s="24"/>
    </row>
    <row r="534" spans="1:7" ht="15.75" customHeight="1" x14ac:dyDescent="0.25">
      <c r="B534" s="24" t="s">
        <v>2883</v>
      </c>
      <c r="F534" s="24"/>
      <c r="G534" s="24"/>
    </row>
    <row r="535" spans="1:7" ht="15.75" customHeight="1" x14ac:dyDescent="0.25">
      <c r="B535" s="24" t="s">
        <v>2885</v>
      </c>
      <c r="F535" s="24"/>
      <c r="G535" s="24"/>
    </row>
    <row r="536" spans="1:7" ht="15.75" customHeight="1" x14ac:dyDescent="0.25">
      <c r="B536" s="24" t="s">
        <v>2430</v>
      </c>
      <c r="F536" s="24"/>
      <c r="G536" s="24"/>
    </row>
    <row r="537" spans="1:7" ht="15.75" customHeight="1" x14ac:dyDescent="0.25">
      <c r="B537" s="24" t="s">
        <v>2886</v>
      </c>
      <c r="F537" s="24"/>
      <c r="G537" s="24"/>
    </row>
    <row r="538" spans="1:7" ht="15.75" customHeight="1" x14ac:dyDescent="0.25">
      <c r="B538" s="24" t="s">
        <v>2888</v>
      </c>
      <c r="D538" s="24"/>
      <c r="F538" s="24"/>
      <c r="G538" s="24"/>
    </row>
    <row r="539" spans="1:7" ht="15.75" customHeight="1" x14ac:dyDescent="0.25">
      <c r="B539" s="24" t="s">
        <v>2889</v>
      </c>
      <c r="D539" s="24"/>
      <c r="F539" s="24"/>
      <c r="G539" s="24"/>
    </row>
    <row r="540" spans="1:7" ht="15.75" customHeight="1" x14ac:dyDescent="0.25">
      <c r="B540" s="24" t="s">
        <v>2890</v>
      </c>
      <c r="D540" s="24"/>
      <c r="F540" s="24"/>
      <c r="G540" s="24"/>
    </row>
    <row r="541" spans="1:7" ht="15.75" customHeight="1" x14ac:dyDescent="0.25">
      <c r="B541" s="24" t="s">
        <v>2892</v>
      </c>
      <c r="D541" s="24"/>
      <c r="F541" s="24"/>
      <c r="G541" s="24"/>
    </row>
    <row r="542" spans="1:7" ht="15.75" customHeight="1" x14ac:dyDescent="0.25">
      <c r="B542" s="24" t="s">
        <v>2893</v>
      </c>
      <c r="D542" s="24"/>
      <c r="F542" s="24"/>
      <c r="G542" s="24"/>
    </row>
    <row r="543" spans="1:7" ht="15.75" customHeight="1" x14ac:dyDescent="0.25">
      <c r="B543" s="24" t="s">
        <v>2894</v>
      </c>
      <c r="D543" s="24"/>
      <c r="E543" s="24"/>
      <c r="F543" s="24"/>
      <c r="G543" s="24"/>
    </row>
    <row r="544" spans="1:7" ht="15.75" customHeight="1" x14ac:dyDescent="0.25">
      <c r="B544" s="24" t="s">
        <v>2440</v>
      </c>
      <c r="D544" s="24"/>
      <c r="E544" s="24"/>
      <c r="F544" s="24"/>
      <c r="G544" s="24"/>
    </row>
    <row r="545" spans="2:7" ht="15.75" customHeight="1" x14ac:dyDescent="0.25">
      <c r="B545" s="24" t="s">
        <v>2896</v>
      </c>
      <c r="D545" s="24"/>
      <c r="E545" s="24"/>
      <c r="F545" s="24"/>
      <c r="G545" s="24"/>
    </row>
    <row r="546" spans="2:7" ht="15.75" customHeight="1" x14ac:dyDescent="0.25">
      <c r="B546" s="24" t="s">
        <v>953</v>
      </c>
      <c r="C546" s="24"/>
      <c r="D546" s="24"/>
      <c r="E546" s="24"/>
      <c r="F546" s="24"/>
      <c r="G546" s="24"/>
    </row>
    <row r="547" spans="2:7" ht="15.75" customHeight="1" x14ac:dyDescent="0.25">
      <c r="B547" s="24" t="s">
        <v>2898</v>
      </c>
      <c r="C547" s="24"/>
      <c r="D547" s="24"/>
      <c r="E547" s="24"/>
      <c r="F547" s="24"/>
      <c r="G547" s="24"/>
    </row>
    <row r="548" spans="2:7" ht="15.75" customHeight="1" x14ac:dyDescent="0.25">
      <c r="B548" s="24" t="s">
        <v>2899</v>
      </c>
      <c r="C548" s="24"/>
      <c r="D548" s="24"/>
      <c r="E548" s="24"/>
      <c r="F548" s="24"/>
      <c r="G548" s="24"/>
    </row>
    <row r="549" spans="2:7" ht="15.75" customHeight="1" x14ac:dyDescent="0.25">
      <c r="B549" s="24" t="s">
        <v>2900</v>
      </c>
      <c r="C549" s="24"/>
      <c r="D549" s="24"/>
      <c r="E549" s="24"/>
      <c r="F549" s="24"/>
      <c r="G549" s="24"/>
    </row>
    <row r="550" spans="2:7" ht="15.75" customHeight="1" x14ac:dyDescent="0.25">
      <c r="B550" s="24" t="s">
        <v>2901</v>
      </c>
      <c r="C550" s="24"/>
      <c r="D550" s="24"/>
      <c r="E550" s="24"/>
      <c r="F550" s="24"/>
      <c r="G550" s="24"/>
    </row>
    <row r="551" spans="2:7" ht="15.75" customHeight="1" x14ac:dyDescent="0.25">
      <c r="B551" s="24" t="s">
        <v>2903</v>
      </c>
      <c r="C551" s="24"/>
      <c r="D551" s="24"/>
      <c r="E551" s="24"/>
      <c r="F551" s="24"/>
      <c r="G551" s="24"/>
    </row>
    <row r="552" spans="2:7" ht="15.75" customHeight="1" x14ac:dyDescent="0.25">
      <c r="B552" s="24" t="s">
        <v>2594</v>
      </c>
      <c r="C552" s="24"/>
      <c r="D552" s="24"/>
      <c r="E552" s="24"/>
      <c r="F552" s="24"/>
      <c r="G552" s="24"/>
    </row>
    <row r="553" spans="2:7" ht="15.75" customHeight="1" x14ac:dyDescent="0.25">
      <c r="B553" s="24" t="s">
        <v>2446</v>
      </c>
      <c r="C553" s="24"/>
      <c r="D553" s="24"/>
      <c r="E553" s="24"/>
      <c r="F553" s="24"/>
      <c r="G553" s="24"/>
    </row>
    <row r="554" spans="2:7" ht="15.75" customHeight="1" x14ac:dyDescent="0.25">
      <c r="B554" s="24" t="s">
        <v>2904</v>
      </c>
      <c r="C554" s="24"/>
      <c r="D554" s="24"/>
      <c r="E554" s="24"/>
      <c r="F554" s="24"/>
      <c r="G554" s="24"/>
    </row>
    <row r="555" spans="2:7" ht="15.75" customHeight="1" x14ac:dyDescent="0.25">
      <c r="B555" s="24" t="s">
        <v>2906</v>
      </c>
      <c r="C555" s="24"/>
      <c r="D555" s="24"/>
      <c r="E555" s="24"/>
      <c r="F555" s="24"/>
      <c r="G555" s="24"/>
    </row>
    <row r="556" spans="2:7" ht="15.75" customHeight="1" x14ac:dyDescent="0.25">
      <c r="B556" s="24" t="s">
        <v>2603</v>
      </c>
      <c r="C556" s="24"/>
      <c r="D556" s="24"/>
      <c r="E556" s="24"/>
      <c r="F556" s="24"/>
      <c r="G556" s="24"/>
    </row>
    <row r="557" spans="2:7" ht="15.75" customHeight="1" x14ac:dyDescent="0.25">
      <c r="B557" s="24" t="s">
        <v>2280</v>
      </c>
      <c r="C557" s="24"/>
      <c r="D557" s="24"/>
      <c r="E557" s="24"/>
      <c r="F557" s="24"/>
      <c r="G557" s="24"/>
    </row>
    <row r="558" spans="2:7" ht="15.75" customHeight="1" x14ac:dyDescent="0.25">
      <c r="B558" s="24" t="s">
        <v>2908</v>
      </c>
      <c r="C558" s="24"/>
      <c r="D558" s="24"/>
      <c r="E558" s="24"/>
      <c r="F558" s="24"/>
      <c r="G558" s="24"/>
    </row>
    <row r="559" spans="2:7" ht="15.75" customHeight="1" x14ac:dyDescent="0.25">
      <c r="B559" s="24" t="s">
        <v>2911</v>
      </c>
      <c r="C559" s="24"/>
      <c r="D559" s="24"/>
      <c r="E559" s="24"/>
      <c r="F559" s="24"/>
      <c r="G559" s="24"/>
    </row>
    <row r="560" spans="2:7" ht="15.75" customHeight="1" x14ac:dyDescent="0.25">
      <c r="B560" s="24" t="s">
        <v>2913</v>
      </c>
      <c r="C560" s="24"/>
      <c r="D560" s="24"/>
      <c r="E560" s="24"/>
      <c r="F560" s="24"/>
      <c r="G560" s="24"/>
    </row>
    <row r="561" spans="1:7" ht="15.75" customHeight="1" x14ac:dyDescent="0.25">
      <c r="B561" s="24" t="s">
        <v>2914</v>
      </c>
      <c r="C561" s="24"/>
      <c r="D561" s="24"/>
      <c r="E561" s="24"/>
      <c r="F561" s="24"/>
      <c r="G561" s="24"/>
    </row>
    <row r="562" spans="1:7" ht="15.75" customHeight="1" x14ac:dyDescent="0.25">
      <c r="B562" s="24" t="s">
        <v>2610</v>
      </c>
      <c r="C562" s="24"/>
      <c r="D562" s="24"/>
      <c r="E562" s="24"/>
      <c r="F562" s="24"/>
      <c r="G562" s="24"/>
    </row>
    <row r="563" spans="1:7" ht="15.75" customHeight="1" x14ac:dyDescent="0.25">
      <c r="B563" s="24" t="s">
        <v>2916</v>
      </c>
      <c r="C563" s="24"/>
      <c r="D563" s="24"/>
      <c r="E563" s="24"/>
      <c r="F563" s="24"/>
      <c r="G563" s="24"/>
    </row>
    <row r="564" spans="1:7" ht="15.75" customHeight="1" x14ac:dyDescent="0.25">
      <c r="B564" s="24" t="s">
        <v>2917</v>
      </c>
      <c r="C564" s="24"/>
      <c r="D564" s="24"/>
      <c r="E564" s="24"/>
      <c r="F564" s="24"/>
      <c r="G564" s="24"/>
    </row>
    <row r="565" spans="1:7" ht="15.75" customHeight="1" x14ac:dyDescent="0.25">
      <c r="B565" s="24" t="s">
        <v>2918</v>
      </c>
      <c r="C565" s="24"/>
      <c r="D565" s="24"/>
      <c r="E565" s="24"/>
      <c r="F565" s="24"/>
      <c r="G565" s="24"/>
    </row>
    <row r="566" spans="1:7" ht="15.75" customHeight="1" x14ac:dyDescent="0.25">
      <c r="A566" s="24"/>
      <c r="B566" s="24" t="s">
        <v>2919</v>
      </c>
      <c r="F566" s="24"/>
      <c r="G566" s="24"/>
    </row>
    <row r="567" spans="1:7" ht="15.75" customHeight="1" x14ac:dyDescent="0.25">
      <c r="B567" s="24" t="s">
        <v>2921</v>
      </c>
      <c r="F567" s="24"/>
      <c r="G567" s="24"/>
    </row>
    <row r="568" spans="1:7" ht="15.75" customHeight="1" x14ac:dyDescent="0.25">
      <c r="B568" s="24" t="s">
        <v>2922</v>
      </c>
      <c r="F568" s="24"/>
      <c r="G568" s="24"/>
    </row>
    <row r="569" spans="1:7" ht="15.75" customHeight="1" x14ac:dyDescent="0.25">
      <c r="B569" s="24" t="s">
        <v>2924</v>
      </c>
      <c r="F569" s="24"/>
      <c r="G569" s="24"/>
    </row>
    <row r="570" spans="1:7" ht="15.75" customHeight="1" x14ac:dyDescent="0.25">
      <c r="B570" s="24" t="s">
        <v>2925</v>
      </c>
      <c r="F570" s="24"/>
      <c r="G570" s="24"/>
    </row>
    <row r="571" spans="1:7" ht="15.75" customHeight="1" x14ac:dyDescent="0.25">
      <c r="B571" s="24" t="s">
        <v>2926</v>
      </c>
      <c r="F571" s="24"/>
      <c r="G571" s="24"/>
    </row>
    <row r="572" spans="1:7" ht="15.75" customHeight="1" x14ac:dyDescent="0.25">
      <c r="B572" s="24" t="s">
        <v>2928</v>
      </c>
      <c r="F572" s="24"/>
      <c r="G572" s="24"/>
    </row>
    <row r="573" spans="1:7" ht="15.75" customHeight="1" x14ac:dyDescent="0.25">
      <c r="B573" s="24" t="s">
        <v>2620</v>
      </c>
      <c r="E573" s="24"/>
      <c r="F573" s="24"/>
      <c r="G573" s="24"/>
    </row>
    <row r="574" spans="1:7" ht="15.75" customHeight="1" x14ac:dyDescent="0.25">
      <c r="B574" s="24" t="s">
        <v>2452</v>
      </c>
      <c r="E574" s="24"/>
      <c r="F574" s="24"/>
      <c r="G574" s="24"/>
    </row>
    <row r="575" spans="1:7" ht="15.75" customHeight="1" x14ac:dyDescent="0.25">
      <c r="B575" s="24" t="s">
        <v>2931</v>
      </c>
      <c r="D575" s="24"/>
      <c r="E575" s="24"/>
      <c r="F575" s="24"/>
      <c r="G575" s="24"/>
    </row>
    <row r="576" spans="1:7" ht="15.75" customHeight="1" x14ac:dyDescent="0.25">
      <c r="B576" s="24" t="s">
        <v>2932</v>
      </c>
      <c r="D576" s="24"/>
      <c r="E576" s="24"/>
      <c r="F576" s="24"/>
      <c r="G576" s="24"/>
    </row>
    <row r="577" spans="2:7" ht="15.75" customHeight="1" x14ac:dyDescent="0.25">
      <c r="B577" s="24" t="s">
        <v>2933</v>
      </c>
      <c r="D577" s="24"/>
      <c r="E577" s="24"/>
      <c r="F577" s="24"/>
      <c r="G577" s="24"/>
    </row>
    <row r="578" spans="2:7" ht="15.75" customHeight="1" x14ac:dyDescent="0.25">
      <c r="B578" s="24" t="s">
        <v>2934</v>
      </c>
      <c r="D578" s="24"/>
      <c r="E578" s="24"/>
      <c r="F578" s="24"/>
      <c r="G578" s="24"/>
    </row>
    <row r="579" spans="2:7" ht="15.75" customHeight="1" x14ac:dyDescent="0.25">
      <c r="B579" s="24" t="s">
        <v>2935</v>
      </c>
      <c r="E579" s="24"/>
      <c r="F579" s="24"/>
      <c r="G579" s="24"/>
    </row>
    <row r="580" spans="2:7" ht="15.75" customHeight="1" x14ac:dyDescent="0.25">
      <c r="B580" s="24" t="s">
        <v>2937</v>
      </c>
      <c r="E580" s="24"/>
      <c r="F580" s="24"/>
      <c r="G580" s="24"/>
    </row>
    <row r="581" spans="2:7" ht="15.75" customHeight="1" x14ac:dyDescent="0.25">
      <c r="B581" s="24" t="s">
        <v>2938</v>
      </c>
      <c r="E581" s="24"/>
      <c r="F581" s="24"/>
      <c r="G581" s="24"/>
    </row>
    <row r="582" spans="2:7" ht="15.75" customHeight="1" x14ac:dyDescent="0.25">
      <c r="B582" s="24" t="s">
        <v>2939</v>
      </c>
      <c r="E582" s="24"/>
      <c r="F582" s="24"/>
      <c r="G582" s="24"/>
    </row>
    <row r="583" spans="2:7" ht="15.75" customHeight="1" x14ac:dyDescent="0.25">
      <c r="B583" s="24" t="s">
        <v>2940</v>
      </c>
      <c r="E583" s="24"/>
      <c r="F583" s="24"/>
      <c r="G583" s="24"/>
    </row>
    <row r="584" spans="2:7" ht="15.75" customHeight="1" x14ac:dyDescent="0.25">
      <c r="B584" s="26" t="s">
        <v>2941</v>
      </c>
      <c r="E584" s="24"/>
      <c r="F584" s="24"/>
      <c r="G584" s="24"/>
    </row>
    <row r="585" spans="2:7" ht="15.75" customHeight="1" x14ac:dyDescent="0.25">
      <c r="B585" s="24" t="s">
        <v>2942</v>
      </c>
      <c r="D585" s="24"/>
      <c r="E585" s="24"/>
      <c r="F585" s="24"/>
      <c r="G585" s="24"/>
    </row>
    <row r="586" spans="2:7" ht="15.75" customHeight="1" x14ac:dyDescent="0.25">
      <c r="B586" s="24" t="s">
        <v>2943</v>
      </c>
      <c r="D586" s="24"/>
      <c r="E586" s="24"/>
      <c r="F586" s="24"/>
      <c r="G586" s="24"/>
    </row>
    <row r="587" spans="2:7" ht="15.75" customHeight="1" x14ac:dyDescent="0.25">
      <c r="B587" s="24" t="s">
        <v>2945</v>
      </c>
      <c r="D587" s="24"/>
      <c r="E587" s="24"/>
      <c r="F587" s="24"/>
      <c r="G587" s="24"/>
    </row>
    <row r="588" spans="2:7" ht="15.75" customHeight="1" x14ac:dyDescent="0.25">
      <c r="B588" s="24" t="s">
        <v>2946</v>
      </c>
      <c r="D588" s="24"/>
      <c r="E588" s="24"/>
      <c r="F588" s="24"/>
      <c r="G588" s="24"/>
    </row>
    <row r="589" spans="2:7" ht="15.75" customHeight="1" x14ac:dyDescent="0.25">
      <c r="B589" s="24" t="s">
        <v>2947</v>
      </c>
      <c r="D589" s="24"/>
      <c r="E589" s="24"/>
      <c r="F589" s="24"/>
      <c r="G589" s="24"/>
    </row>
    <row r="590" spans="2:7" ht="15.75" customHeight="1" x14ac:dyDescent="0.25">
      <c r="B590" s="24" t="s">
        <v>2948</v>
      </c>
      <c r="D590" s="24"/>
      <c r="E590" s="24"/>
      <c r="F590" s="24"/>
      <c r="G590" s="24"/>
    </row>
    <row r="591" spans="2:7" ht="15.75" customHeight="1" x14ac:dyDescent="0.25">
      <c r="B591" s="24" t="s">
        <v>2461</v>
      </c>
      <c r="E591" s="24"/>
      <c r="F591" s="24"/>
      <c r="G591" s="24"/>
    </row>
    <row r="592" spans="2:7" ht="15.75" customHeight="1" x14ac:dyDescent="0.25">
      <c r="B592" s="24" t="s">
        <v>2463</v>
      </c>
      <c r="E592" s="24"/>
      <c r="F592" s="24"/>
      <c r="G592" s="24"/>
    </row>
    <row r="593" spans="1:7" ht="15.75" customHeight="1" x14ac:dyDescent="0.25">
      <c r="B593" s="24" t="s">
        <v>2952</v>
      </c>
      <c r="E593" s="24"/>
      <c r="F593" s="24"/>
      <c r="G593" s="24"/>
    </row>
    <row r="594" spans="1:7" ht="15.75" customHeight="1" x14ac:dyDescent="0.25">
      <c r="B594" s="24" t="s">
        <v>298</v>
      </c>
      <c r="E594" s="24"/>
      <c r="F594" s="24"/>
      <c r="G594" s="24"/>
    </row>
    <row r="595" spans="1:7" ht="15.75" customHeight="1" x14ac:dyDescent="0.25">
      <c r="B595" s="24" t="s">
        <v>2465</v>
      </c>
      <c r="D595" s="24"/>
      <c r="E595" s="24"/>
      <c r="F595" s="24"/>
      <c r="G595" s="24"/>
    </row>
    <row r="596" spans="1:7" ht="15.75" customHeight="1" x14ac:dyDescent="0.25">
      <c r="B596" s="24" t="s">
        <v>2339</v>
      </c>
      <c r="D596" s="24"/>
      <c r="E596" s="24"/>
      <c r="F596" s="24"/>
      <c r="G596" s="24"/>
    </row>
    <row r="597" spans="1:7" ht="15.75" customHeight="1" x14ac:dyDescent="0.25">
      <c r="B597" s="24" t="s">
        <v>2956</v>
      </c>
      <c r="C597" s="24"/>
      <c r="D597" s="24"/>
      <c r="E597" s="24"/>
      <c r="F597" s="24"/>
      <c r="G597" s="24"/>
    </row>
    <row r="598" spans="1:7" ht="15.75" customHeight="1" x14ac:dyDescent="0.25">
      <c r="B598" s="24" t="s">
        <v>2468</v>
      </c>
      <c r="C598" s="24"/>
      <c r="D598" s="24"/>
      <c r="E598" s="24"/>
      <c r="F598" s="24"/>
      <c r="G598" s="24"/>
    </row>
    <row r="599" spans="1:7" ht="15.75" customHeight="1" x14ac:dyDescent="0.25">
      <c r="A599" s="24"/>
      <c r="B599" s="24" t="s">
        <v>2958</v>
      </c>
      <c r="C599" s="24"/>
      <c r="D599" s="24"/>
      <c r="E599" s="24"/>
      <c r="F599" s="24"/>
      <c r="G599" s="24"/>
    </row>
    <row r="600" spans="1:7" ht="15.75" customHeight="1" x14ac:dyDescent="0.25">
      <c r="B600" s="24" t="s">
        <v>2959</v>
      </c>
      <c r="C600" s="24"/>
      <c r="D600" s="24"/>
      <c r="E600" s="24"/>
      <c r="F600" s="24"/>
      <c r="G600" s="24"/>
    </row>
    <row r="601" spans="1:7" ht="15.75" customHeight="1" x14ac:dyDescent="0.25">
      <c r="B601" s="24" t="s">
        <v>2960</v>
      </c>
      <c r="C601" s="24"/>
      <c r="D601" s="24"/>
      <c r="E601" s="24"/>
      <c r="F601" s="24"/>
      <c r="G601" s="24"/>
    </row>
    <row r="602" spans="1:7" ht="15.75" customHeight="1" x14ac:dyDescent="0.25">
      <c r="B602" s="24" t="s">
        <v>2962</v>
      </c>
      <c r="C602" s="24"/>
      <c r="D602" s="24"/>
      <c r="E602" s="24"/>
      <c r="F602" s="24"/>
      <c r="G602" s="24"/>
    </row>
    <row r="603" spans="1:7" ht="15.75" customHeight="1" x14ac:dyDescent="0.25">
      <c r="A603" s="24"/>
      <c r="B603" s="24" t="s">
        <v>2963</v>
      </c>
      <c r="C603" s="24"/>
      <c r="D603" s="24"/>
      <c r="E603" s="24"/>
      <c r="F603" s="24"/>
      <c r="G603" s="24"/>
    </row>
    <row r="604" spans="1:7" ht="15.75" customHeight="1" x14ac:dyDescent="0.25">
      <c r="B604" s="24" t="s">
        <v>2965</v>
      </c>
      <c r="C604" s="24"/>
      <c r="D604" s="24"/>
      <c r="E604" s="24"/>
      <c r="F604" s="24"/>
      <c r="G604" s="24"/>
    </row>
    <row r="605" spans="1:7" ht="15.75" customHeight="1" x14ac:dyDescent="0.25">
      <c r="B605" s="24" t="s">
        <v>2966</v>
      </c>
      <c r="C605" s="24"/>
      <c r="D605" s="24"/>
      <c r="E605" s="24"/>
      <c r="F605" s="24"/>
      <c r="G605" s="24"/>
    </row>
    <row r="606" spans="1:7" ht="15.75" customHeight="1" x14ac:dyDescent="0.25">
      <c r="B606" s="24" t="s">
        <v>2967</v>
      </c>
      <c r="C606" s="24"/>
      <c r="D606" s="24"/>
      <c r="E606" s="24"/>
      <c r="F606" s="24"/>
      <c r="G606" s="24"/>
    </row>
    <row r="607" spans="1:7" ht="15.75" customHeight="1" x14ac:dyDescent="0.25">
      <c r="B607" s="24" t="s">
        <v>2970</v>
      </c>
      <c r="C607" s="24"/>
      <c r="D607" s="24"/>
      <c r="E607" s="24"/>
      <c r="F607" s="24"/>
      <c r="G607" s="24"/>
    </row>
    <row r="608" spans="1:7" ht="15.75" customHeight="1" x14ac:dyDescent="0.25">
      <c r="B608" s="24" t="s">
        <v>2971</v>
      </c>
      <c r="C608" s="24"/>
      <c r="D608" s="24"/>
      <c r="E608" s="24"/>
      <c r="F608" s="24"/>
      <c r="G608" s="24"/>
    </row>
    <row r="609" spans="1:7" ht="15.75" customHeight="1" x14ac:dyDescent="0.25">
      <c r="A609" s="24"/>
      <c r="B609" s="24" t="s">
        <v>2973</v>
      </c>
      <c r="C609" s="24"/>
      <c r="D609" s="24"/>
      <c r="E609" s="24"/>
      <c r="F609" s="24"/>
      <c r="G609" s="24"/>
    </row>
    <row r="610" spans="1:7" ht="15.75" customHeight="1" x14ac:dyDescent="0.25">
      <c r="B610" s="24" t="s">
        <v>2974</v>
      </c>
      <c r="C610" s="24"/>
      <c r="D610" s="24"/>
      <c r="E610" s="24"/>
      <c r="F610" s="24"/>
      <c r="G610" s="24"/>
    </row>
    <row r="611" spans="1:7" ht="15.75" customHeight="1" x14ac:dyDescent="0.25">
      <c r="B611" s="24" t="s">
        <v>2975</v>
      </c>
      <c r="C611" s="24"/>
      <c r="D611" s="24"/>
      <c r="E611" s="24"/>
      <c r="F611" s="24"/>
      <c r="G611" s="24"/>
    </row>
    <row r="612" spans="1:7" ht="15.75" customHeight="1" x14ac:dyDescent="0.25">
      <c r="B612" s="24" t="s">
        <v>2977</v>
      </c>
      <c r="C612" s="24"/>
      <c r="D612" s="24"/>
      <c r="E612" s="24"/>
      <c r="F612" s="24"/>
      <c r="G612" s="24"/>
    </row>
    <row r="613" spans="1:7" ht="15.75" customHeight="1" x14ac:dyDescent="0.25">
      <c r="B613" s="24" t="s">
        <v>2979</v>
      </c>
      <c r="C613" s="24"/>
      <c r="D613" s="24"/>
      <c r="E613" s="24"/>
      <c r="F613" s="24"/>
      <c r="G613" s="24"/>
    </row>
    <row r="614" spans="1:7" ht="15.75" customHeight="1" x14ac:dyDescent="0.25">
      <c r="B614" s="24" t="s">
        <v>2475</v>
      </c>
      <c r="C614" s="24"/>
      <c r="D614" s="24"/>
      <c r="E614" s="24"/>
      <c r="F614" s="24"/>
      <c r="G614" s="24"/>
    </row>
    <row r="615" spans="1:7" ht="15.75" customHeight="1" x14ac:dyDescent="0.25">
      <c r="B615" s="24" t="s">
        <v>2980</v>
      </c>
      <c r="C615" s="24"/>
      <c r="D615" s="24"/>
      <c r="E615" s="24"/>
      <c r="F615" s="24"/>
      <c r="G615" s="24"/>
    </row>
    <row r="616" spans="1:7" ht="15.75" customHeight="1" x14ac:dyDescent="0.25">
      <c r="B616" s="24" t="s">
        <v>2981</v>
      </c>
      <c r="E616" s="24"/>
      <c r="F616" s="24"/>
      <c r="G616" s="24"/>
    </row>
    <row r="617" spans="1:7" ht="15.75" customHeight="1" x14ac:dyDescent="0.25">
      <c r="B617" s="24" t="s">
        <v>2982</v>
      </c>
      <c r="F617" s="24"/>
      <c r="G617" s="24"/>
    </row>
    <row r="618" spans="1:7" ht="15.75" customHeight="1" x14ac:dyDescent="0.25">
      <c r="B618" s="8" t="s">
        <v>2983</v>
      </c>
      <c r="F618" s="24"/>
      <c r="G618" s="24"/>
    </row>
    <row r="619" spans="1:7" ht="15.75" customHeight="1" x14ac:dyDescent="0.25">
      <c r="B619" s="24" t="s">
        <v>2480</v>
      </c>
      <c r="F619" s="24"/>
      <c r="G619" s="24"/>
    </row>
    <row r="620" spans="1:7" ht="15.75" customHeight="1" x14ac:dyDescent="0.25">
      <c r="B620" s="24" t="s">
        <v>2647</v>
      </c>
      <c r="F620" s="24"/>
      <c r="G620" s="24"/>
    </row>
    <row r="621" spans="1:7" ht="15.75" customHeight="1" x14ac:dyDescent="0.25">
      <c r="B621" s="24" t="s">
        <v>2987</v>
      </c>
      <c r="F621" s="24"/>
      <c r="G621" s="24"/>
    </row>
    <row r="622" spans="1:7" ht="15.75" customHeight="1" x14ac:dyDescent="0.25">
      <c r="B622" s="24" t="s">
        <v>426</v>
      </c>
      <c r="F622" s="24"/>
      <c r="G622" s="24"/>
    </row>
    <row r="623" spans="1:7" ht="15.75" customHeight="1" x14ac:dyDescent="0.25">
      <c r="B623" s="24" t="s">
        <v>2988</v>
      </c>
      <c r="F623" s="24"/>
      <c r="G623" s="24"/>
    </row>
    <row r="624" spans="1:7" ht="15.75" customHeight="1" x14ac:dyDescent="0.25">
      <c r="B624" s="24" t="s">
        <v>2989</v>
      </c>
      <c r="F624" s="24"/>
      <c r="G624" s="24"/>
    </row>
    <row r="625" spans="1:7" ht="15.75" customHeight="1" x14ac:dyDescent="0.25">
      <c r="B625" s="24" t="s">
        <v>2991</v>
      </c>
      <c r="E625" s="24"/>
      <c r="F625" s="24"/>
      <c r="G625" s="24"/>
    </row>
    <row r="626" spans="1:7" ht="15.75" customHeight="1" x14ac:dyDescent="0.25">
      <c r="B626" s="24" t="s">
        <v>2331</v>
      </c>
      <c r="E626" s="24"/>
      <c r="F626" s="24"/>
      <c r="G626" s="24"/>
    </row>
    <row r="627" spans="1:7" ht="15.75" customHeight="1" x14ac:dyDescent="0.25">
      <c r="B627" s="24" t="s">
        <v>2993</v>
      </c>
      <c r="E627" s="24"/>
      <c r="F627" s="24"/>
      <c r="G627" s="24"/>
    </row>
    <row r="628" spans="1:7" ht="15.75" customHeight="1" x14ac:dyDescent="0.25">
      <c r="B628" s="24" t="s">
        <v>2994</v>
      </c>
      <c r="E628" s="24"/>
      <c r="F628" s="24"/>
      <c r="G628" s="24"/>
    </row>
    <row r="629" spans="1:7" ht="15.75" customHeight="1" x14ac:dyDescent="0.25">
      <c r="B629" s="24" t="s">
        <v>2995</v>
      </c>
      <c r="E629" s="24"/>
      <c r="F629" s="24"/>
      <c r="G629" s="24"/>
    </row>
    <row r="630" spans="1:7" ht="15.75" customHeight="1" x14ac:dyDescent="0.25">
      <c r="B630" s="24" t="s">
        <v>2997</v>
      </c>
      <c r="F630" s="24"/>
      <c r="G630" s="24"/>
    </row>
    <row r="631" spans="1:7" ht="15.75" customHeight="1" x14ac:dyDescent="0.25">
      <c r="B631" s="24" t="s">
        <v>2335</v>
      </c>
      <c r="F631" s="24"/>
      <c r="G631" s="24"/>
    </row>
    <row r="632" spans="1:7" ht="15.75" customHeight="1" x14ac:dyDescent="0.25">
      <c r="B632" s="24" t="s">
        <v>2649</v>
      </c>
      <c r="F632" s="24"/>
      <c r="G632" s="24"/>
    </row>
    <row r="633" spans="1:7" ht="15.75" customHeight="1" x14ac:dyDescent="0.25">
      <c r="B633" s="24" t="s">
        <v>3000</v>
      </c>
      <c r="F633" s="24"/>
      <c r="G633" s="24"/>
    </row>
    <row r="634" spans="1:7" ht="15.75" customHeight="1" x14ac:dyDescent="0.25">
      <c r="B634" s="24" t="s">
        <v>430</v>
      </c>
      <c r="F634" s="24"/>
      <c r="G634" s="24"/>
    </row>
    <row r="635" spans="1:7" ht="15.75" customHeight="1" x14ac:dyDescent="0.25">
      <c r="B635" s="24" t="s">
        <v>3002</v>
      </c>
      <c r="C635" s="24"/>
      <c r="D635" s="24"/>
      <c r="E635" s="24"/>
      <c r="F635" s="24"/>
      <c r="G635" s="24"/>
    </row>
    <row r="636" spans="1:7" ht="15.75" customHeight="1" x14ac:dyDescent="0.25">
      <c r="A636" s="24"/>
      <c r="B636" s="24" t="s">
        <v>3003</v>
      </c>
      <c r="C636" s="24"/>
      <c r="D636" s="24"/>
      <c r="E636" s="24"/>
      <c r="F636" s="24"/>
      <c r="G636" s="24"/>
    </row>
    <row r="637" spans="1:7" ht="15.75" customHeight="1" x14ac:dyDescent="0.25">
      <c r="A637" s="24"/>
      <c r="B637" s="24" t="s">
        <v>3006</v>
      </c>
      <c r="C637" s="24"/>
      <c r="D637" s="24"/>
      <c r="E637" s="24"/>
      <c r="F637" s="24"/>
      <c r="G637" s="24"/>
    </row>
    <row r="638" spans="1:7" ht="15.75" customHeight="1" x14ac:dyDescent="0.25">
      <c r="B638" s="24" t="s">
        <v>3007</v>
      </c>
      <c r="C638" s="24"/>
      <c r="D638" s="24"/>
      <c r="E638" s="24"/>
      <c r="F638" s="24"/>
      <c r="G638" s="24"/>
    </row>
    <row r="639" spans="1:7" ht="15.75" customHeight="1" x14ac:dyDescent="0.25">
      <c r="B639" s="24" t="s">
        <v>3009</v>
      </c>
      <c r="C639" s="24"/>
      <c r="D639" s="24"/>
      <c r="E639" s="24"/>
      <c r="F639" s="24"/>
      <c r="G639" s="24"/>
    </row>
    <row r="640" spans="1:7" ht="15.75" customHeight="1" x14ac:dyDescent="0.25">
      <c r="B640" s="24" t="s">
        <v>3010</v>
      </c>
      <c r="C640" s="24"/>
      <c r="D640" s="24"/>
      <c r="E640" s="24"/>
      <c r="F640" s="24"/>
      <c r="G640" s="24"/>
    </row>
    <row r="641" spans="1:7" ht="15.75" customHeight="1" x14ac:dyDescent="0.25">
      <c r="A641" s="24"/>
      <c r="B641" s="24" t="s">
        <v>3011</v>
      </c>
      <c r="C641" s="24"/>
      <c r="D641" s="24"/>
      <c r="E641" s="24"/>
      <c r="F641" s="24"/>
      <c r="G641" s="24"/>
    </row>
    <row r="642" spans="1:7" ht="15.75" customHeight="1" x14ac:dyDescent="0.25">
      <c r="A642" s="24"/>
      <c r="B642" s="24" t="s">
        <v>3012</v>
      </c>
      <c r="C642" s="24"/>
      <c r="D642" s="24"/>
      <c r="E642" s="24"/>
      <c r="F642" s="24"/>
      <c r="G642" s="24"/>
    </row>
    <row r="643" spans="1:7" ht="15.75" customHeight="1" x14ac:dyDescent="0.25">
      <c r="B643" s="24" t="s">
        <v>2657</v>
      </c>
      <c r="C643" s="24"/>
      <c r="D643" s="24"/>
      <c r="E643" s="24"/>
      <c r="F643" s="24"/>
      <c r="G643" s="24"/>
    </row>
    <row r="644" spans="1:7" ht="15.75" customHeight="1" x14ac:dyDescent="0.25">
      <c r="B644" s="24" t="s">
        <v>3013</v>
      </c>
      <c r="C644" s="24"/>
      <c r="D644" s="24"/>
      <c r="E644" s="24"/>
      <c r="F644" s="24"/>
      <c r="G644" s="24"/>
    </row>
    <row r="645" spans="1:7" ht="15.75" customHeight="1" x14ac:dyDescent="0.25">
      <c r="A645" s="24"/>
      <c r="B645" s="24" t="s">
        <v>3014</v>
      </c>
      <c r="C645" s="24"/>
      <c r="D645" s="24"/>
      <c r="E645" s="24"/>
      <c r="F645" s="24"/>
      <c r="G645" s="24"/>
    </row>
    <row r="646" spans="1:7" ht="15.75" customHeight="1" x14ac:dyDescent="0.25">
      <c r="B646" s="24" t="s">
        <v>3015</v>
      </c>
      <c r="C646" s="24"/>
      <c r="D646" s="24"/>
      <c r="E646" s="24"/>
      <c r="F646" s="24"/>
      <c r="G646" s="24"/>
    </row>
    <row r="647" spans="1:7" ht="15.75" customHeight="1" x14ac:dyDescent="0.25">
      <c r="B647" s="24" t="s">
        <v>3018</v>
      </c>
      <c r="C647" s="24"/>
      <c r="D647" s="24"/>
      <c r="E647" s="24"/>
      <c r="F647" s="24"/>
      <c r="G647" s="24"/>
    </row>
    <row r="648" spans="1:7" ht="15.75" customHeight="1" x14ac:dyDescent="0.25">
      <c r="B648" s="24" t="s">
        <v>3019</v>
      </c>
      <c r="C648" s="24"/>
      <c r="D648" s="24"/>
      <c r="E648" s="24"/>
      <c r="F648" s="24"/>
      <c r="G648" s="24"/>
    </row>
    <row r="649" spans="1:7" ht="15.75" customHeight="1" x14ac:dyDescent="0.25">
      <c r="B649" s="24" t="s">
        <v>3014</v>
      </c>
      <c r="C649" s="24"/>
      <c r="D649" s="24"/>
      <c r="E649" s="24"/>
      <c r="F649" s="24"/>
      <c r="G649" s="24"/>
    </row>
    <row r="650" spans="1:7" ht="15.75" customHeight="1" x14ac:dyDescent="0.25">
      <c r="B650" s="24" t="s">
        <v>3021</v>
      </c>
      <c r="C650" s="24"/>
      <c r="D650" s="24"/>
      <c r="E650" s="24"/>
      <c r="F650" s="24"/>
      <c r="G650" s="24"/>
    </row>
    <row r="651" spans="1:7" ht="15.75" customHeight="1" x14ac:dyDescent="0.25">
      <c r="B651" s="24" t="s">
        <v>2492</v>
      </c>
      <c r="C651" s="24"/>
      <c r="D651" s="24"/>
      <c r="E651" s="24"/>
      <c r="F651" s="24"/>
      <c r="G651" s="24"/>
    </row>
    <row r="652" spans="1:7" ht="15.75" customHeight="1" x14ac:dyDescent="0.25">
      <c r="B652" s="24" t="s">
        <v>3023</v>
      </c>
      <c r="C652" s="24"/>
      <c r="D652" s="24"/>
      <c r="E652" s="24"/>
      <c r="F652" s="24"/>
      <c r="G652" s="24"/>
    </row>
    <row r="653" spans="1:7" ht="15.75" customHeight="1" x14ac:dyDescent="0.25">
      <c r="B653" s="24" t="s">
        <v>3024</v>
      </c>
      <c r="C653" s="24"/>
      <c r="D653" s="24"/>
      <c r="E653" s="24"/>
      <c r="F653" s="24"/>
      <c r="G653" s="24"/>
    </row>
    <row r="654" spans="1:7" ht="15.75" customHeight="1" x14ac:dyDescent="0.25">
      <c r="B654" s="24" t="s">
        <v>3026</v>
      </c>
      <c r="C654" s="24"/>
      <c r="D654" s="24"/>
      <c r="E654" s="24"/>
      <c r="F654" s="24"/>
      <c r="G654" s="24"/>
    </row>
    <row r="655" spans="1:7" ht="15.75" customHeight="1" x14ac:dyDescent="0.25">
      <c r="B655" s="24" t="s">
        <v>3027</v>
      </c>
      <c r="C655" s="24"/>
      <c r="D655" s="24"/>
      <c r="E655" s="24"/>
      <c r="F655" s="24"/>
      <c r="G655" s="24"/>
    </row>
    <row r="656" spans="1:7" ht="15.75" customHeight="1" x14ac:dyDescent="0.25">
      <c r="B656" s="24" t="s">
        <v>3031</v>
      </c>
      <c r="C656" s="24"/>
      <c r="D656" s="24"/>
      <c r="E656" s="24"/>
      <c r="F656" s="24"/>
      <c r="G656" s="24"/>
    </row>
    <row r="657" spans="1:7" ht="15.75" customHeight="1" x14ac:dyDescent="0.25">
      <c r="B657" s="24" t="s">
        <v>2663</v>
      </c>
      <c r="C657" s="24"/>
      <c r="D657" s="24"/>
      <c r="E657" s="24"/>
      <c r="F657" s="24"/>
      <c r="G657" s="24"/>
    </row>
    <row r="658" spans="1:7" ht="15.75" customHeight="1" x14ac:dyDescent="0.25">
      <c r="B658" s="24" t="s">
        <v>2499</v>
      </c>
      <c r="C658" s="24"/>
      <c r="D658" s="24"/>
      <c r="E658" s="24"/>
      <c r="F658" s="24"/>
      <c r="G658" s="24"/>
    </row>
    <row r="659" spans="1:7" ht="15.75" customHeight="1" x14ac:dyDescent="0.25">
      <c r="B659" s="24" t="s">
        <v>3033</v>
      </c>
      <c r="C659" s="24"/>
      <c r="D659" s="24"/>
      <c r="E659" s="24"/>
      <c r="F659" s="24"/>
      <c r="G659" s="24"/>
    </row>
    <row r="660" spans="1:7" ht="15.75" customHeight="1" x14ac:dyDescent="0.25">
      <c r="B660" s="24" t="s">
        <v>3034</v>
      </c>
      <c r="C660" s="24"/>
      <c r="D660" s="24"/>
      <c r="E660" s="24"/>
      <c r="F660" s="24"/>
      <c r="G660" s="24"/>
    </row>
    <row r="661" spans="1:7" ht="15.75" customHeight="1" x14ac:dyDescent="0.25">
      <c r="B661" s="24" t="s">
        <v>2665</v>
      </c>
      <c r="C661" s="24"/>
      <c r="D661" s="24"/>
      <c r="E661" s="24"/>
      <c r="F661" s="24"/>
      <c r="G661" s="24"/>
    </row>
    <row r="662" spans="1:7" ht="15.75" customHeight="1" x14ac:dyDescent="0.25">
      <c r="B662" s="24" t="s">
        <v>3035</v>
      </c>
      <c r="C662" s="24"/>
      <c r="D662" s="24"/>
      <c r="E662" s="24"/>
      <c r="F662" s="24"/>
      <c r="G662" s="24"/>
    </row>
    <row r="663" spans="1:7" ht="15.75" customHeight="1" x14ac:dyDescent="0.25">
      <c r="B663" s="24" t="s">
        <v>3036</v>
      </c>
      <c r="C663" s="24"/>
      <c r="D663" s="24"/>
      <c r="E663" s="24"/>
      <c r="F663" s="24"/>
      <c r="G663" s="24"/>
    </row>
    <row r="664" spans="1:7" ht="15.75" customHeight="1" x14ac:dyDescent="0.25">
      <c r="A664" s="24"/>
      <c r="B664" s="24" t="s">
        <v>2501</v>
      </c>
      <c r="C664" s="24"/>
      <c r="D664" s="24"/>
      <c r="E664" s="24"/>
      <c r="F664" s="24"/>
      <c r="G664" s="24"/>
    </row>
    <row r="665" spans="1:7" ht="15.75" customHeight="1" x14ac:dyDescent="0.25">
      <c r="B665" s="24" t="s">
        <v>3037</v>
      </c>
      <c r="C665" s="24"/>
      <c r="D665" s="24"/>
      <c r="E665" s="24"/>
      <c r="F665" s="24"/>
      <c r="G665" s="24"/>
    </row>
    <row r="666" spans="1:7" ht="15.75" customHeight="1" x14ac:dyDescent="0.25">
      <c r="B666" s="24" t="s">
        <v>2667</v>
      </c>
      <c r="C666" s="24"/>
      <c r="D666" s="24"/>
      <c r="E666" s="24"/>
      <c r="F666" s="24"/>
      <c r="G666" s="24"/>
    </row>
    <row r="667" spans="1:7" ht="15.75" customHeight="1" x14ac:dyDescent="0.25">
      <c r="B667" s="24" t="s">
        <v>3039</v>
      </c>
      <c r="C667" s="24"/>
      <c r="D667" s="24"/>
      <c r="E667" s="24"/>
      <c r="F667" s="24"/>
      <c r="G667" s="24"/>
    </row>
    <row r="668" spans="1:7" ht="15.75" customHeight="1" x14ac:dyDescent="0.25">
      <c r="B668" s="24" t="s">
        <v>3041</v>
      </c>
      <c r="C668" s="24"/>
      <c r="E668" s="24"/>
      <c r="F668" s="24"/>
      <c r="G668" s="24"/>
    </row>
    <row r="669" spans="1:7" ht="15.75" customHeight="1" x14ac:dyDescent="0.25">
      <c r="B669" s="24" t="s">
        <v>3042</v>
      </c>
      <c r="C669" s="24"/>
      <c r="F669" s="24"/>
      <c r="G669" s="24"/>
    </row>
    <row r="670" spans="1:7" ht="15.75" customHeight="1" x14ac:dyDescent="0.25">
      <c r="B670" s="24" t="s">
        <v>1763</v>
      </c>
      <c r="C670" s="24"/>
      <c r="F670" s="24"/>
      <c r="G670" s="24"/>
    </row>
    <row r="671" spans="1:7" ht="15.75" customHeight="1" x14ac:dyDescent="0.25">
      <c r="B671" s="24" t="s">
        <v>3043</v>
      </c>
      <c r="F671" s="24"/>
      <c r="G671" s="24"/>
    </row>
    <row r="672" spans="1:7" ht="15.75" customHeight="1" x14ac:dyDescent="0.25">
      <c r="B672" s="24" t="s">
        <v>1629</v>
      </c>
      <c r="F672" s="24"/>
      <c r="G672" s="24"/>
    </row>
    <row r="673" spans="2:7" ht="15.75" customHeight="1" x14ac:dyDescent="0.25">
      <c r="B673" s="24" t="s">
        <v>3045</v>
      </c>
      <c r="F673" s="24"/>
      <c r="G673" s="24"/>
    </row>
    <row r="674" spans="2:7" ht="15.75" customHeight="1" x14ac:dyDescent="0.25">
      <c r="B674" s="24" t="s">
        <v>3046</v>
      </c>
      <c r="E674" s="24"/>
      <c r="F674" s="24"/>
      <c r="G674" s="24"/>
    </row>
    <row r="675" spans="2:7" ht="15.75" customHeight="1" x14ac:dyDescent="0.25">
      <c r="B675" s="24" t="s">
        <v>2362</v>
      </c>
      <c r="E675" s="24"/>
      <c r="F675" s="24"/>
      <c r="G675" s="24"/>
    </row>
    <row r="676" spans="2:7" ht="15.75" customHeight="1" x14ac:dyDescent="0.25">
      <c r="B676" s="24" t="s">
        <v>3048</v>
      </c>
      <c r="E676" s="24"/>
      <c r="F676" s="24"/>
      <c r="G676" s="24"/>
    </row>
    <row r="677" spans="2:7" ht="15.75" customHeight="1" x14ac:dyDescent="0.25">
      <c r="B677" s="24" t="s">
        <v>2355</v>
      </c>
      <c r="E677" s="24"/>
      <c r="F677" s="24"/>
      <c r="G677" s="24"/>
    </row>
    <row r="678" spans="2:7" ht="15.75" customHeight="1" x14ac:dyDescent="0.25">
      <c r="B678" s="24" t="s">
        <v>3050</v>
      </c>
      <c r="E678" s="24"/>
      <c r="F678" s="24"/>
      <c r="G678" s="24"/>
    </row>
    <row r="679" spans="2:7" ht="15.75" customHeight="1" x14ac:dyDescent="0.25">
      <c r="B679" s="24" t="s">
        <v>3051</v>
      </c>
      <c r="E679" s="24"/>
      <c r="F679" s="24"/>
      <c r="G679" s="24"/>
    </row>
    <row r="680" spans="2:7" ht="15.75" customHeight="1" x14ac:dyDescent="0.25">
      <c r="B680" s="24" t="s">
        <v>2507</v>
      </c>
      <c r="D680" s="24"/>
      <c r="E680" s="24"/>
      <c r="F680" s="24"/>
      <c r="G680" s="24"/>
    </row>
    <row r="681" spans="2:7" ht="15.75" customHeight="1" x14ac:dyDescent="0.25">
      <c r="B681" s="24" t="s">
        <v>3053</v>
      </c>
      <c r="D681" s="24"/>
      <c r="E681" s="24"/>
      <c r="F681" s="24"/>
      <c r="G681" s="24"/>
    </row>
    <row r="682" spans="2:7" ht="15.75" customHeight="1" x14ac:dyDescent="0.25">
      <c r="B682" s="24" t="s">
        <v>2673</v>
      </c>
      <c r="D682" s="24"/>
      <c r="E682" s="24"/>
      <c r="F682" s="24"/>
      <c r="G682" s="24"/>
    </row>
    <row r="683" spans="2:7" ht="15.75" customHeight="1" x14ac:dyDescent="0.25">
      <c r="B683" s="24" t="s">
        <v>2675</v>
      </c>
      <c r="D683" s="24"/>
      <c r="E683" s="24"/>
      <c r="F683" s="24"/>
      <c r="G683" s="24"/>
    </row>
    <row r="684" spans="2:7" ht="15.75" customHeight="1" x14ac:dyDescent="0.25">
      <c r="B684" s="24" t="s">
        <v>3055</v>
      </c>
      <c r="D684" s="24"/>
      <c r="E684" s="24"/>
      <c r="F684" s="24"/>
      <c r="G684" s="24"/>
    </row>
    <row r="685" spans="2:7" ht="15.75" customHeight="1" x14ac:dyDescent="0.25">
      <c r="B685" s="24" t="s">
        <v>2678</v>
      </c>
      <c r="D685" s="24"/>
      <c r="E685" s="24"/>
      <c r="F685" s="24"/>
      <c r="G685" s="24"/>
    </row>
    <row r="686" spans="2:7" ht="15.75" customHeight="1" x14ac:dyDescent="0.25">
      <c r="B686" s="24" t="s">
        <v>3056</v>
      </c>
      <c r="D686" s="24"/>
      <c r="E686" s="24"/>
      <c r="F686" s="24"/>
      <c r="G686" s="24"/>
    </row>
    <row r="687" spans="2:7" ht="15.75" customHeight="1" x14ac:dyDescent="0.25">
      <c r="B687" s="24" t="s">
        <v>2368</v>
      </c>
      <c r="D687" s="24"/>
      <c r="E687" s="24"/>
      <c r="F687" s="24"/>
      <c r="G687" s="24"/>
    </row>
    <row r="688" spans="2:7" ht="15.75" customHeight="1" x14ac:dyDescent="0.25">
      <c r="B688" s="24" t="s">
        <v>2510</v>
      </c>
      <c r="D688" s="24"/>
      <c r="E688" s="24"/>
      <c r="F688" s="24"/>
      <c r="G688" s="24"/>
    </row>
    <row r="689" spans="1:7" ht="15.75" customHeight="1" x14ac:dyDescent="0.25">
      <c r="B689" s="24" t="s">
        <v>3057</v>
      </c>
      <c r="D689" s="24"/>
      <c r="E689" s="24"/>
      <c r="F689" s="24"/>
      <c r="G689" s="24"/>
    </row>
    <row r="690" spans="1:7" ht="15.75" customHeight="1" x14ac:dyDescent="0.25">
      <c r="B690" s="24" t="s">
        <v>3058</v>
      </c>
      <c r="C690" s="24"/>
      <c r="D690" s="24"/>
      <c r="E690" s="24"/>
      <c r="F690" s="24"/>
      <c r="G690" s="24"/>
    </row>
    <row r="691" spans="1:7" ht="15.75" customHeight="1" x14ac:dyDescent="0.25">
      <c r="A691" s="24"/>
      <c r="B691" s="24" t="s">
        <v>2681</v>
      </c>
      <c r="C691" s="24"/>
      <c r="D691" s="24"/>
      <c r="E691" s="24"/>
      <c r="F691" s="24"/>
      <c r="G691" s="24"/>
    </row>
    <row r="692" spans="1:7" ht="15.75" customHeight="1" x14ac:dyDescent="0.25">
      <c r="B692" s="24" t="s">
        <v>3059</v>
      </c>
      <c r="C692" s="24"/>
      <c r="D692" s="24"/>
      <c r="E692" s="24"/>
      <c r="F692" s="24"/>
      <c r="G692" s="24"/>
    </row>
    <row r="693" spans="1:7" ht="15.75" customHeight="1" x14ac:dyDescent="0.25">
      <c r="B693" s="24" t="s">
        <v>2512</v>
      </c>
      <c r="C693" s="24"/>
      <c r="D693" s="24"/>
      <c r="E693" s="24"/>
      <c r="F693" s="24"/>
      <c r="G693" s="24"/>
    </row>
    <row r="694" spans="1:7" ht="15.75" customHeight="1" x14ac:dyDescent="0.25">
      <c r="A694" s="24"/>
      <c r="B694" s="24" t="s">
        <v>3061</v>
      </c>
      <c r="C694" s="24"/>
      <c r="D694" s="24"/>
      <c r="E694" s="24"/>
      <c r="F694" s="24"/>
      <c r="G694" s="24"/>
    </row>
    <row r="695" spans="1:7" ht="15.75" customHeight="1" x14ac:dyDescent="0.25">
      <c r="B695" s="24" t="s">
        <v>2369</v>
      </c>
      <c r="C695" s="24"/>
      <c r="D695" s="24"/>
      <c r="E695" s="24"/>
      <c r="F695" s="24"/>
      <c r="G695" s="24"/>
    </row>
    <row r="696" spans="1:7" ht="15.75" customHeight="1" x14ac:dyDescent="0.25">
      <c r="B696" s="24" t="s">
        <v>3063</v>
      </c>
      <c r="E696" s="24"/>
      <c r="F696" s="24"/>
      <c r="G696" s="24"/>
    </row>
    <row r="697" spans="1:7" ht="15.75" customHeight="1" x14ac:dyDescent="0.25">
      <c r="B697" s="24" t="s">
        <v>3064</v>
      </c>
      <c r="D697" s="24"/>
      <c r="E697" s="24"/>
      <c r="F697" s="24"/>
      <c r="G697" s="24"/>
    </row>
    <row r="698" spans="1:7" ht="15.75" customHeight="1" x14ac:dyDescent="0.25">
      <c r="B698" s="24" t="s">
        <v>2517</v>
      </c>
      <c r="D698" s="24"/>
      <c r="E698" s="24"/>
      <c r="F698" s="24"/>
      <c r="G698" s="24"/>
    </row>
    <row r="699" spans="1:7" ht="15.75" customHeight="1" x14ac:dyDescent="0.25">
      <c r="B699" s="24" t="s">
        <v>3067</v>
      </c>
      <c r="C699" s="24"/>
      <c r="D699" s="24"/>
      <c r="E699" s="24"/>
      <c r="F699" s="24"/>
      <c r="G699" s="24"/>
    </row>
    <row r="700" spans="1:7" ht="15.75" customHeight="1" x14ac:dyDescent="0.25">
      <c r="A700" s="24"/>
      <c r="B700" s="24" t="s">
        <v>3069</v>
      </c>
      <c r="C700" s="24"/>
      <c r="D700" s="24"/>
      <c r="E700" s="24"/>
      <c r="F700" s="24"/>
      <c r="G700" s="24"/>
    </row>
    <row r="701" spans="1:7" ht="15.75" customHeight="1" x14ac:dyDescent="0.25">
      <c r="B701" s="24" t="s">
        <v>3070</v>
      </c>
      <c r="C701" s="24"/>
      <c r="D701" s="24"/>
      <c r="E701" s="24"/>
      <c r="F701" s="24"/>
      <c r="G701" s="24"/>
    </row>
    <row r="702" spans="1:7" ht="15.75" customHeight="1" x14ac:dyDescent="0.25">
      <c r="B702" s="24" t="s">
        <v>3073</v>
      </c>
      <c r="C702" s="24"/>
      <c r="D702" s="24"/>
      <c r="E702" s="24"/>
      <c r="F702" s="24"/>
      <c r="G702" s="24"/>
    </row>
    <row r="703" spans="1:7" ht="15.75" customHeight="1" x14ac:dyDescent="0.25">
      <c r="B703" s="24" t="s">
        <v>3075</v>
      </c>
      <c r="C703" s="24"/>
      <c r="D703" s="24"/>
      <c r="E703" s="24"/>
      <c r="F703" s="24"/>
      <c r="G703" s="24"/>
    </row>
    <row r="704" spans="1:7" ht="15.75" customHeight="1" x14ac:dyDescent="0.25">
      <c r="B704" s="24" t="s">
        <v>2686</v>
      </c>
      <c r="C704" s="24"/>
      <c r="D704" s="24"/>
      <c r="E704" s="24"/>
      <c r="F704" s="24"/>
      <c r="G704" s="24"/>
    </row>
    <row r="705" spans="1:7" ht="15.75" customHeight="1" x14ac:dyDescent="0.25">
      <c r="B705" s="24" t="s">
        <v>3076</v>
      </c>
      <c r="C705" s="24"/>
      <c r="D705" s="24"/>
      <c r="E705" s="24"/>
      <c r="F705" s="24"/>
      <c r="G705" s="24"/>
    </row>
    <row r="706" spans="1:7" ht="15.75" customHeight="1" x14ac:dyDescent="0.25">
      <c r="B706" s="24" t="s">
        <v>2519</v>
      </c>
      <c r="C706" s="24"/>
      <c r="D706" s="24"/>
      <c r="E706" s="24"/>
      <c r="F706" s="24"/>
      <c r="G706" s="24"/>
    </row>
    <row r="707" spans="1:7" ht="15.75" customHeight="1" x14ac:dyDescent="0.25">
      <c r="B707" s="24" t="s">
        <v>2520</v>
      </c>
      <c r="C707" s="24"/>
      <c r="D707" s="24"/>
      <c r="E707" s="24"/>
      <c r="F707" s="24"/>
      <c r="G707" s="24"/>
    </row>
    <row r="708" spans="1:7" ht="15.75" customHeight="1" x14ac:dyDescent="0.25">
      <c r="B708" s="24" t="s">
        <v>3079</v>
      </c>
      <c r="C708" s="24"/>
      <c r="D708" s="24"/>
      <c r="E708" s="24"/>
      <c r="F708" s="24"/>
      <c r="G708" s="24"/>
    </row>
    <row r="709" spans="1:7" ht="15.75" customHeight="1" x14ac:dyDescent="0.25">
      <c r="B709" s="24" t="s">
        <v>3080</v>
      </c>
      <c r="C709" s="24"/>
      <c r="D709" s="24"/>
      <c r="E709" s="24"/>
      <c r="F709" s="24"/>
      <c r="G709" s="24"/>
    </row>
    <row r="710" spans="1:7" ht="15.75" customHeight="1" x14ac:dyDescent="0.25">
      <c r="A710" s="24"/>
      <c r="B710" s="24" t="s">
        <v>3081</v>
      </c>
      <c r="C710" s="24"/>
      <c r="D710" s="24"/>
      <c r="E710" s="24"/>
      <c r="F710" s="24"/>
      <c r="G710" s="24"/>
    </row>
    <row r="711" spans="1:7" ht="15.75" customHeight="1" x14ac:dyDescent="0.25">
      <c r="B711" s="24" t="s">
        <v>3083</v>
      </c>
      <c r="C711" s="24"/>
      <c r="D711" s="24"/>
      <c r="E711" s="24"/>
      <c r="F711" s="24"/>
      <c r="G711" s="24"/>
    </row>
    <row r="712" spans="1:7" ht="15.75" customHeight="1" x14ac:dyDescent="0.25">
      <c r="B712" s="24" t="s">
        <v>2688</v>
      </c>
      <c r="C712" s="24"/>
      <c r="D712" s="24"/>
      <c r="E712" s="24"/>
      <c r="F712" s="24"/>
      <c r="G712" s="24"/>
    </row>
    <row r="713" spans="1:7" ht="15.75" customHeight="1" x14ac:dyDescent="0.25">
      <c r="B713" s="24" t="s">
        <v>3086</v>
      </c>
      <c r="C713" s="24"/>
      <c r="D713" s="24"/>
      <c r="E713" s="24"/>
      <c r="F713" s="24"/>
      <c r="G713" s="24"/>
    </row>
    <row r="714" spans="1:7" ht="15.75" customHeight="1" x14ac:dyDescent="0.25">
      <c r="B714" s="24" t="s">
        <v>3087</v>
      </c>
      <c r="C714" s="24"/>
      <c r="D714" s="24"/>
      <c r="E714" s="24"/>
      <c r="F714" s="24"/>
      <c r="G714" s="24"/>
    </row>
    <row r="715" spans="1:7" ht="15.75" customHeight="1" x14ac:dyDescent="0.25">
      <c r="A715" s="24"/>
      <c r="B715" s="24" t="s">
        <v>426</v>
      </c>
      <c r="C715" s="24"/>
      <c r="D715" s="24"/>
      <c r="E715" s="24"/>
      <c r="F715" s="24"/>
      <c r="G715" s="24"/>
    </row>
    <row r="716" spans="1:7" ht="15.75" customHeight="1" x14ac:dyDescent="0.25">
      <c r="B716" s="24" t="s">
        <v>2526</v>
      </c>
      <c r="C716" s="24"/>
      <c r="D716" s="24"/>
      <c r="E716" s="24"/>
      <c r="F716" s="24"/>
      <c r="G716" s="24"/>
    </row>
    <row r="717" spans="1:7" ht="15.75" customHeight="1" x14ac:dyDescent="0.25">
      <c r="A717" s="24"/>
      <c r="B717" s="24" t="s">
        <v>2690</v>
      </c>
      <c r="C717" s="24"/>
      <c r="D717" s="24"/>
      <c r="E717" s="24"/>
      <c r="F717" s="24"/>
      <c r="G717" s="24"/>
    </row>
    <row r="718" spans="1:7" ht="15.75" customHeight="1" x14ac:dyDescent="0.25">
      <c r="B718" s="24" t="s">
        <v>3089</v>
      </c>
      <c r="C718" s="24"/>
      <c r="D718" s="24"/>
      <c r="E718" s="24"/>
      <c r="F718" s="24"/>
      <c r="G718" s="24"/>
    </row>
    <row r="719" spans="1:7" ht="15.75" customHeight="1" x14ac:dyDescent="0.25">
      <c r="B719" s="24" t="s">
        <v>3090</v>
      </c>
      <c r="C719" s="24"/>
      <c r="D719" s="24"/>
      <c r="E719" s="24"/>
      <c r="F719" s="24"/>
      <c r="G719" s="24"/>
    </row>
    <row r="720" spans="1:7" ht="15.75" customHeight="1" x14ac:dyDescent="0.25">
      <c r="B720" s="24" t="s">
        <v>2528</v>
      </c>
      <c r="C720" s="24"/>
      <c r="D720" s="24"/>
      <c r="E720" s="24"/>
      <c r="F720" s="24"/>
      <c r="G720" s="24"/>
    </row>
    <row r="721" spans="2:7" ht="15.75" customHeight="1" x14ac:dyDescent="0.25">
      <c r="B721" s="24" t="s">
        <v>2529</v>
      </c>
      <c r="F721" s="24"/>
      <c r="G721" s="24"/>
    </row>
    <row r="722" spans="2:7" ht="15.75" customHeight="1" x14ac:dyDescent="0.25">
      <c r="B722" s="24" t="s">
        <v>3093</v>
      </c>
      <c r="F722" s="24"/>
      <c r="G722" s="24"/>
    </row>
    <row r="723" spans="2:7" ht="15.75" customHeight="1" x14ac:dyDescent="0.25">
      <c r="B723" s="24" t="s">
        <v>3094</v>
      </c>
      <c r="D723" s="24"/>
      <c r="F723" s="24"/>
      <c r="G723" s="24"/>
    </row>
    <row r="724" spans="2:7" ht="15.75" customHeight="1" x14ac:dyDescent="0.25">
      <c r="B724" s="24" t="s">
        <v>2532</v>
      </c>
      <c r="D724" s="24"/>
      <c r="F724" s="24"/>
      <c r="G724" s="24"/>
    </row>
    <row r="725" spans="2:7" ht="15.75" customHeight="1" x14ac:dyDescent="0.25">
      <c r="B725" s="24" t="s">
        <v>3096</v>
      </c>
      <c r="D725" s="24"/>
      <c r="E725" s="24"/>
      <c r="F725" s="24"/>
      <c r="G725" s="24"/>
    </row>
    <row r="726" spans="2:7" ht="15.75" customHeight="1" x14ac:dyDescent="0.25">
      <c r="B726" s="24" t="s">
        <v>2694</v>
      </c>
      <c r="D726" s="24"/>
      <c r="E726" s="24"/>
      <c r="F726" s="24"/>
      <c r="G726" s="24"/>
    </row>
    <row r="727" spans="2:7" ht="15.75" customHeight="1" x14ac:dyDescent="0.25">
      <c r="B727" s="24" t="s">
        <v>3097</v>
      </c>
      <c r="D727" s="24"/>
      <c r="E727" s="24"/>
      <c r="F727" s="24"/>
      <c r="G727" s="24"/>
    </row>
    <row r="728" spans="2:7" ht="15.75" customHeight="1" x14ac:dyDescent="0.25">
      <c r="B728" s="24" t="s">
        <v>3098</v>
      </c>
      <c r="D728" s="24"/>
      <c r="E728" s="24"/>
      <c r="F728" s="24"/>
      <c r="G728" s="24"/>
    </row>
    <row r="729" spans="2:7" ht="15.75" customHeight="1" x14ac:dyDescent="0.25">
      <c r="B729" s="24" t="s">
        <v>3099</v>
      </c>
      <c r="D729" s="24"/>
      <c r="E729" s="24"/>
      <c r="F729" s="24"/>
      <c r="G729" s="24"/>
    </row>
    <row r="730" spans="2:7" ht="15.75" customHeight="1" x14ac:dyDescent="0.25">
      <c r="B730" s="24" t="s">
        <v>3100</v>
      </c>
      <c r="D730" s="24"/>
      <c r="E730" s="24"/>
      <c r="F730" s="24"/>
      <c r="G730" s="24"/>
    </row>
    <row r="731" spans="2:7" ht="15.75" customHeight="1" x14ac:dyDescent="0.25">
      <c r="B731" s="24" t="s">
        <v>2698</v>
      </c>
      <c r="C731" s="24"/>
      <c r="D731" s="24"/>
      <c r="E731" s="24"/>
      <c r="F731" s="24"/>
      <c r="G731" s="24"/>
    </row>
    <row r="732" spans="2:7" ht="15.75" customHeight="1" x14ac:dyDescent="0.25">
      <c r="B732" s="24" t="s">
        <v>2699</v>
      </c>
      <c r="C732" s="24"/>
      <c r="D732" s="24"/>
      <c r="E732" s="24"/>
      <c r="F732" s="24"/>
      <c r="G732" s="24"/>
    </row>
    <row r="733" spans="2:7" ht="15.75" customHeight="1" x14ac:dyDescent="0.25">
      <c r="B733" s="24" t="s">
        <v>2703</v>
      </c>
      <c r="C733" s="24"/>
      <c r="D733" s="24"/>
      <c r="E733" s="24"/>
      <c r="F733" s="24"/>
      <c r="G733" s="24"/>
    </row>
    <row r="734" spans="2:7" ht="15.75" customHeight="1" x14ac:dyDescent="0.25">
      <c r="B734" s="24" t="s">
        <v>3102</v>
      </c>
      <c r="C734" s="24"/>
      <c r="D734" s="24"/>
      <c r="E734" s="24"/>
      <c r="F734" s="24"/>
      <c r="G734" s="24"/>
    </row>
    <row r="735" spans="2:7" ht="15.75" customHeight="1" x14ac:dyDescent="0.25">
      <c r="B735" s="24" t="s">
        <v>3104</v>
      </c>
      <c r="C735" s="24"/>
      <c r="D735" s="24"/>
      <c r="E735" s="24"/>
      <c r="F735" s="24"/>
      <c r="G735" s="24"/>
    </row>
    <row r="736" spans="2:7" ht="15.75" customHeight="1" x14ac:dyDescent="0.25">
      <c r="B736" s="24" t="s">
        <v>3106</v>
      </c>
      <c r="C736" s="24"/>
      <c r="D736" s="24"/>
      <c r="E736" s="24"/>
      <c r="F736" s="24"/>
      <c r="G736" s="24"/>
    </row>
    <row r="737" spans="1:7" ht="15.75" customHeight="1" x14ac:dyDescent="0.25">
      <c r="B737" s="24" t="s">
        <v>2704</v>
      </c>
      <c r="C737" s="24"/>
      <c r="D737" s="24"/>
      <c r="E737" s="24"/>
      <c r="F737" s="24"/>
      <c r="G737" s="24"/>
    </row>
    <row r="738" spans="1:7" ht="15.75" customHeight="1" x14ac:dyDescent="0.25">
      <c r="B738" s="24" t="s">
        <v>768</v>
      </c>
      <c r="C738" s="24"/>
      <c r="D738" s="24"/>
      <c r="E738" s="24"/>
      <c r="F738" s="24"/>
      <c r="G738" s="24"/>
    </row>
    <row r="739" spans="1:7" ht="15.75" customHeight="1" x14ac:dyDescent="0.25">
      <c r="A739" s="24"/>
      <c r="B739" s="24" t="s">
        <v>3110</v>
      </c>
      <c r="C739" s="24"/>
      <c r="D739" s="24"/>
      <c r="E739" s="24"/>
      <c r="F739" s="24"/>
      <c r="G739" s="24"/>
    </row>
    <row r="740" spans="1:7" ht="15.75" customHeight="1" x14ac:dyDescent="0.25">
      <c r="B740" s="24" t="s">
        <v>430</v>
      </c>
      <c r="C740" s="24"/>
      <c r="D740" s="24"/>
      <c r="E740" s="24"/>
      <c r="F740" s="24"/>
      <c r="G740" s="24"/>
    </row>
    <row r="741" spans="1:7" ht="15.75" customHeight="1" x14ac:dyDescent="0.25">
      <c r="B741" s="24" t="s">
        <v>3111</v>
      </c>
      <c r="C741" s="24"/>
      <c r="D741" s="24"/>
      <c r="E741" s="24"/>
      <c r="F741" s="24"/>
      <c r="G741" s="24"/>
    </row>
    <row r="742" spans="1:7" ht="15.75" customHeight="1" x14ac:dyDescent="0.25">
      <c r="A742" s="24"/>
      <c r="B742" s="24" t="s">
        <v>3112</v>
      </c>
      <c r="C742" s="24"/>
      <c r="D742" s="24"/>
      <c r="E742" s="24"/>
      <c r="F742" s="24"/>
      <c r="G742" s="24"/>
    </row>
    <row r="743" spans="1:7" ht="15.75" customHeight="1" x14ac:dyDescent="0.25">
      <c r="A743" s="24"/>
      <c r="B743" s="24" t="s">
        <v>3113</v>
      </c>
      <c r="C743" s="24"/>
      <c r="D743" s="24"/>
      <c r="E743" s="24"/>
      <c r="F743" s="24"/>
      <c r="G743" s="24"/>
    </row>
    <row r="744" spans="1:7" ht="15.75" customHeight="1" x14ac:dyDescent="0.25">
      <c r="B744" s="24" t="s">
        <v>3114</v>
      </c>
      <c r="C744" s="24"/>
      <c r="D744" s="24"/>
      <c r="E744" s="24"/>
      <c r="F744" s="24"/>
      <c r="G744" s="24"/>
    </row>
    <row r="745" spans="1:7" ht="15.75" customHeight="1" x14ac:dyDescent="0.25">
      <c r="B745" s="24" t="s">
        <v>3115</v>
      </c>
      <c r="C745" s="24"/>
      <c r="D745" s="24"/>
      <c r="E745" s="24"/>
      <c r="F745" s="24"/>
      <c r="G745" s="24"/>
    </row>
    <row r="746" spans="1:7" ht="15.75" customHeight="1" x14ac:dyDescent="0.25">
      <c r="A746" s="24"/>
      <c r="B746" s="24" t="s">
        <v>3116</v>
      </c>
      <c r="C746" s="24"/>
      <c r="D746" s="24"/>
      <c r="E746" s="24"/>
      <c r="F746" s="24"/>
      <c r="G746" s="24"/>
    </row>
    <row r="747" spans="1:7" ht="15.75" customHeight="1" x14ac:dyDescent="0.25">
      <c r="B747" s="24" t="s">
        <v>3118</v>
      </c>
      <c r="C747" s="24"/>
      <c r="D747" s="24"/>
      <c r="E747" s="24"/>
      <c r="F747" s="24"/>
      <c r="G747" s="24"/>
    </row>
    <row r="748" spans="1:7" ht="15.75" customHeight="1" x14ac:dyDescent="0.25">
      <c r="B748" s="24" t="s">
        <v>3119</v>
      </c>
      <c r="C748" s="24"/>
      <c r="D748" s="24"/>
      <c r="E748" s="24"/>
      <c r="F748" s="24"/>
      <c r="G748" s="24"/>
    </row>
    <row r="749" spans="1:7" ht="15.75" customHeight="1" x14ac:dyDescent="0.25">
      <c r="B749" s="24" t="s">
        <v>3120</v>
      </c>
      <c r="C749" s="24"/>
      <c r="D749" s="24"/>
      <c r="E749" s="24"/>
      <c r="F749" s="24"/>
      <c r="G749" s="24"/>
    </row>
    <row r="750" spans="1:7" ht="15.75" customHeight="1" x14ac:dyDescent="0.25">
      <c r="B750" s="24" t="s">
        <v>3122</v>
      </c>
      <c r="C750" s="24"/>
      <c r="D750" s="24"/>
      <c r="E750" s="24"/>
      <c r="F750" s="24"/>
      <c r="G750" s="24"/>
    </row>
    <row r="751" spans="1:7" ht="15.75" customHeight="1" x14ac:dyDescent="0.25">
      <c r="B751" s="24" t="s">
        <v>3123</v>
      </c>
      <c r="C751" s="24"/>
      <c r="D751" s="24"/>
      <c r="E751" s="24"/>
      <c r="F751" s="24"/>
      <c r="G751" s="24"/>
    </row>
    <row r="752" spans="1:7" ht="15.75" customHeight="1" x14ac:dyDescent="0.25">
      <c r="A752" s="24"/>
      <c r="B752" s="24" t="s">
        <v>3124</v>
      </c>
      <c r="C752" s="24"/>
      <c r="D752" s="24"/>
      <c r="E752" s="24"/>
      <c r="F752" s="24"/>
      <c r="G752" s="24"/>
    </row>
    <row r="753" spans="1:7" ht="15.75" customHeight="1" x14ac:dyDescent="0.25">
      <c r="B753" s="24" t="s">
        <v>2541</v>
      </c>
      <c r="C753" s="24"/>
      <c r="D753" s="24"/>
      <c r="E753" s="24"/>
      <c r="F753" s="24"/>
      <c r="G753" s="24"/>
    </row>
    <row r="754" spans="1:7" ht="15.75" customHeight="1" x14ac:dyDescent="0.25">
      <c r="B754" s="24" t="s">
        <v>3126</v>
      </c>
      <c r="C754" s="24"/>
      <c r="D754" s="24"/>
      <c r="E754" s="24"/>
      <c r="F754" s="24"/>
      <c r="G754" s="24"/>
    </row>
    <row r="755" spans="1:7" ht="15.75" customHeight="1" x14ac:dyDescent="0.25">
      <c r="B755" s="24" t="s">
        <v>3128</v>
      </c>
      <c r="C755" s="24"/>
      <c r="D755" s="24"/>
      <c r="E755" s="24"/>
      <c r="F755" s="24"/>
      <c r="G755" s="24"/>
    </row>
    <row r="756" spans="1:7" ht="15.75" customHeight="1" x14ac:dyDescent="0.25">
      <c r="B756" s="24" t="s">
        <v>3130</v>
      </c>
      <c r="C756" s="24"/>
      <c r="D756" s="24"/>
      <c r="E756" s="24"/>
      <c r="F756" s="24"/>
      <c r="G756" s="24"/>
    </row>
    <row r="757" spans="1:7" ht="15.75" customHeight="1" x14ac:dyDescent="0.25">
      <c r="C757" s="24"/>
      <c r="D757" s="24"/>
      <c r="E757" s="24"/>
      <c r="F757" s="24"/>
      <c r="G757" s="24"/>
    </row>
    <row r="758" spans="1:7" ht="15.75" customHeight="1" x14ac:dyDescent="0.25">
      <c r="A758" s="24"/>
      <c r="C758" s="24"/>
      <c r="D758" s="24"/>
      <c r="E758" s="24"/>
      <c r="F758" s="24"/>
      <c r="G758" s="24"/>
    </row>
    <row r="759" spans="1:7" ht="15.75" customHeight="1" x14ac:dyDescent="0.25">
      <c r="A759" s="24"/>
      <c r="C759" s="24"/>
      <c r="D759" s="24"/>
      <c r="E759" s="24"/>
      <c r="F759" s="24"/>
      <c r="G759" s="24"/>
    </row>
    <row r="760" spans="1:7" ht="15.75" customHeight="1" x14ac:dyDescent="0.25">
      <c r="C760" s="24"/>
      <c r="E760" s="24"/>
      <c r="F760" s="24"/>
      <c r="G760" s="24"/>
    </row>
    <row r="761" spans="1:7" ht="15.75" customHeight="1" x14ac:dyDescent="0.25">
      <c r="C761" s="24"/>
      <c r="D761" s="24"/>
      <c r="E761" s="24"/>
      <c r="F761" s="24"/>
      <c r="G761" s="24"/>
    </row>
    <row r="762" spans="1:7" ht="15.75" customHeight="1" x14ac:dyDescent="0.25">
      <c r="C762" s="24"/>
      <c r="D762" s="24"/>
      <c r="E762" s="24"/>
      <c r="F762" s="24"/>
      <c r="G762" s="24"/>
    </row>
    <row r="763" spans="1:7" ht="15.75" customHeight="1" x14ac:dyDescent="0.25">
      <c r="C763" s="24"/>
      <c r="D763" s="24"/>
      <c r="E763" s="24"/>
      <c r="F763" s="24"/>
      <c r="G763" s="24"/>
    </row>
    <row r="764" spans="1:7" ht="15.75" customHeight="1" x14ac:dyDescent="0.25">
      <c r="C764" s="24"/>
      <c r="D764" s="24"/>
      <c r="E764" s="24"/>
      <c r="F764" s="24"/>
      <c r="G764" s="24"/>
    </row>
    <row r="765" spans="1:7" ht="15.75" customHeight="1" x14ac:dyDescent="0.25">
      <c r="C765" s="24"/>
      <c r="D765" s="24"/>
      <c r="E765" s="24"/>
      <c r="F765" s="24"/>
      <c r="G765" s="24"/>
    </row>
    <row r="766" spans="1:7" ht="15.75" customHeight="1" x14ac:dyDescent="0.25">
      <c r="C766" s="24"/>
      <c r="D766" s="24"/>
      <c r="E766" s="24"/>
      <c r="F766" s="24"/>
      <c r="G766" s="24"/>
    </row>
    <row r="767" spans="1:7" ht="15.75" customHeight="1" x14ac:dyDescent="0.25">
      <c r="C767" s="24"/>
      <c r="D767" s="24"/>
      <c r="E767" s="24"/>
      <c r="F767" s="24"/>
      <c r="G767" s="24"/>
    </row>
    <row r="768" spans="1:7" ht="15.75" customHeight="1" x14ac:dyDescent="0.25">
      <c r="C768" s="24"/>
      <c r="D768" s="24"/>
      <c r="E768" s="24"/>
      <c r="F768" s="24"/>
      <c r="G768" s="24"/>
    </row>
    <row r="769" spans="1:7" ht="15.75" customHeight="1" x14ac:dyDescent="0.25">
      <c r="A769" s="24"/>
      <c r="D769" s="24"/>
      <c r="F769" s="24"/>
      <c r="G769" s="24"/>
    </row>
    <row r="770" spans="1:7" ht="15.75" customHeight="1" x14ac:dyDescent="0.25">
      <c r="A770" s="24"/>
      <c r="D770" s="24"/>
      <c r="E770" s="24"/>
      <c r="F770" s="24"/>
      <c r="G770" s="24"/>
    </row>
    <row r="771" spans="1:7" ht="15.75" customHeight="1" x14ac:dyDescent="0.25">
      <c r="C771" s="24"/>
      <c r="D771" s="24"/>
      <c r="E771" s="24"/>
      <c r="F771" s="24"/>
      <c r="G771" s="24"/>
    </row>
    <row r="772" spans="1:7" ht="15.75" customHeight="1" x14ac:dyDescent="0.25">
      <c r="C772" s="24"/>
      <c r="D772" s="24"/>
      <c r="E772" s="24"/>
      <c r="F772" s="24"/>
      <c r="G772" s="24"/>
    </row>
    <row r="773" spans="1:7" ht="15.75" customHeight="1" x14ac:dyDescent="0.25">
      <c r="C773" s="24"/>
      <c r="D773" s="24"/>
      <c r="E773" s="24"/>
      <c r="F773" s="24"/>
      <c r="G773" s="24"/>
    </row>
    <row r="774" spans="1:7" ht="15.75" customHeight="1" x14ac:dyDescent="0.25">
      <c r="C774" s="24"/>
      <c r="D774" s="24"/>
      <c r="E774" s="24"/>
      <c r="F774" s="24"/>
      <c r="G774" s="24"/>
    </row>
    <row r="775" spans="1:7" ht="15.75" customHeight="1" x14ac:dyDescent="0.25">
      <c r="C775" s="24"/>
      <c r="D775" s="24"/>
      <c r="E775" s="24"/>
      <c r="F775" s="24"/>
      <c r="G775" s="24"/>
    </row>
    <row r="776" spans="1:7" ht="15.75" customHeight="1" x14ac:dyDescent="0.25">
      <c r="A776" s="24"/>
      <c r="C776" s="24"/>
      <c r="D776" s="24"/>
      <c r="E776" s="24"/>
      <c r="F776" s="24"/>
      <c r="G776" s="24"/>
    </row>
    <row r="777" spans="1:7" ht="15.75" customHeight="1" x14ac:dyDescent="0.25">
      <c r="A777" s="24"/>
      <c r="C777" s="24"/>
      <c r="D777" s="24"/>
      <c r="E777" s="24"/>
      <c r="F777" s="24"/>
      <c r="G777" s="24"/>
    </row>
    <row r="778" spans="1:7" ht="15.75" customHeight="1" x14ac:dyDescent="0.25">
      <c r="A778" s="24"/>
      <c r="C778" s="24"/>
      <c r="D778" s="24"/>
      <c r="E778" s="24"/>
      <c r="F778" s="24"/>
      <c r="G778" s="24"/>
    </row>
    <row r="779" spans="1:7" ht="15.75" customHeight="1" x14ac:dyDescent="0.25">
      <c r="C779" s="24"/>
      <c r="D779" s="24"/>
      <c r="E779" s="24"/>
      <c r="F779" s="24"/>
      <c r="G779" s="24"/>
    </row>
    <row r="780" spans="1:7" ht="15.75" customHeight="1" x14ac:dyDescent="0.25">
      <c r="B780" s="24"/>
      <c r="C780" s="24"/>
      <c r="D780" s="24"/>
      <c r="E780" s="24"/>
      <c r="F780" s="24"/>
      <c r="G780" s="24"/>
    </row>
    <row r="781" spans="1:7" ht="15.75" customHeight="1" x14ac:dyDescent="0.25">
      <c r="B781" s="24"/>
      <c r="C781" s="24"/>
      <c r="D781" s="24"/>
      <c r="E781" s="24"/>
      <c r="F781" s="24"/>
      <c r="G781" s="24"/>
    </row>
    <row r="782" spans="1:7" ht="15.75" customHeight="1" x14ac:dyDescent="0.25">
      <c r="B782" s="24"/>
      <c r="C782" s="24"/>
      <c r="D782" s="24"/>
      <c r="E782" s="24"/>
      <c r="F782" s="24"/>
      <c r="G782" s="24"/>
    </row>
    <row r="783" spans="1:7" ht="15.75" customHeight="1" x14ac:dyDescent="0.25">
      <c r="B783" s="24"/>
      <c r="C783" s="24"/>
      <c r="D783" s="24"/>
      <c r="E783" s="24"/>
      <c r="F783" s="24"/>
      <c r="G783" s="24"/>
    </row>
    <row r="784" spans="1:7" ht="15.75" customHeight="1" x14ac:dyDescent="0.25">
      <c r="A784" s="24"/>
      <c r="B784" s="24"/>
      <c r="C784" s="24"/>
      <c r="D784" s="24"/>
      <c r="E784" s="24"/>
      <c r="F784" s="24"/>
      <c r="G784" s="24"/>
    </row>
    <row r="785" spans="1:7" ht="15.75" customHeight="1" x14ac:dyDescent="0.25">
      <c r="B785" s="24"/>
      <c r="C785" s="24"/>
      <c r="D785" s="24"/>
      <c r="E785" s="24"/>
      <c r="F785" s="24"/>
      <c r="G785" s="24"/>
    </row>
    <row r="786" spans="1:7" ht="15.75" customHeight="1" x14ac:dyDescent="0.25">
      <c r="B786" s="24"/>
      <c r="C786" s="24"/>
      <c r="D786" s="24"/>
      <c r="E786" s="24"/>
      <c r="F786" s="24"/>
      <c r="G786" s="24"/>
    </row>
    <row r="787" spans="1:7" ht="15.75" customHeight="1" x14ac:dyDescent="0.25">
      <c r="B787" s="24"/>
      <c r="C787" s="24"/>
      <c r="D787" s="24"/>
      <c r="E787" s="24"/>
      <c r="F787" s="24"/>
      <c r="G787" s="24"/>
    </row>
    <row r="788" spans="1:7" ht="15.75" customHeight="1" x14ac:dyDescent="0.25">
      <c r="B788" s="24"/>
      <c r="C788" s="24"/>
      <c r="D788" s="24"/>
      <c r="E788" s="24"/>
      <c r="F788" s="24"/>
      <c r="G788" s="24"/>
    </row>
    <row r="789" spans="1:7" ht="15.75" customHeight="1" x14ac:dyDescent="0.25">
      <c r="A789" s="24"/>
      <c r="B789" s="24"/>
      <c r="C789" s="24"/>
      <c r="D789" s="24"/>
      <c r="E789" s="24"/>
      <c r="F789" s="24"/>
      <c r="G789" s="24"/>
    </row>
    <row r="790" spans="1:7" ht="15.75" customHeight="1" x14ac:dyDescent="0.25">
      <c r="B790" s="24"/>
      <c r="C790" s="24"/>
      <c r="D790" s="24"/>
      <c r="E790" s="24"/>
      <c r="F790" s="24"/>
      <c r="G790" s="24"/>
    </row>
    <row r="791" spans="1:7" ht="15.75" customHeight="1" x14ac:dyDescent="0.25">
      <c r="B791" s="24"/>
      <c r="C791" s="24"/>
      <c r="D791" s="24"/>
      <c r="E791" s="24"/>
      <c r="F791" s="24"/>
      <c r="G791" s="24"/>
    </row>
    <row r="792" spans="1:7" ht="15.75" customHeight="1" x14ac:dyDescent="0.25">
      <c r="B792" s="24"/>
      <c r="C792" s="24"/>
      <c r="D792" s="24"/>
      <c r="E792" s="24"/>
      <c r="F792" s="24"/>
      <c r="G792" s="24"/>
    </row>
    <row r="793" spans="1:7" ht="15.75" customHeight="1" x14ac:dyDescent="0.25">
      <c r="B793" s="24"/>
      <c r="C793" s="24"/>
      <c r="D793" s="24"/>
      <c r="E793" s="24"/>
      <c r="F793" s="24"/>
      <c r="G793" s="24"/>
    </row>
    <row r="794" spans="1:7" ht="15.75" customHeight="1" x14ac:dyDescent="0.25"/>
    <row r="795" spans="1:7" ht="15.75" customHeight="1" x14ac:dyDescent="0.25"/>
    <row r="796" spans="1:7" ht="15.75" customHeight="1" x14ac:dyDescent="0.25"/>
    <row r="797" spans="1:7" ht="15.75" customHeight="1" x14ac:dyDescent="0.25"/>
    <row r="798" spans="1:7" ht="15.75" customHeight="1" x14ac:dyDescent="0.25"/>
    <row r="799" spans="1:7" ht="15.75" customHeight="1" x14ac:dyDescent="0.25"/>
    <row r="800" spans="1:7"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 right="0.7" top="0.75" bottom="0.75" header="0" footer="0"/>
  <pageSetup orientation="landscape"/>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outlinePr summaryBelow="0" summaryRight="0"/>
  </sheetPr>
  <dimension ref="A1:W3610"/>
  <sheetViews>
    <sheetView workbookViewId="0">
      <selection activeCell="C198" sqref="C198"/>
    </sheetView>
  </sheetViews>
  <sheetFormatPr baseColWidth="10" defaultColWidth="14.44140625" defaultRowHeight="15" customHeight="1" x14ac:dyDescent="0.25"/>
  <cols>
    <col min="1" max="1" width="30.44140625" customWidth="1"/>
    <col min="2" max="2" width="28.88671875" customWidth="1"/>
    <col min="3" max="5" width="14.44140625" customWidth="1"/>
    <col min="6" max="6" width="18.44140625" customWidth="1"/>
  </cols>
  <sheetData>
    <row r="1" spans="1:23" ht="15.75" customHeight="1" x14ac:dyDescent="0.25">
      <c r="A1" s="6" t="s">
        <v>3185</v>
      </c>
      <c r="B1" s="8" t="str">
        <f ca="1">IFERROR(__xludf.DUMMYFUNCTION("UNIQUE(A1:A3410)"),"2D games")</f>
        <v>2D games</v>
      </c>
      <c r="C1" s="8">
        <f ca="1">COUNTIF(A1:A3410, B1)</f>
        <v>1</v>
      </c>
      <c r="E1" s="8"/>
      <c r="F1" s="8" t="s">
        <v>149</v>
      </c>
      <c r="G1" s="14">
        <v>226</v>
      </c>
      <c r="H1" s="8"/>
      <c r="I1" s="8"/>
      <c r="J1" s="8"/>
      <c r="K1" s="8"/>
      <c r="L1" s="8"/>
      <c r="M1" s="8"/>
      <c r="N1" s="8"/>
      <c r="O1" s="8"/>
      <c r="P1" s="8"/>
      <c r="Q1" s="8"/>
      <c r="R1" s="8"/>
      <c r="S1" s="8"/>
      <c r="T1" s="8"/>
      <c r="U1" s="8"/>
      <c r="V1" s="8"/>
      <c r="W1" s="8"/>
    </row>
    <row r="2" spans="1:23" ht="15.75" customHeight="1" x14ac:dyDescent="0.25">
      <c r="A2" s="6" t="s">
        <v>3196</v>
      </c>
      <c r="B2" s="8" t="str">
        <f ca="1">IFERROR(__xludf.DUMMYFUNCTION("""COMPUTED_VALUE"""),"7 Days to Die")</f>
        <v>7 Days to Die</v>
      </c>
      <c r="C2" s="8">
        <f ca="1">COUNTIF(A1:A3410, B2)</f>
        <v>7</v>
      </c>
      <c r="E2" s="8"/>
      <c r="F2" s="8" t="s">
        <v>182</v>
      </c>
      <c r="G2" s="14">
        <v>159</v>
      </c>
      <c r="H2" s="8"/>
      <c r="I2" s="8"/>
      <c r="J2" s="8"/>
      <c r="K2" s="8"/>
      <c r="L2" s="8"/>
      <c r="M2" s="8"/>
      <c r="N2" s="8"/>
      <c r="O2" s="8"/>
      <c r="P2" s="8"/>
      <c r="Q2" s="8"/>
      <c r="R2" s="8"/>
      <c r="S2" s="8"/>
      <c r="T2" s="8"/>
      <c r="U2" s="8"/>
      <c r="V2" s="8"/>
      <c r="W2" s="8"/>
    </row>
    <row r="3" spans="1:23" ht="15.75" customHeight="1" x14ac:dyDescent="0.25">
      <c r="A3" s="6" t="s">
        <v>3196</v>
      </c>
      <c r="B3" s="8" t="str">
        <f ca="1">IFERROR(__xludf.DUMMYFUNCTION("""COMPUTED_VALUE"""),"A Hat In Time")</f>
        <v>A Hat In Time</v>
      </c>
      <c r="C3" s="8">
        <f ca="1">COUNTIF(A1:A3410, B3)</f>
        <v>2</v>
      </c>
      <c r="E3" s="8"/>
      <c r="F3" s="8" t="s">
        <v>192</v>
      </c>
      <c r="G3" s="14">
        <v>128</v>
      </c>
      <c r="H3" s="8"/>
      <c r="I3" s="8"/>
      <c r="J3" s="8"/>
      <c r="K3" s="8"/>
      <c r="L3" s="8"/>
      <c r="M3" s="8"/>
      <c r="N3" s="8"/>
      <c r="O3" s="8"/>
      <c r="P3" s="8"/>
      <c r="Q3" s="8"/>
      <c r="R3" s="8"/>
      <c r="S3" s="8"/>
      <c r="T3" s="8"/>
      <c r="U3" s="8"/>
      <c r="V3" s="8"/>
      <c r="W3" s="8"/>
    </row>
    <row r="4" spans="1:23" ht="15.75" customHeight="1" x14ac:dyDescent="0.25">
      <c r="A4" s="6" t="s">
        <v>3196</v>
      </c>
      <c r="B4" s="8" t="str">
        <f ca="1">IFERROR(__xludf.DUMMYFUNCTION("""COMPUTED_VALUE"""),"Action games")</f>
        <v>Action games</v>
      </c>
      <c r="C4" s="8">
        <f ca="1">COUNTIF(A1:A3410, B4)</f>
        <v>7</v>
      </c>
      <c r="E4" s="8"/>
      <c r="F4" s="8" t="s">
        <v>201</v>
      </c>
      <c r="G4" s="14">
        <v>105</v>
      </c>
      <c r="H4" s="8"/>
      <c r="I4" s="8"/>
      <c r="J4" s="8"/>
      <c r="K4" s="8"/>
      <c r="L4" s="8"/>
      <c r="M4" s="8"/>
      <c r="N4" s="8"/>
      <c r="O4" s="8"/>
      <c r="P4" s="8"/>
      <c r="Q4" s="8"/>
      <c r="R4" s="8"/>
      <c r="S4" s="8"/>
      <c r="T4" s="8"/>
      <c r="U4" s="8"/>
      <c r="V4" s="8"/>
      <c r="W4" s="8"/>
    </row>
    <row r="5" spans="1:23" ht="15.75" customHeight="1" x14ac:dyDescent="0.25">
      <c r="A5" s="6" t="s">
        <v>3196</v>
      </c>
      <c r="B5" s="8" t="str">
        <f ca="1">IFERROR(__xludf.DUMMYFUNCTION("""COMPUTED_VALUE"""),"Adventure games")</f>
        <v>Adventure games</v>
      </c>
      <c r="C5" s="8">
        <f ca="1">COUNTIF(A1:A3410, B5)</f>
        <v>5</v>
      </c>
      <c r="E5" s="8"/>
      <c r="F5" s="8" t="s">
        <v>214</v>
      </c>
      <c r="G5" s="14">
        <v>86</v>
      </c>
      <c r="H5" s="8"/>
      <c r="I5" s="8"/>
      <c r="J5" s="8"/>
      <c r="K5" s="8"/>
      <c r="L5" s="8"/>
      <c r="M5" s="8"/>
      <c r="N5" s="8"/>
      <c r="O5" s="8"/>
      <c r="P5" s="8"/>
      <c r="Q5" s="8"/>
      <c r="R5" s="8"/>
      <c r="S5" s="8"/>
      <c r="T5" s="8"/>
      <c r="U5" s="8"/>
      <c r="V5" s="8"/>
      <c r="W5" s="8"/>
    </row>
    <row r="6" spans="1:23" ht="15.75" customHeight="1" x14ac:dyDescent="0.25">
      <c r="A6" s="6" t="s">
        <v>3196</v>
      </c>
      <c r="B6" s="8" t="str">
        <f ca="1">IFERROR(__xludf.DUMMYFUNCTION("""COMPUTED_VALUE"""),"Adventure Quest 3D")</f>
        <v>Adventure Quest 3D</v>
      </c>
      <c r="C6" s="8">
        <f ca="1">COUNTIF(A1:A3410, B6)</f>
        <v>2</v>
      </c>
      <c r="E6" s="8"/>
      <c r="F6" s="8" t="s">
        <v>224</v>
      </c>
      <c r="G6" s="14">
        <v>78</v>
      </c>
      <c r="H6" s="8"/>
      <c r="I6" s="8"/>
      <c r="J6" s="8"/>
      <c r="K6" s="8"/>
      <c r="L6" s="8"/>
      <c r="M6" s="8"/>
      <c r="N6" s="8"/>
      <c r="O6" s="8"/>
      <c r="P6" s="8"/>
      <c r="Q6" s="8"/>
      <c r="R6" s="8"/>
      <c r="S6" s="8"/>
      <c r="T6" s="8"/>
      <c r="U6" s="8"/>
      <c r="V6" s="8"/>
      <c r="W6" s="8"/>
    </row>
    <row r="7" spans="1:23" ht="15.75" customHeight="1" x14ac:dyDescent="0.25">
      <c r="A7" s="6" t="s">
        <v>3196</v>
      </c>
      <c r="B7" s="8" t="str">
        <f ca="1">IFERROR(__xludf.DUMMYFUNCTION("""COMPUTED_VALUE"""),"Age of Empires")</f>
        <v>Age of Empires</v>
      </c>
      <c r="C7" s="8">
        <f ca="1">COUNTIF(A1:A3410, B7)</f>
        <v>6</v>
      </c>
      <c r="E7" s="8"/>
      <c r="F7" s="8" t="s">
        <v>234</v>
      </c>
      <c r="G7" s="14">
        <v>72</v>
      </c>
      <c r="H7" s="8"/>
      <c r="I7" s="8"/>
      <c r="J7" s="8"/>
      <c r="K7" s="8"/>
      <c r="L7" s="8"/>
      <c r="M7" s="8"/>
      <c r="N7" s="8"/>
      <c r="O7" s="8"/>
      <c r="P7" s="8"/>
      <c r="Q7" s="8"/>
      <c r="R7" s="8"/>
      <c r="S7" s="8"/>
      <c r="T7" s="8"/>
      <c r="U7" s="8"/>
      <c r="V7" s="8"/>
      <c r="W7" s="8"/>
    </row>
    <row r="8" spans="1:23" ht="15.75" customHeight="1" x14ac:dyDescent="0.25">
      <c r="A8" s="6" t="s">
        <v>3196</v>
      </c>
      <c r="B8" s="8" t="str">
        <f ca="1">IFERROR(__xludf.DUMMYFUNCTION("""COMPUTED_VALUE"""),"Age of Wonders")</f>
        <v>Age of Wonders</v>
      </c>
      <c r="C8" s="8">
        <f ca="1">COUNTIF(A1:A3410, B8)</f>
        <v>2</v>
      </c>
      <c r="E8" s="8"/>
      <c r="F8" s="8" t="s">
        <v>242</v>
      </c>
      <c r="G8" s="14">
        <v>63</v>
      </c>
      <c r="H8" s="8"/>
      <c r="I8" s="8"/>
      <c r="J8" s="8"/>
      <c r="K8" s="8"/>
      <c r="L8" s="8"/>
      <c r="M8" s="8"/>
      <c r="N8" s="8"/>
      <c r="O8" s="8"/>
      <c r="P8" s="8"/>
      <c r="Q8" s="8"/>
      <c r="R8" s="8"/>
      <c r="S8" s="8"/>
      <c r="T8" s="8"/>
      <c r="U8" s="8"/>
      <c r="V8" s="8"/>
      <c r="W8" s="8"/>
    </row>
    <row r="9" spans="1:23" ht="15.75" customHeight="1" x14ac:dyDescent="0.25">
      <c r="A9" s="6" t="s">
        <v>3207</v>
      </c>
      <c r="B9" s="8" t="str">
        <f ca="1">IFERROR(__xludf.DUMMYFUNCTION("""COMPUTED_VALUE"""),"Agents of Mayhem")</f>
        <v>Agents of Mayhem</v>
      </c>
      <c r="C9" s="8">
        <f ca="1">COUNTIF(A1:A3410, B8)</f>
        <v>2</v>
      </c>
      <c r="E9" s="8"/>
      <c r="F9" s="8" t="s">
        <v>249</v>
      </c>
      <c r="G9" s="14">
        <v>55</v>
      </c>
      <c r="H9" s="8"/>
      <c r="I9" s="8"/>
      <c r="J9" s="8"/>
      <c r="K9" s="8"/>
      <c r="L9" s="8"/>
      <c r="M9" s="8"/>
      <c r="N9" s="8"/>
      <c r="O9" s="8"/>
      <c r="P9" s="8"/>
      <c r="Q9" s="8"/>
      <c r="R9" s="8"/>
      <c r="S9" s="8"/>
      <c r="T9" s="8"/>
      <c r="U9" s="8"/>
      <c r="V9" s="8"/>
      <c r="W9" s="8"/>
    </row>
    <row r="10" spans="1:23" ht="15.75" customHeight="1" x14ac:dyDescent="0.25">
      <c r="A10" s="6" t="s">
        <v>3207</v>
      </c>
      <c r="B10" s="8" t="str">
        <f ca="1">IFERROR(__xludf.DUMMYFUNCTION("""COMPUTED_VALUE"""),"Aion")</f>
        <v>Aion</v>
      </c>
      <c r="C10" s="8">
        <f ca="1">COUNTIF(A1:A3410, B10)</f>
        <v>2</v>
      </c>
      <c r="E10" s="8"/>
      <c r="F10" s="8" t="s">
        <v>254</v>
      </c>
      <c r="G10" s="14">
        <v>55</v>
      </c>
      <c r="H10" s="8"/>
      <c r="I10" s="8"/>
      <c r="J10" s="8"/>
      <c r="K10" s="8"/>
      <c r="L10" s="8"/>
      <c r="M10" s="8"/>
      <c r="N10" s="8"/>
      <c r="O10" s="8"/>
      <c r="P10" s="8"/>
      <c r="Q10" s="8"/>
      <c r="R10" s="8"/>
      <c r="S10" s="8"/>
      <c r="T10" s="8"/>
      <c r="U10" s="8"/>
      <c r="V10" s="8"/>
      <c r="W10" s="8"/>
    </row>
    <row r="11" spans="1:23" ht="15.75" customHeight="1" x14ac:dyDescent="0.25">
      <c r="A11" s="6" t="s">
        <v>3210</v>
      </c>
      <c r="B11" s="8" t="str">
        <f ca="1">IFERROR(__xludf.DUMMYFUNCTION("""COMPUTED_VALUE"""),"Albion Online")</f>
        <v>Albion Online</v>
      </c>
      <c r="C11" s="8">
        <f ca="1">COUNTIF(A1:A3410, B11)</f>
        <v>3</v>
      </c>
      <c r="E11" s="8"/>
      <c r="F11" s="8" t="s">
        <v>507</v>
      </c>
      <c r="G11" s="14">
        <v>53</v>
      </c>
      <c r="H11" s="8"/>
      <c r="I11" s="8"/>
      <c r="J11" s="8"/>
      <c r="K11" s="8"/>
      <c r="L11" s="8"/>
      <c r="M11" s="8"/>
      <c r="N11" s="8"/>
      <c r="O11" s="8"/>
      <c r="P11" s="8"/>
      <c r="Q11" s="8"/>
      <c r="R11" s="8"/>
      <c r="S11" s="8"/>
      <c r="T11" s="8"/>
      <c r="U11" s="8"/>
      <c r="V11" s="8"/>
      <c r="W11" s="8"/>
    </row>
    <row r="12" spans="1:23" ht="15.75" customHeight="1" x14ac:dyDescent="0.25">
      <c r="A12" s="6" t="s">
        <v>3210</v>
      </c>
      <c r="B12" s="8" t="str">
        <f ca="1">IFERROR(__xludf.DUMMYFUNCTION("""COMPUTED_VALUE"""),"Alchemist Code")</f>
        <v>Alchemist Code</v>
      </c>
      <c r="C12" s="8">
        <f ca="1">COUNTIF(A1:A3410, B12)</f>
        <v>1</v>
      </c>
      <c r="E12" s="8"/>
      <c r="F12" s="8" t="s">
        <v>3213</v>
      </c>
      <c r="G12" s="14">
        <v>51</v>
      </c>
      <c r="H12" s="8"/>
      <c r="I12" s="8"/>
      <c r="J12" s="8"/>
      <c r="K12" s="8"/>
      <c r="L12" s="8"/>
      <c r="M12" s="8"/>
      <c r="N12" s="8"/>
      <c r="O12" s="8"/>
      <c r="P12" s="8"/>
      <c r="Q12" s="8"/>
      <c r="R12" s="8"/>
      <c r="S12" s="8"/>
      <c r="T12" s="8"/>
      <c r="U12" s="8"/>
      <c r="V12" s="8"/>
      <c r="W12" s="8"/>
    </row>
    <row r="13" spans="1:23" ht="15.75" customHeight="1" x14ac:dyDescent="0.25">
      <c r="A13" s="6" t="s">
        <v>3210</v>
      </c>
      <c r="B13" s="8" t="str">
        <f ca="1">IFERROR(__xludf.DUMMYFUNCTION("""COMPUTED_VALUE"""),"American Truck Simulator")</f>
        <v>American Truck Simulator</v>
      </c>
      <c r="C13" s="8">
        <f ca="1">COUNTIF(A1:A3410, B13)</f>
        <v>1</v>
      </c>
      <c r="E13" s="8"/>
      <c r="F13" s="8" t="s">
        <v>3217</v>
      </c>
      <c r="G13" s="14">
        <v>49</v>
      </c>
      <c r="H13" s="8"/>
      <c r="I13" s="8"/>
      <c r="J13" s="8"/>
      <c r="K13" s="8"/>
      <c r="L13" s="8"/>
      <c r="M13" s="8"/>
      <c r="N13" s="8"/>
      <c r="O13" s="8"/>
      <c r="P13" s="8"/>
      <c r="Q13" s="8"/>
      <c r="R13" s="8"/>
      <c r="S13" s="8"/>
      <c r="T13" s="8"/>
      <c r="U13" s="8"/>
      <c r="V13" s="8"/>
      <c r="W13" s="8"/>
    </row>
    <row r="14" spans="1:23" ht="15.75" customHeight="1" x14ac:dyDescent="0.25">
      <c r="A14" s="6" t="s">
        <v>3210</v>
      </c>
      <c r="B14" s="8" t="str">
        <f ca="1">IFERROR(__xludf.DUMMYFUNCTION("""COMPUTED_VALUE"""),"Animal Crossing")</f>
        <v>Animal Crossing</v>
      </c>
      <c r="C14" s="8">
        <f ca="1">COUNTIF(A1:A3410, B14)</f>
        <v>1</v>
      </c>
      <c r="E14" s="8"/>
      <c r="F14" s="8" t="s">
        <v>3219</v>
      </c>
      <c r="G14" s="14">
        <v>48</v>
      </c>
      <c r="H14" s="8"/>
      <c r="I14" s="8"/>
      <c r="J14" s="8"/>
      <c r="K14" s="8"/>
      <c r="L14" s="8"/>
      <c r="M14" s="8"/>
      <c r="N14" s="8"/>
      <c r="O14" s="8"/>
      <c r="P14" s="8"/>
      <c r="Q14" s="8"/>
      <c r="R14" s="8"/>
      <c r="S14" s="8"/>
      <c r="T14" s="8"/>
      <c r="U14" s="8"/>
      <c r="V14" s="8"/>
      <c r="W14" s="8"/>
    </row>
    <row r="15" spans="1:23" ht="15.75" customHeight="1" x14ac:dyDescent="0.25">
      <c r="A15" s="6" t="s">
        <v>3210</v>
      </c>
      <c r="B15" s="8" t="str">
        <f ca="1">IFERROR(__xludf.DUMMYFUNCTION("""COMPUTED_VALUE"""),"Anno")</f>
        <v>Anno</v>
      </c>
      <c r="C15" s="8">
        <f ca="1">COUNTIF(A1:A3410, B15)</f>
        <v>1</v>
      </c>
      <c r="E15" s="8"/>
      <c r="F15" s="8" t="s">
        <v>3221</v>
      </c>
      <c r="G15" s="14">
        <v>45</v>
      </c>
      <c r="H15" s="8"/>
      <c r="I15" s="8"/>
      <c r="J15" s="8"/>
      <c r="K15" s="8"/>
      <c r="L15" s="8"/>
      <c r="M15" s="8"/>
      <c r="N15" s="8"/>
      <c r="O15" s="8"/>
      <c r="P15" s="8"/>
      <c r="Q15" s="8"/>
      <c r="R15" s="8"/>
      <c r="S15" s="8"/>
      <c r="T15" s="8"/>
      <c r="U15" s="8"/>
      <c r="V15" s="8"/>
      <c r="W15" s="8"/>
    </row>
    <row r="16" spans="1:23" ht="15.75" customHeight="1" x14ac:dyDescent="0.25">
      <c r="A16" s="6" t="s">
        <v>3210</v>
      </c>
      <c r="B16" s="8" t="str">
        <f ca="1">IFERROR(__xludf.DUMMYFUNCTION("""COMPUTED_VALUE"""),"APB Reloaded")</f>
        <v>APB Reloaded</v>
      </c>
      <c r="C16" s="8">
        <f ca="1">COUNTIF(A1:A3410, B16)</f>
        <v>1</v>
      </c>
      <c r="E16" s="8"/>
      <c r="F16" s="8" t="s">
        <v>651</v>
      </c>
      <c r="G16" s="14">
        <v>44</v>
      </c>
      <c r="H16" s="8"/>
      <c r="I16" s="8"/>
      <c r="J16" s="8"/>
      <c r="K16" s="8"/>
      <c r="L16" s="8"/>
      <c r="M16" s="8"/>
      <c r="N16" s="8"/>
      <c r="O16" s="8"/>
      <c r="P16" s="8"/>
      <c r="Q16" s="8"/>
      <c r="R16" s="8"/>
      <c r="S16" s="8"/>
      <c r="T16" s="8"/>
      <c r="U16" s="8"/>
      <c r="V16" s="8"/>
      <c r="W16" s="8"/>
    </row>
    <row r="17" spans="1:23" ht="15.75" customHeight="1" x14ac:dyDescent="0.25">
      <c r="A17" s="6" t="s">
        <v>3210</v>
      </c>
      <c r="B17" s="8" t="str">
        <f ca="1">IFERROR(__xludf.DUMMYFUNCTION("""COMPUTED_VALUE"""),"AQWorlds")</f>
        <v>AQWorlds</v>
      </c>
      <c r="C17" s="8">
        <f ca="1">COUNTIF(A1:A3410, B17)</f>
        <v>1</v>
      </c>
      <c r="E17" s="8"/>
      <c r="F17" s="8" t="s">
        <v>3225</v>
      </c>
      <c r="G17" s="14">
        <v>44</v>
      </c>
      <c r="H17" s="8"/>
      <c r="I17" s="8"/>
      <c r="J17" s="8"/>
      <c r="K17" s="8"/>
      <c r="L17" s="8"/>
      <c r="M17" s="8"/>
      <c r="N17" s="8"/>
      <c r="O17" s="8"/>
      <c r="P17" s="8"/>
      <c r="Q17" s="8"/>
      <c r="R17" s="8"/>
      <c r="S17" s="8"/>
      <c r="T17" s="8"/>
      <c r="U17" s="8"/>
      <c r="V17" s="8"/>
      <c r="W17" s="8"/>
    </row>
    <row r="18" spans="1:23" ht="15.75" customHeight="1" x14ac:dyDescent="0.25">
      <c r="A18" s="6" t="s">
        <v>3227</v>
      </c>
      <c r="B18" s="8" t="str">
        <f ca="1">IFERROR(__xludf.DUMMYFUNCTION("""COMPUTED_VALUE"""),"Archeage")</f>
        <v>Archeage</v>
      </c>
      <c r="C18" s="8">
        <f ca="1">COUNTIF(A1:A3410, B18)</f>
        <v>1</v>
      </c>
      <c r="E18" s="8"/>
      <c r="F18" s="8" t="s">
        <v>143</v>
      </c>
      <c r="G18" s="14">
        <v>42</v>
      </c>
      <c r="H18" s="8"/>
      <c r="I18" s="8"/>
      <c r="J18" s="8"/>
      <c r="K18" s="8"/>
      <c r="L18" s="8"/>
      <c r="M18" s="8"/>
      <c r="N18" s="8"/>
      <c r="O18" s="8"/>
      <c r="P18" s="8"/>
      <c r="Q18" s="8"/>
      <c r="R18" s="8"/>
      <c r="S18" s="8"/>
      <c r="T18" s="8"/>
      <c r="U18" s="8"/>
      <c r="V18" s="8"/>
      <c r="W18" s="8"/>
    </row>
    <row r="19" spans="1:23" ht="15.75" customHeight="1" x14ac:dyDescent="0.25">
      <c r="A19" s="8" t="s">
        <v>3227</v>
      </c>
      <c r="B19" s="8" t="str">
        <f ca="1">IFERROR(__xludf.DUMMYFUNCTION("""COMPUTED_VALUE"""),"Arena of Valor")</f>
        <v>Arena of Valor</v>
      </c>
      <c r="C19" s="8">
        <f ca="1">COUNTIF(A1:A3410, B19)</f>
        <v>1</v>
      </c>
      <c r="E19" s="8"/>
      <c r="F19" s="8" t="s">
        <v>3231</v>
      </c>
      <c r="G19" s="14">
        <v>40</v>
      </c>
      <c r="H19" s="8"/>
      <c r="I19" s="8"/>
      <c r="J19" s="8"/>
      <c r="K19" s="8"/>
      <c r="L19" s="8"/>
      <c r="M19" s="8"/>
      <c r="N19" s="8"/>
      <c r="O19" s="8"/>
      <c r="P19" s="8"/>
      <c r="Q19" s="8"/>
      <c r="R19" s="8"/>
      <c r="S19" s="8"/>
      <c r="T19" s="8"/>
      <c r="U19" s="8"/>
      <c r="V19" s="8"/>
      <c r="W19" s="8"/>
    </row>
    <row r="20" spans="1:23" ht="15.75" customHeight="1" x14ac:dyDescent="0.25">
      <c r="A20" s="6" t="s">
        <v>3227</v>
      </c>
      <c r="B20" s="8" t="str">
        <f ca="1">IFERROR(__xludf.DUMMYFUNCTION("""COMPUTED_VALUE"""),"ARK: Survival Evolved")</f>
        <v>ARK: Survival Evolved</v>
      </c>
      <c r="C20" s="8">
        <f ca="1">COUNTIF(A1:A3410, B20)</f>
        <v>22</v>
      </c>
      <c r="E20" s="8"/>
      <c r="F20" s="8" t="s">
        <v>3235</v>
      </c>
      <c r="G20" s="14">
        <v>38</v>
      </c>
      <c r="H20" s="8"/>
      <c r="I20" s="8"/>
      <c r="J20" s="8"/>
      <c r="K20" s="8"/>
      <c r="L20" s="8"/>
      <c r="M20" s="8"/>
      <c r="N20" s="8"/>
      <c r="O20" s="8"/>
      <c r="P20" s="8"/>
      <c r="Q20" s="8"/>
      <c r="R20" s="8"/>
      <c r="S20" s="8"/>
      <c r="T20" s="8"/>
      <c r="U20" s="8"/>
      <c r="V20" s="8"/>
      <c r="W20" s="8"/>
    </row>
    <row r="21" spans="1:23" ht="15.75" customHeight="1" x14ac:dyDescent="0.25">
      <c r="A21" s="6" t="s">
        <v>3227</v>
      </c>
      <c r="B21" s="8" t="str">
        <f ca="1">IFERROR(__xludf.DUMMYFUNCTION("""COMPUTED_VALUE"""),"Arma 3")</f>
        <v>Arma 3</v>
      </c>
      <c r="C21" s="8">
        <f ca="1">COUNTIF(A1:A3410, B21)</f>
        <v>4</v>
      </c>
      <c r="E21" s="8"/>
      <c r="F21" s="8" t="s">
        <v>3238</v>
      </c>
      <c r="G21" s="14">
        <v>38</v>
      </c>
      <c r="H21" s="8"/>
      <c r="I21" s="8"/>
      <c r="J21" s="8"/>
      <c r="K21" s="8"/>
      <c r="L21" s="8"/>
      <c r="M21" s="8"/>
      <c r="N21" s="8"/>
      <c r="O21" s="8"/>
      <c r="P21" s="8"/>
      <c r="Q21" s="8"/>
      <c r="R21" s="8"/>
      <c r="S21" s="8"/>
      <c r="T21" s="8"/>
      <c r="U21" s="8"/>
      <c r="V21" s="8"/>
      <c r="W21" s="8"/>
    </row>
    <row r="22" spans="1:23" ht="15.75" customHeight="1" x14ac:dyDescent="0.25">
      <c r="A22" s="6" t="s">
        <v>3227</v>
      </c>
      <c r="B22" s="8" t="str">
        <f ca="1">IFERROR(__xludf.DUMMYFUNCTION("""COMPUTED_VALUE"""),"ARPG")</f>
        <v>ARPG</v>
      </c>
      <c r="C22" s="8">
        <f ca="1">COUNTIF(A1:A3410, B22)</f>
        <v>1</v>
      </c>
      <c r="E22" s="8"/>
      <c r="F22" s="8" t="s">
        <v>3239</v>
      </c>
      <c r="G22" s="14">
        <v>31</v>
      </c>
      <c r="H22" s="8"/>
      <c r="I22" s="8"/>
      <c r="J22" s="8"/>
      <c r="K22" s="8"/>
      <c r="L22" s="8"/>
      <c r="M22" s="8"/>
      <c r="N22" s="8"/>
      <c r="O22" s="8"/>
      <c r="P22" s="8"/>
      <c r="Q22" s="8"/>
      <c r="R22" s="8"/>
      <c r="S22" s="8"/>
      <c r="T22" s="8"/>
      <c r="U22" s="8"/>
      <c r="V22" s="8"/>
      <c r="W22" s="8"/>
    </row>
    <row r="23" spans="1:23" ht="15.75" customHeight="1" x14ac:dyDescent="0.25">
      <c r="A23" s="6" t="s">
        <v>2140</v>
      </c>
      <c r="B23" s="8" t="str">
        <f ca="1">IFERROR(__xludf.DUMMYFUNCTION("""COMPUTED_VALUE"""),"Art of War: Red Tides")</f>
        <v>Art of War: Red Tides</v>
      </c>
      <c r="C23" s="8">
        <f ca="1">COUNTIF(A1:A3410, B23)</f>
        <v>2</v>
      </c>
      <c r="E23" s="8"/>
      <c r="F23" s="8" t="s">
        <v>1767</v>
      </c>
      <c r="G23" s="14">
        <v>30</v>
      </c>
      <c r="H23" s="8"/>
      <c r="I23" s="8"/>
      <c r="J23" s="8"/>
      <c r="K23" s="8"/>
      <c r="L23" s="8"/>
      <c r="M23" s="8"/>
      <c r="N23" s="8"/>
      <c r="O23" s="8"/>
      <c r="P23" s="8"/>
      <c r="Q23" s="8"/>
      <c r="R23" s="8"/>
      <c r="S23" s="8"/>
      <c r="T23" s="8"/>
      <c r="U23" s="8"/>
      <c r="V23" s="8"/>
      <c r="W23" s="8"/>
    </row>
    <row r="24" spans="1:23" ht="15.75" customHeight="1" x14ac:dyDescent="0.25">
      <c r="A24" s="6" t="s">
        <v>2140</v>
      </c>
      <c r="B24" s="8" t="str">
        <f ca="1">IFERROR(__xludf.DUMMYFUNCTION("""COMPUTED_VALUE"""),"Artifact")</f>
        <v>Artifact</v>
      </c>
      <c r="C24" s="8">
        <f ca="1">COUNTIF(A1:A3410, B24)</f>
        <v>4</v>
      </c>
      <c r="E24" s="8"/>
      <c r="F24" s="8" t="s">
        <v>3243</v>
      </c>
      <c r="G24" s="14">
        <v>30</v>
      </c>
      <c r="H24" s="8"/>
      <c r="I24" s="8"/>
      <c r="J24" s="8"/>
      <c r="K24" s="8"/>
      <c r="L24" s="8"/>
      <c r="M24" s="8"/>
      <c r="N24" s="8"/>
      <c r="O24" s="8"/>
      <c r="P24" s="8"/>
      <c r="Q24" s="8"/>
      <c r="R24" s="8"/>
      <c r="S24" s="8"/>
      <c r="T24" s="8"/>
      <c r="U24" s="8"/>
      <c r="V24" s="8"/>
      <c r="W24" s="8"/>
    </row>
    <row r="25" spans="1:23" ht="15.75" customHeight="1" x14ac:dyDescent="0.25">
      <c r="A25" s="6" t="s">
        <v>3245</v>
      </c>
      <c r="B25" s="8" t="str">
        <f ca="1">IFERROR(__xludf.DUMMYFUNCTION("""COMPUTED_VALUE"""),"Asphalt 9")</f>
        <v>Asphalt 9</v>
      </c>
      <c r="C25" s="8">
        <f ca="1">COUNTIF(A1:A3410, B25)</f>
        <v>2</v>
      </c>
      <c r="E25" s="8"/>
      <c r="F25" s="8" t="s">
        <v>1971</v>
      </c>
      <c r="G25" s="14">
        <v>30</v>
      </c>
      <c r="H25" s="8"/>
      <c r="I25" s="8"/>
      <c r="J25" s="8"/>
      <c r="K25" s="8"/>
      <c r="L25" s="8"/>
      <c r="M25" s="8"/>
      <c r="N25" s="8"/>
      <c r="O25" s="8"/>
      <c r="P25" s="8"/>
      <c r="Q25" s="8"/>
      <c r="R25" s="8"/>
      <c r="S25" s="8"/>
      <c r="T25" s="8"/>
      <c r="U25" s="8"/>
      <c r="V25" s="8"/>
      <c r="W25" s="8"/>
    </row>
    <row r="26" spans="1:23" ht="15.75" customHeight="1" x14ac:dyDescent="0.25">
      <c r="A26" s="6" t="s">
        <v>3245</v>
      </c>
      <c r="B26" s="8" t="str">
        <f ca="1">IFERROR(__xludf.DUMMYFUNCTION("""COMPUTED_VALUE"""),"Assassin's Creed")</f>
        <v>Assassin's Creed</v>
      </c>
      <c r="C26" s="8">
        <f ca="1">COUNTIF(A1:A3410, B26)</f>
        <v>13</v>
      </c>
      <c r="E26" s="8"/>
      <c r="F26" s="8" t="s">
        <v>3248</v>
      </c>
      <c r="G26" s="14">
        <v>29</v>
      </c>
      <c r="H26" s="8"/>
      <c r="I26" s="8"/>
      <c r="J26" s="8"/>
      <c r="K26" s="8"/>
      <c r="L26" s="8"/>
      <c r="M26" s="8"/>
      <c r="N26" s="8"/>
      <c r="O26" s="8"/>
      <c r="P26" s="8"/>
      <c r="Q26" s="8"/>
      <c r="R26" s="8"/>
      <c r="S26" s="8"/>
      <c r="T26" s="8"/>
      <c r="U26" s="8"/>
      <c r="V26" s="8"/>
      <c r="W26" s="8"/>
    </row>
    <row r="27" spans="1:23" ht="15.75" customHeight="1" x14ac:dyDescent="0.25">
      <c r="A27" s="6" t="s">
        <v>3245</v>
      </c>
      <c r="B27" s="8" t="str">
        <f ca="1">IFERROR(__xludf.DUMMYFUNCTION("""COMPUTED_VALUE"""),"Astroneer")</f>
        <v>Astroneer</v>
      </c>
      <c r="C27" s="8">
        <f ca="1">COUNTIF(A1:A3410, B27)</f>
        <v>1</v>
      </c>
      <c r="E27" s="8"/>
      <c r="F27" s="8" t="s">
        <v>2438</v>
      </c>
      <c r="G27" s="14">
        <v>28</v>
      </c>
      <c r="H27" s="8"/>
      <c r="I27" s="8"/>
      <c r="J27" s="8"/>
      <c r="K27" s="8"/>
      <c r="L27" s="8"/>
      <c r="M27" s="8"/>
      <c r="N27" s="8"/>
      <c r="O27" s="8"/>
      <c r="P27" s="8"/>
      <c r="Q27" s="8"/>
      <c r="R27" s="8"/>
      <c r="S27" s="8"/>
      <c r="T27" s="8"/>
      <c r="U27" s="8"/>
      <c r="V27" s="8"/>
      <c r="W27" s="8"/>
    </row>
    <row r="28" spans="1:23" ht="15.75" customHeight="1" x14ac:dyDescent="0.25">
      <c r="A28" s="6" t="s">
        <v>3245</v>
      </c>
      <c r="B28" s="8" t="str">
        <f ca="1">IFERROR(__xludf.DUMMYFUNCTION("""COMPUTED_VALUE"""),"Atlas Reactor")</f>
        <v>Atlas Reactor</v>
      </c>
      <c r="C28" s="8">
        <f ca="1">COUNTIF(A1:A3410, B28)</f>
        <v>7</v>
      </c>
      <c r="E28" s="8"/>
      <c r="F28" s="8" t="s">
        <v>3251</v>
      </c>
      <c r="G28" s="14">
        <v>28</v>
      </c>
      <c r="H28" s="8"/>
      <c r="I28" s="8"/>
      <c r="J28" s="8"/>
      <c r="K28" s="8"/>
      <c r="L28" s="8"/>
      <c r="M28" s="8"/>
      <c r="N28" s="8"/>
      <c r="O28" s="8"/>
      <c r="P28" s="8"/>
      <c r="Q28" s="8"/>
      <c r="R28" s="8"/>
      <c r="S28" s="8"/>
      <c r="T28" s="8"/>
      <c r="U28" s="8"/>
      <c r="V28" s="8"/>
      <c r="W28" s="8"/>
    </row>
    <row r="29" spans="1:23" ht="15.75" customHeight="1" x14ac:dyDescent="0.25">
      <c r="A29" s="6" t="s">
        <v>3245</v>
      </c>
      <c r="B29" s="8" t="str">
        <f ca="1">IFERROR(__xludf.DUMMYFUNCTION("""COMPUTED_VALUE"""),"Avengers")</f>
        <v>Avengers</v>
      </c>
      <c r="C29" s="8">
        <f ca="1">COUNTIF(A1:A3410, B29)</f>
        <v>1</v>
      </c>
      <c r="E29" s="8"/>
      <c r="F29" s="8" t="s">
        <v>3254</v>
      </c>
      <c r="G29" s="14">
        <v>26</v>
      </c>
      <c r="H29" s="8"/>
      <c r="I29" s="8"/>
      <c r="J29" s="8"/>
      <c r="K29" s="8"/>
      <c r="L29" s="8"/>
      <c r="M29" s="8"/>
      <c r="N29" s="8"/>
      <c r="O29" s="8"/>
      <c r="P29" s="8"/>
      <c r="Q29" s="8"/>
      <c r="R29" s="8"/>
      <c r="S29" s="8"/>
      <c r="T29" s="8"/>
      <c r="U29" s="8"/>
      <c r="V29" s="8"/>
      <c r="W29" s="8"/>
    </row>
    <row r="30" spans="1:23" ht="15.75" customHeight="1" x14ac:dyDescent="0.25">
      <c r="A30" s="6" t="s">
        <v>3245</v>
      </c>
      <c r="B30" s="8" t="str">
        <f ca="1">IFERROR(__xludf.DUMMYFUNCTION("""COMPUTED_VALUE"""),"Azur Lane")</f>
        <v>Azur Lane</v>
      </c>
      <c r="C30" s="8">
        <f ca="1">COUNTIF(A1:A3410, B30)</f>
        <v>1</v>
      </c>
      <c r="E30" s="8"/>
      <c r="F30" s="8" t="s">
        <v>3257</v>
      </c>
      <c r="G30" s="14">
        <v>24</v>
      </c>
      <c r="H30" s="8"/>
      <c r="I30" s="8"/>
      <c r="J30" s="8"/>
      <c r="K30" s="8"/>
      <c r="L30" s="8"/>
      <c r="M30" s="8"/>
      <c r="N30" s="8"/>
      <c r="O30" s="8"/>
      <c r="P30" s="8"/>
      <c r="Q30" s="8"/>
      <c r="R30" s="8"/>
      <c r="S30" s="8"/>
      <c r="T30" s="8"/>
      <c r="U30" s="8"/>
      <c r="V30" s="8"/>
      <c r="W30" s="8"/>
    </row>
    <row r="31" spans="1:23" ht="15.75" customHeight="1" x14ac:dyDescent="0.25">
      <c r="A31" s="8" t="s">
        <v>3259</v>
      </c>
      <c r="B31" s="8" t="str">
        <f ca="1">IFERROR(__xludf.DUMMYFUNCTION("""COMPUTED_VALUE"""),"Bad North")</f>
        <v>Bad North</v>
      </c>
      <c r="C31" s="8">
        <f ca="1">COUNTIF(A1:A3410, B31)</f>
        <v>2</v>
      </c>
      <c r="E31" s="8"/>
      <c r="F31" s="8" t="s">
        <v>3260</v>
      </c>
      <c r="G31" s="14">
        <v>24</v>
      </c>
      <c r="H31" s="8"/>
      <c r="I31" s="8"/>
      <c r="J31" s="8"/>
      <c r="K31" s="8"/>
      <c r="L31" s="8"/>
      <c r="M31" s="8"/>
      <c r="N31" s="8"/>
      <c r="O31" s="8"/>
      <c r="P31" s="8"/>
      <c r="Q31" s="8"/>
      <c r="R31" s="8"/>
      <c r="S31" s="8"/>
      <c r="T31" s="8"/>
      <c r="U31" s="8"/>
      <c r="V31" s="8"/>
      <c r="W31" s="8"/>
    </row>
    <row r="32" spans="1:23" ht="15.75" customHeight="1" x14ac:dyDescent="0.25">
      <c r="A32" s="6" t="s">
        <v>3259</v>
      </c>
      <c r="B32" s="8" t="str">
        <f ca="1">IFERROR(__xludf.DUMMYFUNCTION("""COMPUTED_VALUE"""),"Badland Brawl")</f>
        <v>Badland Brawl</v>
      </c>
      <c r="C32" s="8">
        <f ca="1">COUNTIF(A1:A3410, B32)</f>
        <v>1</v>
      </c>
      <c r="E32" s="8"/>
      <c r="F32" s="8" t="s">
        <v>3262</v>
      </c>
      <c r="G32" s="14">
        <v>22</v>
      </c>
      <c r="H32" s="8"/>
      <c r="I32" s="8"/>
      <c r="J32" s="8"/>
      <c r="K32" s="8"/>
      <c r="L32" s="8"/>
      <c r="M32" s="8"/>
      <c r="N32" s="8"/>
      <c r="O32" s="8"/>
      <c r="P32" s="8"/>
      <c r="Q32" s="8"/>
      <c r="R32" s="8"/>
      <c r="S32" s="8"/>
      <c r="T32" s="8"/>
      <c r="U32" s="8"/>
      <c r="V32" s="8"/>
      <c r="W32" s="8"/>
    </row>
    <row r="33" spans="1:23" ht="15.75" customHeight="1" x14ac:dyDescent="0.25">
      <c r="A33" s="6" t="s">
        <v>3263</v>
      </c>
      <c r="B33" s="8" t="str">
        <f ca="1">IFERROR(__xludf.DUMMYFUNCTION("""COMPUTED_VALUE"""),"Baldur's Gate")</f>
        <v>Baldur's Gate</v>
      </c>
      <c r="C33" s="8">
        <f ca="1">COUNTIF(A1:A3410, B33)</f>
        <v>3</v>
      </c>
      <c r="E33" s="8"/>
      <c r="F33" s="8" t="s">
        <v>3266</v>
      </c>
      <c r="G33" s="14">
        <v>22</v>
      </c>
      <c r="H33" s="8"/>
      <c r="I33" s="8"/>
      <c r="J33" s="8"/>
      <c r="K33" s="8"/>
      <c r="L33" s="8"/>
      <c r="M33" s="8"/>
      <c r="N33" s="8"/>
      <c r="O33" s="8"/>
      <c r="P33" s="8"/>
      <c r="Q33" s="8"/>
      <c r="R33" s="8"/>
      <c r="S33" s="8"/>
      <c r="T33" s="8"/>
      <c r="U33" s="8"/>
      <c r="V33" s="8"/>
      <c r="W33" s="8"/>
    </row>
    <row r="34" spans="1:23" ht="15.75" customHeight="1" x14ac:dyDescent="0.25">
      <c r="A34" s="6" t="s">
        <v>3268</v>
      </c>
      <c r="B34" s="8" t="str">
        <f ca="1">IFERROR(__xludf.DUMMYFUNCTION("""COMPUTED_VALUE"""),"baloons td battles")</f>
        <v>baloons td battles</v>
      </c>
      <c r="C34" s="8">
        <f ca="1">COUNTIF(A1:A3410, B34)</f>
        <v>1</v>
      </c>
      <c r="E34" s="8"/>
      <c r="F34" s="8" t="s">
        <v>3270</v>
      </c>
      <c r="G34" s="14">
        <v>20</v>
      </c>
      <c r="H34" s="8"/>
      <c r="I34" s="8"/>
      <c r="J34" s="8"/>
      <c r="K34" s="8"/>
      <c r="L34" s="8"/>
      <c r="M34" s="8"/>
      <c r="N34" s="8"/>
      <c r="O34" s="8"/>
      <c r="P34" s="8"/>
      <c r="Q34" s="8"/>
      <c r="R34" s="8"/>
      <c r="S34" s="8"/>
      <c r="T34" s="8"/>
      <c r="U34" s="8"/>
      <c r="V34" s="8"/>
      <c r="W34" s="8"/>
    </row>
    <row r="35" spans="1:23" ht="15.75" customHeight="1" x14ac:dyDescent="0.25">
      <c r="A35" s="6" t="s">
        <v>3268</v>
      </c>
      <c r="B35" s="8" t="str">
        <f ca="1">IFERROR(__xludf.DUMMYFUNCTION("""COMPUTED_VALUE"""),"Banished")</f>
        <v>Banished</v>
      </c>
      <c r="C35" s="8">
        <f ca="1">COUNTIF(A1:A3410, B35)</f>
        <v>1</v>
      </c>
      <c r="E35" s="8"/>
      <c r="F35" s="8" t="s">
        <v>3272</v>
      </c>
      <c r="G35" s="14">
        <v>20</v>
      </c>
      <c r="H35" s="8"/>
      <c r="I35" s="8"/>
      <c r="J35" s="8"/>
      <c r="K35" s="8"/>
      <c r="L35" s="8"/>
      <c r="M35" s="8"/>
      <c r="N35" s="8"/>
      <c r="O35" s="8"/>
      <c r="P35" s="8"/>
      <c r="Q35" s="8"/>
      <c r="R35" s="8"/>
      <c r="S35" s="8"/>
      <c r="T35" s="8"/>
      <c r="U35" s="8"/>
      <c r="V35" s="8"/>
      <c r="W35" s="8"/>
    </row>
    <row r="36" spans="1:23" ht="15.75" customHeight="1" x14ac:dyDescent="0.25">
      <c r="A36" s="6" t="s">
        <v>3273</v>
      </c>
      <c r="B36" s="8" t="str">
        <f ca="1">IFERROR(__xludf.DUMMYFUNCTION("""COMPUTED_VALUE"""),"Bard's Tale IV")</f>
        <v>Bard's Tale IV</v>
      </c>
      <c r="C36" s="8">
        <f ca="1">COUNTIF(A1:A3410, B36)</f>
        <v>1</v>
      </c>
      <c r="E36" s="8"/>
      <c r="F36" s="8" t="s">
        <v>1173</v>
      </c>
      <c r="G36" s="14">
        <v>20</v>
      </c>
      <c r="H36" s="8"/>
      <c r="I36" s="8"/>
      <c r="J36" s="8"/>
      <c r="K36" s="8"/>
      <c r="L36" s="8"/>
      <c r="M36" s="8"/>
      <c r="N36" s="8"/>
      <c r="O36" s="8"/>
      <c r="P36" s="8"/>
      <c r="Q36" s="8"/>
      <c r="R36" s="8"/>
      <c r="S36" s="8"/>
      <c r="T36" s="8"/>
      <c r="U36" s="8"/>
      <c r="V36" s="8"/>
      <c r="W36" s="8"/>
    </row>
    <row r="37" spans="1:23" ht="15.75" customHeight="1" x14ac:dyDescent="0.25">
      <c r="A37" s="6" t="s">
        <v>3273</v>
      </c>
      <c r="B37" s="8" t="str">
        <f ca="1">IFERROR(__xludf.DUMMYFUNCTION("""COMPUTED_VALUE"""),"Battle Realms")</f>
        <v>Battle Realms</v>
      </c>
      <c r="C37" s="8">
        <f ca="1">COUNTIF(A1:A3410, B37)</f>
        <v>1</v>
      </c>
      <c r="E37" s="8"/>
      <c r="F37" s="8" t="s">
        <v>3276</v>
      </c>
      <c r="G37" s="14">
        <v>19</v>
      </c>
      <c r="H37" s="8"/>
      <c r="I37" s="8"/>
      <c r="J37" s="8"/>
      <c r="K37" s="8"/>
      <c r="L37" s="8"/>
      <c r="M37" s="8"/>
      <c r="N37" s="8"/>
      <c r="O37" s="8"/>
      <c r="P37" s="8"/>
      <c r="Q37" s="8"/>
      <c r="R37" s="8"/>
      <c r="S37" s="8"/>
      <c r="T37" s="8"/>
      <c r="U37" s="8"/>
      <c r="V37" s="8"/>
      <c r="W37" s="8"/>
    </row>
    <row r="38" spans="1:23" ht="15.75" customHeight="1" x14ac:dyDescent="0.25">
      <c r="A38" s="6" t="s">
        <v>3273</v>
      </c>
      <c r="B38" s="8" t="str">
        <f ca="1">IFERROR(__xludf.DUMMYFUNCTION("""COMPUTED_VALUE"""),"Battle royale games")</f>
        <v>Battle royale games</v>
      </c>
      <c r="C38" s="8">
        <f ca="1">COUNTIF(A1:A3410, B38)</f>
        <v>5</v>
      </c>
      <c r="E38" s="8"/>
      <c r="F38" s="8" t="s">
        <v>3279</v>
      </c>
      <c r="G38" s="14">
        <v>18</v>
      </c>
      <c r="H38" s="8"/>
      <c r="I38" s="8"/>
      <c r="J38" s="8"/>
      <c r="K38" s="8"/>
      <c r="L38" s="8"/>
      <c r="M38" s="8"/>
      <c r="N38" s="8"/>
      <c r="O38" s="8"/>
      <c r="P38" s="8"/>
      <c r="Q38" s="8"/>
      <c r="R38" s="8"/>
      <c r="S38" s="8"/>
      <c r="T38" s="8"/>
      <c r="U38" s="8"/>
      <c r="V38" s="8"/>
      <c r="W38" s="8"/>
    </row>
    <row r="39" spans="1:23" ht="15.75" customHeight="1" x14ac:dyDescent="0.25">
      <c r="A39" s="6" t="s">
        <v>3282</v>
      </c>
      <c r="B39" s="8" t="str">
        <f ca="1">IFERROR(__xludf.DUMMYFUNCTION("""COMPUTED_VALUE"""),"Battleblock Theater")</f>
        <v>Battleblock Theater</v>
      </c>
      <c r="C39" s="8">
        <f ca="1">COUNTIF(A1:A3410, B39)</f>
        <v>1</v>
      </c>
      <c r="E39" s="8"/>
      <c r="F39" s="8" t="s">
        <v>3284</v>
      </c>
      <c r="G39" s="14">
        <v>17</v>
      </c>
      <c r="H39" s="8"/>
      <c r="I39" s="8"/>
      <c r="J39" s="8"/>
      <c r="K39" s="8"/>
      <c r="L39" s="8"/>
      <c r="M39" s="8"/>
      <c r="N39" s="8"/>
      <c r="O39" s="8"/>
      <c r="P39" s="8"/>
      <c r="Q39" s="8"/>
      <c r="R39" s="8"/>
      <c r="S39" s="8"/>
      <c r="T39" s="8"/>
      <c r="U39" s="8"/>
      <c r="V39" s="8"/>
      <c r="W39" s="8"/>
    </row>
    <row r="40" spans="1:23" ht="15.75" customHeight="1" x14ac:dyDescent="0.25">
      <c r="A40" s="6" t="s">
        <v>3285</v>
      </c>
      <c r="B40" s="8" t="str">
        <f ca="1">IFERROR(__xludf.DUMMYFUNCTION("""COMPUTED_VALUE"""),"Battleborn")</f>
        <v>Battleborn</v>
      </c>
      <c r="C40" s="8">
        <f ca="1">COUNTIF(A1:A3410, B40)</f>
        <v>1</v>
      </c>
      <c r="E40" s="8"/>
      <c r="F40" s="8" t="s">
        <v>3287</v>
      </c>
      <c r="G40" s="14">
        <v>17</v>
      </c>
      <c r="H40" s="8"/>
      <c r="I40" s="8"/>
      <c r="J40" s="8"/>
      <c r="K40" s="8"/>
      <c r="L40" s="8"/>
      <c r="M40" s="8"/>
      <c r="N40" s="8"/>
      <c r="O40" s="8"/>
      <c r="P40" s="8"/>
      <c r="Q40" s="8"/>
      <c r="R40" s="8"/>
      <c r="S40" s="8"/>
      <c r="T40" s="8"/>
      <c r="U40" s="8"/>
      <c r="V40" s="8"/>
      <c r="W40" s="8"/>
    </row>
    <row r="41" spans="1:23" ht="15.75" customHeight="1" x14ac:dyDescent="0.25">
      <c r="A41" s="6" t="s">
        <v>3288</v>
      </c>
      <c r="B41" s="8" t="str">
        <f ca="1">IFERROR(__xludf.DUMMYFUNCTION("""COMPUTED_VALUE"""),"Battlecon-online")</f>
        <v>Battlecon-online</v>
      </c>
      <c r="C41" s="8">
        <f ca="1">COUNTIF(A1:A3410, B41)</f>
        <v>1</v>
      </c>
      <c r="E41" s="8"/>
      <c r="F41" s="8" t="s">
        <v>3291</v>
      </c>
      <c r="G41" s="14">
        <v>17</v>
      </c>
      <c r="H41" s="8"/>
      <c r="I41" s="8"/>
      <c r="J41" s="8"/>
      <c r="K41" s="8"/>
      <c r="L41" s="8"/>
      <c r="M41" s="8"/>
      <c r="N41" s="8"/>
      <c r="O41" s="8"/>
      <c r="P41" s="8"/>
      <c r="Q41" s="8"/>
      <c r="R41" s="8"/>
      <c r="S41" s="8"/>
      <c r="T41" s="8"/>
      <c r="U41" s="8"/>
      <c r="V41" s="8"/>
      <c r="W41" s="8"/>
    </row>
    <row r="42" spans="1:23" ht="15.75" customHeight="1" x14ac:dyDescent="0.25">
      <c r="A42" s="6" t="s">
        <v>3293</v>
      </c>
      <c r="B42" s="8" t="str">
        <f ca="1">IFERROR(__xludf.DUMMYFUNCTION("""COMPUTED_VALUE"""),"Battlefield")</f>
        <v>Battlefield</v>
      </c>
      <c r="C42" s="8">
        <f ca="1">COUNTIF(A1:A3410, B42)</f>
        <v>16</v>
      </c>
      <c r="E42" s="8"/>
      <c r="F42" s="8" t="s">
        <v>3054</v>
      </c>
      <c r="G42" s="14">
        <v>17</v>
      </c>
      <c r="H42" s="8"/>
      <c r="I42" s="8"/>
      <c r="J42" s="8"/>
      <c r="K42" s="8"/>
      <c r="L42" s="8"/>
      <c r="M42" s="8"/>
      <c r="N42" s="8"/>
      <c r="O42" s="8"/>
      <c r="P42" s="8"/>
      <c r="Q42" s="8"/>
      <c r="R42" s="8"/>
      <c r="S42" s="8"/>
      <c r="T42" s="8"/>
      <c r="U42" s="8"/>
      <c r="V42" s="8"/>
      <c r="W42" s="8"/>
    </row>
    <row r="43" spans="1:23" ht="15.75" customHeight="1" x14ac:dyDescent="0.25">
      <c r="A43" s="6" t="s">
        <v>3294</v>
      </c>
      <c r="B43" s="8" t="str">
        <f ca="1">IFERROR(__xludf.DUMMYFUNCTION("""COMPUTED_VALUE"""),"Battleforge")</f>
        <v>Battleforge</v>
      </c>
      <c r="C43" s="8">
        <f ca="1">COUNTIF(A1:A3410, B43)</f>
        <v>1</v>
      </c>
      <c r="D43" s="8"/>
      <c r="E43" s="8"/>
      <c r="F43" s="8" t="s">
        <v>3296</v>
      </c>
      <c r="G43" s="14">
        <v>17</v>
      </c>
      <c r="H43" s="8"/>
      <c r="I43" s="8"/>
      <c r="J43" s="8"/>
      <c r="K43" s="8"/>
      <c r="L43" s="8"/>
      <c r="M43" s="8"/>
      <c r="N43" s="8"/>
      <c r="O43" s="8"/>
      <c r="P43" s="8"/>
      <c r="Q43" s="8"/>
      <c r="R43" s="8"/>
      <c r="S43" s="8"/>
      <c r="T43" s="8"/>
      <c r="U43" s="8"/>
      <c r="V43" s="8"/>
      <c r="W43" s="8"/>
    </row>
    <row r="44" spans="1:23" ht="15.75" customHeight="1" x14ac:dyDescent="0.25">
      <c r="A44" s="6" t="s">
        <v>3297</v>
      </c>
      <c r="B44" s="8" t="str">
        <f ca="1">IFERROR(__xludf.DUMMYFUNCTION("""COMPUTED_VALUE"""),"Battlehand")</f>
        <v>Battlehand</v>
      </c>
      <c r="C44" s="8">
        <f ca="1">COUNTIF(A1:A3410, B44)</f>
        <v>1</v>
      </c>
      <c r="D44" s="8"/>
      <c r="E44" s="8"/>
      <c r="F44" s="8" t="s">
        <v>3299</v>
      </c>
      <c r="G44" s="14">
        <v>17</v>
      </c>
      <c r="H44" s="8"/>
      <c r="I44" s="8"/>
      <c r="J44" s="8"/>
      <c r="K44" s="8"/>
      <c r="L44" s="8"/>
      <c r="M44" s="8"/>
      <c r="N44" s="8"/>
      <c r="O44" s="8"/>
      <c r="P44" s="8"/>
      <c r="Q44" s="8"/>
      <c r="R44" s="8"/>
      <c r="S44" s="8"/>
      <c r="T44" s="8"/>
      <c r="U44" s="8"/>
      <c r="V44" s="8"/>
      <c r="W44" s="8"/>
    </row>
    <row r="45" spans="1:23" ht="15.75" customHeight="1" x14ac:dyDescent="0.25">
      <c r="A45" s="6" t="s">
        <v>3300</v>
      </c>
      <c r="B45" s="8" t="str">
        <f ca="1">IFERROR(__xludf.DUMMYFUNCTION("""COMPUTED_VALUE"""),"Battlerite")</f>
        <v>Battlerite</v>
      </c>
      <c r="C45" s="8">
        <f ca="1">COUNTIF(A1:A3410, B45)</f>
        <v>22</v>
      </c>
      <c r="D45" s="8"/>
      <c r="E45" s="8"/>
      <c r="F45" s="8" t="s">
        <v>3301</v>
      </c>
      <c r="G45" s="14">
        <v>17</v>
      </c>
      <c r="H45" s="8"/>
      <c r="I45" s="8"/>
      <c r="J45" s="8"/>
      <c r="K45" s="8"/>
      <c r="L45" s="8"/>
      <c r="M45" s="8"/>
      <c r="N45" s="8"/>
      <c r="O45" s="8"/>
      <c r="P45" s="8"/>
      <c r="Q45" s="8"/>
      <c r="R45" s="8"/>
      <c r="S45" s="8"/>
      <c r="T45" s="8"/>
      <c r="U45" s="8"/>
      <c r="V45" s="8"/>
      <c r="W45" s="8"/>
    </row>
    <row r="46" spans="1:23" ht="15.75" customHeight="1" x14ac:dyDescent="0.25">
      <c r="A46" s="6" t="s">
        <v>3302</v>
      </c>
      <c r="B46" s="8" t="str">
        <f ca="1">IFERROR(__xludf.DUMMYFUNCTION("""COMPUTED_VALUE"""),"Battletech")</f>
        <v>Battletech</v>
      </c>
      <c r="C46" s="8">
        <f ca="1">COUNTIF(A1:A3410, B46)</f>
        <v>2</v>
      </c>
      <c r="D46" s="8"/>
      <c r="E46" s="8"/>
      <c r="F46" s="8" t="s">
        <v>3305</v>
      </c>
      <c r="G46" s="14">
        <v>16</v>
      </c>
      <c r="H46" s="8"/>
      <c r="I46" s="8"/>
      <c r="J46" s="8"/>
      <c r="K46" s="8"/>
      <c r="L46" s="8"/>
      <c r="M46" s="8"/>
      <c r="N46" s="8"/>
      <c r="O46" s="8"/>
      <c r="P46" s="8"/>
      <c r="Q46" s="8"/>
      <c r="R46" s="8"/>
      <c r="S46" s="8"/>
      <c r="T46" s="8"/>
      <c r="U46" s="8"/>
      <c r="V46" s="8"/>
      <c r="W46" s="8"/>
    </row>
    <row r="47" spans="1:23" ht="15.75" customHeight="1" x14ac:dyDescent="0.25">
      <c r="A47" s="6" t="s">
        <v>3262</v>
      </c>
      <c r="B47" s="8" t="str">
        <f ca="1">IFERROR(__xludf.DUMMYFUNCTION("""COMPUTED_VALUE"""),"Beamng.drive")</f>
        <v>Beamng.drive</v>
      </c>
      <c r="C47" s="8">
        <f ca="1">COUNTIF(A1:A3410, B47)</f>
        <v>1</v>
      </c>
      <c r="D47" s="8"/>
      <c r="E47" s="8"/>
      <c r="F47" s="8" t="s">
        <v>3307</v>
      </c>
      <c r="G47" s="14">
        <v>16</v>
      </c>
      <c r="H47" s="8"/>
      <c r="I47" s="8"/>
      <c r="J47" s="8"/>
      <c r="K47" s="8"/>
      <c r="L47" s="8"/>
      <c r="M47" s="8"/>
      <c r="N47" s="8"/>
      <c r="O47" s="8"/>
      <c r="P47" s="8"/>
      <c r="Q47" s="8"/>
      <c r="R47" s="8"/>
      <c r="S47" s="8"/>
      <c r="T47" s="8"/>
      <c r="U47" s="8"/>
      <c r="V47" s="8"/>
      <c r="W47" s="8"/>
    </row>
    <row r="48" spans="1:23" ht="15.75" customHeight="1" x14ac:dyDescent="0.25">
      <c r="A48" s="6" t="s">
        <v>3262</v>
      </c>
      <c r="B48" s="8" t="str">
        <f ca="1">IFERROR(__xludf.DUMMYFUNCTION("""COMPUTED_VALUE"""),"Beat saber")</f>
        <v>Beat saber</v>
      </c>
      <c r="C48" s="8">
        <f ca="1">COUNTIF(A1:A3410, B48)</f>
        <v>1</v>
      </c>
      <c r="D48" s="8"/>
      <c r="E48" s="8"/>
      <c r="F48" s="8" t="s">
        <v>3310</v>
      </c>
      <c r="G48" s="14">
        <v>16</v>
      </c>
      <c r="H48" s="8"/>
      <c r="I48" s="8"/>
      <c r="J48" s="8"/>
      <c r="K48" s="8"/>
      <c r="L48" s="8"/>
      <c r="M48" s="8"/>
      <c r="N48" s="8"/>
      <c r="O48" s="8"/>
      <c r="P48" s="8"/>
      <c r="Q48" s="8"/>
      <c r="R48" s="8"/>
      <c r="S48" s="8"/>
      <c r="T48" s="8"/>
      <c r="U48" s="8"/>
      <c r="V48" s="8"/>
      <c r="W48" s="8"/>
    </row>
    <row r="49" spans="1:23" ht="15.75" customHeight="1" x14ac:dyDescent="0.25">
      <c r="A49" s="6" t="s">
        <v>3262</v>
      </c>
      <c r="B49" s="8" t="str">
        <f ca="1">IFERROR(__xludf.DUMMYFUNCTION("""COMPUTED_VALUE"""),"Besiege")</f>
        <v>Besiege</v>
      </c>
      <c r="C49" s="8">
        <f ca="1">COUNTIF(A1:A3410, B49)</f>
        <v>1</v>
      </c>
      <c r="D49" s="8"/>
      <c r="E49" s="8"/>
      <c r="F49" s="8" t="s">
        <v>3313</v>
      </c>
      <c r="G49" s="14">
        <v>16</v>
      </c>
      <c r="H49" s="8"/>
      <c r="I49" s="8"/>
      <c r="J49" s="8"/>
      <c r="K49" s="8"/>
      <c r="L49" s="8"/>
      <c r="M49" s="8"/>
      <c r="N49" s="8"/>
      <c r="O49" s="8"/>
      <c r="P49" s="8"/>
      <c r="Q49" s="8"/>
      <c r="R49" s="8"/>
      <c r="S49" s="8"/>
      <c r="T49" s="8"/>
      <c r="U49" s="8"/>
      <c r="V49" s="8"/>
      <c r="W49" s="8"/>
    </row>
    <row r="50" spans="1:23" ht="15.75" customHeight="1" x14ac:dyDescent="0.25">
      <c r="A50" s="6" t="s">
        <v>3262</v>
      </c>
      <c r="B50" s="8" t="str">
        <f ca="1">IFERROR(__xludf.DUMMYFUNCTION("""COMPUTED_VALUE"""),"Beyond Earth")</f>
        <v>Beyond Earth</v>
      </c>
      <c r="C50" s="8">
        <f ca="1">COUNTIF(A1:A3410, B50)</f>
        <v>1</v>
      </c>
      <c r="D50" s="8"/>
      <c r="E50" s="8"/>
      <c r="F50" s="8" t="s">
        <v>2346</v>
      </c>
      <c r="G50" s="14">
        <v>15</v>
      </c>
      <c r="H50" s="8"/>
      <c r="I50" s="8"/>
      <c r="J50" s="8"/>
      <c r="K50" s="8"/>
      <c r="L50" s="8"/>
      <c r="M50" s="8"/>
      <c r="N50" s="8"/>
      <c r="O50" s="8"/>
      <c r="P50" s="8"/>
      <c r="Q50" s="8"/>
      <c r="R50" s="8"/>
      <c r="S50" s="8"/>
      <c r="T50" s="8"/>
      <c r="U50" s="8"/>
      <c r="V50" s="8"/>
      <c r="W50" s="8"/>
    </row>
    <row r="51" spans="1:23" ht="15.75" customHeight="1" x14ac:dyDescent="0.25">
      <c r="A51" s="6" t="s">
        <v>3262</v>
      </c>
      <c r="B51" s="8" t="str">
        <f ca="1">IFERROR(__xludf.DUMMYFUNCTION("""COMPUTED_VALUE"""),"Binding of Isaac")</f>
        <v>Binding of Isaac</v>
      </c>
      <c r="C51" s="8">
        <f ca="1">COUNTIF(A1:A3410, B51)</f>
        <v>9</v>
      </c>
      <c r="D51" s="8"/>
      <c r="E51" s="8"/>
      <c r="F51" s="8" t="s">
        <v>3319</v>
      </c>
      <c r="G51" s="14">
        <v>15</v>
      </c>
      <c r="H51" s="8"/>
      <c r="I51" s="8"/>
      <c r="J51" s="8"/>
      <c r="K51" s="8"/>
      <c r="L51" s="8"/>
      <c r="M51" s="8"/>
      <c r="N51" s="8"/>
      <c r="O51" s="8"/>
      <c r="P51" s="8"/>
      <c r="Q51" s="8"/>
      <c r="R51" s="8"/>
      <c r="S51" s="8"/>
      <c r="T51" s="8"/>
      <c r="U51" s="8"/>
      <c r="V51" s="8"/>
      <c r="W51" s="8"/>
    </row>
    <row r="52" spans="1:23" ht="15.75" customHeight="1" x14ac:dyDescent="0.25">
      <c r="A52" s="6" t="s">
        <v>3262</v>
      </c>
      <c r="B52" s="8" t="str">
        <f ca="1">IFERROR(__xludf.DUMMYFUNCTION("""COMPUTED_VALUE"""),"Black Desert")</f>
        <v>Black Desert</v>
      </c>
      <c r="C52" s="8">
        <f ca="1">COUNTIF(A1:A3410, B52)</f>
        <v>4</v>
      </c>
      <c r="D52" s="8"/>
      <c r="E52" s="8"/>
      <c r="F52" s="8" t="s">
        <v>3321</v>
      </c>
      <c r="G52" s="14">
        <v>14</v>
      </c>
      <c r="H52" s="8"/>
      <c r="I52" s="8"/>
      <c r="J52" s="8"/>
      <c r="K52" s="8"/>
      <c r="L52" s="8"/>
      <c r="M52" s="8"/>
      <c r="N52" s="8"/>
      <c r="O52" s="8"/>
      <c r="P52" s="8"/>
      <c r="Q52" s="8"/>
      <c r="R52" s="8"/>
      <c r="S52" s="8"/>
      <c r="T52" s="8"/>
      <c r="U52" s="8"/>
      <c r="V52" s="8"/>
      <c r="W52" s="8"/>
    </row>
    <row r="53" spans="1:23" ht="15.75" customHeight="1" x14ac:dyDescent="0.25">
      <c r="A53" s="6" t="s">
        <v>3262</v>
      </c>
      <c r="B53" s="8" t="str">
        <f ca="1">IFERROR(__xludf.DUMMYFUNCTION("""COMPUTED_VALUE"""),"Black Squad")</f>
        <v>Black Squad</v>
      </c>
      <c r="C53" s="8">
        <f ca="1">COUNTIF(A1:A3410, B53)</f>
        <v>2</v>
      </c>
      <c r="E53" s="8"/>
      <c r="F53" s="8" t="s">
        <v>3324</v>
      </c>
      <c r="G53" s="14">
        <v>14</v>
      </c>
      <c r="H53" s="8"/>
      <c r="I53" s="8"/>
      <c r="J53" s="8"/>
      <c r="K53" s="8"/>
      <c r="L53" s="8"/>
      <c r="M53" s="8"/>
      <c r="N53" s="8"/>
      <c r="O53" s="8"/>
      <c r="P53" s="8"/>
      <c r="Q53" s="8"/>
      <c r="R53" s="8"/>
      <c r="S53" s="8"/>
      <c r="T53" s="8"/>
      <c r="U53" s="8"/>
      <c r="V53" s="8"/>
      <c r="W53" s="8"/>
    </row>
    <row r="54" spans="1:23" ht="15.75" customHeight="1" x14ac:dyDescent="0.25">
      <c r="A54" s="6" t="s">
        <v>3262</v>
      </c>
      <c r="B54" s="8" t="str">
        <f ca="1">IFERROR(__xludf.DUMMYFUNCTION("""COMPUTED_VALUE"""),"Blade &amp; Soul")</f>
        <v>Blade &amp; Soul</v>
      </c>
      <c r="C54" s="8">
        <f ca="1">COUNTIF(A1:A3410, B54)</f>
        <v>1</v>
      </c>
      <c r="E54" s="8"/>
      <c r="F54" s="8" t="s">
        <v>3327</v>
      </c>
      <c r="G54" s="14">
        <v>14</v>
      </c>
      <c r="H54" s="8"/>
      <c r="I54" s="8"/>
      <c r="J54" s="8"/>
      <c r="K54" s="8"/>
      <c r="L54" s="8"/>
      <c r="M54" s="8"/>
      <c r="N54" s="8"/>
      <c r="O54" s="8"/>
      <c r="P54" s="8"/>
      <c r="Q54" s="8"/>
      <c r="R54" s="8"/>
      <c r="S54" s="8"/>
      <c r="T54" s="8"/>
      <c r="U54" s="8"/>
      <c r="V54" s="8"/>
      <c r="W54" s="8"/>
    </row>
    <row r="55" spans="1:23" ht="15.75" customHeight="1" x14ac:dyDescent="0.25">
      <c r="A55" s="6" t="s">
        <v>3262</v>
      </c>
      <c r="B55" s="8" t="str">
        <f ca="1">IFERROR(__xludf.DUMMYFUNCTION("""COMPUTED_VALUE"""),"Blizzard games")</f>
        <v>Blizzard games</v>
      </c>
      <c r="C55" s="8">
        <f ca="1">COUNTIF(A1:A3410, B55)</f>
        <v>3</v>
      </c>
      <c r="E55" s="8"/>
      <c r="F55" s="8" t="s">
        <v>3330</v>
      </c>
      <c r="G55" s="14">
        <v>14</v>
      </c>
      <c r="H55" s="8"/>
      <c r="I55" s="8"/>
      <c r="J55" s="8"/>
      <c r="K55" s="8"/>
      <c r="L55" s="8"/>
      <c r="M55" s="8"/>
      <c r="N55" s="8"/>
      <c r="O55" s="8"/>
      <c r="P55" s="8"/>
      <c r="Q55" s="8"/>
      <c r="R55" s="8"/>
      <c r="S55" s="8"/>
      <c r="T55" s="8"/>
      <c r="U55" s="8"/>
      <c r="V55" s="8"/>
      <c r="W55" s="8"/>
    </row>
    <row r="56" spans="1:23" ht="15.75" customHeight="1" x14ac:dyDescent="0.25">
      <c r="A56" s="6" t="s">
        <v>3262</v>
      </c>
      <c r="B56" s="8" t="str">
        <f ca="1">IFERROR(__xludf.DUMMYFUNCTION("""COMPUTED_VALUE"""),"Blood Bowl 2")</f>
        <v>Blood Bowl 2</v>
      </c>
      <c r="C56" s="8">
        <f ca="1">COUNTIF(A1:A3410, B56)</f>
        <v>2</v>
      </c>
      <c r="E56" s="8"/>
      <c r="F56" s="8" t="s">
        <v>3333</v>
      </c>
      <c r="G56" s="14">
        <v>14</v>
      </c>
      <c r="H56" s="8"/>
      <c r="I56" s="8"/>
      <c r="J56" s="8"/>
      <c r="K56" s="8"/>
      <c r="L56" s="8"/>
      <c r="M56" s="8"/>
      <c r="N56" s="8"/>
      <c r="O56" s="8"/>
      <c r="P56" s="8"/>
      <c r="Q56" s="8"/>
      <c r="R56" s="8"/>
      <c r="S56" s="8"/>
      <c r="T56" s="8"/>
      <c r="U56" s="8"/>
      <c r="V56" s="8"/>
      <c r="W56" s="8"/>
    </row>
    <row r="57" spans="1:23" ht="15.75" customHeight="1" x14ac:dyDescent="0.25">
      <c r="A57" s="6" t="s">
        <v>3262</v>
      </c>
      <c r="B57" s="8" t="str">
        <f ca="1">IFERROR(__xludf.DUMMYFUNCTION("""COMPUTED_VALUE"""),"Bloodborne")</f>
        <v>Bloodborne</v>
      </c>
      <c r="C57" s="8">
        <f ca="1">COUNTIF(A1:A3410, B57)</f>
        <v>3</v>
      </c>
      <c r="E57" s="8"/>
      <c r="F57" s="8" t="s">
        <v>3336</v>
      </c>
      <c r="G57" s="14">
        <v>13</v>
      </c>
      <c r="H57" s="8"/>
      <c r="I57" s="8"/>
      <c r="J57" s="8"/>
      <c r="K57" s="8"/>
      <c r="L57" s="8"/>
      <c r="M57" s="8"/>
      <c r="N57" s="8"/>
      <c r="O57" s="8"/>
      <c r="P57" s="8"/>
      <c r="Q57" s="8"/>
      <c r="R57" s="8"/>
      <c r="S57" s="8"/>
      <c r="T57" s="8"/>
      <c r="U57" s="8"/>
      <c r="V57" s="8"/>
      <c r="W57" s="8"/>
    </row>
    <row r="58" spans="1:23" ht="15.75" customHeight="1" x14ac:dyDescent="0.25">
      <c r="A58" s="6" t="s">
        <v>3262</v>
      </c>
      <c r="B58" s="8" t="str">
        <f ca="1">IFERROR(__xludf.DUMMYFUNCTION("""COMPUTED_VALUE"""),"Borderlands")</f>
        <v>Borderlands</v>
      </c>
      <c r="C58" s="8">
        <f ca="1">COUNTIF(A1:A3410, B58)</f>
        <v>16</v>
      </c>
      <c r="E58" s="8"/>
      <c r="F58" s="8" t="s">
        <v>3341</v>
      </c>
      <c r="G58" s="14">
        <v>13</v>
      </c>
      <c r="H58" s="8"/>
      <c r="I58" s="8"/>
      <c r="J58" s="8"/>
      <c r="K58" s="8"/>
      <c r="L58" s="8"/>
      <c r="M58" s="8"/>
      <c r="N58" s="8"/>
      <c r="O58" s="8"/>
      <c r="P58" s="8"/>
      <c r="Q58" s="8"/>
      <c r="R58" s="8"/>
      <c r="S58" s="8"/>
      <c r="T58" s="8"/>
      <c r="U58" s="8"/>
      <c r="V58" s="8"/>
      <c r="W58" s="8"/>
    </row>
    <row r="59" spans="1:23" ht="15.75" customHeight="1" x14ac:dyDescent="0.25">
      <c r="A59" s="6" t="s">
        <v>3262</v>
      </c>
      <c r="B59" s="8" t="str">
        <f ca="1">IFERROR(__xludf.DUMMYFUNCTION("""COMPUTED_VALUE"""),"Brawl Stars")</f>
        <v>Brawl Stars</v>
      </c>
      <c r="C59" s="8">
        <f ca="1">COUNTIF(A1:A3410, B59)</f>
        <v>1</v>
      </c>
      <c r="E59" s="8"/>
      <c r="F59" s="8" t="s">
        <v>3345</v>
      </c>
      <c r="G59" s="14">
        <v>13</v>
      </c>
      <c r="H59" s="8"/>
      <c r="I59" s="8"/>
      <c r="J59" s="8"/>
      <c r="K59" s="8"/>
      <c r="L59" s="8"/>
      <c r="M59" s="8"/>
      <c r="N59" s="8"/>
      <c r="O59" s="8"/>
      <c r="P59" s="8"/>
      <c r="Q59" s="8"/>
      <c r="R59" s="8"/>
      <c r="S59" s="8"/>
      <c r="T59" s="8"/>
      <c r="U59" s="8"/>
      <c r="V59" s="8"/>
      <c r="W59" s="8"/>
    </row>
    <row r="60" spans="1:23" ht="15.75" customHeight="1" x14ac:dyDescent="0.25">
      <c r="A60" s="6" t="s">
        <v>3262</v>
      </c>
      <c r="B60" s="8" t="str">
        <f ca="1">IFERROR(__xludf.DUMMYFUNCTION("""COMPUTED_VALUE"""),"Brawlhalla")</f>
        <v>Brawlhalla</v>
      </c>
      <c r="C60" s="8">
        <f ca="1">COUNTIF(A1:A3410, B60)</f>
        <v>17</v>
      </c>
      <c r="E60" s="8"/>
      <c r="F60" s="8" t="s">
        <v>3349</v>
      </c>
      <c r="G60" s="14">
        <v>13</v>
      </c>
      <c r="H60" s="8"/>
      <c r="I60" s="8"/>
      <c r="J60" s="8"/>
      <c r="K60" s="8"/>
      <c r="L60" s="8"/>
      <c r="M60" s="8"/>
      <c r="N60" s="8"/>
      <c r="O60" s="8"/>
      <c r="P60" s="8"/>
      <c r="Q60" s="8"/>
      <c r="R60" s="8"/>
      <c r="S60" s="8"/>
      <c r="T60" s="8"/>
      <c r="U60" s="8"/>
      <c r="V60" s="8"/>
      <c r="W60" s="8"/>
    </row>
    <row r="61" spans="1:23" ht="15.75" customHeight="1" x14ac:dyDescent="0.25">
      <c r="A61" s="6" t="s">
        <v>3262</v>
      </c>
      <c r="B61" s="8" t="str">
        <f ca="1">IFERROR(__xludf.DUMMYFUNCTION("""COMPUTED_VALUE"""),"Breath of the Wild")</f>
        <v>Breath of the Wild</v>
      </c>
      <c r="C61" s="8">
        <f ca="1">COUNTIF(A1:A3410, B61)</f>
        <v>1</v>
      </c>
      <c r="E61" s="8"/>
      <c r="F61" s="8" t="s">
        <v>3353</v>
      </c>
      <c r="G61" s="14">
        <v>12</v>
      </c>
      <c r="H61" s="8"/>
      <c r="I61" s="8"/>
      <c r="J61" s="8"/>
      <c r="K61" s="8"/>
      <c r="L61" s="8"/>
      <c r="M61" s="8"/>
      <c r="N61" s="8"/>
      <c r="O61" s="8"/>
      <c r="P61" s="8"/>
      <c r="Q61" s="8"/>
      <c r="R61" s="8"/>
      <c r="S61" s="8"/>
      <c r="T61" s="8"/>
      <c r="U61" s="8"/>
      <c r="V61" s="8"/>
      <c r="W61" s="8"/>
    </row>
    <row r="62" spans="1:23" ht="15.75" customHeight="1" x14ac:dyDescent="0.25">
      <c r="A62" s="6" t="s">
        <v>3262</v>
      </c>
      <c r="B62" s="8" t="str">
        <f ca="1">IFERROR(__xludf.DUMMYFUNCTION("""COMPUTED_VALUE"""),"Broforce")</f>
        <v>Broforce</v>
      </c>
      <c r="C62" s="8">
        <f ca="1">COUNTIF(A1:A3410, B62)</f>
        <v>2</v>
      </c>
      <c r="E62" s="8"/>
      <c r="F62" s="8" t="s">
        <v>3357</v>
      </c>
      <c r="G62" s="14">
        <v>12</v>
      </c>
      <c r="H62" s="8"/>
      <c r="I62" s="8"/>
      <c r="J62" s="8"/>
      <c r="K62" s="8"/>
      <c r="L62" s="8"/>
      <c r="M62" s="8"/>
      <c r="N62" s="8"/>
      <c r="O62" s="8"/>
      <c r="P62" s="8"/>
      <c r="Q62" s="8"/>
      <c r="R62" s="8"/>
      <c r="S62" s="8"/>
      <c r="T62" s="8"/>
      <c r="U62" s="8"/>
      <c r="V62" s="8"/>
      <c r="W62" s="8"/>
    </row>
    <row r="63" spans="1:23" ht="15.75" customHeight="1" x14ac:dyDescent="0.25">
      <c r="A63" s="6" t="s">
        <v>3262</v>
      </c>
      <c r="B63" s="8" t="str">
        <f ca="1">IFERROR(__xludf.DUMMYFUNCTION("""COMPUTED_VALUE"""),"Browser games")</f>
        <v>Browser games</v>
      </c>
      <c r="C63" s="8">
        <f ca="1">COUNTIF(A1:A3410, B63)</f>
        <v>4</v>
      </c>
      <c r="E63" s="8"/>
      <c r="F63" s="8" t="s">
        <v>3361</v>
      </c>
      <c r="G63" s="14">
        <v>12</v>
      </c>
      <c r="H63" s="8"/>
      <c r="I63" s="8"/>
      <c r="J63" s="8"/>
      <c r="K63" s="8"/>
      <c r="L63" s="8"/>
      <c r="M63" s="8"/>
      <c r="N63" s="8"/>
      <c r="O63" s="8"/>
      <c r="P63" s="8"/>
      <c r="Q63" s="8"/>
      <c r="R63" s="8"/>
      <c r="S63" s="8"/>
      <c r="T63" s="8"/>
      <c r="U63" s="8"/>
      <c r="V63" s="8"/>
      <c r="W63" s="8"/>
    </row>
    <row r="64" spans="1:23" ht="15.75" customHeight="1" x14ac:dyDescent="0.25">
      <c r="A64" s="6" t="s">
        <v>3262</v>
      </c>
      <c r="B64" s="8" t="str">
        <f ca="1">IFERROR(__xludf.DUMMYFUNCTION("""COMPUTED_VALUE"""),"Call of Cthulhu")</f>
        <v>Call of Cthulhu</v>
      </c>
      <c r="C64" s="8">
        <f ca="1">COUNTIF(A1:A3410, B64)</f>
        <v>1</v>
      </c>
      <c r="E64" s="8"/>
      <c r="F64" s="8" t="s">
        <v>3363</v>
      </c>
      <c r="G64" s="14">
        <v>12</v>
      </c>
      <c r="H64" s="8"/>
      <c r="I64" s="8"/>
      <c r="J64" s="8"/>
      <c r="K64" s="8"/>
      <c r="L64" s="8"/>
      <c r="M64" s="8"/>
      <c r="N64" s="8"/>
      <c r="O64" s="8"/>
      <c r="P64" s="8"/>
      <c r="Q64" s="8"/>
      <c r="R64" s="8"/>
      <c r="S64" s="8"/>
      <c r="T64" s="8"/>
      <c r="U64" s="8"/>
      <c r="V64" s="8"/>
      <c r="W64" s="8"/>
    </row>
    <row r="65" spans="1:23" ht="15.75" customHeight="1" x14ac:dyDescent="0.25">
      <c r="A65" s="6" t="s">
        <v>3262</v>
      </c>
      <c r="B65" s="8" t="str">
        <f ca="1">IFERROR(__xludf.DUMMYFUNCTION("""COMPUTED_VALUE"""),"Call of Duty Black Ops 4")</f>
        <v>Call of Duty Black Ops 4</v>
      </c>
      <c r="C65" s="8">
        <f ca="1">COUNTIF(A1:A3410, B65)</f>
        <v>40</v>
      </c>
      <c r="E65" s="8"/>
      <c r="F65" s="8" t="s">
        <v>3366</v>
      </c>
      <c r="G65" s="14">
        <v>11</v>
      </c>
      <c r="H65" s="8"/>
      <c r="I65" s="8"/>
      <c r="J65" s="8"/>
      <c r="K65" s="8"/>
      <c r="L65" s="8"/>
      <c r="M65" s="8"/>
      <c r="N65" s="8"/>
      <c r="O65" s="8"/>
      <c r="P65" s="8"/>
      <c r="Q65" s="8"/>
      <c r="R65" s="8"/>
      <c r="S65" s="8"/>
      <c r="T65" s="8"/>
      <c r="U65" s="8"/>
      <c r="V65" s="8"/>
      <c r="W65" s="8"/>
    </row>
    <row r="66" spans="1:23" ht="15.75" customHeight="1" x14ac:dyDescent="0.25">
      <c r="A66" s="6" t="s">
        <v>3262</v>
      </c>
      <c r="B66" s="8" t="str">
        <f ca="1">IFERROR(__xludf.DUMMYFUNCTION("""COMPUTED_VALUE"""),"captin toads adventure")</f>
        <v>captin toads adventure</v>
      </c>
      <c r="C66" s="8">
        <f ca="1">COUNTIF(A1:A3410, B66)</f>
        <v>1</v>
      </c>
      <c r="E66" s="8"/>
      <c r="F66" s="8" t="s">
        <v>3372</v>
      </c>
      <c r="G66" s="14">
        <v>10</v>
      </c>
      <c r="H66" s="8"/>
      <c r="I66" s="8"/>
      <c r="J66" s="8"/>
      <c r="K66" s="8"/>
      <c r="L66" s="8"/>
      <c r="M66" s="8"/>
      <c r="N66" s="8"/>
      <c r="O66" s="8"/>
      <c r="P66" s="8"/>
      <c r="Q66" s="8"/>
      <c r="R66" s="8"/>
      <c r="S66" s="8"/>
      <c r="T66" s="8"/>
      <c r="U66" s="8"/>
      <c r="V66" s="8"/>
      <c r="W66" s="8"/>
    </row>
    <row r="67" spans="1:23" ht="15.75" customHeight="1" x14ac:dyDescent="0.25">
      <c r="A67" s="6" t="s">
        <v>3262</v>
      </c>
      <c r="B67" s="8" t="str">
        <f ca="1">IFERROR(__xludf.DUMMYFUNCTION("""COMPUTED_VALUE"""),"Card games")</f>
        <v>Card games</v>
      </c>
      <c r="C67" s="8">
        <f ca="1">COUNTIF(A1:A3410, B67)</f>
        <v>19</v>
      </c>
      <c r="E67" s="8"/>
      <c r="F67" s="8" t="s">
        <v>3376</v>
      </c>
      <c r="G67" s="14">
        <v>10</v>
      </c>
      <c r="H67" s="8"/>
      <c r="I67" s="8"/>
      <c r="J67" s="8"/>
      <c r="K67" s="8"/>
      <c r="L67" s="8"/>
      <c r="M67" s="8"/>
      <c r="N67" s="8"/>
      <c r="O67" s="8"/>
      <c r="P67" s="8"/>
      <c r="Q67" s="8"/>
      <c r="R67" s="8"/>
      <c r="S67" s="8"/>
      <c r="T67" s="8"/>
      <c r="U67" s="8"/>
      <c r="V67" s="8"/>
      <c r="W67" s="8"/>
    </row>
    <row r="68" spans="1:23" ht="15.75" customHeight="1" x14ac:dyDescent="0.25">
      <c r="A68" s="6" t="s">
        <v>3262</v>
      </c>
      <c r="B68" s="8" t="str">
        <f ca="1">IFERROR(__xludf.DUMMYFUNCTION("""COMPUTED_VALUE"""),"card hunter")</f>
        <v>card hunter</v>
      </c>
      <c r="C68" s="8">
        <f ca="1">COUNTIF(A1:A3410, B68)</f>
        <v>1</v>
      </c>
      <c r="E68" s="8"/>
      <c r="F68" s="8" t="s">
        <v>3378</v>
      </c>
      <c r="G68" s="14">
        <v>10</v>
      </c>
      <c r="H68" s="8"/>
      <c r="I68" s="8"/>
      <c r="J68" s="8"/>
      <c r="K68" s="8"/>
      <c r="L68" s="8"/>
      <c r="M68" s="8"/>
      <c r="N68" s="8"/>
      <c r="O68" s="8"/>
      <c r="P68" s="8"/>
      <c r="Q68" s="8"/>
      <c r="R68" s="8"/>
      <c r="S68" s="8"/>
      <c r="T68" s="8"/>
      <c r="U68" s="8"/>
      <c r="V68" s="8"/>
      <c r="W68" s="8"/>
    </row>
    <row r="69" spans="1:23" ht="15.75" customHeight="1" x14ac:dyDescent="0.25">
      <c r="A69" s="6" t="s">
        <v>3381</v>
      </c>
      <c r="B69" s="8" t="str">
        <f ca="1">IFERROR(__xludf.DUMMYFUNCTION("""COMPUTED_VALUE"""),"Castle Crashers")</f>
        <v>Castle Crashers</v>
      </c>
      <c r="C69" s="8">
        <f ca="1">COUNTIF(A1:A3410, B69)</f>
        <v>1</v>
      </c>
      <c r="E69" s="8"/>
      <c r="F69" s="8" t="s">
        <v>3383</v>
      </c>
      <c r="G69" s="14">
        <v>10</v>
      </c>
      <c r="H69" s="8"/>
      <c r="I69" s="8"/>
      <c r="J69" s="8"/>
      <c r="K69" s="8"/>
      <c r="L69" s="8"/>
      <c r="M69" s="8"/>
      <c r="N69" s="8"/>
      <c r="O69" s="8"/>
      <c r="P69" s="8"/>
      <c r="Q69" s="8"/>
      <c r="R69" s="8"/>
      <c r="S69" s="8"/>
      <c r="T69" s="8"/>
      <c r="U69" s="8"/>
      <c r="V69" s="8"/>
      <c r="W69" s="8"/>
    </row>
    <row r="70" spans="1:23" ht="15.75" customHeight="1" x14ac:dyDescent="0.25">
      <c r="A70" s="6" t="s">
        <v>3381</v>
      </c>
      <c r="B70" s="8" t="str">
        <f ca="1">IFERROR(__xludf.DUMMYFUNCTION("""COMPUTED_VALUE"""),"Casual games")</f>
        <v>Casual games</v>
      </c>
      <c r="C70" s="8">
        <f ca="1">COUNTIF(A1:A3410, B70)</f>
        <v>1</v>
      </c>
      <c r="E70" s="8"/>
      <c r="F70" s="8" t="s">
        <v>3387</v>
      </c>
      <c r="G70" s="14">
        <v>10</v>
      </c>
      <c r="H70" s="8"/>
      <c r="I70" s="8"/>
      <c r="J70" s="8"/>
      <c r="K70" s="8"/>
      <c r="L70" s="8"/>
      <c r="M70" s="8"/>
      <c r="N70" s="8"/>
      <c r="O70" s="8"/>
      <c r="P70" s="8"/>
      <c r="Q70" s="8"/>
      <c r="R70" s="8"/>
      <c r="S70" s="8"/>
      <c r="T70" s="8"/>
      <c r="U70" s="8"/>
      <c r="V70" s="8"/>
      <c r="W70" s="8"/>
    </row>
    <row r="71" spans="1:23" ht="15.75" customHeight="1" x14ac:dyDescent="0.25">
      <c r="A71" s="6" t="s">
        <v>3381</v>
      </c>
      <c r="B71" s="8" t="str">
        <f ca="1">IFERROR(__xludf.DUMMYFUNCTION("""COMPUTED_VALUE"""),"Chaos Reborn")</f>
        <v>Chaos Reborn</v>
      </c>
      <c r="C71" s="8">
        <f ca="1">COUNTIF(A1:A3410, B71)</f>
        <v>2</v>
      </c>
      <c r="E71" s="8"/>
      <c r="F71" s="8" t="s">
        <v>3392</v>
      </c>
      <c r="G71" s="14">
        <v>10</v>
      </c>
      <c r="H71" s="8"/>
      <c r="I71" s="8"/>
      <c r="J71" s="8"/>
      <c r="K71" s="8"/>
      <c r="L71" s="8"/>
      <c r="M71" s="8"/>
      <c r="N71" s="8"/>
      <c r="O71" s="8"/>
      <c r="P71" s="8"/>
      <c r="Q71" s="8"/>
      <c r="R71" s="8"/>
      <c r="S71" s="8"/>
      <c r="T71" s="8"/>
      <c r="U71" s="8"/>
      <c r="V71" s="8"/>
      <c r="W71" s="8"/>
    </row>
    <row r="72" spans="1:23" ht="15.75" customHeight="1" x14ac:dyDescent="0.25">
      <c r="A72" s="6" t="s">
        <v>3381</v>
      </c>
      <c r="B72" s="8" t="str">
        <f ca="1">IFERROR(__xludf.DUMMYFUNCTION("""COMPUTED_VALUE"""),"Chess")</f>
        <v>Chess</v>
      </c>
      <c r="C72" s="8">
        <f ca="1">COUNTIF(A1:A3410, B72)</f>
        <v>6</v>
      </c>
      <c r="E72" s="8"/>
      <c r="F72" s="8" t="s">
        <v>3397</v>
      </c>
      <c r="G72" s="14">
        <v>10</v>
      </c>
      <c r="H72" s="8"/>
      <c r="I72" s="8"/>
      <c r="J72" s="8"/>
      <c r="K72" s="8"/>
      <c r="L72" s="8"/>
      <c r="M72" s="8"/>
      <c r="N72" s="8"/>
      <c r="O72" s="8"/>
      <c r="P72" s="8"/>
      <c r="Q72" s="8"/>
      <c r="R72" s="8"/>
      <c r="S72" s="8"/>
      <c r="T72" s="8"/>
      <c r="U72" s="8"/>
      <c r="V72" s="8"/>
      <c r="W72" s="8"/>
    </row>
    <row r="73" spans="1:23" ht="15.75" customHeight="1" x14ac:dyDescent="0.25">
      <c r="A73" s="6" t="s">
        <v>3399</v>
      </c>
      <c r="B73" s="8" t="str">
        <f ca="1">IFERROR(__xludf.DUMMYFUNCTION("""COMPUTED_VALUE"""),"Child of Light")</f>
        <v>Child of Light</v>
      </c>
      <c r="C73" s="8">
        <f ca="1">COUNTIF(A1:A3410, B73)</f>
        <v>1</v>
      </c>
      <c r="E73" s="8"/>
      <c r="F73" s="8" t="s">
        <v>3402</v>
      </c>
      <c r="G73" s="14">
        <v>9</v>
      </c>
      <c r="H73" s="8"/>
      <c r="I73" s="8"/>
      <c r="J73" s="8"/>
      <c r="K73" s="8"/>
      <c r="L73" s="8"/>
      <c r="M73" s="8"/>
      <c r="N73" s="8"/>
      <c r="O73" s="8"/>
      <c r="P73" s="8"/>
      <c r="Q73" s="8"/>
      <c r="R73" s="8"/>
      <c r="S73" s="8"/>
      <c r="T73" s="8"/>
      <c r="U73" s="8"/>
      <c r="V73" s="8"/>
      <c r="W73" s="8"/>
    </row>
    <row r="74" spans="1:23" ht="15.75" customHeight="1" x14ac:dyDescent="0.25">
      <c r="A74" s="6" t="s">
        <v>2080</v>
      </c>
      <c r="B74" s="8" t="str">
        <f ca="1">IFERROR(__xludf.DUMMYFUNCTION("""COMPUTED_VALUE"""),"Children of a Dead Earth")</f>
        <v>Children of a Dead Earth</v>
      </c>
      <c r="C74" s="8">
        <f ca="1">COUNTIF(A1:A3410, B74)</f>
        <v>2</v>
      </c>
      <c r="E74" s="8"/>
      <c r="F74" s="8" t="s">
        <v>3407</v>
      </c>
      <c r="G74" s="14">
        <v>9</v>
      </c>
      <c r="H74" s="8"/>
      <c r="I74" s="8"/>
      <c r="J74" s="8"/>
      <c r="K74" s="8"/>
      <c r="L74" s="8"/>
      <c r="M74" s="8"/>
      <c r="N74" s="8"/>
      <c r="O74" s="8"/>
      <c r="P74" s="8"/>
      <c r="Q74" s="8"/>
      <c r="R74" s="8"/>
      <c r="S74" s="8"/>
      <c r="T74" s="8"/>
      <c r="U74" s="8"/>
      <c r="V74" s="8"/>
      <c r="W74" s="8"/>
    </row>
    <row r="75" spans="1:23" ht="15.75" customHeight="1" x14ac:dyDescent="0.25">
      <c r="A75" s="6" t="s">
        <v>2080</v>
      </c>
      <c r="B75" s="8" t="str">
        <f ca="1">IFERROR(__xludf.DUMMYFUNCTION("""COMPUTED_VALUE"""),"City Skylines")</f>
        <v>City Skylines</v>
      </c>
      <c r="C75" s="8">
        <f ca="1">COUNTIF(A1:A3410, B75)</f>
        <v>2</v>
      </c>
      <c r="E75" s="8"/>
      <c r="F75" s="8" t="s">
        <v>3411</v>
      </c>
      <c r="G75" s="14">
        <v>9</v>
      </c>
      <c r="H75" s="8"/>
      <c r="I75" s="8"/>
      <c r="J75" s="8"/>
      <c r="K75" s="8"/>
      <c r="L75" s="8"/>
      <c r="M75" s="8"/>
      <c r="N75" s="8"/>
      <c r="O75" s="8"/>
      <c r="P75" s="8"/>
      <c r="Q75" s="8"/>
      <c r="R75" s="8"/>
      <c r="S75" s="8"/>
      <c r="T75" s="8"/>
      <c r="U75" s="8"/>
      <c r="V75" s="8"/>
      <c r="W75" s="8"/>
    </row>
    <row r="76" spans="1:23" ht="15.75" customHeight="1" x14ac:dyDescent="0.25">
      <c r="A76" s="6" t="s">
        <v>3412</v>
      </c>
      <c r="B76" s="8" t="str">
        <f ca="1">IFERROR(__xludf.DUMMYFUNCTION("""COMPUTED_VALUE"""),"Citybuilding games")</f>
        <v>Citybuilding games</v>
      </c>
      <c r="C76" s="8">
        <f ca="1">COUNTIF(A1:A3410, B76)</f>
        <v>2</v>
      </c>
      <c r="E76" s="8"/>
      <c r="F76" s="8" t="s">
        <v>3415</v>
      </c>
      <c r="G76" s="14">
        <v>9</v>
      </c>
      <c r="H76" s="8"/>
      <c r="I76" s="8"/>
      <c r="J76" s="8"/>
      <c r="K76" s="8"/>
      <c r="L76" s="8"/>
      <c r="M76" s="8"/>
      <c r="N76" s="8"/>
      <c r="O76" s="8"/>
      <c r="P76" s="8"/>
      <c r="Q76" s="8"/>
      <c r="R76" s="8"/>
      <c r="S76" s="8"/>
      <c r="T76" s="8"/>
      <c r="U76" s="8"/>
      <c r="V76" s="8"/>
      <c r="W76" s="8"/>
    </row>
    <row r="77" spans="1:23" ht="15.75" customHeight="1" x14ac:dyDescent="0.25">
      <c r="A77" s="6" t="s">
        <v>3412</v>
      </c>
      <c r="B77" s="8" t="str">
        <f ca="1">IFERROR(__xludf.DUMMYFUNCTION("""COMPUTED_VALUE"""),"Civilization series")</f>
        <v>Civilization series</v>
      </c>
      <c r="C77" s="8">
        <f ca="1">COUNTIF(A1:A3410, B77)</f>
        <v>17</v>
      </c>
      <c r="E77" s="8"/>
      <c r="F77" s="8" t="s">
        <v>3418</v>
      </c>
      <c r="G77" s="14">
        <v>9</v>
      </c>
      <c r="H77" s="8"/>
      <c r="I77" s="8"/>
      <c r="J77" s="8"/>
      <c r="K77" s="8"/>
      <c r="L77" s="8"/>
      <c r="M77" s="8"/>
      <c r="N77" s="8"/>
      <c r="O77" s="8"/>
      <c r="P77" s="8"/>
      <c r="Q77" s="8"/>
      <c r="R77" s="8"/>
      <c r="S77" s="8"/>
      <c r="T77" s="8"/>
      <c r="U77" s="8"/>
      <c r="V77" s="8"/>
      <c r="W77" s="8"/>
    </row>
    <row r="78" spans="1:23" ht="15.75" customHeight="1" x14ac:dyDescent="0.25">
      <c r="A78" s="8" t="s">
        <v>3412</v>
      </c>
      <c r="B78" s="8" t="str">
        <f ca="1">IFERROR(__xludf.DUMMYFUNCTION("""COMPUTED_VALUE"""),"Clash of Clans")</f>
        <v>Clash of Clans</v>
      </c>
      <c r="C78" s="8">
        <f ca="1">COUNTIF(A1:A3410, B78)</f>
        <v>4</v>
      </c>
      <c r="E78" s="8"/>
      <c r="F78" s="8" t="s">
        <v>3422</v>
      </c>
      <c r="G78" s="14">
        <v>8</v>
      </c>
      <c r="H78" s="8"/>
      <c r="I78" s="8"/>
      <c r="J78" s="8"/>
      <c r="K78" s="8"/>
      <c r="L78" s="8"/>
      <c r="M78" s="8"/>
      <c r="N78" s="8"/>
      <c r="O78" s="8"/>
      <c r="P78" s="8"/>
      <c r="Q78" s="8"/>
      <c r="R78" s="8"/>
      <c r="S78" s="8"/>
      <c r="T78" s="8"/>
      <c r="U78" s="8"/>
      <c r="V78" s="8"/>
      <c r="W78" s="8"/>
    </row>
    <row r="79" spans="1:23" ht="15.75" customHeight="1" x14ac:dyDescent="0.25">
      <c r="A79" s="6" t="s">
        <v>3412</v>
      </c>
      <c r="B79" s="8" t="str">
        <f ca="1">IFERROR(__xludf.DUMMYFUNCTION("""COMPUTED_VALUE"""),"Clash Royale")</f>
        <v>Clash Royale</v>
      </c>
      <c r="C79" s="8">
        <f ca="1">COUNTIF(A1:A3410, B79)</f>
        <v>44</v>
      </c>
      <c r="E79" s="8"/>
      <c r="F79" s="8" t="s">
        <v>3426</v>
      </c>
      <c r="G79" s="14">
        <v>8</v>
      </c>
      <c r="H79" s="8"/>
      <c r="I79" s="8"/>
      <c r="J79" s="8"/>
      <c r="K79" s="8"/>
      <c r="L79" s="8"/>
      <c r="M79" s="8"/>
      <c r="N79" s="8"/>
      <c r="O79" s="8"/>
      <c r="P79" s="8"/>
      <c r="Q79" s="8"/>
      <c r="R79" s="8"/>
      <c r="S79" s="8"/>
      <c r="T79" s="8"/>
      <c r="U79" s="8"/>
      <c r="V79" s="8"/>
      <c r="W79" s="8"/>
    </row>
    <row r="80" spans="1:23" ht="15.75" customHeight="1" x14ac:dyDescent="0.25">
      <c r="A80" s="8" t="s">
        <v>3427</v>
      </c>
      <c r="B80" s="8" t="str">
        <f ca="1">IFERROR(__xludf.DUMMYFUNCTION("""COMPUTED_VALUE"""),"Clicker Heroes")</f>
        <v>Clicker Heroes</v>
      </c>
      <c r="C80" s="8">
        <f ca="1">COUNTIF(A1:A3410, B80)</f>
        <v>1</v>
      </c>
      <c r="E80" s="8"/>
      <c r="F80" s="8" t="s">
        <v>3430</v>
      </c>
      <c r="G80" s="14">
        <v>8</v>
      </c>
      <c r="H80" s="8"/>
      <c r="I80" s="8"/>
      <c r="J80" s="8"/>
      <c r="K80" s="8"/>
      <c r="L80" s="8"/>
      <c r="M80" s="8"/>
      <c r="N80" s="8"/>
      <c r="O80" s="8"/>
      <c r="P80" s="8"/>
      <c r="Q80" s="8"/>
      <c r="R80" s="8"/>
      <c r="S80" s="8"/>
      <c r="T80" s="8"/>
      <c r="U80" s="8"/>
      <c r="V80" s="8"/>
      <c r="W80" s="8"/>
    </row>
    <row r="81" spans="1:23" ht="15.75" customHeight="1" x14ac:dyDescent="0.25">
      <c r="A81" s="8" t="s">
        <v>3427</v>
      </c>
      <c r="B81" s="8" t="str">
        <f ca="1">IFERROR(__xludf.DUMMYFUNCTION("""COMPUTED_VALUE"""),"Closers")</f>
        <v>Closers</v>
      </c>
      <c r="C81" s="8">
        <f ca="1">COUNTIF(A1:A3410, B81)</f>
        <v>1</v>
      </c>
      <c r="E81" s="8"/>
      <c r="F81" s="8" t="s">
        <v>3433</v>
      </c>
      <c r="G81" s="14">
        <v>8</v>
      </c>
      <c r="H81" s="8"/>
      <c r="I81" s="8"/>
      <c r="J81" s="8"/>
      <c r="K81" s="8"/>
      <c r="L81" s="8"/>
      <c r="M81" s="8"/>
      <c r="N81" s="8"/>
      <c r="O81" s="8"/>
      <c r="P81" s="8"/>
      <c r="Q81" s="8"/>
      <c r="R81" s="8"/>
      <c r="S81" s="8"/>
      <c r="T81" s="8"/>
      <c r="U81" s="8"/>
      <c r="V81" s="8"/>
      <c r="W81" s="8"/>
    </row>
    <row r="82" spans="1:23" ht="15.75" customHeight="1" x14ac:dyDescent="0.25">
      <c r="A82" s="6" t="s">
        <v>3336</v>
      </c>
      <c r="B82" s="8" t="str">
        <f ca="1">IFERROR(__xludf.DUMMYFUNCTION("""COMPUTED_VALUE"""),"Club Penguin Online")</f>
        <v>Club Penguin Online</v>
      </c>
      <c r="C82" s="8">
        <f ca="1">COUNTIF(A1:A3410, B82)</f>
        <v>1</v>
      </c>
      <c r="E82" s="8"/>
      <c r="F82" s="8" t="s">
        <v>3437</v>
      </c>
      <c r="G82" s="14">
        <v>8</v>
      </c>
      <c r="H82" s="8"/>
      <c r="I82" s="8"/>
      <c r="J82" s="8"/>
      <c r="K82" s="8"/>
      <c r="L82" s="8"/>
      <c r="M82" s="8"/>
      <c r="N82" s="8"/>
      <c r="O82" s="8"/>
      <c r="P82" s="8"/>
      <c r="Q82" s="8"/>
      <c r="R82" s="8"/>
      <c r="S82" s="8"/>
      <c r="T82" s="8"/>
      <c r="U82" s="8"/>
      <c r="V82" s="8"/>
      <c r="W82" s="8"/>
    </row>
    <row r="83" spans="1:23" ht="15.75" customHeight="1" x14ac:dyDescent="0.25">
      <c r="A83" s="6" t="s">
        <v>3336</v>
      </c>
      <c r="B83" s="8" t="str">
        <f ca="1">IFERROR(__xludf.DUMMYFUNCTION("""COMPUTED_VALUE"""),"Co-op games")</f>
        <v>Co-op games</v>
      </c>
      <c r="C83" s="8">
        <f ca="1">COUNTIF(A1:A3410, B83)</f>
        <v>3</v>
      </c>
      <c r="E83" s="8"/>
      <c r="F83" s="8" t="s">
        <v>3439</v>
      </c>
      <c r="G83" s="14">
        <v>8</v>
      </c>
      <c r="H83" s="8"/>
      <c r="I83" s="8"/>
      <c r="J83" s="8"/>
      <c r="K83" s="8"/>
      <c r="L83" s="8"/>
      <c r="M83" s="8"/>
      <c r="N83" s="8"/>
      <c r="O83" s="8"/>
      <c r="P83" s="8"/>
      <c r="Q83" s="8"/>
      <c r="R83" s="8"/>
      <c r="S83" s="8"/>
      <c r="T83" s="8"/>
      <c r="U83" s="8"/>
      <c r="V83" s="8"/>
      <c r="W83" s="8"/>
    </row>
    <row r="84" spans="1:23" ht="15.75" customHeight="1" x14ac:dyDescent="0.25">
      <c r="A84" s="6" t="s">
        <v>3336</v>
      </c>
      <c r="B84" s="8" t="str">
        <f ca="1">IFERROR(__xludf.DUMMYFUNCTION("""COMPUTED_VALUE"""),"Combat Arms")</f>
        <v>Combat Arms</v>
      </c>
      <c r="C84" s="8">
        <f ca="1">COUNTIF(A1:A3410, B84)</f>
        <v>1</v>
      </c>
      <c r="E84" s="8"/>
      <c r="F84" s="8" t="s">
        <v>3442</v>
      </c>
      <c r="G84" s="14">
        <v>8</v>
      </c>
      <c r="H84" s="8"/>
      <c r="I84" s="8"/>
      <c r="J84" s="8"/>
      <c r="K84" s="8"/>
      <c r="L84" s="8"/>
      <c r="M84" s="8"/>
      <c r="N84" s="8"/>
      <c r="O84" s="8"/>
      <c r="P84" s="8"/>
      <c r="Q84" s="8"/>
      <c r="R84" s="8"/>
      <c r="S84" s="8"/>
      <c r="T84" s="8"/>
      <c r="U84" s="8"/>
      <c r="V84" s="8"/>
      <c r="W84" s="8"/>
    </row>
    <row r="85" spans="1:23" ht="15.75" customHeight="1" x14ac:dyDescent="0.25">
      <c r="A85" s="6" t="s">
        <v>3336</v>
      </c>
      <c r="B85" s="8" t="str">
        <f ca="1">IFERROR(__xludf.DUMMYFUNCTION("""COMPUTED_VALUE"""),"Command &amp; Conquer 3")</f>
        <v>Command &amp; Conquer 3</v>
      </c>
      <c r="C85" s="8">
        <f ca="1">COUNTIF(A1:A3410, B85)</f>
        <v>3</v>
      </c>
      <c r="E85" s="8"/>
      <c r="F85" s="8" t="s">
        <v>3196</v>
      </c>
      <c r="G85" s="14">
        <v>7</v>
      </c>
      <c r="H85" s="8"/>
      <c r="I85" s="8"/>
      <c r="J85" s="8"/>
      <c r="K85" s="8"/>
      <c r="L85" s="8"/>
      <c r="M85" s="8"/>
      <c r="N85" s="8"/>
      <c r="O85" s="8"/>
      <c r="P85" s="8"/>
      <c r="Q85" s="8"/>
      <c r="R85" s="8"/>
      <c r="S85" s="8"/>
      <c r="T85" s="8"/>
      <c r="U85" s="8"/>
      <c r="V85" s="8"/>
      <c r="W85" s="8"/>
    </row>
    <row r="86" spans="1:23" ht="15.75" customHeight="1" x14ac:dyDescent="0.25">
      <c r="A86" s="6" t="s">
        <v>3336</v>
      </c>
      <c r="B86" s="8" t="str">
        <f ca="1">IFERROR(__xludf.DUMMYFUNCTION("""COMPUTED_VALUE"""),"Company of Heroes 2")</f>
        <v>Company of Heroes 2</v>
      </c>
      <c r="C86" s="8">
        <f ca="1">COUNTIF(A1:A3410, B86)</f>
        <v>1</v>
      </c>
      <c r="E86" s="8"/>
      <c r="F86" s="8" t="s">
        <v>3210</v>
      </c>
      <c r="G86" s="14">
        <v>7</v>
      </c>
      <c r="H86" s="8"/>
      <c r="I86" s="8"/>
      <c r="J86" s="8"/>
      <c r="K86" s="8"/>
      <c r="L86" s="8"/>
      <c r="M86" s="8"/>
      <c r="N86" s="8"/>
      <c r="O86" s="8"/>
      <c r="P86" s="8"/>
      <c r="Q86" s="8"/>
      <c r="R86" s="8"/>
      <c r="S86" s="8"/>
      <c r="T86" s="8"/>
      <c r="U86" s="8"/>
      <c r="V86" s="8"/>
      <c r="W86" s="8"/>
    </row>
    <row r="87" spans="1:23" ht="15.75" customHeight="1" x14ac:dyDescent="0.25">
      <c r="A87" s="6" t="s">
        <v>3336</v>
      </c>
      <c r="B87" s="8" t="str">
        <f ca="1">IFERROR(__xludf.DUMMYFUNCTION("""COMPUTED_VALUE"""),"Console games")</f>
        <v>Console games</v>
      </c>
      <c r="C87" s="8">
        <f ca="1">COUNTIF(A1:A3410, B87)</f>
        <v>6</v>
      </c>
      <c r="E87" s="8"/>
      <c r="F87" s="8" t="s">
        <v>3457</v>
      </c>
      <c r="G87" s="14">
        <v>7</v>
      </c>
      <c r="H87" s="8"/>
      <c r="I87" s="8"/>
      <c r="J87" s="8"/>
      <c r="K87" s="8"/>
      <c r="L87" s="8"/>
      <c r="M87" s="8"/>
      <c r="N87" s="8"/>
      <c r="O87" s="8"/>
      <c r="P87" s="8"/>
      <c r="Q87" s="8"/>
      <c r="R87" s="8"/>
      <c r="S87" s="8"/>
      <c r="T87" s="8"/>
      <c r="U87" s="8"/>
      <c r="V87" s="8"/>
      <c r="W87" s="8"/>
    </row>
    <row r="88" spans="1:23" ht="15.75" customHeight="1" x14ac:dyDescent="0.25">
      <c r="A88" s="6" t="s">
        <v>3336</v>
      </c>
      <c r="B88" s="8" t="str">
        <f ca="1">IFERROR(__xludf.DUMMYFUNCTION("""COMPUTED_VALUE"""),"Cookie Wars")</f>
        <v>Cookie Wars</v>
      </c>
      <c r="C88" s="8">
        <f ca="1">COUNTIF(A1:A3410, B88)</f>
        <v>1</v>
      </c>
      <c r="E88" s="8"/>
      <c r="F88" s="8" t="s">
        <v>3460</v>
      </c>
      <c r="G88" s="14">
        <v>7</v>
      </c>
      <c r="H88" s="8"/>
      <c r="I88" s="8"/>
      <c r="J88" s="8"/>
      <c r="K88" s="8"/>
      <c r="L88" s="8"/>
      <c r="M88" s="8"/>
      <c r="N88" s="8"/>
      <c r="O88" s="8"/>
      <c r="P88" s="8"/>
      <c r="Q88" s="8"/>
      <c r="R88" s="8"/>
      <c r="S88" s="8"/>
      <c r="T88" s="8"/>
      <c r="U88" s="8"/>
      <c r="V88" s="8"/>
      <c r="W88" s="8"/>
    </row>
    <row r="89" spans="1:23" ht="15.75" customHeight="1" x14ac:dyDescent="0.25">
      <c r="A89" s="6" t="s">
        <v>3336</v>
      </c>
      <c r="B89" s="8" t="str">
        <f ca="1">IFERROR(__xludf.DUMMYFUNCTION("""COMPUTED_VALUE"""),"Cortex Command")</f>
        <v>Cortex Command</v>
      </c>
      <c r="C89" s="8">
        <f ca="1">COUNTIF(A1:A3410, B89)</f>
        <v>1</v>
      </c>
      <c r="E89" s="8"/>
      <c r="F89" s="8" t="s">
        <v>3463</v>
      </c>
      <c r="G89" s="14">
        <v>7</v>
      </c>
      <c r="H89" s="8"/>
      <c r="I89" s="8"/>
      <c r="J89" s="8"/>
      <c r="K89" s="8"/>
      <c r="L89" s="8"/>
      <c r="M89" s="8"/>
      <c r="N89" s="8"/>
      <c r="O89" s="8"/>
      <c r="P89" s="8"/>
      <c r="Q89" s="8"/>
      <c r="R89" s="8"/>
      <c r="S89" s="8"/>
      <c r="T89" s="8"/>
      <c r="U89" s="8"/>
      <c r="V89" s="8"/>
      <c r="W89" s="8"/>
    </row>
    <row r="90" spans="1:23" ht="15.75" customHeight="1" x14ac:dyDescent="0.25">
      <c r="A90" s="6" t="s">
        <v>3336</v>
      </c>
      <c r="B90" s="8" t="str">
        <f ca="1">IFERROR(__xludf.DUMMYFUNCTION("""COMPUTED_VALUE"""),"Crawl")</f>
        <v>Crawl</v>
      </c>
      <c r="C90" s="8">
        <f ca="1">COUNTIF(A1:A3410, B90)</f>
        <v>2</v>
      </c>
      <c r="E90" s="8"/>
      <c r="F90" s="8" t="s">
        <v>3469</v>
      </c>
      <c r="G90" s="14">
        <v>7</v>
      </c>
      <c r="H90" s="8"/>
      <c r="I90" s="8"/>
      <c r="J90" s="8"/>
      <c r="K90" s="8"/>
      <c r="L90" s="8"/>
      <c r="M90" s="8"/>
      <c r="N90" s="8"/>
      <c r="O90" s="8"/>
      <c r="P90" s="8"/>
      <c r="Q90" s="8"/>
      <c r="R90" s="8"/>
      <c r="S90" s="8"/>
      <c r="T90" s="8"/>
      <c r="U90" s="8"/>
      <c r="V90" s="8"/>
      <c r="W90" s="8"/>
    </row>
    <row r="91" spans="1:23" ht="15.75" customHeight="1" x14ac:dyDescent="0.25">
      <c r="A91" s="6" t="s">
        <v>3336</v>
      </c>
      <c r="B91" s="8" t="str">
        <f ca="1">IFERROR(__xludf.DUMMYFUNCTION("""COMPUTED_VALUE"""),"Creative Destruction")</f>
        <v>Creative Destruction</v>
      </c>
      <c r="C91" s="8">
        <f ca="1">COUNTIF(A1:A3410, B91)</f>
        <v>3</v>
      </c>
      <c r="E91" s="8"/>
      <c r="F91" s="8" t="s">
        <v>3473</v>
      </c>
      <c r="G91" s="14">
        <v>7</v>
      </c>
      <c r="H91" s="8"/>
      <c r="I91" s="8"/>
      <c r="J91" s="8"/>
      <c r="K91" s="8"/>
      <c r="L91" s="8"/>
      <c r="M91" s="8"/>
      <c r="N91" s="8"/>
      <c r="O91" s="8"/>
      <c r="P91" s="8"/>
      <c r="Q91" s="8"/>
      <c r="R91" s="8"/>
      <c r="S91" s="8"/>
      <c r="T91" s="8"/>
      <c r="U91" s="8"/>
      <c r="V91" s="8"/>
      <c r="W91" s="8"/>
    </row>
    <row r="92" spans="1:23" ht="15.75" customHeight="1" x14ac:dyDescent="0.25">
      <c r="A92" s="8" t="s">
        <v>3336</v>
      </c>
      <c r="B92" s="8" t="str">
        <f ca="1">IFERROR(__xludf.DUMMYFUNCTION("""COMPUTED_VALUE"""),"Creativerse")</f>
        <v>Creativerse</v>
      </c>
      <c r="C92" s="8">
        <f ca="1">COUNTIF(A1:A3410, B92)</f>
        <v>1</v>
      </c>
      <c r="E92" s="8"/>
      <c r="F92" s="8" t="s">
        <v>3476</v>
      </c>
      <c r="G92" s="14">
        <v>7</v>
      </c>
      <c r="H92" s="8"/>
      <c r="I92" s="8"/>
      <c r="J92" s="8"/>
      <c r="K92" s="8"/>
      <c r="L92" s="8"/>
      <c r="M92" s="8"/>
      <c r="N92" s="8"/>
      <c r="O92" s="8"/>
      <c r="P92" s="8"/>
      <c r="Q92" s="8"/>
      <c r="R92" s="8"/>
      <c r="S92" s="8"/>
      <c r="T92" s="8"/>
      <c r="U92" s="8"/>
      <c r="V92" s="8"/>
      <c r="W92" s="8"/>
    </row>
    <row r="93" spans="1:23" ht="15.75" customHeight="1" x14ac:dyDescent="0.25">
      <c r="A93" s="6" t="s">
        <v>3336</v>
      </c>
      <c r="B93" s="8" t="str">
        <f ca="1">IFERROR(__xludf.DUMMYFUNCTION("""COMPUTED_VALUE"""),"Crosscode")</f>
        <v>Crosscode</v>
      </c>
      <c r="C93" s="8">
        <f ca="1">COUNTIF(A1:A3410, B93)</f>
        <v>1</v>
      </c>
      <c r="E93" s="8"/>
      <c r="F93" s="8" t="s">
        <v>3479</v>
      </c>
      <c r="G93" s="14">
        <v>7</v>
      </c>
      <c r="H93" s="8"/>
      <c r="I93" s="8"/>
      <c r="J93" s="8"/>
      <c r="K93" s="8"/>
      <c r="L93" s="8"/>
      <c r="M93" s="8"/>
      <c r="N93" s="8"/>
      <c r="O93" s="8"/>
      <c r="P93" s="8"/>
      <c r="Q93" s="8"/>
      <c r="R93" s="8"/>
      <c r="S93" s="8"/>
      <c r="T93" s="8"/>
      <c r="U93" s="8"/>
      <c r="V93" s="8"/>
      <c r="W93" s="8"/>
    </row>
    <row r="94" spans="1:23" ht="15.75" customHeight="1" x14ac:dyDescent="0.25">
      <c r="A94" s="6" t="s">
        <v>3336</v>
      </c>
      <c r="B94" s="8" t="str">
        <f ca="1">IFERROR(__xludf.DUMMYFUNCTION("""COMPUTED_VALUE"""),"Crossout")</f>
        <v>Crossout</v>
      </c>
      <c r="C94" s="8">
        <f ca="1">COUNTIF(A1:A3410, B94)</f>
        <v>3</v>
      </c>
      <c r="E94" s="8"/>
      <c r="F94" s="8" t="s">
        <v>3481</v>
      </c>
      <c r="G94" s="14">
        <v>7</v>
      </c>
      <c r="H94" s="8"/>
      <c r="I94" s="8"/>
      <c r="J94" s="8"/>
      <c r="K94" s="8"/>
      <c r="L94" s="8"/>
      <c r="M94" s="8"/>
      <c r="N94" s="8"/>
      <c r="O94" s="8"/>
      <c r="P94" s="8"/>
      <c r="Q94" s="8"/>
      <c r="R94" s="8"/>
      <c r="S94" s="8"/>
      <c r="T94" s="8"/>
      <c r="U94" s="8"/>
      <c r="V94" s="8"/>
      <c r="W94" s="8"/>
    </row>
    <row r="95" spans="1:23" ht="15.75" customHeight="1" x14ac:dyDescent="0.25">
      <c r="A95" s="6" t="s">
        <v>3483</v>
      </c>
      <c r="B95" s="8" t="str">
        <f ca="1">IFERROR(__xludf.DUMMYFUNCTION("""COMPUTED_VALUE"""),"Crusader Kings 2")</f>
        <v>Crusader Kings 2</v>
      </c>
      <c r="C95" s="8">
        <f ca="1">COUNTIF(A1:A3410, B95)</f>
        <v>5</v>
      </c>
      <c r="E95" s="8"/>
      <c r="F95" s="8" t="s">
        <v>3484</v>
      </c>
      <c r="G95" s="14">
        <v>7</v>
      </c>
      <c r="H95" s="8"/>
      <c r="I95" s="8"/>
      <c r="J95" s="8"/>
      <c r="K95" s="8"/>
      <c r="L95" s="8"/>
      <c r="M95" s="8"/>
      <c r="N95" s="8"/>
      <c r="O95" s="8"/>
      <c r="P95" s="8"/>
      <c r="Q95" s="8"/>
      <c r="R95" s="8"/>
      <c r="S95" s="8"/>
      <c r="T95" s="8"/>
      <c r="U95" s="8"/>
      <c r="V95" s="8"/>
      <c r="W95" s="8"/>
    </row>
    <row r="96" spans="1:23" ht="15.75" customHeight="1" x14ac:dyDescent="0.25">
      <c r="A96" s="6" t="s">
        <v>3457</v>
      </c>
      <c r="B96" s="8" t="str">
        <f ca="1">IFERROR(__xludf.DUMMYFUNCTION("""COMPUTED_VALUE"""),"Crypt of the Necrodancer")</f>
        <v>Crypt of the Necrodancer</v>
      </c>
      <c r="C96" s="8">
        <f ca="1">COUNTIF(A1:A3410, B96)</f>
        <v>1</v>
      </c>
      <c r="E96" s="8"/>
      <c r="F96" s="8" t="s">
        <v>3485</v>
      </c>
      <c r="G96" s="14">
        <v>7</v>
      </c>
      <c r="H96" s="8"/>
      <c r="I96" s="8"/>
      <c r="J96" s="8"/>
      <c r="K96" s="8"/>
      <c r="L96" s="8"/>
      <c r="M96" s="8"/>
      <c r="N96" s="8"/>
      <c r="O96" s="8"/>
      <c r="P96" s="8"/>
      <c r="Q96" s="8"/>
      <c r="R96" s="8"/>
      <c r="S96" s="8"/>
      <c r="T96" s="8"/>
      <c r="U96" s="8"/>
      <c r="V96" s="8"/>
      <c r="W96" s="8"/>
    </row>
    <row r="97" spans="1:23" ht="15.75" customHeight="1" x14ac:dyDescent="0.25">
      <c r="A97" s="6" t="s">
        <v>3457</v>
      </c>
      <c r="B97" s="8" t="str">
        <f ca="1">IFERROR(__xludf.DUMMYFUNCTION("""COMPUTED_VALUE"""),"CS 1.6")</f>
        <v>CS 1.6</v>
      </c>
      <c r="C97" s="8">
        <f ca="1">COUNTIF(A1:A3410, B97)</f>
        <v>1</v>
      </c>
      <c r="E97" s="8"/>
      <c r="F97" s="8" t="s">
        <v>3245</v>
      </c>
      <c r="G97" s="14">
        <v>6</v>
      </c>
      <c r="H97" s="8"/>
      <c r="I97" s="8"/>
      <c r="J97" s="8"/>
      <c r="K97" s="8"/>
      <c r="L97" s="8"/>
      <c r="M97" s="8"/>
      <c r="N97" s="8"/>
      <c r="O97" s="8"/>
      <c r="P97" s="8"/>
      <c r="Q97" s="8"/>
      <c r="R97" s="8"/>
      <c r="S97" s="8"/>
      <c r="T97" s="8"/>
      <c r="U97" s="8"/>
      <c r="V97" s="8"/>
      <c r="W97" s="8"/>
    </row>
    <row r="98" spans="1:23" ht="15.75" customHeight="1" x14ac:dyDescent="0.25">
      <c r="A98" s="6" t="s">
        <v>3457</v>
      </c>
      <c r="B98" s="8" t="str">
        <f ca="1">IFERROR(__xludf.DUMMYFUNCTION("""COMPUTED_VALUE"""),"CS:GO")</f>
        <v>CS:GO</v>
      </c>
      <c r="C98" s="8">
        <f ca="1">COUNTIF(A1:A3410, B98)</f>
        <v>78</v>
      </c>
      <c r="E98" s="8"/>
      <c r="F98" s="8" t="s">
        <v>969</v>
      </c>
      <c r="G98" s="14">
        <v>6</v>
      </c>
      <c r="H98" s="8"/>
      <c r="I98" s="8"/>
      <c r="J98" s="8"/>
      <c r="K98" s="8"/>
      <c r="L98" s="8"/>
      <c r="M98" s="8"/>
      <c r="N98" s="8"/>
      <c r="O98" s="8"/>
      <c r="P98" s="8"/>
      <c r="Q98" s="8"/>
      <c r="R98" s="8"/>
      <c r="S98" s="8"/>
      <c r="T98" s="8"/>
      <c r="U98" s="8"/>
      <c r="V98" s="8"/>
      <c r="W98" s="8"/>
    </row>
    <row r="99" spans="1:23" ht="15.75" customHeight="1" x14ac:dyDescent="0.25">
      <c r="A99" s="6" t="s">
        <v>3457</v>
      </c>
      <c r="B99" s="8" t="str">
        <f ca="1">IFERROR(__xludf.DUMMYFUNCTION("""COMPUTED_VALUE"""),"CS:Source")</f>
        <v>CS:Source</v>
      </c>
      <c r="C99" s="8">
        <f ca="1">COUNTIF(A1:A3410, B99)</f>
        <v>2</v>
      </c>
      <c r="E99" s="8"/>
      <c r="F99" s="8" t="s">
        <v>3493</v>
      </c>
      <c r="G99" s="14">
        <v>6</v>
      </c>
      <c r="H99" s="8"/>
      <c r="I99" s="8"/>
      <c r="J99" s="8"/>
      <c r="K99" s="8"/>
      <c r="L99" s="8"/>
      <c r="M99" s="8"/>
      <c r="N99" s="8"/>
      <c r="O99" s="8"/>
      <c r="P99" s="8"/>
      <c r="Q99" s="8"/>
      <c r="R99" s="8"/>
      <c r="S99" s="8"/>
      <c r="T99" s="8"/>
      <c r="U99" s="8"/>
      <c r="V99" s="8"/>
      <c r="W99" s="8"/>
    </row>
    <row r="100" spans="1:23" ht="15.75" customHeight="1" x14ac:dyDescent="0.25">
      <c r="A100" s="6" t="s">
        <v>3457</v>
      </c>
      <c r="B100" s="8" t="str">
        <f ca="1">IFERROR(__xludf.DUMMYFUNCTION("""COMPUTED_VALUE"""),"Cube Cube")</f>
        <v>Cube Cube</v>
      </c>
      <c r="C100" s="8">
        <f ca="1">COUNTIF(A1:A3410, B100)</f>
        <v>1</v>
      </c>
      <c r="E100" s="8"/>
      <c r="F100" s="8" t="s">
        <v>3495</v>
      </c>
      <c r="G100" s="14">
        <v>6</v>
      </c>
      <c r="H100" s="8"/>
      <c r="I100" s="8"/>
      <c r="J100" s="8"/>
      <c r="K100" s="8"/>
      <c r="L100" s="8"/>
      <c r="M100" s="8"/>
      <c r="N100" s="8"/>
      <c r="O100" s="8"/>
      <c r="P100" s="8"/>
      <c r="Q100" s="8"/>
      <c r="R100" s="8"/>
      <c r="S100" s="8"/>
      <c r="T100" s="8"/>
      <c r="U100" s="8"/>
      <c r="V100" s="8"/>
      <c r="W100" s="8"/>
    </row>
    <row r="101" spans="1:23" ht="15.75" customHeight="1" x14ac:dyDescent="0.25">
      <c r="A101" s="6" t="s">
        <v>3457</v>
      </c>
      <c r="B101" s="8" t="str">
        <f ca="1">IFERROR(__xludf.DUMMYFUNCTION("""COMPUTED_VALUE"""),"Cuphead")</f>
        <v>Cuphead</v>
      </c>
      <c r="C101" s="8">
        <f ca="1">COUNTIF(A1:A3410, B101)</f>
        <v>1</v>
      </c>
      <c r="E101" s="8"/>
      <c r="F101" s="8" t="s">
        <v>3499</v>
      </c>
      <c r="G101" s="14">
        <v>6</v>
      </c>
      <c r="H101" s="8"/>
      <c r="I101" s="8"/>
      <c r="J101" s="8"/>
      <c r="K101" s="8"/>
      <c r="L101" s="8"/>
      <c r="M101" s="8"/>
      <c r="N101" s="8"/>
      <c r="O101" s="8"/>
      <c r="P101" s="8"/>
      <c r="Q101" s="8"/>
      <c r="R101" s="8"/>
      <c r="S101" s="8"/>
      <c r="T101" s="8"/>
      <c r="U101" s="8"/>
      <c r="V101" s="8"/>
      <c r="W101" s="8"/>
    </row>
    <row r="102" spans="1:23" ht="15.75" customHeight="1" x14ac:dyDescent="0.25">
      <c r="A102" s="6" t="s">
        <v>3457</v>
      </c>
      <c r="B102" s="8" t="str">
        <f ca="1">IFERROR(__xludf.DUMMYFUNCTION("""COMPUTED_VALUE"""),"Curve Fever 2")</f>
        <v>Curve Fever 2</v>
      </c>
      <c r="C102" s="8">
        <f ca="1">COUNTIF(A1:A3410, B102)</f>
        <v>1</v>
      </c>
      <c r="E102" s="8"/>
      <c r="F102" s="8" t="s">
        <v>3505</v>
      </c>
      <c r="G102" s="14">
        <v>6</v>
      </c>
      <c r="H102" s="8"/>
      <c r="I102" s="8"/>
      <c r="J102" s="8"/>
      <c r="K102" s="8"/>
      <c r="L102" s="8"/>
      <c r="M102" s="8"/>
      <c r="N102" s="8"/>
      <c r="O102" s="8"/>
      <c r="P102" s="8"/>
      <c r="Q102" s="8"/>
      <c r="R102" s="8"/>
      <c r="S102" s="8"/>
      <c r="T102" s="8"/>
      <c r="U102" s="8"/>
      <c r="V102" s="8"/>
      <c r="W102" s="8"/>
    </row>
    <row r="103" spans="1:23" ht="15.75" customHeight="1" x14ac:dyDescent="0.25">
      <c r="A103" s="6" t="s">
        <v>3506</v>
      </c>
      <c r="B103" s="8" t="str">
        <f ca="1">IFERROR(__xludf.DUMMYFUNCTION("""COMPUTED_VALUE"""),"D&amp;D")</f>
        <v>D&amp;D</v>
      </c>
      <c r="C103" s="8">
        <f ca="1">COUNTIF(A1:A3410, B103)</f>
        <v>4</v>
      </c>
      <c r="E103" s="8"/>
      <c r="F103" s="8" t="s">
        <v>3509</v>
      </c>
      <c r="G103" s="14">
        <v>6</v>
      </c>
      <c r="H103" s="8"/>
      <c r="I103" s="8"/>
      <c r="J103" s="8"/>
      <c r="K103" s="8"/>
      <c r="L103" s="8"/>
      <c r="M103" s="8"/>
      <c r="N103" s="8"/>
      <c r="O103" s="8"/>
      <c r="P103" s="8"/>
      <c r="Q103" s="8"/>
      <c r="R103" s="8"/>
      <c r="S103" s="8"/>
      <c r="T103" s="8"/>
      <c r="U103" s="8"/>
      <c r="V103" s="8"/>
      <c r="W103" s="8"/>
    </row>
    <row r="104" spans="1:23" ht="15.75" customHeight="1" x14ac:dyDescent="0.25">
      <c r="A104" s="6" t="s">
        <v>3511</v>
      </c>
      <c r="B104" s="8" t="str">
        <f ca="1">IFERROR(__xludf.DUMMYFUNCTION("""COMPUTED_VALUE"""),"Danganronpa")</f>
        <v>Danganronpa</v>
      </c>
      <c r="C104" s="8">
        <f ca="1">COUNTIF(A1:A3410, B104)</f>
        <v>2</v>
      </c>
      <c r="E104" s="8"/>
      <c r="F104" s="8" t="s">
        <v>3513</v>
      </c>
      <c r="G104" s="14">
        <v>6</v>
      </c>
      <c r="H104" s="8"/>
      <c r="I104" s="8"/>
      <c r="J104" s="8"/>
      <c r="K104" s="8"/>
      <c r="L104" s="8"/>
      <c r="M104" s="8"/>
      <c r="N104" s="8"/>
      <c r="O104" s="8"/>
      <c r="P104" s="8"/>
      <c r="Q104" s="8"/>
      <c r="R104" s="8"/>
      <c r="S104" s="8"/>
      <c r="T104" s="8"/>
      <c r="U104" s="8"/>
      <c r="V104" s="8"/>
      <c r="W104" s="8"/>
    </row>
    <row r="105" spans="1:23" ht="15.75" customHeight="1" x14ac:dyDescent="0.25">
      <c r="A105" s="6" t="s">
        <v>3515</v>
      </c>
      <c r="B105" s="8" t="str">
        <f ca="1">IFERROR(__xludf.DUMMYFUNCTION("""COMPUTED_VALUE"""),"Dark and Light")</f>
        <v>Dark and Light</v>
      </c>
      <c r="C105" s="8">
        <f ca="1">COUNTIF(A1:A3410, B105)</f>
        <v>1</v>
      </c>
      <c r="E105" s="8"/>
      <c r="F105" s="8" t="s">
        <v>3517</v>
      </c>
      <c r="G105" s="14">
        <v>6</v>
      </c>
      <c r="H105" s="8"/>
      <c r="I105" s="8"/>
      <c r="J105" s="8"/>
      <c r="K105" s="8"/>
      <c r="L105" s="8"/>
      <c r="M105" s="8"/>
      <c r="N105" s="8"/>
      <c r="O105" s="8"/>
      <c r="P105" s="8"/>
      <c r="Q105" s="8"/>
      <c r="R105" s="8"/>
      <c r="S105" s="8"/>
      <c r="T105" s="8"/>
      <c r="U105" s="8"/>
      <c r="V105" s="8"/>
      <c r="W105" s="8"/>
    </row>
    <row r="106" spans="1:23" ht="15.75" customHeight="1" x14ac:dyDescent="0.25">
      <c r="A106" s="6" t="s">
        <v>3515</v>
      </c>
      <c r="B106" s="8" t="str">
        <f ca="1">IFERROR(__xludf.DUMMYFUNCTION("""COMPUTED_VALUE"""),"Dark Souls")</f>
        <v>Dark Souls</v>
      </c>
      <c r="C106" s="8">
        <f ca="1">COUNTIF(A1:A3410, B106)</f>
        <v>29</v>
      </c>
      <c r="E106" s="8"/>
      <c r="F106" s="8" t="s">
        <v>3523</v>
      </c>
      <c r="G106" s="14">
        <v>6</v>
      </c>
      <c r="H106" s="8"/>
      <c r="I106" s="8"/>
      <c r="J106" s="8"/>
      <c r="K106" s="8"/>
      <c r="L106" s="8"/>
      <c r="M106" s="8"/>
      <c r="N106" s="8"/>
      <c r="O106" s="8"/>
      <c r="P106" s="8"/>
      <c r="Q106" s="8"/>
      <c r="R106" s="8"/>
      <c r="S106" s="8"/>
      <c r="T106" s="8"/>
      <c r="U106" s="8"/>
      <c r="V106" s="8"/>
      <c r="W106" s="8"/>
    </row>
    <row r="107" spans="1:23" ht="15.75" customHeight="1" x14ac:dyDescent="0.25">
      <c r="A107" s="6" t="s">
        <v>3525</v>
      </c>
      <c r="B107" s="8" t="str">
        <f ca="1">IFERROR(__xludf.DUMMYFUNCTION("""COMPUTED_VALUE"""),"Darkest Dungeon")</f>
        <v>Darkest Dungeon</v>
      </c>
      <c r="C107" s="8">
        <f ca="1">COUNTIF(A1:A3410, B107)</f>
        <v>9</v>
      </c>
      <c r="E107" s="8"/>
      <c r="F107" s="8" t="s">
        <v>3528</v>
      </c>
      <c r="G107" s="14">
        <v>6</v>
      </c>
      <c r="H107" s="8"/>
      <c r="I107" s="8"/>
      <c r="J107" s="8"/>
      <c r="K107" s="8"/>
      <c r="L107" s="8"/>
      <c r="M107" s="8"/>
      <c r="N107" s="8"/>
      <c r="O107" s="8"/>
      <c r="P107" s="8"/>
      <c r="Q107" s="8"/>
      <c r="R107" s="8"/>
      <c r="S107" s="8"/>
      <c r="T107" s="8"/>
      <c r="U107" s="8"/>
      <c r="V107" s="8"/>
      <c r="W107" s="8"/>
    </row>
    <row r="108" spans="1:23" ht="15.75" customHeight="1" x14ac:dyDescent="0.25">
      <c r="A108" s="6" t="s">
        <v>3529</v>
      </c>
      <c r="B108" s="8" t="str">
        <f ca="1">IFERROR(__xludf.DUMMYFUNCTION("""COMPUTED_VALUE"""),"Darksiders")</f>
        <v>Darksiders</v>
      </c>
      <c r="C108" s="8">
        <f ca="1">COUNTIF(A1:A3410, B108)</f>
        <v>1</v>
      </c>
      <c r="E108" s="8"/>
      <c r="F108" s="8" t="s">
        <v>3532</v>
      </c>
      <c r="G108" s="14">
        <v>6</v>
      </c>
      <c r="H108" s="8"/>
      <c r="I108" s="8"/>
      <c r="J108" s="8"/>
      <c r="K108" s="8"/>
      <c r="L108" s="8"/>
      <c r="M108" s="8"/>
      <c r="N108" s="8"/>
      <c r="O108" s="8"/>
      <c r="P108" s="8"/>
      <c r="Q108" s="8"/>
      <c r="R108" s="8"/>
      <c r="S108" s="8"/>
      <c r="T108" s="8"/>
      <c r="U108" s="8"/>
      <c r="V108" s="8"/>
      <c r="W108" s="8"/>
    </row>
    <row r="109" spans="1:23" ht="15.75" customHeight="1" x14ac:dyDescent="0.25">
      <c r="A109" s="6" t="s">
        <v>3529</v>
      </c>
      <c r="B109" s="8" t="str">
        <f ca="1">IFERROR(__xludf.DUMMYFUNCTION("""COMPUTED_VALUE"""),"Darkwood")</f>
        <v>Darkwood</v>
      </c>
      <c r="C109" s="8">
        <f ca="1">COUNTIF(A1:A3410, B109)</f>
        <v>1</v>
      </c>
      <c r="E109" s="8"/>
      <c r="F109" s="8" t="s">
        <v>3227</v>
      </c>
      <c r="G109" s="14">
        <v>5</v>
      </c>
      <c r="H109" s="8"/>
      <c r="I109" s="8"/>
      <c r="J109" s="8"/>
      <c r="K109" s="8"/>
      <c r="L109" s="8"/>
      <c r="M109" s="8"/>
      <c r="N109" s="8"/>
      <c r="O109" s="8"/>
      <c r="P109" s="8"/>
      <c r="Q109" s="8"/>
      <c r="R109" s="8"/>
      <c r="S109" s="8"/>
      <c r="T109" s="8"/>
      <c r="U109" s="8"/>
      <c r="V109" s="8"/>
      <c r="W109" s="8"/>
    </row>
    <row r="110" spans="1:23" ht="15.75" customHeight="1" x14ac:dyDescent="0.25">
      <c r="A110" s="6" t="s">
        <v>3529</v>
      </c>
      <c r="B110" s="8" t="str">
        <f ca="1">IFERROR(__xludf.DUMMYFUNCTION("""COMPUTED_VALUE"""),"Darwin Projects")</f>
        <v>Darwin Projects</v>
      </c>
      <c r="C110" s="8">
        <f ca="1">COUNTIF(A1:A3410, B110)</f>
        <v>1</v>
      </c>
      <c r="E110" s="8"/>
      <c r="F110" s="8" t="s">
        <v>3539</v>
      </c>
      <c r="G110" s="14">
        <v>5</v>
      </c>
      <c r="H110" s="8"/>
      <c r="I110" s="8"/>
      <c r="J110" s="8"/>
      <c r="K110" s="8"/>
      <c r="L110" s="8"/>
      <c r="M110" s="8"/>
      <c r="N110" s="8"/>
      <c r="O110" s="8"/>
      <c r="P110" s="8"/>
      <c r="Q110" s="8"/>
      <c r="R110" s="8"/>
      <c r="S110" s="8"/>
      <c r="T110" s="8"/>
      <c r="U110" s="8"/>
      <c r="V110" s="8"/>
      <c r="W110" s="8"/>
    </row>
    <row r="111" spans="1:23" ht="15.75" customHeight="1" x14ac:dyDescent="0.25">
      <c r="A111" s="6" t="s">
        <v>3540</v>
      </c>
      <c r="B111" s="8" t="str">
        <f ca="1">IFERROR(__xludf.DUMMYFUNCTION("""COMPUTED_VALUE"""),"Dauntless")</f>
        <v>Dauntless</v>
      </c>
      <c r="C111" s="8">
        <f ca="1">COUNTIF(A1:A3410, B111)</f>
        <v>2</v>
      </c>
      <c r="E111" s="8"/>
      <c r="F111" s="8" t="s">
        <v>3543</v>
      </c>
      <c r="G111" s="14">
        <v>5</v>
      </c>
      <c r="H111" s="8"/>
      <c r="I111" s="8"/>
      <c r="J111" s="8"/>
      <c r="K111" s="8"/>
      <c r="L111" s="8"/>
      <c r="M111" s="8"/>
      <c r="N111" s="8"/>
      <c r="O111" s="8"/>
      <c r="P111" s="8"/>
      <c r="Q111" s="8"/>
      <c r="R111" s="8"/>
      <c r="S111" s="8"/>
      <c r="T111" s="8"/>
      <c r="U111" s="8"/>
      <c r="V111" s="8"/>
      <c r="W111" s="8"/>
    </row>
    <row r="112" spans="1:23" ht="15.75" customHeight="1" x14ac:dyDescent="0.25">
      <c r="A112" s="6" t="s">
        <v>3545</v>
      </c>
      <c r="B112" s="8" t="str">
        <f ca="1">IFERROR(__xludf.DUMMYFUNCTION("""COMPUTED_VALUE"""),"Dawn of War")</f>
        <v>Dawn of War</v>
      </c>
      <c r="C112" s="8">
        <f ca="1">COUNTIF(A1:A3410, B112)</f>
        <v>1</v>
      </c>
      <c r="E112" s="8"/>
      <c r="F112" s="8" t="s">
        <v>1115</v>
      </c>
      <c r="G112" s="14">
        <v>5</v>
      </c>
      <c r="H112" s="8"/>
      <c r="I112" s="8"/>
      <c r="J112" s="8"/>
      <c r="K112" s="8"/>
      <c r="L112" s="8"/>
      <c r="M112" s="8"/>
      <c r="N112" s="8"/>
      <c r="O112" s="8"/>
      <c r="P112" s="8"/>
      <c r="Q112" s="8"/>
      <c r="R112" s="8"/>
      <c r="S112" s="8"/>
      <c r="T112" s="8"/>
      <c r="U112" s="8"/>
      <c r="V112" s="8"/>
      <c r="W112" s="8"/>
    </row>
    <row r="113" spans="1:23" ht="15.75" customHeight="1" x14ac:dyDescent="0.25">
      <c r="A113" s="6" t="s">
        <v>3549</v>
      </c>
      <c r="B113" s="8" t="str">
        <f ca="1">IFERROR(__xludf.DUMMYFUNCTION("""COMPUTED_VALUE"""),"Days of Infamy")</f>
        <v>Days of Infamy</v>
      </c>
      <c r="C113" s="8">
        <f ca="1">COUNTIF(A1:A3410, B113)</f>
        <v>1</v>
      </c>
      <c r="E113" s="8"/>
      <c r="F113" s="8" t="s">
        <v>3551</v>
      </c>
      <c r="G113" s="14">
        <v>5</v>
      </c>
      <c r="H113" s="8"/>
      <c r="I113" s="8"/>
      <c r="J113" s="8"/>
      <c r="K113" s="8"/>
      <c r="L113" s="8"/>
      <c r="M113" s="8"/>
      <c r="N113" s="8"/>
      <c r="O113" s="8"/>
      <c r="P113" s="8"/>
      <c r="Q113" s="8"/>
      <c r="R113" s="8"/>
      <c r="S113" s="8"/>
      <c r="T113" s="8"/>
      <c r="U113" s="8"/>
      <c r="V113" s="8"/>
      <c r="W113" s="8"/>
    </row>
    <row r="114" spans="1:23" ht="15.75" customHeight="1" x14ac:dyDescent="0.25">
      <c r="A114" s="6" t="s">
        <v>3552</v>
      </c>
      <c r="B114" s="8" t="str">
        <f ca="1">IFERROR(__xludf.DUMMYFUNCTION("""COMPUTED_VALUE"""),"DayZ")</f>
        <v>DayZ</v>
      </c>
      <c r="C114" s="8">
        <f ca="1">COUNTIF(A1:A3410, B114)</f>
        <v>2</v>
      </c>
      <c r="E114" s="8"/>
      <c r="F114" s="8" t="s">
        <v>3554</v>
      </c>
      <c r="G114" s="14">
        <v>5</v>
      </c>
      <c r="H114" s="8"/>
      <c r="I114" s="8"/>
      <c r="J114" s="8"/>
      <c r="K114" s="8"/>
      <c r="L114" s="8"/>
      <c r="M114" s="8"/>
      <c r="N114" s="8"/>
      <c r="O114" s="8"/>
      <c r="P114" s="8"/>
      <c r="Q114" s="8"/>
      <c r="R114" s="8"/>
      <c r="S114" s="8"/>
      <c r="T114" s="8"/>
      <c r="U114" s="8"/>
      <c r="V114" s="8"/>
      <c r="W114" s="8"/>
    </row>
    <row r="115" spans="1:23" ht="15.75" customHeight="1" x14ac:dyDescent="0.25">
      <c r="A115" s="6" t="s">
        <v>3539</v>
      </c>
      <c r="B115" s="8" t="str">
        <f ca="1">IFERROR(__xludf.DUMMYFUNCTION("""COMPUTED_VALUE"""),"DC Legends")</f>
        <v>DC Legends</v>
      </c>
      <c r="C115" s="8">
        <f ca="1">COUNTIF(A1:A3410, B115)</f>
        <v>1</v>
      </c>
      <c r="E115" s="8"/>
      <c r="F115" s="8" t="s">
        <v>3559</v>
      </c>
      <c r="G115" s="14">
        <v>5</v>
      </c>
      <c r="H115" s="8"/>
      <c r="I115" s="8"/>
      <c r="J115" s="8"/>
      <c r="K115" s="8"/>
      <c r="L115" s="8"/>
      <c r="M115" s="8"/>
      <c r="N115" s="8"/>
      <c r="O115" s="8"/>
      <c r="P115" s="8"/>
      <c r="Q115" s="8"/>
      <c r="R115" s="8"/>
      <c r="S115" s="8"/>
      <c r="T115" s="8"/>
      <c r="U115" s="8"/>
      <c r="V115" s="8"/>
      <c r="W115" s="8"/>
    </row>
    <row r="116" spans="1:23" ht="15.75" customHeight="1" x14ac:dyDescent="0.25">
      <c r="A116" s="6" t="s">
        <v>3539</v>
      </c>
      <c r="B116" s="8" t="str">
        <f ca="1">IFERROR(__xludf.DUMMYFUNCTION("""COMPUTED_VALUE"""),"Dead by Daylight")</f>
        <v>Dead by Daylight</v>
      </c>
      <c r="C116" s="8">
        <f ca="1">COUNTIF(A1:A3410, B116)</f>
        <v>14</v>
      </c>
      <c r="E116" s="8"/>
      <c r="F116" s="8" t="s">
        <v>3563</v>
      </c>
      <c r="G116" s="14">
        <v>5</v>
      </c>
      <c r="H116" s="8"/>
      <c r="I116" s="8"/>
      <c r="J116" s="8"/>
      <c r="K116" s="8"/>
      <c r="L116" s="8"/>
      <c r="M116" s="8"/>
      <c r="N116" s="8"/>
      <c r="O116" s="8"/>
      <c r="P116" s="8"/>
      <c r="Q116" s="8"/>
      <c r="R116" s="8"/>
      <c r="S116" s="8"/>
      <c r="T116" s="8"/>
      <c r="U116" s="8"/>
      <c r="V116" s="8"/>
      <c r="W116" s="8"/>
    </row>
    <row r="117" spans="1:23" ht="15.75" customHeight="1" x14ac:dyDescent="0.25">
      <c r="A117" s="6" t="s">
        <v>3539</v>
      </c>
      <c r="B117" s="8" t="str">
        <f ca="1">IFERROR(__xludf.DUMMYFUNCTION("""COMPUTED_VALUE"""),"Dead Cells")</f>
        <v>Dead Cells</v>
      </c>
      <c r="C117" s="8">
        <f ca="1">COUNTIF(A1:A3410, B117)</f>
        <v>5</v>
      </c>
      <c r="E117" s="8"/>
      <c r="F117" s="8" t="s">
        <v>3568</v>
      </c>
      <c r="G117" s="14">
        <v>5</v>
      </c>
      <c r="H117" s="8"/>
      <c r="I117" s="8"/>
      <c r="J117" s="8"/>
      <c r="K117" s="8"/>
      <c r="L117" s="8"/>
      <c r="M117" s="8"/>
      <c r="N117" s="8"/>
      <c r="O117" s="8"/>
      <c r="P117" s="8"/>
      <c r="Q117" s="8"/>
      <c r="R117" s="8"/>
      <c r="S117" s="8"/>
      <c r="T117" s="8"/>
      <c r="U117" s="8"/>
      <c r="V117" s="8"/>
      <c r="W117" s="8"/>
    </row>
    <row r="118" spans="1:23" ht="15.75" customHeight="1" x14ac:dyDescent="0.25">
      <c r="A118" s="6" t="s">
        <v>3539</v>
      </c>
      <c r="B118" s="8" t="str">
        <f ca="1">IFERROR(__xludf.DUMMYFUNCTION("""COMPUTED_VALUE"""),"Dead Frontier 2")</f>
        <v>Dead Frontier 2</v>
      </c>
      <c r="C118" s="8">
        <f ca="1">COUNTIF(A1:A3410, B118)</f>
        <v>1</v>
      </c>
      <c r="E118" s="8"/>
      <c r="F118" s="8" t="s">
        <v>3569</v>
      </c>
      <c r="G118" s="14">
        <v>5</v>
      </c>
      <c r="H118" s="8"/>
      <c r="I118" s="8"/>
      <c r="J118" s="8"/>
      <c r="K118" s="8"/>
      <c r="L118" s="8"/>
      <c r="M118" s="8"/>
      <c r="N118" s="8"/>
      <c r="O118" s="8"/>
      <c r="P118" s="8"/>
      <c r="Q118" s="8"/>
      <c r="R118" s="8"/>
      <c r="S118" s="8"/>
      <c r="T118" s="8"/>
      <c r="U118" s="8"/>
      <c r="V118" s="8"/>
      <c r="W118" s="8"/>
    </row>
    <row r="119" spans="1:23" ht="15.75" customHeight="1" x14ac:dyDescent="0.25">
      <c r="A119" s="6" t="s">
        <v>3539</v>
      </c>
      <c r="B119" s="8" t="str">
        <f ca="1">IFERROR(__xludf.DUMMYFUNCTION("""COMPUTED_VALUE"""),"Death's gambit")</f>
        <v>Death's gambit</v>
      </c>
      <c r="C119" s="8">
        <f ca="1">COUNTIF(A1:A3410, B119)</f>
        <v>1</v>
      </c>
      <c r="E119" s="8"/>
      <c r="F119" s="8" t="s">
        <v>3572</v>
      </c>
      <c r="G119" s="14">
        <v>5</v>
      </c>
      <c r="H119" s="8"/>
      <c r="I119" s="8"/>
      <c r="J119" s="8"/>
      <c r="K119" s="8"/>
      <c r="L119" s="8"/>
      <c r="M119" s="8"/>
      <c r="N119" s="8"/>
      <c r="O119" s="8"/>
      <c r="P119" s="8"/>
      <c r="Q119" s="8"/>
      <c r="R119" s="8"/>
      <c r="S119" s="8"/>
      <c r="T119" s="8"/>
      <c r="U119" s="8"/>
      <c r="V119" s="8"/>
      <c r="W119" s="8"/>
    </row>
    <row r="120" spans="1:23" ht="15.75" customHeight="1" x14ac:dyDescent="0.25">
      <c r="A120" s="6" t="s">
        <v>3575</v>
      </c>
      <c r="B120" s="8" t="str">
        <f ca="1">IFERROR(__xludf.DUMMYFUNCTION("""COMPUTED_VALUE"""),"Deceit")</f>
        <v>Deceit</v>
      </c>
      <c r="C120" s="8">
        <f ca="1">COUNTIF(A1:A3410, B120)</f>
        <v>1</v>
      </c>
      <c r="E120" s="8"/>
      <c r="F120" s="8" t="s">
        <v>3578</v>
      </c>
      <c r="G120" s="14">
        <v>5</v>
      </c>
      <c r="H120" s="8"/>
      <c r="I120" s="8"/>
      <c r="J120" s="8"/>
      <c r="K120" s="8"/>
      <c r="L120" s="8"/>
      <c r="M120" s="8"/>
      <c r="N120" s="8"/>
      <c r="O120" s="8"/>
      <c r="P120" s="8"/>
      <c r="Q120" s="8"/>
      <c r="R120" s="8"/>
      <c r="S120" s="8"/>
      <c r="T120" s="8"/>
      <c r="U120" s="8"/>
      <c r="V120" s="8"/>
      <c r="W120" s="8"/>
    </row>
    <row r="121" spans="1:23" ht="15.75" customHeight="1" x14ac:dyDescent="0.25">
      <c r="A121" s="6" t="s">
        <v>3580</v>
      </c>
      <c r="B121" s="8" t="str">
        <f ca="1">IFERROR(__xludf.DUMMYFUNCTION("""COMPUTED_VALUE"""),"deep rock galactic")</f>
        <v>deep rock galactic</v>
      </c>
      <c r="C121" s="8">
        <f ca="1">COUNTIF(A1:A3410, B121)</f>
        <v>2</v>
      </c>
      <c r="E121" s="8"/>
      <c r="F121" s="8" t="s">
        <v>3381</v>
      </c>
      <c r="G121" s="14">
        <v>4</v>
      </c>
      <c r="H121" s="8"/>
      <c r="I121" s="8"/>
      <c r="J121" s="8"/>
      <c r="K121" s="8"/>
      <c r="L121" s="8"/>
      <c r="M121" s="8"/>
      <c r="N121" s="8"/>
      <c r="O121" s="8"/>
      <c r="P121" s="8"/>
      <c r="Q121" s="8"/>
      <c r="R121" s="8"/>
      <c r="S121" s="8"/>
      <c r="T121" s="8"/>
      <c r="U121" s="8"/>
      <c r="V121" s="8"/>
      <c r="W121" s="8"/>
    </row>
    <row r="122" spans="1:23" ht="15.75" customHeight="1" x14ac:dyDescent="0.25">
      <c r="A122" s="6" t="s">
        <v>3584</v>
      </c>
      <c r="B122" s="8" t="str">
        <f ca="1">IFERROR(__xludf.DUMMYFUNCTION("""COMPUTED_VALUE"""),"Deltarune")</f>
        <v>Deltarune</v>
      </c>
      <c r="C122" s="8">
        <f ca="1">COUNTIF(A1:A3410, B122)</f>
        <v>1</v>
      </c>
      <c r="E122" s="8"/>
      <c r="F122" s="8" t="s">
        <v>3412</v>
      </c>
      <c r="G122" s="14">
        <v>4</v>
      </c>
      <c r="H122" s="8"/>
      <c r="I122" s="8"/>
      <c r="J122" s="8"/>
      <c r="K122" s="8"/>
      <c r="L122" s="8"/>
      <c r="M122" s="8"/>
      <c r="N122" s="8"/>
      <c r="O122" s="8"/>
      <c r="P122" s="8"/>
      <c r="Q122" s="8"/>
      <c r="R122" s="8"/>
      <c r="S122" s="8"/>
      <c r="T122" s="8"/>
      <c r="U122" s="8"/>
      <c r="V122" s="8"/>
      <c r="W122" s="8"/>
    </row>
    <row r="123" spans="1:23" ht="15.75" customHeight="1" x14ac:dyDescent="0.25">
      <c r="A123" s="6" t="s">
        <v>3305</v>
      </c>
      <c r="B123" s="8" t="str">
        <f ca="1">IFERROR(__xludf.DUMMYFUNCTION("""COMPUTED_VALUE"""),"Destiny 2")</f>
        <v>Destiny 2</v>
      </c>
      <c r="C123" s="8">
        <f ca="1">COUNTIF(A1:A3410, B123)</f>
        <v>45</v>
      </c>
      <c r="E123" s="8"/>
      <c r="F123" s="8" t="s">
        <v>3589</v>
      </c>
      <c r="G123" s="14">
        <v>4</v>
      </c>
      <c r="H123" s="8"/>
      <c r="I123" s="8"/>
      <c r="J123" s="8"/>
      <c r="K123" s="8"/>
      <c r="L123" s="8"/>
      <c r="M123" s="8"/>
      <c r="N123" s="8"/>
      <c r="O123" s="8"/>
      <c r="P123" s="8"/>
      <c r="Q123" s="8"/>
      <c r="R123" s="8"/>
      <c r="S123" s="8"/>
      <c r="T123" s="8"/>
      <c r="U123" s="8"/>
      <c r="V123" s="8"/>
      <c r="W123" s="8"/>
    </row>
    <row r="124" spans="1:23" ht="15.75" customHeight="1" x14ac:dyDescent="0.25">
      <c r="A124" s="6" t="s">
        <v>3305</v>
      </c>
      <c r="B124" s="8" t="str">
        <f ca="1">IFERROR(__xludf.DUMMYFUNCTION("""COMPUTED_VALUE"""),"Destiny Child")</f>
        <v>Destiny Child</v>
      </c>
      <c r="C124" s="8">
        <f ca="1">COUNTIF(A1:A3410, B124)</f>
        <v>1</v>
      </c>
      <c r="E124" s="8"/>
      <c r="F124" s="8" t="s">
        <v>3594</v>
      </c>
      <c r="G124" s="14">
        <v>4</v>
      </c>
      <c r="H124" s="8"/>
      <c r="I124" s="8"/>
      <c r="J124" s="8"/>
      <c r="K124" s="8"/>
      <c r="L124" s="8"/>
      <c r="M124" s="8"/>
      <c r="N124" s="8"/>
      <c r="O124" s="8"/>
      <c r="P124" s="8"/>
      <c r="Q124" s="8"/>
      <c r="R124" s="8"/>
      <c r="S124" s="8"/>
      <c r="T124" s="8"/>
      <c r="U124" s="8"/>
      <c r="V124" s="8"/>
      <c r="W124" s="8"/>
    </row>
    <row r="125" spans="1:23" ht="15.75" customHeight="1" x14ac:dyDescent="0.25">
      <c r="A125" s="6" t="s">
        <v>3305</v>
      </c>
      <c r="B125" s="8" t="str">
        <f ca="1">IFERROR(__xludf.DUMMYFUNCTION("""COMPUTED_VALUE"""),"Deus Ex")</f>
        <v>Deus Ex</v>
      </c>
      <c r="C125" s="8">
        <f ca="1">COUNTIF(A1:A3410, B125)</f>
        <v>1</v>
      </c>
      <c r="E125" s="8"/>
      <c r="F125" s="8" t="s">
        <v>3597</v>
      </c>
      <c r="G125" s="14">
        <v>4</v>
      </c>
      <c r="H125" s="8"/>
      <c r="I125" s="8"/>
      <c r="J125" s="8"/>
      <c r="K125" s="8"/>
      <c r="L125" s="8"/>
      <c r="M125" s="8"/>
      <c r="N125" s="8"/>
      <c r="O125" s="8"/>
      <c r="P125" s="8"/>
      <c r="Q125" s="8"/>
      <c r="R125" s="8"/>
      <c r="S125" s="8"/>
      <c r="T125" s="8"/>
      <c r="U125" s="8"/>
      <c r="V125" s="8"/>
      <c r="W125" s="8"/>
    </row>
    <row r="126" spans="1:23" ht="15.75" customHeight="1" x14ac:dyDescent="0.25">
      <c r="A126" s="6" t="s">
        <v>3305</v>
      </c>
      <c r="B126" s="8" t="str">
        <f ca="1">IFERROR(__xludf.DUMMYFUNCTION("""COMPUTED_VALUE"""),"Diablo Immortal")</f>
        <v>Diablo Immortal</v>
      </c>
      <c r="C126" s="8">
        <f ca="1">COUNTIF(A1:A3410, B126)</f>
        <v>1</v>
      </c>
      <c r="E126" s="8"/>
      <c r="F126" s="8" t="s">
        <v>3601</v>
      </c>
      <c r="G126" s="14">
        <v>4</v>
      </c>
      <c r="H126" s="8"/>
      <c r="I126" s="8"/>
      <c r="J126" s="8"/>
      <c r="K126" s="8"/>
      <c r="L126" s="8"/>
      <c r="M126" s="8"/>
      <c r="N126" s="8"/>
      <c r="O126" s="8"/>
      <c r="P126" s="8"/>
      <c r="Q126" s="8"/>
      <c r="R126" s="8"/>
      <c r="S126" s="8"/>
      <c r="T126" s="8"/>
      <c r="U126" s="8"/>
      <c r="V126" s="8"/>
      <c r="W126" s="8"/>
    </row>
    <row r="127" spans="1:23" ht="15.75" customHeight="1" x14ac:dyDescent="0.25">
      <c r="A127" s="6" t="s">
        <v>3305</v>
      </c>
      <c r="B127" s="8" t="str">
        <f ca="1">IFERROR(__xludf.DUMMYFUNCTION("""COMPUTED_VALUE"""),"Diablo series")</f>
        <v>Diablo series</v>
      </c>
      <c r="C127" s="8">
        <f ca="1">COUNTIF(A1:A3410, B127)</f>
        <v>38</v>
      </c>
      <c r="E127" s="8"/>
      <c r="F127" s="8" t="s">
        <v>3605</v>
      </c>
      <c r="G127" s="14">
        <v>4</v>
      </c>
      <c r="H127" s="8"/>
      <c r="I127" s="8"/>
      <c r="J127" s="8"/>
      <c r="K127" s="8"/>
      <c r="L127" s="8"/>
      <c r="M127" s="8"/>
      <c r="N127" s="8"/>
      <c r="O127" s="8"/>
      <c r="P127" s="8"/>
      <c r="Q127" s="8"/>
      <c r="R127" s="8"/>
      <c r="S127" s="8"/>
      <c r="T127" s="8"/>
      <c r="U127" s="8"/>
      <c r="V127" s="8"/>
      <c r="W127" s="8"/>
    </row>
    <row r="128" spans="1:23" ht="15.75" customHeight="1" x14ac:dyDescent="0.25">
      <c r="A128" s="8" t="s">
        <v>3305</v>
      </c>
      <c r="B128" s="8" t="str">
        <f ca="1">IFERROR(__xludf.DUMMYFUNCTION("""COMPUTED_VALUE"""),"DIRT 4")</f>
        <v>DIRT 4</v>
      </c>
      <c r="C128" s="8">
        <f ca="1">COUNTIF(A1:A3410, B128)</f>
        <v>1</v>
      </c>
      <c r="E128" s="8"/>
      <c r="F128" s="8" t="s">
        <v>3609</v>
      </c>
      <c r="G128" s="14">
        <v>4</v>
      </c>
      <c r="H128" s="8"/>
      <c r="I128" s="8"/>
      <c r="J128" s="8"/>
      <c r="K128" s="8"/>
      <c r="L128" s="8"/>
      <c r="M128" s="8"/>
      <c r="N128" s="8"/>
      <c r="O128" s="8"/>
      <c r="P128" s="8"/>
      <c r="Q128" s="8"/>
      <c r="R128" s="8"/>
      <c r="S128" s="8"/>
      <c r="T128" s="8"/>
      <c r="U128" s="8"/>
      <c r="V128" s="8"/>
      <c r="W128" s="8"/>
    </row>
    <row r="129" spans="1:23" ht="15.75" customHeight="1" x14ac:dyDescent="0.25">
      <c r="A129" s="8" t="s">
        <v>3305</v>
      </c>
      <c r="B129" s="8" t="str">
        <f ca="1">IFERROR(__xludf.DUMMYFUNCTION("""COMPUTED_VALUE"""),"Disc jam")</f>
        <v>Disc jam</v>
      </c>
      <c r="C129" s="8">
        <f ca="1">COUNTIF(A1:A3410, B129)</f>
        <v>1</v>
      </c>
      <c r="E129" s="8"/>
      <c r="F129" s="8" t="s">
        <v>3614</v>
      </c>
      <c r="G129" s="14">
        <v>4</v>
      </c>
      <c r="H129" s="8"/>
      <c r="I129" s="8"/>
      <c r="J129" s="8"/>
      <c r="K129" s="8"/>
      <c r="L129" s="8"/>
      <c r="M129" s="8"/>
      <c r="N129" s="8"/>
      <c r="O129" s="8"/>
      <c r="P129" s="8"/>
      <c r="Q129" s="8"/>
      <c r="R129" s="8"/>
      <c r="S129" s="8"/>
      <c r="T129" s="8"/>
      <c r="U129" s="8"/>
      <c r="V129" s="8"/>
      <c r="W129" s="8"/>
    </row>
    <row r="130" spans="1:23" ht="15.75" customHeight="1" x14ac:dyDescent="0.25">
      <c r="A130" s="6" t="s">
        <v>3305</v>
      </c>
      <c r="B130" s="8" t="str">
        <f ca="1">IFERROR(__xludf.DUMMYFUNCTION("""COMPUTED_VALUE"""),"Disgaea 5")</f>
        <v>Disgaea 5</v>
      </c>
      <c r="C130" s="8">
        <f ca="1">COUNTIF(A1:A3410, B130)</f>
        <v>3</v>
      </c>
      <c r="E130" s="8"/>
      <c r="F130" s="8" t="s">
        <v>3618</v>
      </c>
      <c r="G130" s="14">
        <v>4</v>
      </c>
      <c r="H130" s="8"/>
      <c r="I130" s="8"/>
      <c r="J130" s="8"/>
      <c r="K130" s="8"/>
      <c r="L130" s="8"/>
      <c r="M130" s="8"/>
      <c r="N130" s="8"/>
      <c r="O130" s="8"/>
      <c r="P130" s="8"/>
      <c r="Q130" s="8"/>
      <c r="R130" s="8"/>
      <c r="S130" s="8"/>
      <c r="T130" s="8"/>
      <c r="U130" s="8"/>
      <c r="V130" s="8"/>
      <c r="W130" s="8"/>
    </row>
    <row r="131" spans="1:23" ht="15.75" customHeight="1" x14ac:dyDescent="0.25">
      <c r="A131" s="6" t="s">
        <v>3305</v>
      </c>
      <c r="B131" s="8" t="str">
        <f ca="1">IFERROR(__xludf.DUMMYFUNCTION("""COMPUTED_VALUE"""),"Dishonored")</f>
        <v>Dishonored</v>
      </c>
      <c r="C131" s="8">
        <f ca="1">COUNTIF(A1:A3410, B131)</f>
        <v>1</v>
      </c>
      <c r="E131" s="8"/>
      <c r="F131" s="8" t="s">
        <v>3624</v>
      </c>
      <c r="G131" s="14">
        <v>4</v>
      </c>
      <c r="H131" s="8"/>
      <c r="I131" s="8"/>
      <c r="J131" s="8"/>
      <c r="K131" s="8"/>
      <c r="L131" s="8"/>
      <c r="M131" s="8"/>
      <c r="N131" s="8"/>
      <c r="O131" s="8"/>
      <c r="P131" s="8"/>
      <c r="Q131" s="8"/>
      <c r="R131" s="8"/>
      <c r="S131" s="8"/>
      <c r="T131" s="8"/>
      <c r="U131" s="8"/>
      <c r="V131" s="8"/>
      <c r="W131" s="8"/>
    </row>
    <row r="132" spans="1:23" ht="15.75" customHeight="1" x14ac:dyDescent="0.25">
      <c r="A132" s="8" t="s">
        <v>3305</v>
      </c>
      <c r="B132" s="8" t="str">
        <f ca="1">IFERROR(__xludf.DUMMYFUNCTION("""COMPUTED_VALUE"""),"Divinity: Original Sin 2")</f>
        <v>Divinity: Original Sin 2</v>
      </c>
      <c r="C132" s="8">
        <f ca="1">COUNTIF(A1:A3410, B132)</f>
        <v>13</v>
      </c>
      <c r="E132" s="8"/>
      <c r="F132" s="8" t="s">
        <v>3630</v>
      </c>
      <c r="G132" s="14">
        <v>4</v>
      </c>
      <c r="H132" s="8"/>
      <c r="I132" s="8"/>
      <c r="J132" s="8"/>
      <c r="K132" s="8"/>
      <c r="L132" s="8"/>
      <c r="M132" s="8"/>
      <c r="N132" s="8"/>
      <c r="O132" s="8"/>
      <c r="P132" s="8"/>
      <c r="Q132" s="8"/>
      <c r="R132" s="8"/>
      <c r="S132" s="8"/>
      <c r="T132" s="8"/>
      <c r="U132" s="8"/>
      <c r="V132" s="8"/>
      <c r="W132" s="8"/>
    </row>
    <row r="133" spans="1:23" ht="15.75" customHeight="1" x14ac:dyDescent="0.25">
      <c r="A133" s="6" t="s">
        <v>3305</v>
      </c>
      <c r="B133" s="8" t="str">
        <f ca="1">IFERROR(__xludf.DUMMYFUNCTION("""COMPUTED_VALUE"""),"Dofus")</f>
        <v>Dofus</v>
      </c>
      <c r="C133" s="8">
        <f ca="1">COUNTIF(A1:A3410, B133)</f>
        <v>2</v>
      </c>
      <c r="E133" s="8"/>
      <c r="F133" s="8" t="s">
        <v>3480</v>
      </c>
      <c r="G133" s="14">
        <v>4</v>
      </c>
      <c r="H133" s="8"/>
      <c r="I133" s="8"/>
      <c r="J133" s="8"/>
      <c r="K133" s="8"/>
      <c r="L133" s="8"/>
      <c r="M133" s="8"/>
      <c r="N133" s="8"/>
      <c r="O133" s="8"/>
      <c r="P133" s="8"/>
      <c r="Q133" s="8"/>
      <c r="R133" s="8"/>
      <c r="S133" s="8"/>
      <c r="T133" s="8"/>
      <c r="U133" s="8"/>
      <c r="V133" s="8"/>
      <c r="W133" s="8"/>
    </row>
    <row r="134" spans="1:23" ht="15.75" customHeight="1" x14ac:dyDescent="0.25">
      <c r="A134" s="6" t="s">
        <v>3305</v>
      </c>
      <c r="B134" s="8" t="str">
        <f ca="1">IFERROR(__xludf.DUMMYFUNCTION("""COMPUTED_VALUE"""),"Dominion 4")</f>
        <v>Dominion 4</v>
      </c>
      <c r="C134" s="8">
        <f ca="1">COUNTIF(A1:A3410, B134)</f>
        <v>1</v>
      </c>
      <c r="E134" s="8"/>
      <c r="F134" s="8" t="s">
        <v>3636</v>
      </c>
      <c r="G134" s="14">
        <v>4</v>
      </c>
      <c r="H134" s="8"/>
      <c r="I134" s="8"/>
      <c r="J134" s="8"/>
      <c r="K134" s="8"/>
      <c r="L134" s="8"/>
      <c r="M134" s="8"/>
      <c r="N134" s="8"/>
      <c r="O134" s="8"/>
      <c r="P134" s="8"/>
      <c r="Q134" s="8"/>
      <c r="R134" s="8"/>
      <c r="S134" s="8"/>
      <c r="T134" s="8"/>
      <c r="U134" s="8"/>
      <c r="V134" s="8"/>
      <c r="W134" s="8"/>
    </row>
    <row r="135" spans="1:23" ht="15.75" customHeight="1" x14ac:dyDescent="0.25">
      <c r="A135" s="6" t="s">
        <v>3305</v>
      </c>
      <c r="B135" s="8" t="str">
        <f ca="1">IFERROR(__xludf.DUMMYFUNCTION("""COMPUTED_VALUE"""),"Don't Starve Together")</f>
        <v>Don't Starve Together</v>
      </c>
      <c r="C135" s="8">
        <f ca="1">COUNTIF(A1:A3410, B135)</f>
        <v>9</v>
      </c>
      <c r="E135" s="8"/>
      <c r="F135" s="8" t="s">
        <v>3639</v>
      </c>
      <c r="G135" s="14">
        <v>4</v>
      </c>
      <c r="H135" s="8"/>
      <c r="I135" s="8"/>
      <c r="J135" s="8"/>
      <c r="K135" s="8"/>
      <c r="L135" s="8"/>
      <c r="M135" s="8"/>
      <c r="N135" s="8"/>
      <c r="O135" s="8"/>
      <c r="P135" s="8"/>
      <c r="Q135" s="8"/>
      <c r="R135" s="8"/>
      <c r="S135" s="8"/>
      <c r="T135" s="8"/>
      <c r="U135" s="8"/>
      <c r="V135" s="8"/>
      <c r="W135" s="8"/>
    </row>
    <row r="136" spans="1:23" ht="15.75" customHeight="1" x14ac:dyDescent="0.25">
      <c r="A136" s="8" t="s">
        <v>3305</v>
      </c>
      <c r="B136" s="8" t="str">
        <f ca="1">IFERROR(__xludf.DUMMYFUNCTION("""COMPUTED_VALUE"""),"Doom")</f>
        <v>Doom</v>
      </c>
      <c r="C136" s="8">
        <f ca="1">COUNTIF(A1:A3410, B136)</f>
        <v>4</v>
      </c>
      <c r="E136" s="8"/>
      <c r="F136" s="8" t="s">
        <v>3640</v>
      </c>
      <c r="G136" s="14">
        <v>4</v>
      </c>
      <c r="H136" s="8"/>
      <c r="I136" s="8"/>
      <c r="J136" s="8"/>
      <c r="K136" s="8"/>
      <c r="L136" s="8"/>
      <c r="M136" s="8"/>
      <c r="N136" s="8"/>
      <c r="O136" s="8"/>
      <c r="P136" s="8"/>
      <c r="Q136" s="8"/>
      <c r="R136" s="8"/>
      <c r="S136" s="8"/>
      <c r="T136" s="8"/>
      <c r="U136" s="8"/>
      <c r="V136" s="8"/>
      <c r="W136" s="8"/>
    </row>
    <row r="137" spans="1:23" ht="15.75" customHeight="1" x14ac:dyDescent="0.25">
      <c r="A137" s="6" t="s">
        <v>3305</v>
      </c>
      <c r="B137" s="8" t="str">
        <f ca="1">IFERROR(__xludf.DUMMYFUNCTION("""COMPUTED_VALUE"""),"Door Kickers")</f>
        <v>Door Kickers</v>
      </c>
      <c r="C137" s="8">
        <f ca="1">COUNTIF(A1:A3410, B137)</f>
        <v>1</v>
      </c>
      <c r="E137" s="8"/>
      <c r="F137" s="8" t="s">
        <v>3641</v>
      </c>
      <c r="G137" s="14">
        <v>4</v>
      </c>
      <c r="H137" s="8"/>
      <c r="I137" s="8"/>
      <c r="J137" s="8"/>
      <c r="K137" s="8"/>
      <c r="L137" s="8"/>
      <c r="M137" s="8"/>
      <c r="N137" s="8"/>
      <c r="O137" s="8"/>
      <c r="P137" s="8"/>
      <c r="Q137" s="8"/>
      <c r="R137" s="8"/>
      <c r="S137" s="8"/>
      <c r="T137" s="8"/>
      <c r="U137" s="8"/>
      <c r="V137" s="8"/>
      <c r="W137" s="8"/>
    </row>
    <row r="138" spans="1:23" ht="15.75" customHeight="1" x14ac:dyDescent="0.25">
      <c r="A138" s="6" t="s">
        <v>3305</v>
      </c>
      <c r="B138" s="8" t="str">
        <f ca="1">IFERROR(__xludf.DUMMYFUNCTION("""COMPUTED_VALUE"""),"DotA 2")</f>
        <v>DotA 2</v>
      </c>
      <c r="C138" s="8">
        <f ca="1">COUNTIF(A1:A3410, B138)</f>
        <v>48</v>
      </c>
      <c r="E138" s="8"/>
      <c r="F138" s="8" t="s">
        <v>3645</v>
      </c>
      <c r="G138" s="14">
        <v>4</v>
      </c>
      <c r="H138" s="8"/>
      <c r="I138" s="8"/>
      <c r="J138" s="8"/>
      <c r="K138" s="8"/>
      <c r="L138" s="8"/>
      <c r="M138" s="8"/>
      <c r="N138" s="8"/>
      <c r="O138" s="8"/>
      <c r="P138" s="8"/>
      <c r="Q138" s="8"/>
      <c r="R138" s="8"/>
      <c r="S138" s="8"/>
      <c r="T138" s="8"/>
      <c r="U138" s="8"/>
      <c r="V138" s="8"/>
      <c r="W138" s="8"/>
    </row>
    <row r="139" spans="1:23" ht="15.75" customHeight="1" x14ac:dyDescent="0.25">
      <c r="A139" s="6" t="s">
        <v>3647</v>
      </c>
      <c r="B139" s="8" t="str">
        <f ca="1">IFERROR(__xludf.DUMMYFUNCTION("""COMPUTED_VALUE"""),"Dragalia Lost")</f>
        <v>Dragalia Lost</v>
      </c>
      <c r="C139" s="8">
        <f ca="1">COUNTIF(A1:A3410, B139)</f>
        <v>2</v>
      </c>
      <c r="E139" s="8"/>
      <c r="F139" s="8" t="s">
        <v>3652</v>
      </c>
      <c r="G139" s="14">
        <v>4</v>
      </c>
      <c r="H139" s="8"/>
      <c r="I139" s="8"/>
      <c r="J139" s="8"/>
      <c r="K139" s="8"/>
      <c r="L139" s="8"/>
      <c r="M139" s="8"/>
      <c r="N139" s="8"/>
      <c r="O139" s="8"/>
      <c r="P139" s="8"/>
      <c r="Q139" s="8"/>
      <c r="R139" s="8"/>
      <c r="S139" s="8"/>
      <c r="T139" s="8"/>
      <c r="U139" s="8"/>
      <c r="V139" s="8"/>
      <c r="W139" s="8"/>
    </row>
    <row r="140" spans="1:23" ht="15.75" customHeight="1" x14ac:dyDescent="0.25">
      <c r="A140" s="6" t="s">
        <v>3654</v>
      </c>
      <c r="B140" s="8" t="str">
        <f ca="1">IFERROR(__xludf.DUMMYFUNCTION("""COMPUTED_VALUE"""),"Dragon Age")</f>
        <v>Dragon Age</v>
      </c>
      <c r="C140" s="8">
        <f ca="1">COUNTIF(A1:A3410, B140)</f>
        <v>3</v>
      </c>
      <c r="E140" s="8"/>
      <c r="F140" s="8" t="s">
        <v>3657</v>
      </c>
      <c r="G140" s="14">
        <v>4</v>
      </c>
      <c r="H140" s="8"/>
      <c r="I140" s="8"/>
      <c r="J140" s="8"/>
      <c r="K140" s="8"/>
      <c r="L140" s="8"/>
      <c r="M140" s="8"/>
      <c r="N140" s="8"/>
      <c r="O140" s="8"/>
      <c r="P140" s="8"/>
      <c r="Q140" s="8"/>
      <c r="R140" s="8"/>
      <c r="S140" s="8"/>
      <c r="T140" s="8"/>
      <c r="U140" s="8"/>
      <c r="V140" s="8"/>
      <c r="W140" s="8"/>
    </row>
    <row r="141" spans="1:23" ht="15.75" customHeight="1" x14ac:dyDescent="0.25">
      <c r="A141" s="6" t="s">
        <v>3266</v>
      </c>
      <c r="B141" s="8" t="str">
        <f ca="1">IFERROR(__xludf.DUMMYFUNCTION("""COMPUTED_VALUE"""),"Dragon Ball FighterZ")</f>
        <v>Dragon Ball FighterZ</v>
      </c>
      <c r="C141" s="8">
        <f ca="1">COUNTIF(A1:A3410, B141)</f>
        <v>3</v>
      </c>
      <c r="E141" s="8"/>
      <c r="F141" s="8" t="s">
        <v>3662</v>
      </c>
      <c r="G141" s="14">
        <v>4</v>
      </c>
      <c r="H141" s="8"/>
      <c r="I141" s="8"/>
      <c r="J141" s="8"/>
      <c r="K141" s="8"/>
      <c r="L141" s="8"/>
      <c r="M141" s="8"/>
      <c r="N141" s="8"/>
      <c r="O141" s="8"/>
      <c r="P141" s="8"/>
      <c r="Q141" s="8"/>
      <c r="R141" s="8"/>
      <c r="S141" s="8"/>
      <c r="T141" s="8"/>
      <c r="U141" s="8"/>
      <c r="V141" s="8"/>
      <c r="W141" s="8"/>
    </row>
    <row r="142" spans="1:23" ht="15.75" customHeight="1" x14ac:dyDescent="0.25">
      <c r="A142" s="6" t="s">
        <v>3266</v>
      </c>
      <c r="B142" s="8" t="str">
        <f ca="1">IFERROR(__xludf.DUMMYFUNCTION("""COMPUTED_VALUE"""),"Dragon Ball Xenoverse")</f>
        <v>Dragon Ball Xenoverse</v>
      </c>
      <c r="C142" s="8">
        <f ca="1">COUNTIF(A1:A3410, B142)</f>
        <v>1</v>
      </c>
      <c r="E142" s="8"/>
      <c r="F142" s="8" t="s">
        <v>3664</v>
      </c>
      <c r="G142" s="14">
        <v>4</v>
      </c>
      <c r="H142" s="8"/>
      <c r="I142" s="8"/>
      <c r="J142" s="8"/>
      <c r="K142" s="8"/>
      <c r="L142" s="8"/>
      <c r="M142" s="8"/>
      <c r="N142" s="8"/>
      <c r="O142" s="8"/>
      <c r="P142" s="8"/>
      <c r="Q142" s="8"/>
      <c r="R142" s="8"/>
      <c r="S142" s="8"/>
      <c r="T142" s="8"/>
      <c r="U142" s="8"/>
      <c r="V142" s="8"/>
      <c r="W142" s="8"/>
    </row>
    <row r="143" spans="1:23" ht="15.75" customHeight="1" x14ac:dyDescent="0.25">
      <c r="A143" s="6" t="s">
        <v>3266</v>
      </c>
      <c r="B143" s="8" t="str">
        <f ca="1">IFERROR(__xludf.DUMMYFUNCTION("""COMPUTED_VALUE"""),"Dragon Nest")</f>
        <v>Dragon Nest</v>
      </c>
      <c r="C143" s="8">
        <f ca="1">COUNTIF(A1:A3410, B143)</f>
        <v>1</v>
      </c>
      <c r="E143" s="8"/>
      <c r="F143" s="8" t="s">
        <v>3668</v>
      </c>
      <c r="G143" s="14">
        <v>4</v>
      </c>
      <c r="H143" s="8"/>
      <c r="I143" s="8"/>
      <c r="J143" s="8"/>
      <c r="K143" s="8"/>
      <c r="L143" s="8"/>
      <c r="M143" s="8"/>
      <c r="N143" s="8"/>
      <c r="O143" s="8"/>
      <c r="P143" s="8"/>
      <c r="Q143" s="8"/>
      <c r="R143" s="8"/>
      <c r="S143" s="8"/>
      <c r="T143" s="8"/>
      <c r="U143" s="8"/>
      <c r="V143" s="8"/>
      <c r="W143" s="8"/>
    </row>
    <row r="144" spans="1:23" ht="15.75" customHeight="1" x14ac:dyDescent="0.25">
      <c r="A144" s="6" t="s">
        <v>3266</v>
      </c>
      <c r="B144" s="8" t="str">
        <f ca="1">IFERROR(__xludf.DUMMYFUNCTION("""COMPUTED_VALUE"""),"Dragon Quest XI")</f>
        <v>Dragon Quest XI</v>
      </c>
      <c r="C144" s="8">
        <f ca="1">COUNTIF(A1:A3410, B144)</f>
        <v>2</v>
      </c>
      <c r="E144" s="8"/>
      <c r="F144" s="8" t="s">
        <v>3672</v>
      </c>
      <c r="G144" s="14">
        <v>4</v>
      </c>
      <c r="H144" s="8"/>
      <c r="I144" s="8"/>
      <c r="J144" s="8"/>
      <c r="K144" s="8"/>
      <c r="L144" s="8"/>
      <c r="M144" s="8"/>
      <c r="N144" s="8"/>
      <c r="O144" s="8"/>
      <c r="P144" s="8"/>
      <c r="Q144" s="8"/>
      <c r="R144" s="8"/>
      <c r="S144" s="8"/>
      <c r="T144" s="8"/>
      <c r="U144" s="8"/>
      <c r="V144" s="8"/>
      <c r="W144" s="8"/>
    </row>
    <row r="145" spans="1:23" ht="15.75" customHeight="1" x14ac:dyDescent="0.25">
      <c r="A145" s="6" t="s">
        <v>3266</v>
      </c>
      <c r="B145" s="8" t="str">
        <f ca="1">IFERROR(__xludf.DUMMYFUNCTION("""COMPUTED_VALUE"""),"Dragon's Dogma")</f>
        <v>Dragon's Dogma</v>
      </c>
      <c r="C145" s="8">
        <f ca="1">COUNTIF(A1:A3410, B145)</f>
        <v>1</v>
      </c>
      <c r="E145" s="8"/>
      <c r="F145" s="8" t="s">
        <v>3273</v>
      </c>
      <c r="G145" s="14">
        <v>3</v>
      </c>
      <c r="H145" s="8"/>
      <c r="I145" s="8"/>
      <c r="J145" s="8"/>
      <c r="K145" s="8"/>
      <c r="L145" s="8"/>
      <c r="M145" s="8"/>
      <c r="N145" s="8"/>
      <c r="O145" s="8"/>
      <c r="P145" s="8"/>
      <c r="Q145" s="8"/>
      <c r="R145" s="8"/>
      <c r="S145" s="8"/>
      <c r="T145" s="8"/>
      <c r="U145" s="8"/>
      <c r="V145" s="8"/>
      <c r="W145" s="8"/>
    </row>
    <row r="146" spans="1:23" ht="15.75" customHeight="1" x14ac:dyDescent="0.25">
      <c r="A146" s="6" t="s">
        <v>3266</v>
      </c>
      <c r="B146" s="8" t="str">
        <f ca="1">IFERROR(__xludf.DUMMYFUNCTION("""COMPUTED_VALUE"""),"Dragonball Legends")</f>
        <v>Dragonball Legends</v>
      </c>
      <c r="C146" s="8">
        <f ca="1">COUNTIF(A1:A3410, B146)</f>
        <v>1</v>
      </c>
      <c r="E146" s="8"/>
      <c r="F146" s="8" t="s">
        <v>3529</v>
      </c>
      <c r="G146" s="14">
        <v>3</v>
      </c>
      <c r="H146" s="8"/>
      <c r="I146" s="8"/>
      <c r="J146" s="8"/>
      <c r="K146" s="8"/>
      <c r="L146" s="8"/>
      <c r="M146" s="8"/>
      <c r="N146" s="8"/>
      <c r="O146" s="8"/>
      <c r="P146" s="8"/>
      <c r="Q146" s="8"/>
      <c r="R146" s="8"/>
      <c r="S146" s="8"/>
      <c r="T146" s="8"/>
      <c r="U146" s="8"/>
      <c r="V146" s="8"/>
      <c r="W146" s="8"/>
    </row>
    <row r="147" spans="1:23" ht="15.75" customHeight="1" x14ac:dyDescent="0.25">
      <c r="A147" s="6" t="s">
        <v>3266</v>
      </c>
      <c r="B147" s="8" t="str">
        <f ca="1">IFERROR(__xludf.DUMMYFUNCTION("""COMPUTED_VALUE"""),"Dragonfable")</f>
        <v>Dragonfable</v>
      </c>
      <c r="C147" s="8">
        <f ca="1">COUNTIF(A1:A3410, B147)</f>
        <v>1</v>
      </c>
      <c r="E147" s="8"/>
      <c r="F147" s="8" t="s">
        <v>3679</v>
      </c>
      <c r="G147" s="14">
        <v>3</v>
      </c>
      <c r="H147" s="8"/>
      <c r="I147" s="8"/>
      <c r="J147" s="8"/>
      <c r="K147" s="8"/>
      <c r="L147" s="8"/>
      <c r="M147" s="8"/>
      <c r="N147" s="8"/>
      <c r="O147" s="8"/>
      <c r="P147" s="8"/>
      <c r="Q147" s="8"/>
      <c r="R147" s="8"/>
      <c r="S147" s="8"/>
      <c r="T147" s="8"/>
      <c r="U147" s="8"/>
      <c r="V147" s="8"/>
      <c r="W147" s="8"/>
    </row>
    <row r="148" spans="1:23" ht="15.75" customHeight="1" x14ac:dyDescent="0.25">
      <c r="A148" s="6" t="s">
        <v>3266</v>
      </c>
      <c r="B148" s="8" t="str">
        <f ca="1">IFERROR(__xludf.DUMMYFUNCTION("""COMPUTED_VALUE"""),"Dragons Dogma: Dark Arisan")</f>
        <v>Dragons Dogma: Dark Arisan</v>
      </c>
      <c r="C148" s="8">
        <f ca="1">COUNTIF(A1:A3410, B148)</f>
        <v>1</v>
      </c>
      <c r="E148" s="8"/>
      <c r="F148" s="8" t="s">
        <v>3683</v>
      </c>
      <c r="G148" s="14">
        <v>3</v>
      </c>
      <c r="H148" s="8"/>
      <c r="I148" s="8"/>
      <c r="J148" s="8"/>
      <c r="K148" s="8"/>
      <c r="L148" s="8"/>
      <c r="M148" s="8"/>
      <c r="N148" s="8"/>
      <c r="O148" s="8"/>
      <c r="P148" s="8"/>
      <c r="Q148" s="8"/>
      <c r="R148" s="8"/>
      <c r="S148" s="8"/>
      <c r="T148" s="8"/>
      <c r="U148" s="8"/>
      <c r="V148" s="8"/>
      <c r="W148" s="8"/>
    </row>
    <row r="149" spans="1:23" ht="15.75" customHeight="1" x14ac:dyDescent="0.25">
      <c r="A149" s="6" t="s">
        <v>3266</v>
      </c>
      <c r="B149" s="8" t="str">
        <f ca="1">IFERROR(__xludf.DUMMYFUNCTION("""COMPUTED_VALUE"""),"Drakensang Online")</f>
        <v>Drakensang Online</v>
      </c>
      <c r="C149" s="8">
        <f ca="1">COUNTIF(A1:A3410, B149)</f>
        <v>1</v>
      </c>
      <c r="E149" s="8"/>
      <c r="F149" s="8" t="s">
        <v>3685</v>
      </c>
      <c r="G149" s="14">
        <v>3</v>
      </c>
      <c r="H149" s="8"/>
      <c r="I149" s="8"/>
      <c r="J149" s="8"/>
      <c r="K149" s="8"/>
      <c r="L149" s="8"/>
      <c r="M149" s="8"/>
      <c r="N149" s="8"/>
      <c r="O149" s="8"/>
      <c r="P149" s="8"/>
      <c r="Q149" s="8"/>
      <c r="R149" s="8"/>
      <c r="S149" s="8"/>
      <c r="T149" s="8"/>
      <c r="U149" s="8"/>
      <c r="V149" s="8"/>
      <c r="W149" s="8"/>
    </row>
    <row r="150" spans="1:23" ht="15.75" customHeight="1" x14ac:dyDescent="0.25">
      <c r="A150" s="6" t="s">
        <v>3266</v>
      </c>
      <c r="B150" s="8" t="str">
        <f ca="1">IFERROR(__xludf.DUMMYFUNCTION("""COMPUTED_VALUE"""),"Dreadnought")</f>
        <v>Dreadnought</v>
      </c>
      <c r="C150" s="8">
        <f ca="1">COUNTIF(A1:A3410, B150)</f>
        <v>1</v>
      </c>
      <c r="E150" s="8"/>
      <c r="F150" s="8" t="s">
        <v>3687</v>
      </c>
      <c r="G150" s="14">
        <v>3</v>
      </c>
      <c r="H150" s="8"/>
      <c r="I150" s="8"/>
      <c r="J150" s="8"/>
      <c r="K150" s="8"/>
      <c r="L150" s="8"/>
      <c r="M150" s="8"/>
      <c r="N150" s="8"/>
      <c r="O150" s="8"/>
      <c r="P150" s="8"/>
      <c r="Q150" s="8"/>
      <c r="R150" s="8"/>
      <c r="S150" s="8"/>
      <c r="T150" s="8"/>
      <c r="U150" s="8"/>
      <c r="V150" s="8"/>
      <c r="W150" s="8"/>
    </row>
    <row r="151" spans="1:23" ht="15.75" customHeight="1" x14ac:dyDescent="0.25">
      <c r="A151" s="6" t="s">
        <v>3266</v>
      </c>
      <c r="B151" s="8" t="str">
        <f ca="1">IFERROR(__xludf.DUMMYFUNCTION("""COMPUTED_VALUE"""),"Dreadout")</f>
        <v>Dreadout</v>
      </c>
      <c r="C151" s="8">
        <f ca="1">COUNTIF(A1:A3410, B151)</f>
        <v>1</v>
      </c>
      <c r="E151" s="8"/>
      <c r="F151" s="8" t="s">
        <v>3689</v>
      </c>
      <c r="G151" s="14">
        <v>3</v>
      </c>
      <c r="H151" s="8"/>
      <c r="I151" s="8"/>
      <c r="J151" s="8"/>
      <c r="K151" s="8"/>
      <c r="L151" s="8"/>
      <c r="M151" s="8"/>
      <c r="N151" s="8"/>
      <c r="O151" s="8"/>
      <c r="P151" s="8"/>
      <c r="Q151" s="8"/>
      <c r="R151" s="8"/>
      <c r="S151" s="8"/>
      <c r="T151" s="8"/>
      <c r="U151" s="8"/>
      <c r="V151" s="8"/>
      <c r="W151" s="8"/>
    </row>
    <row r="152" spans="1:23" ht="15.75" customHeight="1" x14ac:dyDescent="0.25">
      <c r="A152" s="6" t="s">
        <v>3266</v>
      </c>
      <c r="B152" s="8" t="str">
        <f ca="1">IFERROR(__xludf.DUMMYFUNCTION("""COMPUTED_VALUE"""),"Duelyst")</f>
        <v>Duelyst</v>
      </c>
      <c r="C152" s="8">
        <f ca="1">COUNTIF(A1:A3410, B152)</f>
        <v>7</v>
      </c>
      <c r="E152" s="8"/>
      <c r="F152" s="8" t="s">
        <v>3691</v>
      </c>
      <c r="G152" s="14">
        <v>3</v>
      </c>
      <c r="H152" s="8"/>
      <c r="I152" s="8"/>
      <c r="J152" s="8"/>
      <c r="K152" s="8"/>
      <c r="L152" s="8"/>
      <c r="M152" s="8"/>
      <c r="N152" s="8"/>
      <c r="O152" s="8"/>
      <c r="P152" s="8"/>
      <c r="Q152" s="8"/>
      <c r="R152" s="8"/>
      <c r="S152" s="8"/>
      <c r="T152" s="8"/>
      <c r="U152" s="8"/>
      <c r="V152" s="8"/>
      <c r="W152" s="8"/>
    </row>
    <row r="153" spans="1:23" ht="15.75" customHeight="1" x14ac:dyDescent="0.25">
      <c r="A153" s="6" t="s">
        <v>3266</v>
      </c>
      <c r="B153" s="8" t="str">
        <f ca="1">IFERROR(__xludf.DUMMYFUNCTION("""COMPUTED_VALUE"""),"Dungeon Defenders 2")</f>
        <v>Dungeon Defenders 2</v>
      </c>
      <c r="C153" s="8">
        <f ca="1">COUNTIF(A1:A3410, B153)</f>
        <v>4</v>
      </c>
      <c r="E153" s="8"/>
      <c r="F153" s="8" t="s">
        <v>3694</v>
      </c>
      <c r="G153" s="14">
        <v>3</v>
      </c>
      <c r="H153" s="8"/>
      <c r="I153" s="8"/>
      <c r="J153" s="8"/>
      <c r="K153" s="8"/>
      <c r="L153" s="8"/>
      <c r="M153" s="8"/>
      <c r="N153" s="8"/>
      <c r="O153" s="8"/>
      <c r="P153" s="8"/>
      <c r="Q153" s="8"/>
      <c r="R153" s="8"/>
      <c r="S153" s="8"/>
      <c r="T153" s="8"/>
      <c r="U153" s="8"/>
      <c r="V153" s="8"/>
      <c r="W153" s="8"/>
    </row>
    <row r="154" spans="1:23" ht="15.75" customHeight="1" x14ac:dyDescent="0.25">
      <c r="A154" s="6" t="s">
        <v>3266</v>
      </c>
      <c r="B154" s="8" t="str">
        <f ca="1">IFERROR(__xludf.DUMMYFUNCTION("""COMPUTED_VALUE"""),"Dungeons")</f>
        <v>Dungeons</v>
      </c>
      <c r="C154" s="8">
        <f ca="1">COUNTIF(A1:A3410, B154)</f>
        <v>2</v>
      </c>
      <c r="E154" s="8"/>
      <c r="F154" s="8" t="s">
        <v>3697</v>
      </c>
      <c r="G154" s="14">
        <v>3</v>
      </c>
      <c r="H154" s="8"/>
      <c r="I154" s="8"/>
      <c r="J154" s="8"/>
      <c r="K154" s="8"/>
      <c r="L154" s="8"/>
      <c r="M154" s="8"/>
      <c r="N154" s="8"/>
      <c r="O154" s="8"/>
      <c r="P154" s="8"/>
      <c r="Q154" s="8"/>
      <c r="R154" s="8"/>
      <c r="S154" s="8"/>
      <c r="T154" s="8"/>
      <c r="U154" s="8"/>
      <c r="V154" s="8"/>
      <c r="W154" s="8"/>
    </row>
    <row r="155" spans="1:23" ht="15.75" customHeight="1" x14ac:dyDescent="0.25">
      <c r="A155" s="6" t="s">
        <v>3266</v>
      </c>
      <c r="B155" s="8" t="str">
        <f ca="1">IFERROR(__xludf.DUMMYFUNCTION("""COMPUTED_VALUE"""),"Dwarf Fortress")</f>
        <v>Dwarf Fortress</v>
      </c>
      <c r="C155" s="8">
        <f ca="1">COUNTIF(A1:A3410, B155)</f>
        <v>2</v>
      </c>
      <c r="E155" s="8"/>
      <c r="F155" s="8" t="s">
        <v>3703</v>
      </c>
      <c r="G155" s="14">
        <v>3</v>
      </c>
      <c r="H155" s="8"/>
      <c r="I155" s="8"/>
      <c r="J155" s="8"/>
      <c r="K155" s="8"/>
      <c r="L155" s="8"/>
      <c r="M155" s="8"/>
      <c r="N155" s="8"/>
      <c r="O155" s="8"/>
      <c r="P155" s="8"/>
      <c r="Q155" s="8"/>
      <c r="R155" s="8"/>
      <c r="S155" s="8"/>
      <c r="T155" s="8"/>
      <c r="U155" s="8"/>
      <c r="V155" s="8"/>
      <c r="W155" s="8"/>
    </row>
    <row r="156" spans="1:23" ht="15.75" customHeight="1" x14ac:dyDescent="0.25">
      <c r="A156" s="6" t="s">
        <v>3266</v>
      </c>
      <c r="B156" s="8" t="str">
        <f ca="1">IFERROR(__xludf.DUMMYFUNCTION("""COMPUTED_VALUE"""),"Earth Stones")</f>
        <v>Earth Stones</v>
      </c>
      <c r="C156" s="8">
        <f ca="1">COUNTIF(A1:A3410, B156)</f>
        <v>1</v>
      </c>
      <c r="E156" s="8"/>
      <c r="F156" s="8" t="s">
        <v>3706</v>
      </c>
      <c r="G156" s="14">
        <v>3</v>
      </c>
      <c r="H156" s="8"/>
      <c r="I156" s="8"/>
      <c r="J156" s="8"/>
      <c r="K156" s="8"/>
      <c r="L156" s="8"/>
      <c r="M156" s="8"/>
      <c r="N156" s="8"/>
      <c r="O156" s="8"/>
      <c r="P156" s="8"/>
      <c r="Q156" s="8"/>
      <c r="R156" s="8"/>
      <c r="S156" s="8"/>
      <c r="T156" s="8"/>
      <c r="U156" s="8"/>
      <c r="V156" s="8"/>
      <c r="W156" s="8"/>
    </row>
    <row r="157" spans="1:23" ht="15.75" customHeight="1" x14ac:dyDescent="0.25">
      <c r="A157" s="6" t="s">
        <v>3266</v>
      </c>
      <c r="B157" s="8" t="str">
        <f ca="1">IFERROR(__xludf.DUMMYFUNCTION("""COMPUTED_VALUE"""),"Echo Of Soul")</f>
        <v>Echo Of Soul</v>
      </c>
      <c r="C157" s="8">
        <f ca="1">COUNTIF(A1:A3410, B157)</f>
        <v>1</v>
      </c>
      <c r="E157" s="8"/>
      <c r="F157" s="8" t="s">
        <v>3710</v>
      </c>
      <c r="G157" s="14">
        <v>3</v>
      </c>
      <c r="H157" s="8"/>
      <c r="I157" s="8"/>
      <c r="J157" s="8"/>
      <c r="K157" s="8"/>
      <c r="L157" s="8"/>
      <c r="M157" s="8"/>
      <c r="N157" s="8"/>
      <c r="O157" s="8"/>
      <c r="P157" s="8"/>
      <c r="Q157" s="8"/>
      <c r="R157" s="8"/>
      <c r="S157" s="8"/>
      <c r="T157" s="8"/>
      <c r="U157" s="8"/>
      <c r="V157" s="8"/>
      <c r="W157" s="8"/>
    </row>
    <row r="158" spans="1:23" ht="15.75" customHeight="1" x14ac:dyDescent="0.25">
      <c r="A158" s="6" t="s">
        <v>3266</v>
      </c>
      <c r="B158" s="8" t="str">
        <f ca="1">IFERROR(__xludf.DUMMYFUNCTION("""COMPUTED_VALUE"""),"Eldarya")</f>
        <v>Eldarya</v>
      </c>
      <c r="C158" s="8">
        <f ca="1">COUNTIF(A1:A3410, B158)</f>
        <v>1</v>
      </c>
      <c r="E158" s="8"/>
      <c r="F158" s="8" t="s">
        <v>3712</v>
      </c>
      <c r="G158" s="14">
        <v>3</v>
      </c>
      <c r="H158" s="8"/>
      <c r="I158" s="8"/>
      <c r="J158" s="8"/>
      <c r="K158" s="8"/>
      <c r="L158" s="8"/>
      <c r="M158" s="8"/>
      <c r="N158" s="8"/>
      <c r="O158" s="8"/>
      <c r="P158" s="8"/>
      <c r="Q158" s="8"/>
      <c r="R158" s="8"/>
      <c r="S158" s="8"/>
      <c r="T158" s="8"/>
      <c r="U158" s="8"/>
      <c r="V158" s="8"/>
      <c r="W158" s="8"/>
    </row>
    <row r="159" spans="1:23" ht="15.75" customHeight="1" x14ac:dyDescent="0.25">
      <c r="A159" s="6" t="s">
        <v>3266</v>
      </c>
      <c r="B159" s="8" t="str">
        <f ca="1">IFERROR(__xludf.DUMMYFUNCTION("""COMPUTED_VALUE"""),"Elex")</f>
        <v>Elex</v>
      </c>
      <c r="C159" s="8">
        <f ca="1">COUNTIF(A1:A3410, B159)</f>
        <v>1</v>
      </c>
      <c r="E159" s="8"/>
      <c r="F159" s="8" t="s">
        <v>3713</v>
      </c>
      <c r="G159" s="14">
        <v>3</v>
      </c>
      <c r="H159" s="8"/>
      <c r="I159" s="8"/>
      <c r="J159" s="8"/>
      <c r="K159" s="8"/>
      <c r="L159" s="8"/>
      <c r="M159" s="8"/>
      <c r="N159" s="8"/>
      <c r="O159" s="8"/>
      <c r="P159" s="8"/>
      <c r="Q159" s="8"/>
      <c r="R159" s="8"/>
      <c r="S159" s="8"/>
      <c r="T159" s="8"/>
      <c r="U159" s="8"/>
      <c r="V159" s="8"/>
      <c r="W159" s="8"/>
    </row>
    <row r="160" spans="1:23" ht="15.75" customHeight="1" x14ac:dyDescent="0.25">
      <c r="A160" s="6" t="s">
        <v>3266</v>
      </c>
      <c r="B160" s="8" t="str">
        <f ca="1">IFERROR(__xludf.DUMMYFUNCTION("""COMPUTED_VALUE"""),"Elite Dangerous")</f>
        <v>Elite Dangerous</v>
      </c>
      <c r="C160" s="8">
        <f ca="1">COUNTIF(A1:A3410, B160)</f>
        <v>1</v>
      </c>
      <c r="E160" s="8"/>
      <c r="F160" s="8" t="s">
        <v>3714</v>
      </c>
      <c r="G160" s="14">
        <v>3</v>
      </c>
      <c r="H160" s="8"/>
      <c r="I160" s="8"/>
      <c r="J160" s="8"/>
      <c r="K160" s="8"/>
      <c r="L160" s="8"/>
      <c r="M160" s="8"/>
      <c r="N160" s="8"/>
      <c r="O160" s="8"/>
      <c r="P160" s="8"/>
      <c r="Q160" s="8"/>
      <c r="R160" s="8"/>
      <c r="S160" s="8"/>
      <c r="T160" s="8"/>
      <c r="U160" s="8"/>
      <c r="V160" s="8"/>
      <c r="W160" s="8"/>
    </row>
    <row r="161" spans="1:23" ht="15.75" customHeight="1" x14ac:dyDescent="0.25">
      <c r="A161" s="6" t="s">
        <v>3266</v>
      </c>
      <c r="B161" s="8" t="str">
        <f ca="1">IFERROR(__xludf.DUMMYFUNCTION("""COMPUTED_VALUE"""),"Elsword")</f>
        <v>Elsword</v>
      </c>
      <c r="C161" s="8">
        <f ca="1">COUNTIF(A1:A3410, B161)</f>
        <v>2</v>
      </c>
      <c r="E161" s="8"/>
      <c r="F161" s="8" t="s">
        <v>3719</v>
      </c>
      <c r="G161" s="14">
        <v>3</v>
      </c>
      <c r="H161" s="8"/>
      <c r="I161" s="8"/>
      <c r="J161" s="8"/>
      <c r="K161" s="8"/>
      <c r="L161" s="8"/>
      <c r="M161" s="8"/>
      <c r="N161" s="8"/>
      <c r="O161" s="8"/>
      <c r="P161" s="8"/>
      <c r="Q161" s="8"/>
      <c r="R161" s="8"/>
      <c r="S161" s="8"/>
      <c r="T161" s="8"/>
      <c r="U161" s="8"/>
      <c r="V161" s="8"/>
      <c r="W161" s="8"/>
    </row>
    <row r="162" spans="1:23" ht="15.75" customHeight="1" x14ac:dyDescent="0.25">
      <c r="A162" s="6" t="s">
        <v>3266</v>
      </c>
      <c r="B162" s="8" t="str">
        <f ca="1">IFERROR(__xludf.DUMMYFUNCTION("""COMPUTED_VALUE"""),"Empire earth")</f>
        <v>Empire earth</v>
      </c>
      <c r="C162" s="8">
        <f ca="1">COUNTIF(A1:A3410, B162)</f>
        <v>1</v>
      </c>
      <c r="E162" s="8"/>
      <c r="F162" s="8" t="s">
        <v>3721</v>
      </c>
      <c r="G162" s="14">
        <v>3</v>
      </c>
      <c r="H162" s="8"/>
      <c r="I162" s="8"/>
      <c r="J162" s="8"/>
      <c r="K162" s="8"/>
      <c r="L162" s="8"/>
      <c r="M162" s="8"/>
      <c r="N162" s="8"/>
      <c r="O162" s="8"/>
      <c r="P162" s="8"/>
      <c r="Q162" s="8"/>
      <c r="R162" s="8"/>
      <c r="S162" s="8"/>
      <c r="T162" s="8"/>
      <c r="U162" s="8"/>
      <c r="V162" s="8"/>
      <c r="W162" s="8"/>
    </row>
    <row r="163" spans="1:23" ht="15.75" customHeight="1" x14ac:dyDescent="0.25">
      <c r="A163" s="6" t="s">
        <v>3722</v>
      </c>
      <c r="B163" s="8" t="str">
        <f ca="1">IFERROR(__xludf.DUMMYFUNCTION("""COMPUTED_VALUE"""),"Empyrion")</f>
        <v>Empyrion</v>
      </c>
      <c r="C163" s="8">
        <f ca="1">COUNTIF(A1:A3410, B163)</f>
        <v>1</v>
      </c>
      <c r="E163" s="8"/>
      <c r="F163" s="8" t="s">
        <v>3723</v>
      </c>
      <c r="G163" s="14">
        <v>3</v>
      </c>
      <c r="H163" s="8"/>
      <c r="I163" s="8"/>
      <c r="J163" s="8"/>
      <c r="K163" s="8"/>
      <c r="L163" s="8"/>
      <c r="M163" s="8"/>
      <c r="N163" s="8"/>
      <c r="O163" s="8"/>
      <c r="P163" s="8"/>
      <c r="Q163" s="8"/>
      <c r="R163" s="8"/>
      <c r="S163" s="8"/>
      <c r="T163" s="8"/>
      <c r="U163" s="8"/>
      <c r="V163" s="8"/>
      <c r="W163" s="8"/>
    </row>
    <row r="164" spans="1:23" ht="15.75" customHeight="1" x14ac:dyDescent="0.25">
      <c r="A164" s="6" t="s">
        <v>3722</v>
      </c>
      <c r="B164" s="8" t="str">
        <f ca="1">IFERROR(__xludf.DUMMYFUNCTION("""COMPUTED_VALUE"""),"Emulator games")</f>
        <v>Emulator games</v>
      </c>
      <c r="C164" s="8">
        <f ca="1">COUNTIF(A1:A3410, B164)</f>
        <v>1</v>
      </c>
      <c r="E164" s="8"/>
      <c r="F164" s="8" t="s">
        <v>3725</v>
      </c>
      <c r="G164" s="14">
        <v>3</v>
      </c>
      <c r="H164" s="8"/>
      <c r="I164" s="8"/>
      <c r="J164" s="8"/>
      <c r="K164" s="8"/>
      <c r="L164" s="8"/>
      <c r="M164" s="8"/>
      <c r="N164" s="8"/>
      <c r="O164" s="8"/>
      <c r="P164" s="8"/>
      <c r="Q164" s="8"/>
      <c r="R164" s="8"/>
      <c r="S164" s="8"/>
      <c r="T164" s="8"/>
      <c r="U164" s="8"/>
      <c r="V164" s="8"/>
      <c r="W164" s="8"/>
    </row>
    <row r="165" spans="1:23" ht="15.75" customHeight="1" x14ac:dyDescent="0.25">
      <c r="A165" s="6" t="s">
        <v>3726</v>
      </c>
      <c r="B165" s="8" t="str">
        <f ca="1">IFERROR(__xludf.DUMMYFUNCTION("""COMPUTED_VALUE"""),"Endless Legend")</f>
        <v>Endless Legend</v>
      </c>
      <c r="C165" s="8">
        <f ca="1">COUNTIF(A1:A3410, B165)</f>
        <v>2</v>
      </c>
      <c r="E165" s="8"/>
      <c r="F165" s="8" t="s">
        <v>3728</v>
      </c>
      <c r="G165" s="14">
        <v>3</v>
      </c>
      <c r="H165" s="8"/>
      <c r="I165" s="8"/>
      <c r="J165" s="8"/>
      <c r="K165" s="8"/>
      <c r="L165" s="8"/>
      <c r="M165" s="8"/>
      <c r="N165" s="8"/>
      <c r="O165" s="8"/>
      <c r="P165" s="8"/>
      <c r="Q165" s="8"/>
      <c r="R165" s="8"/>
      <c r="S165" s="8"/>
      <c r="T165" s="8"/>
      <c r="U165" s="8"/>
      <c r="V165" s="8"/>
      <c r="W165" s="8"/>
    </row>
    <row r="166" spans="1:23" ht="15.75" customHeight="1" x14ac:dyDescent="0.25">
      <c r="A166" s="6" t="s">
        <v>3729</v>
      </c>
      <c r="B166" s="8" t="str">
        <f ca="1">IFERROR(__xludf.DUMMYFUNCTION("""COMPUTED_VALUE"""),"Endless Space 2")</f>
        <v>Endless Space 2</v>
      </c>
      <c r="C166" s="8">
        <f ca="1">COUNTIF(A1:A3410, B166)</f>
        <v>1</v>
      </c>
      <c r="E166" s="8"/>
      <c r="F166" s="8" t="s">
        <v>3730</v>
      </c>
      <c r="G166" s="14">
        <v>3</v>
      </c>
      <c r="H166" s="8"/>
      <c r="I166" s="8"/>
      <c r="J166" s="8"/>
      <c r="K166" s="8"/>
      <c r="L166" s="8"/>
      <c r="M166" s="8"/>
      <c r="N166" s="8"/>
      <c r="O166" s="8"/>
      <c r="P166" s="8"/>
      <c r="Q166" s="8"/>
      <c r="R166" s="8"/>
      <c r="S166" s="8"/>
      <c r="T166" s="8"/>
      <c r="U166" s="8"/>
      <c r="V166" s="8"/>
      <c r="W166" s="8"/>
    </row>
    <row r="167" spans="1:23" ht="15.75" customHeight="1" x14ac:dyDescent="0.25">
      <c r="A167" s="6" t="s">
        <v>3731</v>
      </c>
      <c r="B167" s="8" t="str">
        <f ca="1">IFERROR(__xludf.DUMMYFUNCTION("""COMPUTED_VALUE"""),"Enter the Gungeon")</f>
        <v>Enter the Gungeon</v>
      </c>
      <c r="C167" s="8">
        <f ca="1">COUNTIF(A1:A3410, B167)</f>
        <v>6</v>
      </c>
      <c r="E167" s="8"/>
      <c r="F167" s="8" t="s">
        <v>299</v>
      </c>
      <c r="G167" s="14">
        <v>3</v>
      </c>
      <c r="H167" s="8"/>
      <c r="I167" s="8"/>
      <c r="J167" s="8"/>
      <c r="K167" s="8"/>
      <c r="L167" s="8"/>
      <c r="M167" s="8"/>
      <c r="N167" s="8"/>
      <c r="O167" s="8"/>
      <c r="P167" s="8"/>
      <c r="Q167" s="8"/>
      <c r="R167" s="8"/>
      <c r="S167" s="8"/>
      <c r="T167" s="8"/>
      <c r="U167" s="8"/>
      <c r="V167" s="8"/>
      <c r="W167" s="8"/>
    </row>
    <row r="168" spans="1:23" ht="15.75" customHeight="1" x14ac:dyDescent="0.25">
      <c r="A168" s="6" t="s">
        <v>3734</v>
      </c>
      <c r="B168" s="8" t="str">
        <f ca="1">IFERROR(__xludf.DUMMYFUNCTION("""COMPUTED_VALUE"""),"Epic Seven")</f>
        <v>Epic Seven</v>
      </c>
      <c r="C168" s="8">
        <f ca="1">COUNTIF(A1:A3410, B168)</f>
        <v>1</v>
      </c>
      <c r="E168" s="8"/>
      <c r="F168" s="8" t="s">
        <v>3736</v>
      </c>
      <c r="G168" s="14">
        <v>3</v>
      </c>
      <c r="H168" s="8"/>
      <c r="I168" s="8"/>
      <c r="J168" s="8"/>
      <c r="K168" s="8"/>
      <c r="L168" s="8"/>
      <c r="M168" s="8"/>
      <c r="N168" s="8"/>
      <c r="O168" s="8"/>
      <c r="P168" s="8"/>
      <c r="Q168" s="8"/>
      <c r="R168" s="8"/>
      <c r="S168" s="8"/>
      <c r="T168" s="8"/>
      <c r="U168" s="8"/>
      <c r="V168" s="8"/>
      <c r="W168" s="8"/>
    </row>
    <row r="169" spans="1:23" ht="15.75" customHeight="1" x14ac:dyDescent="0.25">
      <c r="A169" s="6" t="s">
        <v>3402</v>
      </c>
      <c r="B169" s="8" t="str">
        <f ca="1">IFERROR(__xludf.DUMMYFUNCTION("""COMPUTED_VALUE"""),"Escape from Tarkov")</f>
        <v>Escape from Tarkov</v>
      </c>
      <c r="C169" s="8">
        <f ca="1">COUNTIF(A1:A3410, B169)</f>
        <v>4</v>
      </c>
      <c r="E169" s="8"/>
      <c r="F169" s="8" t="s">
        <v>3740</v>
      </c>
      <c r="G169" s="14">
        <v>3</v>
      </c>
      <c r="H169" s="8"/>
      <c r="I169" s="8"/>
      <c r="J169" s="8"/>
      <c r="K169" s="8"/>
      <c r="L169" s="8"/>
      <c r="M169" s="8"/>
      <c r="N169" s="8"/>
      <c r="O169" s="8"/>
      <c r="P169" s="8"/>
      <c r="Q169" s="8"/>
      <c r="R169" s="8"/>
      <c r="S169" s="8"/>
      <c r="T169" s="8"/>
      <c r="U169" s="8"/>
      <c r="V169" s="8"/>
      <c r="W169" s="8"/>
    </row>
    <row r="170" spans="1:23" ht="15.75" customHeight="1" x14ac:dyDescent="0.25">
      <c r="A170" s="6" t="s">
        <v>3402</v>
      </c>
      <c r="B170" s="8" t="str">
        <f ca="1">IFERROR(__xludf.DUMMYFUNCTION("""COMPUTED_VALUE"""),"Eternal Card Game")</f>
        <v>Eternal Card Game</v>
      </c>
      <c r="C170" s="8">
        <f ca="1">COUNTIF(A1:A3410, B170)</f>
        <v>10</v>
      </c>
      <c r="E170" s="8"/>
      <c r="F170" s="8" t="s">
        <v>3743</v>
      </c>
      <c r="G170" s="14">
        <v>3</v>
      </c>
      <c r="H170" s="8"/>
      <c r="I170" s="8"/>
      <c r="J170" s="8"/>
      <c r="K170" s="8"/>
      <c r="L170" s="8"/>
      <c r="M170" s="8"/>
      <c r="N170" s="8"/>
      <c r="O170" s="8"/>
      <c r="P170" s="8"/>
      <c r="Q170" s="8"/>
      <c r="R170" s="8"/>
      <c r="S170" s="8"/>
      <c r="T170" s="8"/>
      <c r="U170" s="8"/>
      <c r="V170" s="8"/>
      <c r="W170" s="8"/>
    </row>
    <row r="171" spans="1:23" ht="15.75" customHeight="1" x14ac:dyDescent="0.25">
      <c r="A171" s="6" t="s">
        <v>3402</v>
      </c>
      <c r="B171" s="8" t="str">
        <f ca="1">IFERROR(__xludf.DUMMYFUNCTION("""COMPUTED_VALUE"""),"Euro Truck Simulator")</f>
        <v>Euro Truck Simulator</v>
      </c>
      <c r="C171" s="8">
        <f ca="1">COUNTIF(A1:A3410, B171)</f>
        <v>3</v>
      </c>
      <c r="E171" s="8"/>
      <c r="F171" s="8" t="s">
        <v>3748</v>
      </c>
      <c r="G171" s="14">
        <v>3</v>
      </c>
      <c r="H171" s="8"/>
      <c r="I171" s="8"/>
      <c r="J171" s="8"/>
      <c r="K171" s="8"/>
      <c r="L171" s="8"/>
      <c r="M171" s="8"/>
      <c r="N171" s="8"/>
      <c r="O171" s="8"/>
      <c r="P171" s="8"/>
      <c r="Q171" s="8"/>
      <c r="R171" s="8"/>
      <c r="S171" s="8"/>
      <c r="T171" s="8"/>
      <c r="U171" s="8"/>
      <c r="V171" s="8"/>
      <c r="W171" s="8"/>
    </row>
    <row r="172" spans="1:23" ht="15.75" customHeight="1" x14ac:dyDescent="0.25">
      <c r="A172" s="6" t="s">
        <v>3402</v>
      </c>
      <c r="B172" s="8" t="str">
        <f ca="1">IFERROR(__xludf.DUMMYFUNCTION("""COMPUTED_VALUE"""),"Europa Universalis 4")</f>
        <v>Europa Universalis 4</v>
      </c>
      <c r="C172" s="8">
        <f ca="1">COUNTIF(A1:A3410, B172)</f>
        <v>8</v>
      </c>
      <c r="E172" s="8"/>
      <c r="F172" s="8" t="s">
        <v>3751</v>
      </c>
      <c r="G172" s="14">
        <v>3</v>
      </c>
      <c r="H172" s="8"/>
      <c r="I172" s="8"/>
      <c r="J172" s="8"/>
      <c r="K172" s="8"/>
      <c r="L172" s="8"/>
      <c r="M172" s="8"/>
      <c r="N172" s="8"/>
      <c r="O172" s="8"/>
      <c r="P172" s="8"/>
      <c r="Q172" s="8"/>
      <c r="R172" s="8"/>
      <c r="S172" s="8"/>
      <c r="T172" s="8"/>
      <c r="U172" s="8"/>
      <c r="V172" s="8"/>
      <c r="W172" s="8"/>
    </row>
    <row r="173" spans="1:23" ht="15.75" customHeight="1" x14ac:dyDescent="0.25">
      <c r="A173" s="6" t="s">
        <v>3402</v>
      </c>
      <c r="B173" s="8" t="str">
        <f ca="1">IFERROR(__xludf.DUMMYFUNCTION("""COMPUTED_VALUE"""),"EVE Online")</f>
        <v>EVE Online</v>
      </c>
      <c r="C173" s="8">
        <f ca="1">COUNTIF(A1:A3410, B173)</f>
        <v>3</v>
      </c>
      <c r="E173" s="8"/>
      <c r="F173" s="8" t="s">
        <v>3757</v>
      </c>
      <c r="G173" s="14">
        <v>3</v>
      </c>
      <c r="H173" s="8"/>
      <c r="I173" s="8"/>
      <c r="J173" s="8"/>
      <c r="K173" s="8"/>
      <c r="L173" s="8"/>
      <c r="M173" s="8"/>
      <c r="N173" s="8"/>
      <c r="O173" s="8"/>
      <c r="P173" s="8"/>
      <c r="Q173" s="8"/>
      <c r="R173" s="8"/>
      <c r="S173" s="8"/>
      <c r="T173" s="8"/>
      <c r="U173" s="8"/>
      <c r="V173" s="8"/>
      <c r="W173" s="8"/>
    </row>
    <row r="174" spans="1:23" ht="15.75" customHeight="1" x14ac:dyDescent="0.25">
      <c r="A174" s="6" t="s">
        <v>3402</v>
      </c>
      <c r="B174" s="8" t="str">
        <f ca="1">IFERROR(__xludf.DUMMYFUNCTION("""COMPUTED_VALUE"""),"everything")</f>
        <v>everything</v>
      </c>
      <c r="C174" s="8">
        <f ca="1">COUNTIF(A1:A3410, B174)</f>
        <v>51</v>
      </c>
      <c r="E174" s="8"/>
      <c r="F174" s="8" t="s">
        <v>3758</v>
      </c>
      <c r="G174" s="14">
        <v>3</v>
      </c>
      <c r="H174" s="8"/>
      <c r="I174" s="8"/>
      <c r="J174" s="8"/>
      <c r="K174" s="8"/>
      <c r="L174" s="8"/>
      <c r="M174" s="8"/>
      <c r="N174" s="8"/>
      <c r="O174" s="8"/>
      <c r="P174" s="8"/>
      <c r="Q174" s="8"/>
      <c r="R174" s="8"/>
      <c r="S174" s="8"/>
      <c r="T174" s="8"/>
      <c r="U174" s="8"/>
      <c r="V174" s="8"/>
      <c r="W174" s="8"/>
    </row>
    <row r="175" spans="1:23" ht="15.75" customHeight="1" x14ac:dyDescent="0.25">
      <c r="A175" s="6" t="s">
        <v>3402</v>
      </c>
      <c r="B175" s="8" t="str">
        <f ca="1">IFERROR(__xludf.DUMMYFUNCTION("""COMPUTED_VALUE"""),"Evolution")</f>
        <v>Evolution</v>
      </c>
      <c r="C175" s="8">
        <f ca="1">COUNTIF(A1:A3410, B175)</f>
        <v>1</v>
      </c>
      <c r="E175" s="8"/>
      <c r="F175" s="8" t="s">
        <v>3761</v>
      </c>
      <c r="G175" s="14">
        <v>3</v>
      </c>
      <c r="H175" s="8"/>
      <c r="I175" s="8"/>
      <c r="J175" s="8"/>
      <c r="K175" s="8"/>
      <c r="L175" s="8"/>
      <c r="M175" s="8"/>
      <c r="N175" s="8"/>
      <c r="O175" s="8"/>
      <c r="P175" s="8"/>
      <c r="Q175" s="8"/>
      <c r="R175" s="8"/>
      <c r="S175" s="8"/>
      <c r="T175" s="8"/>
      <c r="U175" s="8"/>
      <c r="V175" s="8"/>
      <c r="W175" s="8"/>
    </row>
    <row r="176" spans="1:23" ht="15.75" customHeight="1" x14ac:dyDescent="0.25">
      <c r="A176" s="6" t="s">
        <v>3402</v>
      </c>
      <c r="B176" s="8" t="str">
        <f ca="1">IFERROR(__xludf.DUMMYFUNCTION("""COMPUTED_VALUE"""),"Exanima")</f>
        <v>Exanima</v>
      </c>
      <c r="C176" s="8">
        <f ca="1">COUNTIF(A1:A3410, B176)</f>
        <v>1</v>
      </c>
      <c r="E176" s="8"/>
      <c r="F176" s="8" t="s">
        <v>3763</v>
      </c>
      <c r="G176" s="14">
        <v>3</v>
      </c>
      <c r="H176" s="8"/>
      <c r="I176" s="8"/>
      <c r="J176" s="8"/>
      <c r="K176" s="8"/>
      <c r="L176" s="8"/>
      <c r="M176" s="8"/>
      <c r="N176" s="8"/>
      <c r="O176" s="8"/>
      <c r="P176" s="8"/>
      <c r="Q176" s="8"/>
      <c r="R176" s="8"/>
      <c r="S176" s="8"/>
      <c r="T176" s="8"/>
      <c r="U176" s="8"/>
      <c r="V176" s="8"/>
      <c r="W176" s="8"/>
    </row>
    <row r="177" spans="1:23" ht="15.75" customHeight="1" x14ac:dyDescent="0.25">
      <c r="A177" s="6" t="s">
        <v>3402</v>
      </c>
      <c r="B177" s="8" t="str">
        <f ca="1">IFERROR(__xludf.DUMMYFUNCTION("""COMPUTED_VALUE"""),"exapunks")</f>
        <v>exapunks</v>
      </c>
      <c r="C177" s="8">
        <f ca="1">COUNTIF(A1:A3410, B177)</f>
        <v>1</v>
      </c>
      <c r="E177" s="8"/>
      <c r="F177" s="8" t="s">
        <v>708</v>
      </c>
      <c r="G177" s="14">
        <v>3</v>
      </c>
      <c r="H177" s="8"/>
      <c r="I177" s="8"/>
      <c r="J177" s="8"/>
      <c r="K177" s="8"/>
      <c r="L177" s="8"/>
      <c r="M177" s="8"/>
      <c r="N177" s="8"/>
      <c r="O177" s="8"/>
      <c r="P177" s="8"/>
      <c r="Q177" s="8"/>
      <c r="R177" s="8"/>
      <c r="S177" s="8"/>
      <c r="T177" s="8"/>
      <c r="U177" s="8"/>
      <c r="V177" s="8"/>
      <c r="W177" s="8"/>
    </row>
    <row r="178" spans="1:23" ht="15.75" customHeight="1" x14ac:dyDescent="0.25">
      <c r="A178" s="6" t="s">
        <v>3589</v>
      </c>
      <c r="B178" s="8" t="str">
        <f ca="1">IFERROR(__xludf.DUMMYFUNCTION("""COMPUTED_VALUE"""),"F1 2018")</f>
        <v>F1 2018</v>
      </c>
      <c r="C178" s="8">
        <f ca="1">COUNTIF(A1:A3410, B178)</f>
        <v>1</v>
      </c>
      <c r="E178" s="8"/>
      <c r="F178" s="8" t="s">
        <v>3767</v>
      </c>
      <c r="G178" s="14">
        <v>3</v>
      </c>
      <c r="H178" s="8"/>
      <c r="I178" s="8"/>
      <c r="J178" s="8"/>
      <c r="K178" s="8"/>
      <c r="L178" s="8"/>
      <c r="M178" s="8"/>
      <c r="N178" s="8"/>
      <c r="O178" s="8"/>
      <c r="P178" s="8"/>
      <c r="Q178" s="8"/>
      <c r="R178" s="8"/>
      <c r="S178" s="8"/>
      <c r="T178" s="8"/>
      <c r="U178" s="8"/>
      <c r="V178" s="8"/>
      <c r="W178" s="8"/>
    </row>
    <row r="179" spans="1:23" ht="15.75" customHeight="1" x14ac:dyDescent="0.25">
      <c r="A179" s="6" t="s">
        <v>3589</v>
      </c>
      <c r="B179" s="8" t="str">
        <f ca="1">IFERROR(__xludf.DUMMYFUNCTION("""COMPUTED_VALUE"""),"F2P games")</f>
        <v>F2P games</v>
      </c>
      <c r="C179" s="8">
        <f ca="1">COUNTIF(A1:A3410, B179)</f>
        <v>3</v>
      </c>
      <c r="E179" s="8"/>
      <c r="F179" s="8" t="s">
        <v>3771</v>
      </c>
      <c r="G179" s="14">
        <v>3</v>
      </c>
      <c r="H179" s="8"/>
      <c r="I179" s="8"/>
      <c r="J179" s="8"/>
      <c r="K179" s="8"/>
      <c r="L179" s="8"/>
      <c r="M179" s="8"/>
      <c r="N179" s="8"/>
      <c r="O179" s="8"/>
      <c r="P179" s="8"/>
      <c r="Q179" s="8"/>
      <c r="R179" s="8"/>
      <c r="S179" s="8"/>
      <c r="T179" s="8"/>
      <c r="U179" s="8"/>
      <c r="V179" s="8"/>
      <c r="W179" s="8"/>
    </row>
    <row r="180" spans="1:23" ht="15.75" customHeight="1" x14ac:dyDescent="0.25">
      <c r="A180" s="6" t="s">
        <v>3589</v>
      </c>
      <c r="B180" s="8" t="str">
        <f ca="1">IFERROR(__xludf.DUMMYFUNCTION("""COMPUTED_VALUE"""),"Factorio")</f>
        <v>Factorio</v>
      </c>
      <c r="C180" s="8">
        <f ca="1">COUNTIF(A1:A3410, B180)</f>
        <v>11</v>
      </c>
      <c r="E180" s="8"/>
      <c r="F180" s="8" t="s">
        <v>3773</v>
      </c>
      <c r="G180" s="14">
        <v>3</v>
      </c>
      <c r="H180" s="8"/>
      <c r="I180" s="8"/>
      <c r="J180" s="8"/>
      <c r="K180" s="8"/>
      <c r="L180" s="8"/>
      <c r="M180" s="8"/>
      <c r="N180" s="8"/>
      <c r="O180" s="8"/>
      <c r="P180" s="8"/>
      <c r="Q180" s="8"/>
      <c r="R180" s="8"/>
      <c r="S180" s="8"/>
      <c r="T180" s="8"/>
      <c r="U180" s="8"/>
      <c r="V180" s="8"/>
      <c r="W180" s="8"/>
    </row>
    <row r="181" spans="1:23" ht="15.75" customHeight="1" x14ac:dyDescent="0.25">
      <c r="A181" s="6" t="s">
        <v>3589</v>
      </c>
      <c r="B181" s="8" t="str">
        <f ca="1">IFERROR(__xludf.DUMMYFUNCTION("""COMPUTED_VALUE"""),"Faeria")</f>
        <v>Faeria</v>
      </c>
      <c r="C181" s="8">
        <f ca="1">COUNTIF(A1:A3410, B181)</f>
        <v>5</v>
      </c>
      <c r="E181" s="8"/>
      <c r="F181" s="8" t="s">
        <v>3775</v>
      </c>
      <c r="G181" s="14">
        <v>3</v>
      </c>
      <c r="H181" s="8"/>
      <c r="I181" s="8"/>
      <c r="J181" s="8"/>
      <c r="K181" s="8"/>
      <c r="L181" s="8"/>
      <c r="M181" s="8"/>
      <c r="N181" s="8"/>
      <c r="O181" s="8"/>
      <c r="P181" s="8"/>
      <c r="Q181" s="8"/>
      <c r="R181" s="8"/>
      <c r="S181" s="8"/>
      <c r="T181" s="8"/>
      <c r="U181" s="8"/>
      <c r="V181" s="8"/>
      <c r="W181" s="8"/>
    </row>
    <row r="182" spans="1:23" ht="15.75" customHeight="1" x14ac:dyDescent="0.25">
      <c r="A182" s="6" t="s">
        <v>3777</v>
      </c>
      <c r="B182" s="8" t="str">
        <f ca="1">IFERROR(__xludf.DUMMYFUNCTION("""COMPUTED_VALUE"""),"Fallout 1-4")</f>
        <v>Fallout 1-4</v>
      </c>
      <c r="C182" s="8">
        <f ca="1">COUNTIF(A1:A3410, B182)</f>
        <v>26</v>
      </c>
      <c r="E182" s="8"/>
      <c r="F182" s="8" t="s">
        <v>3780</v>
      </c>
      <c r="G182" s="14">
        <v>3</v>
      </c>
      <c r="H182" s="8"/>
      <c r="I182" s="8"/>
      <c r="J182" s="8"/>
      <c r="K182" s="8"/>
      <c r="L182" s="8"/>
      <c r="M182" s="8"/>
      <c r="N182" s="8"/>
      <c r="O182" s="8"/>
      <c r="P182" s="8"/>
      <c r="Q182" s="8"/>
      <c r="R182" s="8"/>
      <c r="S182" s="8"/>
      <c r="T182" s="8"/>
      <c r="U182" s="8"/>
      <c r="V182" s="8"/>
      <c r="W182" s="8"/>
    </row>
    <row r="183" spans="1:23" ht="15.75" customHeight="1" x14ac:dyDescent="0.25">
      <c r="A183" s="6" t="s">
        <v>3777</v>
      </c>
      <c r="B183" s="8" t="str">
        <f ca="1">IFERROR(__xludf.DUMMYFUNCTION("""COMPUTED_VALUE"""),"Fallout 76")</f>
        <v>Fallout 76</v>
      </c>
      <c r="C183" s="8">
        <f ca="1">COUNTIF(A1:A3410, B183)</f>
        <v>13</v>
      </c>
      <c r="E183" s="8"/>
      <c r="F183" s="8" t="s">
        <v>3784</v>
      </c>
      <c r="G183" s="14">
        <v>3</v>
      </c>
      <c r="H183" s="8"/>
      <c r="I183" s="8"/>
      <c r="J183" s="8"/>
      <c r="K183" s="8"/>
      <c r="L183" s="8"/>
      <c r="M183" s="8"/>
      <c r="N183" s="8"/>
      <c r="O183" s="8"/>
      <c r="P183" s="8"/>
      <c r="Q183" s="8"/>
      <c r="R183" s="8"/>
      <c r="S183" s="8"/>
      <c r="T183" s="8"/>
      <c r="U183" s="8"/>
      <c r="V183" s="8"/>
      <c r="W183" s="8"/>
    </row>
    <row r="184" spans="1:23" ht="15.75" customHeight="1" x14ac:dyDescent="0.25">
      <c r="A184" s="6" t="s">
        <v>3786</v>
      </c>
      <c r="B184" s="8" t="str">
        <f ca="1">IFERROR(__xludf.DUMMYFUNCTION("""COMPUTED_VALUE"""),"Fallout Shelter")</f>
        <v>Fallout Shelter</v>
      </c>
      <c r="C184" s="8">
        <f ca="1">COUNTIF(A1:A3410, B184)</f>
        <v>1</v>
      </c>
      <c r="E184" s="8"/>
      <c r="F184" s="8" t="s">
        <v>3789</v>
      </c>
      <c r="G184" s="14">
        <v>3</v>
      </c>
      <c r="H184" s="8"/>
      <c r="I184" s="8"/>
      <c r="J184" s="8"/>
      <c r="K184" s="8"/>
      <c r="L184" s="8"/>
      <c r="M184" s="8"/>
      <c r="N184" s="8"/>
      <c r="O184" s="8"/>
      <c r="P184" s="8"/>
      <c r="Q184" s="8"/>
      <c r="R184" s="8"/>
      <c r="S184" s="8"/>
      <c r="T184" s="8"/>
      <c r="U184" s="8"/>
      <c r="V184" s="8"/>
      <c r="W184" s="8"/>
    </row>
    <row r="185" spans="1:23" ht="15.75" customHeight="1" x14ac:dyDescent="0.25">
      <c r="A185" s="8" t="s">
        <v>3679</v>
      </c>
      <c r="B185" s="8" t="str">
        <f ca="1">IFERROR(__xludf.DUMMYFUNCTION("""COMPUTED_VALUE"""),"Far North")</f>
        <v>Far North</v>
      </c>
      <c r="C185" s="8">
        <f ca="1">COUNTIF(A1:A3410, B185)</f>
        <v>1</v>
      </c>
      <c r="E185" s="8"/>
      <c r="F185" s="8" t="s">
        <v>3207</v>
      </c>
      <c r="G185" s="14">
        <v>2</v>
      </c>
      <c r="H185" s="8"/>
      <c r="I185" s="8"/>
      <c r="J185" s="8"/>
      <c r="K185" s="8"/>
      <c r="L185" s="8"/>
      <c r="M185" s="8"/>
      <c r="N185" s="8"/>
      <c r="O185" s="8"/>
      <c r="P185" s="8"/>
      <c r="Q185" s="8"/>
      <c r="R185" s="8"/>
      <c r="S185" s="8"/>
      <c r="T185" s="8"/>
      <c r="U185" s="8"/>
      <c r="V185" s="8"/>
      <c r="W185" s="8"/>
    </row>
    <row r="186" spans="1:23" ht="15.75" customHeight="1" x14ac:dyDescent="0.25">
      <c r="A186" s="8" t="s">
        <v>3679</v>
      </c>
      <c r="B186" s="8" t="str">
        <f ca="1">IFERROR(__xludf.DUMMYFUNCTION("""COMPUTED_VALUE"""),"Farm Together")</f>
        <v>Farm Together</v>
      </c>
      <c r="C186" s="8">
        <f ca="1">COUNTIF(A1:A3410, B186)</f>
        <v>1</v>
      </c>
      <c r="E186" s="8"/>
      <c r="F186" s="8" t="s">
        <v>2140</v>
      </c>
      <c r="G186" s="14">
        <v>2</v>
      </c>
      <c r="H186" s="8"/>
      <c r="I186" s="8"/>
      <c r="J186" s="8"/>
      <c r="K186" s="8"/>
      <c r="L186" s="8"/>
      <c r="M186" s="8"/>
      <c r="N186" s="8"/>
      <c r="O186" s="8"/>
      <c r="P186" s="8"/>
      <c r="Q186" s="8"/>
      <c r="R186" s="8"/>
      <c r="S186" s="8"/>
      <c r="T186" s="8"/>
      <c r="U186" s="8"/>
      <c r="V186" s="8"/>
      <c r="W186" s="8"/>
    </row>
    <row r="187" spans="1:23" ht="15.75" customHeight="1" x14ac:dyDescent="0.25">
      <c r="A187" s="6" t="s">
        <v>3679</v>
      </c>
      <c r="B187" s="8" t="str">
        <f ca="1">IFERROR(__xludf.DUMMYFUNCTION("""COMPUTED_VALUE"""),"Fate Hunters")</f>
        <v>Fate Hunters</v>
      </c>
      <c r="C187" s="8">
        <f ca="1">COUNTIF(A1:A3410, B187)</f>
        <v>1</v>
      </c>
      <c r="E187" s="8"/>
      <c r="F187" s="8" t="s">
        <v>3259</v>
      </c>
      <c r="G187" s="14">
        <v>2</v>
      </c>
      <c r="H187" s="8"/>
      <c r="I187" s="8"/>
      <c r="J187" s="8"/>
      <c r="K187" s="8"/>
      <c r="L187" s="8"/>
      <c r="M187" s="8"/>
      <c r="N187" s="8"/>
      <c r="O187" s="8"/>
      <c r="P187" s="8"/>
      <c r="Q187" s="8"/>
      <c r="R187" s="8"/>
      <c r="S187" s="8"/>
      <c r="T187" s="8"/>
      <c r="U187" s="8"/>
      <c r="V187" s="8"/>
      <c r="W187" s="8"/>
    </row>
    <row r="188" spans="1:23" ht="15.75" customHeight="1" x14ac:dyDescent="0.25">
      <c r="A188" s="6" t="s">
        <v>3800</v>
      </c>
      <c r="B188" s="8" t="str">
        <f ca="1">IFERROR(__xludf.DUMMYFUNCTION("""COMPUTED_VALUE"""),"FIFA")</f>
        <v>FIFA</v>
      </c>
      <c r="C188" s="8">
        <f ca="1">COUNTIF(A1:A3410, B188)</f>
        <v>7</v>
      </c>
      <c r="E188" s="8"/>
      <c r="F188" s="8" t="s">
        <v>3263</v>
      </c>
      <c r="G188" s="14">
        <v>2</v>
      </c>
      <c r="H188" s="8"/>
      <c r="I188" s="8"/>
      <c r="J188" s="8"/>
      <c r="K188" s="8"/>
      <c r="L188" s="8"/>
      <c r="M188" s="8"/>
      <c r="N188" s="8"/>
      <c r="O188" s="8"/>
      <c r="P188" s="8"/>
      <c r="Q188" s="8"/>
      <c r="R188" s="8"/>
      <c r="S188" s="8"/>
      <c r="T188" s="8"/>
      <c r="U188" s="8"/>
      <c r="V188" s="8"/>
      <c r="W188" s="8"/>
    </row>
    <row r="189" spans="1:23" ht="15.75" customHeight="1" x14ac:dyDescent="0.25">
      <c r="A189" s="6" t="s">
        <v>3800</v>
      </c>
      <c r="B189" s="8" t="str">
        <f ca="1">IFERROR(__xludf.DUMMYFUNCTION("""COMPUTED_VALUE"""),"Fighting games")</f>
        <v>Fighting games</v>
      </c>
      <c r="C189" s="8">
        <f ca="1">COUNTIF(A1:A3410, B189)</f>
        <v>10</v>
      </c>
      <c r="E189" s="8"/>
      <c r="F189" s="8" t="s">
        <v>3268</v>
      </c>
      <c r="G189" s="14">
        <v>2</v>
      </c>
      <c r="H189" s="8"/>
      <c r="I189" s="8"/>
      <c r="J189" s="8"/>
      <c r="K189" s="8"/>
      <c r="L189" s="8"/>
      <c r="M189" s="8"/>
      <c r="N189" s="8"/>
      <c r="O189" s="8"/>
      <c r="P189" s="8"/>
      <c r="Q189" s="8"/>
      <c r="R189" s="8"/>
      <c r="S189" s="8"/>
      <c r="T189" s="8"/>
      <c r="U189" s="8"/>
      <c r="V189" s="8"/>
      <c r="W189" s="8"/>
    </row>
    <row r="190" spans="1:23" ht="15.75" customHeight="1" x14ac:dyDescent="0.25">
      <c r="A190" s="6" t="s">
        <v>3683</v>
      </c>
      <c r="B190" s="8" t="str">
        <f ca="1">IFERROR(__xludf.DUMMYFUNCTION("""COMPUTED_VALUE"""),"Final Fantasy")</f>
        <v>Final Fantasy</v>
      </c>
      <c r="C190" s="8">
        <f ca="1">COUNTIF(A1:A3410, B190)</f>
        <v>17</v>
      </c>
      <c r="E190" s="8"/>
      <c r="F190" s="8" t="s">
        <v>2080</v>
      </c>
      <c r="G190" s="14">
        <v>2</v>
      </c>
      <c r="H190" s="8"/>
      <c r="I190" s="8"/>
      <c r="J190" s="8"/>
      <c r="K190" s="8"/>
      <c r="L190" s="8"/>
      <c r="M190" s="8"/>
      <c r="N190" s="8"/>
      <c r="O190" s="8"/>
      <c r="P190" s="8"/>
      <c r="Q190" s="8"/>
      <c r="R190" s="8"/>
      <c r="S190" s="8"/>
      <c r="T190" s="8"/>
      <c r="U190" s="8"/>
      <c r="V190" s="8"/>
      <c r="W190" s="8"/>
    </row>
    <row r="191" spans="1:23" ht="15.75" customHeight="1" x14ac:dyDescent="0.25">
      <c r="A191" s="6" t="s">
        <v>3683</v>
      </c>
      <c r="B191" s="8" t="str">
        <f ca="1">IFERROR(__xludf.DUMMYFUNCTION("""COMPUTED_VALUE"""),"Fishing PLanet")</f>
        <v>Fishing PLanet</v>
      </c>
      <c r="C191" s="8">
        <f ca="1">COUNTIF(A1:A3410, B191)</f>
        <v>1</v>
      </c>
      <c r="E191" s="8"/>
      <c r="F191" s="8" t="s">
        <v>3427</v>
      </c>
      <c r="G191" s="14">
        <v>2</v>
      </c>
      <c r="H191" s="8"/>
      <c r="I191" s="8"/>
      <c r="J191" s="8"/>
      <c r="K191" s="8"/>
      <c r="L191" s="8"/>
      <c r="M191" s="8"/>
      <c r="N191" s="8"/>
      <c r="O191" s="8"/>
      <c r="P191" s="8"/>
      <c r="Q191" s="8"/>
      <c r="R191" s="8"/>
      <c r="S191" s="8"/>
      <c r="T191" s="8"/>
      <c r="U191" s="8"/>
      <c r="V191" s="8"/>
      <c r="W191" s="8"/>
    </row>
    <row r="192" spans="1:23" ht="15.75" customHeight="1" x14ac:dyDescent="0.25">
      <c r="A192" s="6" t="s">
        <v>3683</v>
      </c>
      <c r="B192" s="8" t="str">
        <f ca="1">IFERROR(__xludf.DUMMYFUNCTION("""COMPUTED_VALUE"""),"Fistful of Frags")</f>
        <v>Fistful of Frags</v>
      </c>
      <c r="C192" s="8">
        <f ca="1">COUNTIF(A1:A3410, B192)</f>
        <v>1</v>
      </c>
      <c r="E192" s="8"/>
      <c r="F192" s="8" t="s">
        <v>3515</v>
      </c>
      <c r="G192" s="14">
        <v>2</v>
      </c>
      <c r="H192" s="8"/>
      <c r="I192" s="8"/>
      <c r="J192" s="8"/>
      <c r="K192" s="8"/>
      <c r="L192" s="8"/>
      <c r="M192" s="8"/>
      <c r="N192" s="8"/>
      <c r="O192" s="8"/>
      <c r="P192" s="8"/>
      <c r="Q192" s="8"/>
      <c r="R192" s="8"/>
      <c r="S192" s="8"/>
      <c r="T192" s="8"/>
      <c r="U192" s="8"/>
      <c r="V192" s="8"/>
      <c r="W192" s="8"/>
    </row>
    <row r="193" spans="1:23" ht="15.75" customHeight="1" x14ac:dyDescent="0.25">
      <c r="A193" s="6" t="s">
        <v>3307</v>
      </c>
      <c r="B193" s="8" t="str">
        <f ca="1">IFERROR(__xludf.DUMMYFUNCTION("""COMPUTED_VALUE"""),"Five Nights at Freddy's")</f>
        <v>Five Nights at Freddy's</v>
      </c>
      <c r="C193" s="8">
        <f ca="1">COUNTIF(A1:A3410, B193)</f>
        <v>1</v>
      </c>
      <c r="E193" s="8"/>
      <c r="F193" s="8" t="s">
        <v>3722</v>
      </c>
      <c r="G193" s="14">
        <v>2</v>
      </c>
      <c r="H193" s="8"/>
      <c r="I193" s="8"/>
      <c r="J193" s="8"/>
      <c r="K193" s="8"/>
      <c r="L193" s="8"/>
      <c r="M193" s="8"/>
      <c r="N193" s="8"/>
      <c r="O193" s="8"/>
      <c r="P193" s="8"/>
      <c r="Q193" s="8"/>
      <c r="R193" s="8"/>
      <c r="S193" s="8"/>
      <c r="T193" s="8"/>
      <c r="U193" s="8"/>
      <c r="V193" s="8"/>
      <c r="W193" s="8"/>
    </row>
    <row r="194" spans="1:23" ht="15.75" customHeight="1" x14ac:dyDescent="0.25">
      <c r="A194" s="6" t="s">
        <v>3307</v>
      </c>
      <c r="B194" s="8" t="str">
        <f ca="1">IFERROR(__xludf.DUMMYFUNCTION("""COMPUTED_VALUE"""),"Football Manager")</f>
        <v>Football Manager</v>
      </c>
      <c r="C194" s="8">
        <f ca="1">COUNTIF(A1:A3410, B194)</f>
        <v>2</v>
      </c>
      <c r="E194" s="8"/>
      <c r="F194" s="8" t="s">
        <v>3777</v>
      </c>
      <c r="G194" s="14">
        <v>2</v>
      </c>
      <c r="H194" s="8"/>
      <c r="I194" s="8"/>
      <c r="J194" s="8"/>
      <c r="K194" s="8"/>
      <c r="L194" s="8"/>
      <c r="M194" s="8"/>
      <c r="N194" s="8"/>
      <c r="O194" s="8"/>
      <c r="P194" s="8"/>
      <c r="Q194" s="8"/>
      <c r="R194" s="8"/>
      <c r="S194" s="8"/>
      <c r="T194" s="8"/>
      <c r="U194" s="8"/>
      <c r="V194" s="8"/>
      <c r="W194" s="8"/>
    </row>
    <row r="195" spans="1:23" ht="15.75" customHeight="1" x14ac:dyDescent="0.25">
      <c r="A195" s="6" t="s">
        <v>3307</v>
      </c>
      <c r="B195" s="8" t="str">
        <f ca="1">IFERROR(__xludf.DUMMYFUNCTION("""COMPUTED_VALUE"""),"For Honor")</f>
        <v>For Honor</v>
      </c>
      <c r="C195" s="8">
        <f ca="1">COUNTIF(A1:A3410, B195)</f>
        <v>17</v>
      </c>
      <c r="E195" s="8"/>
      <c r="F195" s="8" t="s">
        <v>3800</v>
      </c>
      <c r="G195" s="14">
        <v>2</v>
      </c>
      <c r="H195" s="8"/>
      <c r="I195" s="8"/>
      <c r="J195" s="8"/>
      <c r="K195" s="8"/>
      <c r="L195" s="8"/>
      <c r="M195" s="8"/>
      <c r="N195" s="8"/>
      <c r="O195" s="8"/>
      <c r="P195" s="8"/>
      <c r="Q195" s="8"/>
      <c r="R195" s="8"/>
      <c r="S195" s="8"/>
      <c r="T195" s="8"/>
      <c r="U195" s="8"/>
      <c r="V195" s="8"/>
      <c r="W195" s="8"/>
    </row>
    <row r="196" spans="1:23" ht="15.75" customHeight="1" x14ac:dyDescent="0.25">
      <c r="A196" s="6" t="s">
        <v>3307</v>
      </c>
      <c r="B196" s="8" t="str">
        <f ca="1">IFERROR(__xludf.DUMMYFUNCTION("""COMPUTED_VALUE"""),"Forced")</f>
        <v>Forced</v>
      </c>
      <c r="C196" s="8">
        <f ca="1">COUNTIF(A1:A3410, B196)</f>
        <v>3</v>
      </c>
      <c r="E196" s="8"/>
      <c r="F196" s="8" t="s">
        <v>3821</v>
      </c>
      <c r="G196" s="14">
        <v>2</v>
      </c>
      <c r="H196" s="8"/>
      <c r="I196" s="8"/>
      <c r="J196" s="8"/>
      <c r="K196" s="8"/>
      <c r="L196" s="8"/>
      <c r="M196" s="8"/>
      <c r="N196" s="8"/>
      <c r="O196" s="8"/>
      <c r="P196" s="8"/>
      <c r="Q196" s="8"/>
      <c r="R196" s="8"/>
      <c r="S196" s="8"/>
      <c r="T196" s="8"/>
      <c r="U196" s="8"/>
      <c r="V196" s="8"/>
      <c r="W196" s="8"/>
    </row>
    <row r="197" spans="1:23" ht="15.75" customHeight="1" x14ac:dyDescent="0.25">
      <c r="A197" s="6" t="s">
        <v>3307</v>
      </c>
      <c r="B197" s="8" t="str">
        <f ca="1">IFERROR(__xludf.DUMMYFUNCTION("""COMPUTED_VALUE"""),"Forced Showdown")</f>
        <v>Forced Showdown</v>
      </c>
      <c r="C197" s="8">
        <f ca="1">COUNTIF(A1:A3410, B197)</f>
        <v>2</v>
      </c>
      <c r="E197" s="8"/>
      <c r="F197" s="8" t="s">
        <v>3823</v>
      </c>
      <c r="G197" s="14">
        <v>2</v>
      </c>
      <c r="H197" s="8"/>
      <c r="I197" s="8"/>
      <c r="J197" s="8"/>
      <c r="K197" s="8"/>
      <c r="L197" s="8"/>
      <c r="M197" s="8"/>
      <c r="N197" s="8"/>
      <c r="O197" s="8"/>
      <c r="P197" s="8"/>
      <c r="Q197" s="8"/>
      <c r="R197" s="8"/>
      <c r="S197" s="8"/>
      <c r="T197" s="8"/>
      <c r="U197" s="8"/>
      <c r="V197" s="8"/>
      <c r="W197" s="8"/>
    </row>
    <row r="198" spans="1:23" ht="15.75" customHeight="1" x14ac:dyDescent="0.25">
      <c r="A198" s="6" t="s">
        <v>3307</v>
      </c>
      <c r="B198" s="8" t="str">
        <f ca="1">IFERROR(__xludf.DUMMYFUNCTION("""COMPUTED_VALUE"""),"Fortnite")</f>
        <v>Fortnite</v>
      </c>
      <c r="C198" s="8">
        <f ca="1">COUNTIF(A1:A3410, B198)</f>
        <v>53</v>
      </c>
      <c r="E198" s="8"/>
      <c r="F198" s="8" t="s">
        <v>3826</v>
      </c>
      <c r="G198" s="14">
        <v>2</v>
      </c>
      <c r="H198" s="8"/>
      <c r="I198" s="8"/>
      <c r="J198" s="8"/>
      <c r="K198" s="8"/>
      <c r="L198" s="8"/>
      <c r="M198" s="8"/>
      <c r="N198" s="8"/>
      <c r="O198" s="8"/>
      <c r="P198" s="8"/>
      <c r="Q198" s="8"/>
      <c r="R198" s="8"/>
      <c r="S198" s="8"/>
      <c r="T198" s="8"/>
      <c r="U198" s="8"/>
      <c r="V198" s="8"/>
      <c r="W198" s="8"/>
    </row>
    <row r="199" spans="1:23" ht="15.75" customHeight="1" x14ac:dyDescent="0.25">
      <c r="A199" s="6" t="s">
        <v>3307</v>
      </c>
      <c r="B199" s="8" t="str">
        <f ca="1">IFERROR(__xludf.DUMMYFUNCTION("""COMPUTED_VALUE"""),"Forza Horizon")</f>
        <v>Forza Horizon</v>
      </c>
      <c r="C199" s="8">
        <f ca="1">COUNTIF(A1:A3410, B199)</f>
        <v>6</v>
      </c>
      <c r="E199" s="8"/>
      <c r="F199" s="8" t="s">
        <v>3828</v>
      </c>
      <c r="G199" s="14">
        <v>2</v>
      </c>
      <c r="H199" s="8"/>
      <c r="I199" s="8"/>
      <c r="J199" s="8"/>
      <c r="K199" s="8"/>
      <c r="L199" s="8"/>
      <c r="M199" s="8"/>
      <c r="N199" s="8"/>
      <c r="O199" s="8"/>
      <c r="P199" s="8"/>
      <c r="Q199" s="8"/>
      <c r="R199" s="8"/>
      <c r="S199" s="8"/>
      <c r="T199" s="8"/>
      <c r="U199" s="8"/>
      <c r="V199" s="8"/>
      <c r="W199" s="8"/>
    </row>
    <row r="200" spans="1:23" ht="15.75" customHeight="1" x14ac:dyDescent="0.25">
      <c r="A200" s="6" t="s">
        <v>3307</v>
      </c>
      <c r="B200" s="8" t="str">
        <f ca="1">IFERROR(__xludf.DUMMYFUNCTION("""COMPUTED_VALUE"""),"FPS")</f>
        <v>FPS</v>
      </c>
      <c r="C200" s="8">
        <f ca="1">COUNTIF(A1:A3410, B200)</f>
        <v>30</v>
      </c>
      <c r="E200" s="8"/>
      <c r="F200" s="8" t="s">
        <v>3829</v>
      </c>
      <c r="G200" s="14">
        <v>2</v>
      </c>
      <c r="H200" s="8"/>
      <c r="I200" s="8"/>
      <c r="J200" s="8"/>
      <c r="K200" s="8"/>
      <c r="L200" s="8"/>
      <c r="M200" s="8"/>
      <c r="N200" s="8"/>
      <c r="O200" s="8"/>
      <c r="P200" s="8"/>
      <c r="Q200" s="8"/>
      <c r="R200" s="8"/>
      <c r="S200" s="8"/>
      <c r="T200" s="8"/>
      <c r="U200" s="8"/>
      <c r="V200" s="8"/>
      <c r="W200" s="8"/>
    </row>
    <row r="201" spans="1:23" ht="15.75" customHeight="1" x14ac:dyDescent="0.25">
      <c r="A201" s="6" t="s">
        <v>3307</v>
      </c>
      <c r="B201" s="8" t="str">
        <f ca="1">IFERROR(__xludf.DUMMYFUNCTION("""COMPUTED_VALUE"""),"fresh body")</f>
        <v>fresh body</v>
      </c>
      <c r="C201" s="8">
        <f ca="1">COUNTIF(A1:A3410, B201)</f>
        <v>1</v>
      </c>
      <c r="E201" s="8"/>
      <c r="F201" s="8" t="s">
        <v>3832</v>
      </c>
      <c r="G201" s="14">
        <v>2</v>
      </c>
      <c r="H201" s="8"/>
      <c r="I201" s="8"/>
      <c r="J201" s="8"/>
      <c r="K201" s="8"/>
      <c r="L201" s="8"/>
      <c r="M201" s="8"/>
      <c r="N201" s="8"/>
      <c r="O201" s="8"/>
      <c r="P201" s="8"/>
      <c r="Q201" s="8"/>
      <c r="R201" s="8"/>
      <c r="S201" s="8"/>
      <c r="T201" s="8"/>
      <c r="U201" s="8"/>
      <c r="V201" s="8"/>
      <c r="W201" s="8"/>
    </row>
    <row r="202" spans="1:23" ht="15.75" customHeight="1" x14ac:dyDescent="0.25">
      <c r="A202" s="6" t="s">
        <v>3307</v>
      </c>
      <c r="B202" s="8" t="str">
        <f ca="1">IFERROR(__xludf.DUMMYFUNCTION("""COMPUTED_VALUE"""),"From The Depths")</f>
        <v>From The Depths</v>
      </c>
      <c r="C202" s="8">
        <f ca="1">COUNTIF(A1:A3410, B202)</f>
        <v>2</v>
      </c>
      <c r="E202" s="8"/>
      <c r="F202" s="8" t="s">
        <v>3835</v>
      </c>
      <c r="G202" s="14">
        <v>2</v>
      </c>
      <c r="H202" s="8"/>
      <c r="I202" s="8"/>
      <c r="J202" s="8"/>
      <c r="K202" s="8"/>
      <c r="L202" s="8"/>
      <c r="M202" s="8"/>
      <c r="N202" s="8"/>
      <c r="O202" s="8"/>
      <c r="P202" s="8"/>
      <c r="Q202" s="8"/>
      <c r="R202" s="8"/>
      <c r="S202" s="8"/>
      <c r="T202" s="8"/>
      <c r="U202" s="8"/>
      <c r="V202" s="8"/>
      <c r="W202" s="8"/>
    </row>
    <row r="203" spans="1:23" ht="15.75" customHeight="1" x14ac:dyDescent="0.25">
      <c r="A203" s="6" t="s">
        <v>3307</v>
      </c>
      <c r="B203" s="8" t="str">
        <f ca="1">IFERROR(__xludf.DUMMYFUNCTION("""COMPUTED_VALUE"""),"Frostpunk")</f>
        <v>Frostpunk</v>
      </c>
      <c r="C203" s="8">
        <f ca="1">COUNTIF(A1:A3410, B203)</f>
        <v>1</v>
      </c>
      <c r="E203" s="8"/>
      <c r="F203" s="8" t="s">
        <v>1300</v>
      </c>
      <c r="G203" s="14">
        <v>2</v>
      </c>
      <c r="H203" s="8"/>
      <c r="I203" s="8"/>
      <c r="J203" s="8"/>
      <c r="K203" s="8"/>
      <c r="L203" s="8"/>
      <c r="M203" s="8"/>
      <c r="N203" s="8"/>
      <c r="O203" s="8"/>
      <c r="P203" s="8"/>
      <c r="Q203" s="8"/>
      <c r="R203" s="8"/>
      <c r="S203" s="8"/>
      <c r="T203" s="8"/>
      <c r="U203" s="8"/>
      <c r="V203" s="8"/>
      <c r="W203" s="8"/>
    </row>
    <row r="204" spans="1:23" ht="15.75" customHeight="1" x14ac:dyDescent="0.25">
      <c r="A204" s="6" t="s">
        <v>3307</v>
      </c>
      <c r="B204" s="8" t="str">
        <f ca="1">IFERROR(__xludf.DUMMYFUNCTION("""COMPUTED_VALUE"""),"FTL")</f>
        <v>FTL</v>
      </c>
      <c r="C204" s="8">
        <f ca="1">COUNTIF(A1:A3410, B204)</f>
        <v>2</v>
      </c>
      <c r="E204" s="8"/>
      <c r="F204" s="8" t="s">
        <v>3839</v>
      </c>
      <c r="G204" s="14">
        <v>2</v>
      </c>
      <c r="H204" s="8"/>
      <c r="I204" s="8"/>
      <c r="J204" s="8"/>
      <c r="K204" s="8"/>
      <c r="L204" s="8"/>
      <c r="M204" s="8"/>
      <c r="N204" s="8"/>
      <c r="O204" s="8"/>
      <c r="P204" s="8"/>
      <c r="Q204" s="8"/>
      <c r="R204" s="8"/>
      <c r="S204" s="8"/>
      <c r="T204" s="8"/>
      <c r="U204" s="8"/>
      <c r="V204" s="8"/>
      <c r="W204" s="8"/>
    </row>
    <row r="205" spans="1:23" ht="15.75" customHeight="1" x14ac:dyDescent="0.25">
      <c r="A205" s="6" t="s">
        <v>3307</v>
      </c>
      <c r="B205" s="8" t="str">
        <f ca="1">IFERROR(__xludf.DUMMYFUNCTION("""COMPUTED_VALUE"""),"Funny games")</f>
        <v>Funny games</v>
      </c>
      <c r="C205" s="8">
        <f ca="1">COUNTIF(A1:A3410, B205)</f>
        <v>1</v>
      </c>
      <c r="E205" s="8"/>
      <c r="F205" s="8" t="s">
        <v>3842</v>
      </c>
      <c r="G205" s="14">
        <v>2</v>
      </c>
      <c r="H205" s="8"/>
      <c r="I205" s="8"/>
      <c r="J205" s="8"/>
      <c r="K205" s="8"/>
      <c r="L205" s="8"/>
      <c r="M205" s="8"/>
      <c r="N205" s="8"/>
      <c r="O205" s="8"/>
      <c r="P205" s="8"/>
      <c r="Q205" s="8"/>
      <c r="R205" s="8"/>
      <c r="S205" s="8"/>
      <c r="T205" s="8"/>
      <c r="U205" s="8"/>
      <c r="V205" s="8"/>
      <c r="W205" s="8"/>
    </row>
    <row r="206" spans="1:23" ht="15.75" customHeight="1" x14ac:dyDescent="0.25">
      <c r="A206" s="6" t="s">
        <v>3307</v>
      </c>
      <c r="B206" s="8" t="str">
        <f ca="1">IFERROR(__xludf.DUMMYFUNCTION("""COMPUTED_VALUE"""),"gang beasts")</f>
        <v>gang beasts</v>
      </c>
      <c r="C206" s="8">
        <f ca="1">COUNTIF(A1:A3410, B206)</f>
        <v>1</v>
      </c>
      <c r="E206" s="8"/>
      <c r="F206" s="8" t="s">
        <v>3844</v>
      </c>
      <c r="G206" s="14">
        <v>2</v>
      </c>
      <c r="H206" s="8"/>
      <c r="I206" s="8"/>
      <c r="J206" s="8"/>
      <c r="K206" s="8"/>
      <c r="L206" s="8"/>
      <c r="M206" s="8"/>
      <c r="N206" s="8"/>
      <c r="O206" s="8"/>
      <c r="P206" s="8"/>
      <c r="Q206" s="8"/>
      <c r="R206" s="8"/>
      <c r="S206" s="8"/>
      <c r="T206" s="8"/>
      <c r="U206" s="8"/>
      <c r="V206" s="8"/>
      <c r="W206" s="8"/>
    </row>
    <row r="207" spans="1:23" ht="15.75" customHeight="1" x14ac:dyDescent="0.25">
      <c r="A207" s="6" t="s">
        <v>3307</v>
      </c>
      <c r="B207" s="8" t="str">
        <f ca="1">IFERROR(__xludf.DUMMYFUNCTION("""COMPUTED_VALUE"""),"Garry's Mod")</f>
        <v>Garry's Mod</v>
      </c>
      <c r="C207" s="8">
        <f ca="1">COUNTIF(A1:A3410, B207)</f>
        <v>12</v>
      </c>
      <c r="E207" s="8"/>
      <c r="F207" s="8" t="s">
        <v>3848</v>
      </c>
      <c r="G207" s="14">
        <v>2</v>
      </c>
      <c r="H207" s="8"/>
      <c r="I207" s="8"/>
      <c r="J207" s="8"/>
      <c r="K207" s="8"/>
      <c r="L207" s="8"/>
      <c r="M207" s="8"/>
      <c r="N207" s="8"/>
      <c r="O207" s="8"/>
      <c r="P207" s="8"/>
      <c r="Q207" s="8"/>
      <c r="R207" s="8"/>
      <c r="S207" s="8"/>
      <c r="T207" s="8"/>
      <c r="U207" s="8"/>
      <c r="V207" s="8"/>
      <c r="W207" s="8"/>
    </row>
    <row r="208" spans="1:23" ht="15.75" customHeight="1" x14ac:dyDescent="0.25">
      <c r="A208" s="6" t="s">
        <v>3307</v>
      </c>
      <c r="B208" s="8" t="str">
        <f ca="1">IFERROR(__xludf.DUMMYFUNCTION("""COMPUTED_VALUE"""),"Gauntlet")</f>
        <v>Gauntlet</v>
      </c>
      <c r="C208" s="8">
        <f ca="1">COUNTIF(A1:A3410, B208)</f>
        <v>1</v>
      </c>
      <c r="E208" s="8"/>
      <c r="F208" s="8" t="s">
        <v>3851</v>
      </c>
      <c r="G208" s="14">
        <v>2</v>
      </c>
      <c r="H208" s="8"/>
      <c r="I208" s="8"/>
      <c r="J208" s="8"/>
      <c r="K208" s="8"/>
      <c r="L208" s="8"/>
      <c r="M208" s="8"/>
      <c r="N208" s="8"/>
      <c r="O208" s="8"/>
      <c r="P208" s="8"/>
      <c r="Q208" s="8"/>
      <c r="R208" s="8"/>
      <c r="S208" s="8"/>
      <c r="T208" s="8"/>
      <c r="U208" s="8"/>
      <c r="V208" s="8"/>
      <c r="W208" s="8"/>
    </row>
    <row r="209" spans="1:23" ht="15.75" customHeight="1" x14ac:dyDescent="0.25">
      <c r="A209" s="6" t="s">
        <v>832</v>
      </c>
      <c r="B209" s="8" t="str">
        <f ca="1">IFERROR(__xludf.DUMMYFUNCTION("""COMPUTED_VALUE"""),"Gears of War")</f>
        <v>Gears of War</v>
      </c>
      <c r="C209" s="8">
        <f t="shared" ref="C209:C210" ca="1" si="0">COUNTIF(A1:A3410, B209)</f>
        <v>1</v>
      </c>
      <c r="E209" s="8"/>
      <c r="F209" s="8" t="s">
        <v>3855</v>
      </c>
      <c r="G209" s="14">
        <v>2</v>
      </c>
      <c r="H209" s="8"/>
      <c r="I209" s="8"/>
      <c r="J209" s="8"/>
      <c r="K209" s="8"/>
      <c r="L209" s="8"/>
      <c r="M209" s="8"/>
      <c r="N209" s="8"/>
      <c r="O209" s="8"/>
      <c r="P209" s="8"/>
      <c r="Q209" s="8"/>
      <c r="R209" s="8"/>
      <c r="S209" s="8"/>
      <c r="T209" s="8"/>
      <c r="U209" s="8"/>
      <c r="V209" s="8"/>
      <c r="W209" s="8"/>
    </row>
    <row r="210" spans="1:23" ht="15.75" customHeight="1" x14ac:dyDescent="0.25">
      <c r="A210" s="6" t="s">
        <v>3284</v>
      </c>
      <c r="B210" s="8" t="str">
        <f ca="1">IFERROR(__xludf.DUMMYFUNCTION("""COMPUTED_VALUE"""),"Gemcraft - chasing shadows")</f>
        <v>Gemcraft - chasing shadows</v>
      </c>
      <c r="C210" s="8">
        <f t="shared" ca="1" si="0"/>
        <v>1</v>
      </c>
      <c r="E210" s="8"/>
      <c r="F210" s="8" t="s">
        <v>3857</v>
      </c>
      <c r="G210" s="14">
        <v>2</v>
      </c>
      <c r="H210" s="8"/>
      <c r="I210" s="8"/>
      <c r="J210" s="8"/>
      <c r="K210" s="8"/>
      <c r="L210" s="8"/>
      <c r="M210" s="8"/>
      <c r="N210" s="8"/>
      <c r="O210" s="8"/>
      <c r="P210" s="8"/>
      <c r="Q210" s="8"/>
      <c r="R210" s="8"/>
      <c r="S210" s="8"/>
      <c r="T210" s="8"/>
      <c r="U210" s="8"/>
      <c r="V210" s="8"/>
      <c r="W210" s="8"/>
    </row>
    <row r="211" spans="1:23" ht="15.75" customHeight="1" x14ac:dyDescent="0.25">
      <c r="A211" s="8" t="s">
        <v>3284</v>
      </c>
      <c r="B211" s="8" t="str">
        <f ca="1">IFERROR(__xludf.DUMMYFUNCTION("""COMPUTED_VALUE"""),"Gems of War")</f>
        <v>Gems of War</v>
      </c>
      <c r="C211" s="8">
        <f ca="1">COUNTIF(A1:A3410, B211)</f>
        <v>1</v>
      </c>
      <c r="E211" s="8"/>
      <c r="F211" s="8" t="s">
        <v>3861</v>
      </c>
      <c r="G211" s="14">
        <v>2</v>
      </c>
      <c r="H211" s="8"/>
      <c r="I211" s="8"/>
      <c r="J211" s="8"/>
      <c r="K211" s="8"/>
      <c r="L211" s="8"/>
      <c r="M211" s="8"/>
      <c r="N211" s="8"/>
      <c r="O211" s="8"/>
      <c r="P211" s="8"/>
      <c r="Q211" s="8"/>
      <c r="R211" s="8"/>
      <c r="S211" s="8"/>
      <c r="T211" s="8"/>
      <c r="U211" s="8"/>
      <c r="V211" s="8"/>
      <c r="W211" s="8"/>
    </row>
    <row r="212" spans="1:23" ht="15.75" customHeight="1" x14ac:dyDescent="0.25">
      <c r="A212" s="6" t="s">
        <v>3284</v>
      </c>
      <c r="B212" s="8" t="str">
        <f ca="1">IFERROR(__xludf.DUMMYFUNCTION("""COMPUTED_VALUE"""),"Geometry Dash")</f>
        <v>Geometry Dash</v>
      </c>
      <c r="C212" s="8">
        <f ca="1">COUNTIF(A1:A3410, B212)</f>
        <v>1</v>
      </c>
      <c r="E212" s="8"/>
      <c r="F212" s="8" t="s">
        <v>3865</v>
      </c>
      <c r="G212" s="14">
        <v>2</v>
      </c>
      <c r="H212" s="8"/>
      <c r="I212" s="8"/>
      <c r="J212" s="8"/>
      <c r="K212" s="8"/>
      <c r="L212" s="8"/>
      <c r="M212" s="8"/>
      <c r="N212" s="8"/>
      <c r="O212" s="8"/>
      <c r="P212" s="8"/>
      <c r="Q212" s="8"/>
      <c r="R212" s="8"/>
      <c r="S212" s="8"/>
      <c r="T212" s="8"/>
      <c r="U212" s="8"/>
      <c r="V212" s="8"/>
      <c r="W212" s="8"/>
    </row>
    <row r="213" spans="1:23" ht="15.75" customHeight="1" x14ac:dyDescent="0.25">
      <c r="A213" s="6" t="s">
        <v>3284</v>
      </c>
      <c r="B213" s="8" t="str">
        <f ca="1">IFERROR(__xludf.DUMMYFUNCTION("""COMPUTED_VALUE"""),"Ghost Recon Wildlands")</f>
        <v>Ghost Recon Wildlands</v>
      </c>
      <c r="C213" s="8">
        <f ca="1">COUNTIF(A1:A3410, B213)</f>
        <v>4</v>
      </c>
      <c r="E213" s="8"/>
      <c r="F213" s="8" t="s">
        <v>3869</v>
      </c>
      <c r="G213" s="14">
        <v>2</v>
      </c>
      <c r="H213" s="8"/>
      <c r="I213" s="8"/>
      <c r="J213" s="8"/>
      <c r="K213" s="8"/>
      <c r="L213" s="8"/>
      <c r="M213" s="8"/>
      <c r="N213" s="8"/>
      <c r="O213" s="8"/>
      <c r="P213" s="8"/>
      <c r="Q213" s="8"/>
      <c r="R213" s="8"/>
      <c r="S213" s="8"/>
      <c r="T213" s="8"/>
      <c r="U213" s="8"/>
      <c r="V213" s="8"/>
      <c r="W213" s="8"/>
    </row>
    <row r="214" spans="1:23" ht="15.75" customHeight="1" x14ac:dyDescent="0.25">
      <c r="A214" s="6" t="s">
        <v>3284</v>
      </c>
      <c r="B214" s="8" t="str">
        <f ca="1">IFERROR(__xludf.DUMMYFUNCTION("""COMPUTED_VALUE"""),"God of War")</f>
        <v>God of War</v>
      </c>
      <c r="C214" s="8">
        <f ca="1">COUNTIF(A1:A3410, B214)</f>
        <v>2</v>
      </c>
      <c r="E214" s="8"/>
      <c r="F214" s="8" t="s">
        <v>3870</v>
      </c>
      <c r="G214" s="14">
        <v>2</v>
      </c>
      <c r="H214" s="8"/>
      <c r="I214" s="8"/>
      <c r="J214" s="8"/>
      <c r="K214" s="8"/>
      <c r="L214" s="8"/>
      <c r="M214" s="8"/>
      <c r="N214" s="8"/>
      <c r="O214" s="8"/>
      <c r="P214" s="8"/>
      <c r="Q214" s="8"/>
      <c r="R214" s="8"/>
      <c r="S214" s="8"/>
      <c r="T214" s="8"/>
      <c r="U214" s="8"/>
      <c r="V214" s="8"/>
      <c r="W214" s="8"/>
    </row>
    <row r="215" spans="1:23" ht="15.75" customHeight="1" x14ac:dyDescent="0.25">
      <c r="A215" s="6" t="s">
        <v>3284</v>
      </c>
      <c r="B215" s="8" t="str">
        <f ca="1">IFERROR(__xludf.DUMMYFUNCTION("""COMPUTED_VALUE"""),"Golem Gates")</f>
        <v>Golem Gates</v>
      </c>
      <c r="C215" s="8">
        <f ca="1">COUNTIF(A1:A3410, B215)</f>
        <v>1</v>
      </c>
      <c r="E215" s="8"/>
      <c r="F215" s="8" t="s">
        <v>3875</v>
      </c>
      <c r="G215" s="14">
        <v>2</v>
      </c>
      <c r="H215" s="8"/>
      <c r="I215" s="8"/>
      <c r="J215" s="8"/>
      <c r="K215" s="8"/>
      <c r="L215" s="8"/>
      <c r="M215" s="8"/>
      <c r="N215" s="8"/>
      <c r="O215" s="8"/>
      <c r="P215" s="8"/>
      <c r="Q215" s="8"/>
      <c r="R215" s="8"/>
      <c r="S215" s="8"/>
      <c r="T215" s="8"/>
      <c r="U215" s="8"/>
      <c r="V215" s="8"/>
      <c r="W215" s="8"/>
    </row>
    <row r="216" spans="1:23" ht="15.75" customHeight="1" x14ac:dyDescent="0.25">
      <c r="A216" s="6" t="s">
        <v>3284</v>
      </c>
      <c r="B216" s="8" t="str">
        <f ca="1">IFERROR(__xludf.DUMMYFUNCTION("""COMPUTED_VALUE"""),"Golf It")</f>
        <v>Golf It</v>
      </c>
      <c r="C216" s="8">
        <f ca="1">COUNTIF(A1:A3410, B216)</f>
        <v>1</v>
      </c>
      <c r="E216" s="8"/>
      <c r="F216" s="8" t="s">
        <v>3878</v>
      </c>
      <c r="G216" s="14">
        <v>2</v>
      </c>
      <c r="H216" s="8"/>
      <c r="I216" s="8"/>
      <c r="J216" s="8"/>
      <c r="K216" s="8"/>
      <c r="L216" s="8"/>
      <c r="M216" s="8"/>
      <c r="N216" s="8"/>
      <c r="O216" s="8"/>
      <c r="P216" s="8"/>
      <c r="Q216" s="8"/>
      <c r="R216" s="8"/>
      <c r="S216" s="8"/>
      <c r="T216" s="8"/>
      <c r="U216" s="8"/>
      <c r="V216" s="8"/>
      <c r="W216" s="8"/>
    </row>
    <row r="217" spans="1:23" ht="15.75" customHeight="1" x14ac:dyDescent="0.25">
      <c r="A217" s="6" t="s">
        <v>3284</v>
      </c>
      <c r="B217" s="8" t="str">
        <f ca="1">IFERROR(__xludf.DUMMYFUNCTION("""COMPUTED_VALUE"""),"Gothic")</f>
        <v>Gothic</v>
      </c>
      <c r="C217" s="8">
        <f ca="1">COUNTIF(A1:A3410, B217)</f>
        <v>2</v>
      </c>
      <c r="E217" s="8"/>
      <c r="F217" s="8" t="s">
        <v>3883</v>
      </c>
      <c r="G217" s="14">
        <v>2</v>
      </c>
      <c r="H217" s="8"/>
      <c r="I217" s="8"/>
      <c r="J217" s="8"/>
      <c r="K217" s="8"/>
      <c r="L217" s="8"/>
      <c r="M217" s="8"/>
      <c r="N217" s="8"/>
      <c r="O217" s="8"/>
      <c r="P217" s="8"/>
      <c r="Q217" s="8"/>
      <c r="R217" s="8"/>
      <c r="S217" s="8"/>
      <c r="T217" s="8"/>
      <c r="U217" s="8"/>
      <c r="V217" s="8"/>
      <c r="W217" s="8"/>
    </row>
    <row r="218" spans="1:23" ht="15.75" customHeight="1" x14ac:dyDescent="0.25">
      <c r="A218" s="6" t="s">
        <v>3284</v>
      </c>
      <c r="B218" s="8" t="str">
        <f ca="1">IFERROR(__xludf.DUMMYFUNCTION("""COMPUTED_VALUE"""),"Gran Turismo 4")</f>
        <v>Gran Turismo 4</v>
      </c>
      <c r="C218" s="8">
        <f ca="1">COUNTIF(A1:A3410, B218)</f>
        <v>1</v>
      </c>
      <c r="E218" s="8"/>
      <c r="F218" s="8" t="s">
        <v>3887</v>
      </c>
      <c r="G218" s="14">
        <v>2</v>
      </c>
      <c r="H218" s="8"/>
      <c r="I218" s="8"/>
      <c r="J218" s="8"/>
      <c r="K218" s="8"/>
      <c r="L218" s="8"/>
      <c r="M218" s="8"/>
      <c r="N218" s="8"/>
      <c r="O218" s="8"/>
      <c r="P218" s="8"/>
      <c r="Q218" s="8"/>
      <c r="R218" s="8"/>
      <c r="S218" s="8"/>
      <c r="T218" s="8"/>
      <c r="U218" s="8"/>
      <c r="V218" s="8"/>
      <c r="W218" s="8"/>
    </row>
    <row r="219" spans="1:23" ht="15.75" customHeight="1" x14ac:dyDescent="0.25">
      <c r="A219" s="6" t="s">
        <v>3284</v>
      </c>
      <c r="B219" s="8" t="str">
        <f ca="1">IFERROR(__xludf.DUMMYFUNCTION("""COMPUTED_VALUE"""),"Granblue Fantasy")</f>
        <v>Granblue Fantasy</v>
      </c>
      <c r="C219" s="8">
        <f ca="1">COUNTIF(A1:A3410, B219)</f>
        <v>1</v>
      </c>
      <c r="E219" s="8"/>
      <c r="F219" s="8" t="s">
        <v>3890</v>
      </c>
      <c r="G219" s="14">
        <v>2</v>
      </c>
      <c r="H219" s="8"/>
      <c r="I219" s="8"/>
      <c r="J219" s="8"/>
      <c r="K219" s="8"/>
      <c r="L219" s="8"/>
      <c r="M219" s="8"/>
      <c r="N219" s="8"/>
      <c r="O219" s="8"/>
      <c r="P219" s="8"/>
      <c r="Q219" s="8"/>
      <c r="R219" s="8"/>
      <c r="S219" s="8"/>
      <c r="T219" s="8"/>
      <c r="U219" s="8"/>
      <c r="V219" s="8"/>
      <c r="W219" s="8"/>
    </row>
    <row r="220" spans="1:23" ht="15.75" customHeight="1" x14ac:dyDescent="0.25">
      <c r="A220" s="6" t="s">
        <v>3284</v>
      </c>
      <c r="B220" s="8" t="str">
        <f ca="1">IFERROR(__xludf.DUMMYFUNCTION("""COMPUTED_VALUE"""),"Graveyard Keeper")</f>
        <v>Graveyard Keeper</v>
      </c>
      <c r="C220" s="8">
        <f ca="1">COUNTIF(A1:A3410, B220)</f>
        <v>2</v>
      </c>
      <c r="E220" s="8"/>
      <c r="F220" s="8" t="s">
        <v>3893</v>
      </c>
      <c r="G220" s="14">
        <v>2</v>
      </c>
      <c r="H220" s="8"/>
      <c r="I220" s="8"/>
      <c r="J220" s="8"/>
      <c r="K220" s="8"/>
      <c r="L220" s="8"/>
      <c r="M220" s="8"/>
      <c r="N220" s="8"/>
      <c r="O220" s="8"/>
      <c r="P220" s="8"/>
      <c r="Q220" s="8"/>
      <c r="R220" s="8"/>
      <c r="S220" s="8"/>
      <c r="T220" s="8"/>
      <c r="U220" s="8"/>
      <c r="V220" s="8"/>
      <c r="W220" s="8"/>
    </row>
    <row r="221" spans="1:23" ht="15.75" customHeight="1" x14ac:dyDescent="0.25">
      <c r="A221" s="6" t="s">
        <v>3284</v>
      </c>
      <c r="B221" s="8" t="str">
        <f ca="1">IFERROR(__xludf.DUMMYFUNCTION("""COMPUTED_VALUE"""),"Grim Dawn")</f>
        <v>Grim Dawn</v>
      </c>
      <c r="C221" s="8">
        <f ca="1">COUNTIF(A1:A3410, B221)</f>
        <v>4</v>
      </c>
      <c r="E221" s="8"/>
      <c r="F221" s="8" t="s">
        <v>3896</v>
      </c>
      <c r="G221" s="14">
        <v>2</v>
      </c>
      <c r="H221" s="8"/>
      <c r="I221" s="8"/>
      <c r="J221" s="8"/>
      <c r="K221" s="8"/>
      <c r="L221" s="8"/>
      <c r="M221" s="8"/>
      <c r="N221" s="8"/>
      <c r="O221" s="8"/>
      <c r="P221" s="8"/>
      <c r="Q221" s="8"/>
      <c r="R221" s="8"/>
      <c r="S221" s="8"/>
      <c r="T221" s="8"/>
      <c r="U221" s="8"/>
      <c r="V221" s="8"/>
      <c r="W221" s="8"/>
    </row>
    <row r="222" spans="1:23" ht="15.75" customHeight="1" x14ac:dyDescent="0.25">
      <c r="A222" s="6" t="s">
        <v>3284</v>
      </c>
      <c r="B222" s="8" t="str">
        <f ca="1">IFERROR(__xludf.DUMMYFUNCTION("""COMPUTED_VALUE"""),"Grim Nights")</f>
        <v>Grim Nights</v>
      </c>
      <c r="C222" s="8">
        <f ca="1">COUNTIF(A1:A3410, B222)</f>
        <v>1</v>
      </c>
      <c r="E222" s="8"/>
      <c r="F222" s="8" t="s">
        <v>3899</v>
      </c>
      <c r="G222" s="14">
        <v>2</v>
      </c>
      <c r="H222" s="8"/>
      <c r="I222" s="8"/>
      <c r="J222" s="8"/>
      <c r="K222" s="8"/>
      <c r="L222" s="8"/>
      <c r="M222" s="8"/>
      <c r="N222" s="8"/>
      <c r="O222" s="8"/>
      <c r="P222" s="8"/>
      <c r="Q222" s="8"/>
      <c r="R222" s="8"/>
      <c r="S222" s="8"/>
      <c r="T222" s="8"/>
      <c r="U222" s="8"/>
      <c r="V222" s="8"/>
      <c r="W222" s="8"/>
    </row>
    <row r="223" spans="1:23" ht="15.75" customHeight="1" x14ac:dyDescent="0.25">
      <c r="A223" s="6" t="s">
        <v>3284</v>
      </c>
      <c r="B223" s="8" t="str">
        <f ca="1">IFERROR(__xludf.DUMMYFUNCTION("""COMPUTED_VALUE"""),"GTA V")</f>
        <v>GTA V</v>
      </c>
      <c r="C223" s="8">
        <f ca="1">COUNTIF(A1:A3410, B223)</f>
        <v>12</v>
      </c>
      <c r="E223" s="8"/>
      <c r="F223" s="8" t="s">
        <v>3902</v>
      </c>
      <c r="G223" s="14">
        <v>2</v>
      </c>
      <c r="H223" s="8"/>
      <c r="I223" s="8"/>
      <c r="J223" s="8"/>
      <c r="K223" s="8"/>
      <c r="L223" s="8"/>
      <c r="M223" s="8"/>
      <c r="N223" s="8"/>
      <c r="O223" s="8"/>
      <c r="P223" s="8"/>
      <c r="Q223" s="8"/>
      <c r="R223" s="8"/>
      <c r="S223" s="8"/>
      <c r="T223" s="8"/>
      <c r="U223" s="8"/>
      <c r="V223" s="8"/>
      <c r="W223" s="8"/>
    </row>
    <row r="224" spans="1:23" ht="15.75" customHeight="1" x14ac:dyDescent="0.25">
      <c r="A224" s="6" t="s">
        <v>3284</v>
      </c>
      <c r="B224" s="8" t="str">
        <f ca="1">IFERROR(__xludf.DUMMYFUNCTION("""COMPUTED_VALUE"""),"Guild Wars 2")</f>
        <v>Guild Wars 2</v>
      </c>
      <c r="C224" s="8">
        <f ca="1">COUNTIF(A1:A3410, B224)</f>
        <v>15</v>
      </c>
      <c r="E224" s="8"/>
      <c r="F224" s="8" t="s">
        <v>3904</v>
      </c>
      <c r="G224" s="14">
        <v>2</v>
      </c>
      <c r="H224" s="8"/>
      <c r="I224" s="8"/>
      <c r="J224" s="8"/>
      <c r="K224" s="8"/>
      <c r="L224" s="8"/>
      <c r="M224" s="8"/>
      <c r="N224" s="8"/>
      <c r="O224" s="8"/>
      <c r="P224" s="8"/>
      <c r="Q224" s="8"/>
      <c r="R224" s="8"/>
      <c r="S224" s="8"/>
      <c r="T224" s="8"/>
      <c r="U224" s="8"/>
      <c r="V224" s="8"/>
      <c r="W224" s="8"/>
    </row>
    <row r="225" spans="1:23" ht="15.75" customHeight="1" x14ac:dyDescent="0.25">
      <c r="A225" s="6" t="s">
        <v>3284</v>
      </c>
      <c r="B225" s="8" t="str">
        <f ca="1">IFERROR(__xludf.DUMMYFUNCTION("""COMPUTED_VALUE"""),"Guilty Gear")</f>
        <v>Guilty Gear</v>
      </c>
      <c r="C225" s="8">
        <f ca="1">COUNTIF(A1:A3410, B225)</f>
        <v>1</v>
      </c>
      <c r="E225" s="8"/>
      <c r="F225" s="8" t="s">
        <v>3905</v>
      </c>
      <c r="G225" s="14">
        <v>2</v>
      </c>
      <c r="H225" s="8"/>
      <c r="I225" s="8"/>
      <c r="J225" s="8"/>
      <c r="K225" s="8"/>
      <c r="L225" s="8"/>
      <c r="M225" s="8"/>
      <c r="N225" s="8"/>
      <c r="O225" s="8"/>
      <c r="P225" s="8"/>
      <c r="Q225" s="8"/>
      <c r="R225" s="8"/>
      <c r="S225" s="8"/>
      <c r="T225" s="8"/>
      <c r="U225" s="8"/>
      <c r="V225" s="8"/>
      <c r="W225" s="8"/>
    </row>
    <row r="226" spans="1:23" ht="15.75" customHeight="1" x14ac:dyDescent="0.25">
      <c r="A226" s="6" t="s">
        <v>3284</v>
      </c>
      <c r="B226" s="8" t="str">
        <f ca="1">IFERROR(__xludf.DUMMYFUNCTION("""COMPUTED_VALUE"""),"Gwent")</f>
        <v>Gwent</v>
      </c>
      <c r="C226" s="8">
        <f ca="1">COUNTIF(A1:A3410, B226)</f>
        <v>14</v>
      </c>
      <c r="E226" s="8"/>
      <c r="F226" s="8" t="s">
        <v>3907</v>
      </c>
      <c r="G226" s="14">
        <v>2</v>
      </c>
      <c r="H226" s="8"/>
      <c r="I226" s="8"/>
      <c r="J226" s="8"/>
      <c r="K226" s="8"/>
      <c r="L226" s="8"/>
      <c r="M226" s="8"/>
      <c r="N226" s="8"/>
      <c r="O226" s="8"/>
      <c r="P226" s="8"/>
      <c r="Q226" s="8"/>
      <c r="R226" s="8"/>
      <c r="S226" s="8"/>
      <c r="T226" s="8"/>
      <c r="U226" s="8"/>
      <c r="V226" s="8"/>
      <c r="W226" s="8"/>
    </row>
    <row r="227" spans="1:23" ht="15.75" customHeight="1" x14ac:dyDescent="0.25">
      <c r="A227" s="6" t="s">
        <v>3908</v>
      </c>
      <c r="B227" s="8" t="str">
        <f ca="1">IFERROR(__xludf.DUMMYFUNCTION("""COMPUTED_VALUE"""),"H1Z1")</f>
        <v>H1Z1</v>
      </c>
      <c r="C227" s="8">
        <f ca="1">COUNTIF(A1:A3410, B227)</f>
        <v>2</v>
      </c>
      <c r="E227" s="8"/>
      <c r="F227" s="8" t="s">
        <v>3910</v>
      </c>
      <c r="G227" s="14">
        <v>2</v>
      </c>
      <c r="H227" s="8"/>
      <c r="I227" s="8"/>
      <c r="J227" s="8"/>
      <c r="K227" s="8"/>
      <c r="L227" s="8"/>
      <c r="M227" s="8"/>
      <c r="N227" s="8"/>
      <c r="O227" s="8"/>
      <c r="P227" s="8"/>
      <c r="Q227" s="8"/>
      <c r="R227" s="8"/>
      <c r="S227" s="8"/>
      <c r="T227" s="8"/>
      <c r="U227" s="8"/>
      <c r="V227" s="8"/>
      <c r="W227" s="8"/>
    </row>
    <row r="228" spans="1:23" ht="15.75" customHeight="1" x14ac:dyDescent="0.25">
      <c r="A228" s="6" t="s">
        <v>3821</v>
      </c>
      <c r="B228" s="8" t="str">
        <f ca="1">IFERROR(__xludf.DUMMYFUNCTION("""COMPUTED_VALUE"""),"Half Life")</f>
        <v>Half Life</v>
      </c>
      <c r="C228" s="8">
        <f ca="1">COUNTIF(A1:A3410, B228)</f>
        <v>2</v>
      </c>
      <c r="E228" s="8"/>
      <c r="F228" s="8" t="s">
        <v>3913</v>
      </c>
      <c r="G228" s="14">
        <v>2</v>
      </c>
      <c r="H228" s="8"/>
      <c r="I228" s="8"/>
      <c r="J228" s="8"/>
      <c r="K228" s="8"/>
      <c r="L228" s="8"/>
      <c r="M228" s="8"/>
      <c r="N228" s="8"/>
      <c r="O228" s="8"/>
      <c r="P228" s="8"/>
      <c r="Q228" s="8"/>
      <c r="R228" s="8"/>
      <c r="S228" s="8"/>
      <c r="T228" s="8"/>
      <c r="U228" s="8"/>
      <c r="V228" s="8"/>
      <c r="W228" s="8"/>
    </row>
    <row r="229" spans="1:23" ht="15.75" customHeight="1" x14ac:dyDescent="0.25">
      <c r="A229" s="6" t="s">
        <v>3821</v>
      </c>
      <c r="B229" s="8" t="str">
        <f ca="1">IFERROR(__xludf.DUMMYFUNCTION("""COMPUTED_VALUE"""),"Halo")</f>
        <v>Halo</v>
      </c>
      <c r="C229" s="8">
        <f ca="1">COUNTIF(A1:A3410, B229)</f>
        <v>1</v>
      </c>
      <c r="E229" s="8"/>
      <c r="F229" s="8" t="s">
        <v>644</v>
      </c>
      <c r="G229" s="14">
        <v>2</v>
      </c>
      <c r="H229" s="8"/>
      <c r="I229" s="8"/>
      <c r="J229" s="8"/>
      <c r="K229" s="8"/>
      <c r="L229" s="8"/>
      <c r="M229" s="8"/>
      <c r="N229" s="8"/>
      <c r="O229" s="8"/>
      <c r="P229" s="8"/>
      <c r="Q229" s="8"/>
      <c r="R229" s="8"/>
      <c r="S229" s="8"/>
      <c r="T229" s="8"/>
      <c r="U229" s="8"/>
      <c r="V229" s="8"/>
      <c r="W229" s="8"/>
    </row>
    <row r="230" spans="1:23" ht="15.75" customHeight="1" x14ac:dyDescent="0.25">
      <c r="A230" s="6" t="s">
        <v>3594</v>
      </c>
      <c r="B230" s="8" t="str">
        <f ca="1">IFERROR(__xludf.DUMMYFUNCTION("""COMPUTED_VALUE"""),"Hammerwatch")</f>
        <v>Hammerwatch</v>
      </c>
      <c r="C230" s="8">
        <f ca="1">COUNTIF(A1:A3410, B230)</f>
        <v>2</v>
      </c>
      <c r="E230" s="8"/>
      <c r="F230" s="8" t="s">
        <v>3918</v>
      </c>
      <c r="G230" s="14">
        <v>2</v>
      </c>
      <c r="H230" s="8"/>
      <c r="I230" s="8"/>
      <c r="J230" s="8"/>
      <c r="K230" s="8"/>
      <c r="L230" s="8"/>
      <c r="M230" s="8"/>
      <c r="N230" s="8"/>
      <c r="O230" s="8"/>
      <c r="P230" s="8"/>
      <c r="Q230" s="8"/>
      <c r="R230" s="8"/>
      <c r="S230" s="8"/>
      <c r="T230" s="8"/>
      <c r="U230" s="8"/>
      <c r="V230" s="8"/>
      <c r="W230" s="8"/>
    </row>
    <row r="231" spans="1:23" ht="15.75" customHeight="1" x14ac:dyDescent="0.25">
      <c r="A231" s="6" t="s">
        <v>3594</v>
      </c>
      <c r="B231" s="8" t="str">
        <f ca="1">IFERROR(__xludf.DUMMYFUNCTION("""COMPUTED_VALUE"""),"Hearthstone")</f>
        <v>Hearthstone</v>
      </c>
      <c r="C231" s="8">
        <f ca="1">COUNTIF(A1:A3410, B231)</f>
        <v>159</v>
      </c>
      <c r="E231" s="8"/>
      <c r="F231" s="8" t="s">
        <v>3922</v>
      </c>
      <c r="G231" s="14">
        <v>2</v>
      </c>
      <c r="H231" s="8"/>
      <c r="I231" s="8"/>
      <c r="J231" s="8"/>
      <c r="K231" s="8"/>
      <c r="L231" s="8"/>
      <c r="M231" s="8"/>
      <c r="N231" s="8"/>
      <c r="O231" s="8"/>
      <c r="P231" s="8"/>
      <c r="Q231" s="8"/>
      <c r="R231" s="8"/>
      <c r="S231" s="8"/>
      <c r="T231" s="8"/>
      <c r="U231" s="8"/>
      <c r="V231" s="8"/>
      <c r="W231" s="8"/>
    </row>
    <row r="232" spans="1:23" ht="15.75" customHeight="1" x14ac:dyDescent="0.25">
      <c r="A232" s="6" t="s">
        <v>3594</v>
      </c>
      <c r="B232" s="8" t="str">
        <f ca="1">IFERROR(__xludf.DUMMYFUNCTION("""COMPUTED_VALUE"""),"Hearts of Iron 4")</f>
        <v>Hearts of Iron 4</v>
      </c>
      <c r="C232" s="8">
        <f ca="1">COUNTIF(A1:A3410, B232)</f>
        <v>3</v>
      </c>
      <c r="E232" s="8"/>
      <c r="F232" s="8" t="s">
        <v>3925</v>
      </c>
      <c r="G232" s="14">
        <v>2</v>
      </c>
      <c r="H232" s="8"/>
      <c r="I232" s="8"/>
      <c r="J232" s="8"/>
      <c r="K232" s="8"/>
      <c r="L232" s="8"/>
      <c r="M232" s="8"/>
      <c r="N232" s="8"/>
      <c r="O232" s="8"/>
      <c r="P232" s="8"/>
      <c r="Q232" s="8"/>
      <c r="R232" s="8"/>
      <c r="S232" s="8"/>
      <c r="T232" s="8"/>
      <c r="U232" s="8"/>
      <c r="V232" s="8"/>
      <c r="W232" s="8"/>
    </row>
    <row r="233" spans="1:23" ht="15.75" customHeight="1" x14ac:dyDescent="0.25">
      <c r="A233" s="6" t="s">
        <v>3594</v>
      </c>
      <c r="B233" s="8" t="str">
        <f ca="1">IFERROR(__xludf.DUMMYFUNCTION("""COMPUTED_VALUE"""),"Heat Signature")</f>
        <v>Heat Signature</v>
      </c>
      <c r="C233" s="8">
        <f ca="1">COUNTIF(A1:A3410, B233)</f>
        <v>1</v>
      </c>
      <c r="E233" s="8"/>
      <c r="F233" s="8" t="s">
        <v>3929</v>
      </c>
      <c r="G233" s="14">
        <v>2</v>
      </c>
      <c r="H233" s="8"/>
      <c r="I233" s="8"/>
      <c r="J233" s="8"/>
      <c r="K233" s="8"/>
      <c r="L233" s="8"/>
      <c r="M233" s="8"/>
      <c r="N233" s="8"/>
      <c r="O233" s="8"/>
      <c r="P233" s="8"/>
      <c r="Q233" s="8"/>
      <c r="R233" s="8"/>
      <c r="S233" s="8"/>
      <c r="T233" s="8"/>
      <c r="U233" s="8"/>
      <c r="V233" s="8"/>
      <c r="W233" s="8"/>
    </row>
    <row r="234" spans="1:23" ht="15.75" customHeight="1" x14ac:dyDescent="0.25">
      <c r="A234" s="6" t="s">
        <v>3930</v>
      </c>
      <c r="B234" s="8" t="str">
        <f ca="1">IFERROR(__xludf.DUMMYFUNCTION("""COMPUTED_VALUE"""),"Helldivers")</f>
        <v>Helldivers</v>
      </c>
      <c r="C234" s="8">
        <f ca="1">COUNTIF(A1:A3410, B234)</f>
        <v>1</v>
      </c>
      <c r="E234" s="8"/>
      <c r="F234" s="8" t="s">
        <v>3932</v>
      </c>
      <c r="G234" s="14">
        <v>2</v>
      </c>
      <c r="H234" s="8"/>
      <c r="I234" s="8"/>
      <c r="J234" s="8"/>
      <c r="K234" s="8"/>
      <c r="L234" s="8"/>
      <c r="M234" s="8"/>
      <c r="N234" s="8"/>
      <c r="O234" s="8"/>
      <c r="P234" s="8"/>
      <c r="Q234" s="8"/>
      <c r="R234" s="8"/>
      <c r="S234" s="8"/>
      <c r="T234" s="8"/>
      <c r="U234" s="8"/>
      <c r="V234" s="8"/>
      <c r="W234" s="8"/>
    </row>
    <row r="235" spans="1:23" ht="15.75" customHeight="1" x14ac:dyDescent="0.25">
      <c r="A235" s="6" t="s">
        <v>3231</v>
      </c>
      <c r="B235" s="8" t="str">
        <f ca="1">IFERROR(__xludf.DUMMYFUNCTION("""COMPUTED_VALUE"""),"Heroes and Generals")</f>
        <v>Heroes and Generals</v>
      </c>
      <c r="C235" s="8">
        <f ca="1">COUNTIF(A1:A3410, B235)</f>
        <v>1</v>
      </c>
      <c r="E235" s="8"/>
      <c r="F235" s="8" t="s">
        <v>3937</v>
      </c>
      <c r="G235" s="14">
        <v>2</v>
      </c>
      <c r="H235" s="8"/>
      <c r="I235" s="8"/>
      <c r="J235" s="8"/>
      <c r="K235" s="8"/>
      <c r="L235" s="8"/>
      <c r="M235" s="8"/>
      <c r="N235" s="8"/>
      <c r="O235" s="8"/>
      <c r="P235" s="8"/>
      <c r="Q235" s="8"/>
      <c r="R235" s="8"/>
      <c r="S235" s="8"/>
      <c r="T235" s="8"/>
      <c r="U235" s="8"/>
      <c r="V235" s="8"/>
      <c r="W235" s="8"/>
    </row>
    <row r="236" spans="1:23" ht="15.75" customHeight="1" x14ac:dyDescent="0.25">
      <c r="A236" s="6" t="s">
        <v>3231</v>
      </c>
      <c r="B236" s="8" t="str">
        <f ca="1">IFERROR(__xludf.DUMMYFUNCTION("""COMPUTED_VALUE"""),"Heroes of Might and Magic 3")</f>
        <v>Heroes of Might and Magic 3</v>
      </c>
      <c r="C236" s="8">
        <f ca="1">COUNTIF(A1:A3410, B236)</f>
        <v>2</v>
      </c>
      <c r="E236" s="8"/>
      <c r="F236" s="8" t="s">
        <v>3941</v>
      </c>
      <c r="G236" s="14">
        <v>2</v>
      </c>
      <c r="H236" s="8"/>
      <c r="I236" s="8"/>
      <c r="J236" s="8"/>
      <c r="K236" s="8"/>
      <c r="L236" s="8"/>
      <c r="M236" s="8"/>
      <c r="N236" s="8"/>
      <c r="O236" s="8"/>
      <c r="P236" s="8"/>
      <c r="Q236" s="8"/>
      <c r="R236" s="8"/>
      <c r="S236" s="8"/>
      <c r="T236" s="8"/>
      <c r="U236" s="8"/>
      <c r="V236" s="8"/>
      <c r="W236" s="8"/>
    </row>
    <row r="237" spans="1:23" ht="15.75" customHeight="1" x14ac:dyDescent="0.25">
      <c r="A237" s="6" t="s">
        <v>3231</v>
      </c>
      <c r="B237" s="8" t="str">
        <f ca="1">IFERROR(__xludf.DUMMYFUNCTION("""COMPUTED_VALUE"""),"Heroes of Newerth")</f>
        <v>Heroes of Newerth</v>
      </c>
      <c r="C237" s="8">
        <f ca="1">COUNTIF(A1:A3410, B237)</f>
        <v>3</v>
      </c>
      <c r="E237" s="8"/>
      <c r="F237" s="8" t="s">
        <v>3942</v>
      </c>
      <c r="G237" s="14">
        <v>2</v>
      </c>
      <c r="H237" s="8"/>
      <c r="I237" s="8"/>
      <c r="J237" s="8"/>
      <c r="K237" s="8"/>
      <c r="L237" s="8"/>
      <c r="M237" s="8"/>
      <c r="N237" s="8"/>
      <c r="O237" s="8"/>
      <c r="P237" s="8"/>
      <c r="Q237" s="8"/>
      <c r="R237" s="8"/>
      <c r="S237" s="8"/>
      <c r="T237" s="8"/>
      <c r="U237" s="8"/>
      <c r="V237" s="8"/>
      <c r="W237" s="8"/>
    </row>
    <row r="238" spans="1:23" ht="15.75" customHeight="1" x14ac:dyDescent="0.25">
      <c r="A238" s="6" t="s">
        <v>3231</v>
      </c>
      <c r="B238" s="8" t="str">
        <f ca="1">IFERROR(__xludf.DUMMYFUNCTION("""COMPUTED_VALUE"""),"Heroes of the Storm")</f>
        <v>Heroes of the Storm</v>
      </c>
      <c r="C238" s="8">
        <f ca="1">COUNTIF(A1:A3410, B238)</f>
        <v>105</v>
      </c>
      <c r="E238" s="8"/>
      <c r="F238" s="8" t="s">
        <v>3944</v>
      </c>
      <c r="G238" s="14">
        <v>2</v>
      </c>
      <c r="H238" s="8"/>
      <c r="I238" s="8"/>
      <c r="J238" s="8"/>
      <c r="K238" s="8"/>
      <c r="L238" s="8"/>
      <c r="M238" s="8"/>
      <c r="N238" s="8"/>
      <c r="O238" s="8"/>
      <c r="P238" s="8"/>
      <c r="Q238" s="8"/>
      <c r="R238" s="8"/>
      <c r="S238" s="8"/>
      <c r="T238" s="8"/>
      <c r="U238" s="8"/>
      <c r="V238" s="8"/>
      <c r="W238" s="8"/>
    </row>
    <row r="239" spans="1:23" ht="15.75" customHeight="1" x14ac:dyDescent="0.25">
      <c r="A239" s="6" t="s">
        <v>3231</v>
      </c>
      <c r="B239" s="8" t="str">
        <f ca="1">IFERROR(__xludf.DUMMYFUNCTION("""COMPUTED_VALUE"""),"Hitman")</f>
        <v>Hitman</v>
      </c>
      <c r="C239" s="8">
        <f ca="1">COUNTIF(A1:A3410, B239)</f>
        <v>6</v>
      </c>
      <c r="E239" s="8"/>
      <c r="F239" s="8" t="s">
        <v>3948</v>
      </c>
      <c r="G239" s="14">
        <v>2</v>
      </c>
      <c r="H239" s="8"/>
      <c r="I239" s="8"/>
      <c r="J239" s="8"/>
      <c r="K239" s="8"/>
      <c r="L239" s="8"/>
      <c r="M239" s="8"/>
      <c r="N239" s="8"/>
      <c r="O239" s="8"/>
      <c r="P239" s="8"/>
      <c r="Q239" s="8"/>
      <c r="R239" s="8"/>
      <c r="S239" s="8"/>
      <c r="T239" s="8"/>
      <c r="U239" s="8"/>
      <c r="V239" s="8"/>
      <c r="W239" s="8"/>
    </row>
    <row r="240" spans="1:23" ht="15.75" customHeight="1" x14ac:dyDescent="0.25">
      <c r="A240" s="6" t="s">
        <v>3231</v>
      </c>
      <c r="B240" s="8" t="str">
        <f ca="1">IFERROR(__xludf.DUMMYFUNCTION("""COMPUTED_VALUE"""),"Hollow Knight")</f>
        <v>Hollow Knight</v>
      </c>
      <c r="C240" s="8">
        <f ca="1">COUNTIF(A1:A3410, B240)</f>
        <v>3</v>
      </c>
      <c r="E240" s="8"/>
      <c r="F240" s="8" t="s">
        <v>3950</v>
      </c>
      <c r="G240" s="14">
        <v>2</v>
      </c>
      <c r="H240" s="8"/>
      <c r="I240" s="8"/>
      <c r="J240" s="8"/>
      <c r="K240" s="8"/>
      <c r="L240" s="8"/>
      <c r="M240" s="8"/>
      <c r="N240" s="8"/>
      <c r="O240" s="8"/>
      <c r="P240" s="8"/>
      <c r="Q240" s="8"/>
      <c r="R240" s="8"/>
      <c r="S240" s="8"/>
      <c r="T240" s="8"/>
      <c r="U240" s="8"/>
      <c r="V240" s="8"/>
      <c r="W240" s="8"/>
    </row>
    <row r="241" spans="1:23" ht="15.75" customHeight="1" x14ac:dyDescent="0.25">
      <c r="A241" s="6" t="s">
        <v>3231</v>
      </c>
      <c r="B241" s="8" t="str">
        <f ca="1">IFERROR(__xludf.DUMMYFUNCTION("""COMPUTED_VALUE"""),"Homebrew Vehicle Sandbox")</f>
        <v>Homebrew Vehicle Sandbox</v>
      </c>
      <c r="C241" s="8">
        <f ca="1">COUNTIF(A1:A3410, B241)</f>
        <v>1</v>
      </c>
      <c r="E241" s="8"/>
      <c r="F241" s="8" t="s">
        <v>3951</v>
      </c>
      <c r="G241" s="14">
        <v>2</v>
      </c>
      <c r="H241" s="8"/>
      <c r="I241" s="8"/>
      <c r="J241" s="8"/>
      <c r="K241" s="8"/>
      <c r="L241" s="8"/>
      <c r="M241" s="8"/>
      <c r="N241" s="8"/>
      <c r="O241" s="8"/>
      <c r="P241" s="8"/>
      <c r="Q241" s="8"/>
      <c r="R241" s="8"/>
      <c r="S241" s="8"/>
      <c r="T241" s="8"/>
      <c r="U241" s="8"/>
      <c r="V241" s="8"/>
      <c r="W241" s="8"/>
    </row>
    <row r="242" spans="1:23" ht="15.75" customHeight="1" x14ac:dyDescent="0.25">
      <c r="A242" s="6" t="s">
        <v>3231</v>
      </c>
      <c r="B242" s="8" t="str">
        <f ca="1">IFERROR(__xludf.DUMMYFUNCTION("""COMPUTED_VALUE"""),"Horizon Zero Dawn")</f>
        <v>Horizon Zero Dawn</v>
      </c>
      <c r="C242" s="8">
        <f ca="1">COUNTIF(A1:A3410, B242)</f>
        <v>2</v>
      </c>
      <c r="E242" s="8"/>
      <c r="F242" s="8" t="s">
        <v>3955</v>
      </c>
      <c r="G242" s="14">
        <v>2</v>
      </c>
      <c r="H242" s="8"/>
      <c r="I242" s="8"/>
      <c r="J242" s="8"/>
      <c r="K242" s="8"/>
      <c r="L242" s="8"/>
      <c r="M242" s="8"/>
      <c r="N242" s="8"/>
      <c r="O242" s="8"/>
      <c r="P242" s="8"/>
      <c r="Q242" s="8"/>
      <c r="R242" s="8"/>
      <c r="S242" s="8"/>
      <c r="T242" s="8"/>
      <c r="U242" s="8"/>
      <c r="V242" s="8"/>
      <c r="W242" s="8"/>
    </row>
    <row r="243" spans="1:23" ht="15.75" customHeight="1" x14ac:dyDescent="0.25">
      <c r="A243" s="6" t="s">
        <v>3231</v>
      </c>
      <c r="B243" s="8" t="str">
        <f ca="1">IFERROR(__xludf.DUMMYFUNCTION("""COMPUTED_VALUE"""),"Horror games")</f>
        <v>Horror games</v>
      </c>
      <c r="C243" s="8">
        <f ca="1">COUNTIF(A1:A3410, B243)</f>
        <v>3</v>
      </c>
      <c r="E243" s="8"/>
      <c r="F243" s="8" t="s">
        <v>3959</v>
      </c>
      <c r="G243" s="14">
        <v>2</v>
      </c>
      <c r="H243" s="8"/>
      <c r="I243" s="8"/>
      <c r="J243" s="8"/>
      <c r="K243" s="8"/>
      <c r="L243" s="8"/>
      <c r="M243" s="8"/>
      <c r="N243" s="8"/>
      <c r="O243" s="8"/>
      <c r="P243" s="8"/>
      <c r="Q243" s="8"/>
      <c r="R243" s="8"/>
      <c r="S243" s="8"/>
      <c r="T243" s="8"/>
      <c r="U243" s="8"/>
      <c r="V243" s="8"/>
      <c r="W243" s="8"/>
    </row>
    <row r="244" spans="1:23" ht="15.75" customHeight="1" x14ac:dyDescent="0.25">
      <c r="A244" s="6" t="s">
        <v>3231</v>
      </c>
      <c r="B244" s="8" t="str">
        <f ca="1">IFERROR(__xludf.DUMMYFUNCTION("""COMPUTED_VALUE"""),"Hot Lava")</f>
        <v>Hot Lava</v>
      </c>
      <c r="C244" s="8">
        <f ca="1">COUNTIF(A1:A3410, B244)</f>
        <v>1</v>
      </c>
      <c r="E244" s="8"/>
      <c r="F244" s="8" t="s">
        <v>3963</v>
      </c>
      <c r="G244" s="14">
        <v>2</v>
      </c>
      <c r="H244" s="8"/>
      <c r="I244" s="8"/>
      <c r="J244" s="8"/>
      <c r="K244" s="8"/>
      <c r="L244" s="8"/>
      <c r="M244" s="8"/>
      <c r="N244" s="8"/>
      <c r="O244" s="8"/>
      <c r="P244" s="8"/>
      <c r="Q244" s="8"/>
      <c r="R244" s="8"/>
      <c r="S244" s="8"/>
      <c r="T244" s="8"/>
      <c r="U244" s="8"/>
      <c r="V244" s="8"/>
      <c r="W244" s="8"/>
    </row>
    <row r="245" spans="1:23" ht="15.75" customHeight="1" x14ac:dyDescent="0.25">
      <c r="A245" s="6" t="s">
        <v>3231</v>
      </c>
      <c r="B245" s="8" t="str">
        <f ca="1">IFERROR(__xludf.DUMMYFUNCTION("""COMPUTED_VALUE"""),"Human Fall Flat")</f>
        <v>Human Fall Flat</v>
      </c>
      <c r="C245" s="8">
        <f ca="1">COUNTIF(A1:A3410, B245)</f>
        <v>1</v>
      </c>
      <c r="E245" s="8"/>
      <c r="F245" s="8" t="s">
        <v>3966</v>
      </c>
      <c r="G245" s="14">
        <v>2</v>
      </c>
      <c r="H245" s="8"/>
      <c r="I245" s="8"/>
      <c r="J245" s="8"/>
      <c r="K245" s="8"/>
      <c r="L245" s="8"/>
      <c r="M245" s="8"/>
      <c r="N245" s="8"/>
      <c r="O245" s="8"/>
      <c r="P245" s="8"/>
      <c r="Q245" s="8"/>
      <c r="R245" s="8"/>
      <c r="S245" s="8"/>
      <c r="T245" s="8"/>
      <c r="U245" s="8"/>
      <c r="V245" s="8"/>
      <c r="W245" s="8"/>
    </row>
    <row r="246" spans="1:23" ht="15.75" customHeight="1" x14ac:dyDescent="0.25">
      <c r="A246" s="6" t="s">
        <v>3231</v>
      </c>
      <c r="B246" s="8" t="str">
        <f ca="1">IFERROR(__xludf.DUMMYFUNCTION("""COMPUTED_VALUE"""),"Hunt Showdown")</f>
        <v>Hunt Showdown</v>
      </c>
      <c r="C246" s="8">
        <f ca="1">COUNTIF(A1:A3410, B246)</f>
        <v>4</v>
      </c>
      <c r="E246" s="8"/>
      <c r="F246" s="8" t="s">
        <v>3968</v>
      </c>
      <c r="G246" s="14">
        <v>2</v>
      </c>
      <c r="H246" s="8"/>
      <c r="I246" s="8"/>
      <c r="J246" s="8"/>
      <c r="K246" s="8"/>
      <c r="L246" s="8"/>
      <c r="M246" s="8"/>
      <c r="N246" s="8"/>
      <c r="O246" s="8"/>
      <c r="P246" s="8"/>
      <c r="Q246" s="8"/>
      <c r="R246" s="8"/>
      <c r="S246" s="8"/>
      <c r="T246" s="8"/>
      <c r="U246" s="8"/>
      <c r="V246" s="8"/>
      <c r="W246" s="8"/>
    </row>
    <row r="247" spans="1:23" ht="15.75" customHeight="1" x14ac:dyDescent="0.25">
      <c r="A247" s="6" t="s">
        <v>3231</v>
      </c>
      <c r="B247" s="8" t="str">
        <f ca="1">IFERROR(__xludf.DUMMYFUNCTION("""COMPUTED_VALUE"""),"Hyper Heroes")</f>
        <v>Hyper Heroes</v>
      </c>
      <c r="C247" s="8">
        <f ca="1">COUNTIF(A1:A3410, B247)</f>
        <v>1</v>
      </c>
      <c r="E247" s="8"/>
      <c r="F247" s="8" t="s">
        <v>3971</v>
      </c>
      <c r="G247" s="14">
        <v>2</v>
      </c>
      <c r="H247" s="8"/>
      <c r="I247" s="8"/>
      <c r="J247" s="8"/>
      <c r="K247" s="8"/>
      <c r="L247" s="8"/>
      <c r="M247" s="8"/>
      <c r="N247" s="8"/>
      <c r="O247" s="8"/>
      <c r="P247" s="8"/>
      <c r="Q247" s="8"/>
      <c r="R247" s="8"/>
      <c r="S247" s="8"/>
      <c r="T247" s="8"/>
      <c r="U247" s="8"/>
      <c r="V247" s="8"/>
      <c r="W247" s="8"/>
    </row>
    <row r="248" spans="1:23" ht="15.75" customHeight="1" x14ac:dyDescent="0.25">
      <c r="A248" s="6" t="s">
        <v>3231</v>
      </c>
      <c r="B248" s="8" t="str">
        <f ca="1">IFERROR(__xludf.DUMMYFUNCTION("""COMPUTED_VALUE"""),"Hyper Universe")</f>
        <v>Hyper Universe</v>
      </c>
      <c r="C248" s="8">
        <f ca="1">COUNTIF(A1:A3410, B248)</f>
        <v>1</v>
      </c>
      <c r="E248" s="8"/>
      <c r="F248" s="8" t="s">
        <v>3975</v>
      </c>
      <c r="G248" s="14">
        <v>2</v>
      </c>
      <c r="H248" s="8"/>
      <c r="I248" s="8"/>
      <c r="J248" s="8"/>
      <c r="K248" s="8"/>
      <c r="L248" s="8"/>
      <c r="M248" s="8"/>
      <c r="N248" s="8"/>
      <c r="O248" s="8"/>
      <c r="P248" s="8"/>
      <c r="Q248" s="8"/>
      <c r="R248" s="8"/>
      <c r="S248" s="8"/>
      <c r="T248" s="8"/>
      <c r="U248" s="8"/>
      <c r="V248" s="8"/>
      <c r="W248" s="8"/>
    </row>
    <row r="249" spans="1:23" ht="15.75" customHeight="1" x14ac:dyDescent="0.25">
      <c r="A249" s="6" t="s">
        <v>3231</v>
      </c>
      <c r="B249" s="8" t="str">
        <f ca="1">IFERROR(__xludf.DUMMYFUNCTION("""COMPUTED_VALUE"""),"Idle games")</f>
        <v>Idle games</v>
      </c>
      <c r="C249" s="8">
        <f ca="1">COUNTIF(A1:A3410, B249)</f>
        <v>1</v>
      </c>
      <c r="E249" s="8"/>
      <c r="F249" s="8" t="s">
        <v>3979</v>
      </c>
      <c r="G249" s="14">
        <v>2</v>
      </c>
      <c r="H249" s="8"/>
      <c r="I249" s="8"/>
      <c r="J249" s="8"/>
      <c r="K249" s="8"/>
      <c r="L249" s="8"/>
      <c r="M249" s="8"/>
      <c r="N249" s="8"/>
      <c r="O249" s="8"/>
      <c r="P249" s="8"/>
      <c r="Q249" s="8"/>
      <c r="R249" s="8"/>
      <c r="S249" s="8"/>
      <c r="T249" s="8"/>
      <c r="U249" s="8"/>
      <c r="V249" s="8"/>
      <c r="W249" s="8"/>
    </row>
    <row r="250" spans="1:23" ht="15.75" customHeight="1" x14ac:dyDescent="0.25">
      <c r="A250" s="6" t="s">
        <v>3231</v>
      </c>
      <c r="B250" s="8" t="str">
        <f ca="1">IFERROR(__xludf.DUMMYFUNCTION("""COMPUTED_VALUE"""),"imortal redneck")</f>
        <v>imortal redneck</v>
      </c>
      <c r="C250" s="8">
        <f ca="1">COUNTIF(A1:A3410, B250)</f>
        <v>1</v>
      </c>
      <c r="E250" s="8"/>
      <c r="F250" s="8" t="s">
        <v>3983</v>
      </c>
      <c r="G250" s="14">
        <v>2</v>
      </c>
      <c r="H250" s="8"/>
      <c r="I250" s="8"/>
      <c r="J250" s="8"/>
      <c r="K250" s="8"/>
      <c r="L250" s="8"/>
      <c r="M250" s="8"/>
      <c r="N250" s="8"/>
      <c r="O250" s="8"/>
      <c r="P250" s="8"/>
      <c r="Q250" s="8"/>
      <c r="R250" s="8"/>
      <c r="S250" s="8"/>
      <c r="T250" s="8"/>
      <c r="U250" s="8"/>
      <c r="V250" s="8"/>
      <c r="W250" s="8"/>
    </row>
    <row r="251" spans="1:23" ht="15.75" customHeight="1" x14ac:dyDescent="0.25">
      <c r="A251" s="6" t="s">
        <v>3231</v>
      </c>
      <c r="B251" s="8" t="str">
        <f ca="1">IFERROR(__xludf.DUMMYFUNCTION("""COMPUTED_VALUE"""),"Indie games")</f>
        <v>Indie games</v>
      </c>
      <c r="C251" s="8">
        <f ca="1">COUNTIF(A1:A3410, B251)</f>
        <v>7</v>
      </c>
      <c r="E251" s="8"/>
      <c r="F251" s="8" t="s">
        <v>3988</v>
      </c>
      <c r="G251" s="14">
        <v>2</v>
      </c>
      <c r="H251" s="8"/>
      <c r="I251" s="8"/>
      <c r="J251" s="8"/>
      <c r="K251" s="8"/>
      <c r="L251" s="8"/>
      <c r="M251" s="8"/>
      <c r="N251" s="8"/>
      <c r="O251" s="8"/>
      <c r="P251" s="8"/>
      <c r="Q251" s="8"/>
      <c r="R251" s="8"/>
      <c r="S251" s="8"/>
      <c r="T251" s="8"/>
      <c r="U251" s="8"/>
      <c r="V251" s="8"/>
      <c r="W251" s="8"/>
    </row>
    <row r="252" spans="1:23" ht="15.75" customHeight="1" x14ac:dyDescent="0.25">
      <c r="A252" s="6" t="s">
        <v>3231</v>
      </c>
      <c r="B252" s="8" t="str">
        <f ca="1">IFERROR(__xludf.DUMMYFUNCTION("""COMPUTED_VALUE"""),"Infinity Wars Reborn")</f>
        <v>Infinity Wars Reborn</v>
      </c>
      <c r="C252" s="8">
        <f ca="1">COUNTIF(A1:A3410, B252)</f>
        <v>1</v>
      </c>
      <c r="E252" s="8"/>
      <c r="F252" s="8" t="s">
        <v>3990</v>
      </c>
      <c r="G252" s="14">
        <v>2</v>
      </c>
      <c r="H252" s="8"/>
      <c r="I252" s="8"/>
      <c r="J252" s="8"/>
      <c r="K252" s="8"/>
      <c r="L252" s="8"/>
      <c r="M252" s="8"/>
      <c r="N252" s="8"/>
      <c r="O252" s="8"/>
      <c r="P252" s="8"/>
      <c r="Q252" s="8"/>
      <c r="R252" s="8"/>
      <c r="S252" s="8"/>
      <c r="T252" s="8"/>
      <c r="U252" s="8"/>
      <c r="V252" s="8"/>
      <c r="W252" s="8"/>
    </row>
    <row r="253" spans="1:23" ht="15.75" customHeight="1" x14ac:dyDescent="0.25">
      <c r="A253" s="6" t="s">
        <v>3231</v>
      </c>
      <c r="B253" s="8" t="str">
        <f ca="1">IFERROR(__xludf.DUMMYFUNCTION("""COMPUTED_VALUE"""),"Injustice 2")</f>
        <v>Injustice 2</v>
      </c>
      <c r="C253" s="8">
        <f ca="1">COUNTIF(A1:A3410, B253)</f>
        <v>2</v>
      </c>
      <c r="E253" s="8"/>
      <c r="F253" s="8" t="s">
        <v>3993</v>
      </c>
      <c r="G253" s="14">
        <v>2</v>
      </c>
      <c r="H253" s="8"/>
      <c r="I253" s="8"/>
      <c r="J253" s="8"/>
      <c r="K253" s="8"/>
      <c r="L253" s="8"/>
      <c r="M253" s="8"/>
      <c r="N253" s="8"/>
      <c r="O253" s="8"/>
      <c r="P253" s="8"/>
      <c r="Q253" s="8"/>
      <c r="R253" s="8"/>
      <c r="S253" s="8"/>
      <c r="T253" s="8"/>
      <c r="U253" s="8"/>
      <c r="V253" s="8"/>
      <c r="W253" s="8"/>
    </row>
    <row r="254" spans="1:23" ht="15.75" customHeight="1" x14ac:dyDescent="0.25">
      <c r="A254" s="6" t="s">
        <v>3231</v>
      </c>
      <c r="B254" s="8" t="str">
        <f ca="1">IFERROR(__xludf.DUMMYFUNCTION("""COMPUTED_VALUE"""),"Insurgency")</f>
        <v>Insurgency</v>
      </c>
      <c r="C254" s="8">
        <f ca="1">COUNTIF(A1:A3410, B254)</f>
        <v>1</v>
      </c>
      <c r="E254" s="8"/>
      <c r="F254" s="8" t="s">
        <v>3997</v>
      </c>
      <c r="G254" s="14">
        <v>2</v>
      </c>
      <c r="H254" s="8"/>
      <c r="I254" s="8"/>
      <c r="J254" s="8"/>
      <c r="K254" s="8"/>
      <c r="L254" s="8"/>
      <c r="M254" s="8"/>
      <c r="N254" s="8"/>
      <c r="O254" s="8"/>
      <c r="P254" s="8"/>
      <c r="Q254" s="8"/>
      <c r="R254" s="8"/>
      <c r="S254" s="8"/>
      <c r="T254" s="8"/>
      <c r="U254" s="8"/>
      <c r="V254" s="8"/>
      <c r="W254" s="8"/>
    </row>
    <row r="255" spans="1:23" ht="15.75" customHeight="1" x14ac:dyDescent="0.25">
      <c r="A255" s="6" t="s">
        <v>3231</v>
      </c>
      <c r="B255" s="8" t="str">
        <f ca="1">IFERROR(__xludf.DUMMYFUNCTION("""COMPUTED_VALUE"""),"Into The Breach")</f>
        <v>Into The Breach</v>
      </c>
      <c r="C255" s="8">
        <f ca="1">COUNTIF(A1:A3410, B255)</f>
        <v>1</v>
      </c>
      <c r="E255" s="8"/>
      <c r="F255" s="8" t="s">
        <v>3998</v>
      </c>
      <c r="G255" s="14">
        <v>2</v>
      </c>
      <c r="H255" s="8"/>
      <c r="I255" s="8"/>
      <c r="J255" s="8"/>
      <c r="K255" s="8"/>
      <c r="L255" s="8"/>
      <c r="M255" s="8"/>
      <c r="N255" s="8"/>
      <c r="O255" s="8"/>
      <c r="P255" s="8"/>
      <c r="Q255" s="8"/>
      <c r="R255" s="8"/>
      <c r="S255" s="8"/>
      <c r="T255" s="8"/>
      <c r="U255" s="8"/>
      <c r="V255" s="8"/>
      <c r="W255" s="8"/>
    </row>
    <row r="256" spans="1:23" ht="15.75" customHeight="1" x14ac:dyDescent="0.25">
      <c r="A256" s="6" t="s">
        <v>3231</v>
      </c>
      <c r="B256" s="8" t="str">
        <f ca="1">IFERROR(__xludf.DUMMYFUNCTION("""COMPUTED_VALUE"""),"Invisible Inc")</f>
        <v>Invisible Inc</v>
      </c>
      <c r="C256" s="8">
        <f ca="1">COUNTIF(A1:A3410, B256)</f>
        <v>1</v>
      </c>
      <c r="E256" s="8"/>
      <c r="F256" s="8" t="s">
        <v>3999</v>
      </c>
      <c r="G256" s="14">
        <v>2</v>
      </c>
      <c r="H256" s="8"/>
      <c r="I256" s="8"/>
      <c r="J256" s="8"/>
      <c r="K256" s="8"/>
      <c r="L256" s="8"/>
      <c r="M256" s="8"/>
      <c r="N256" s="8"/>
      <c r="O256" s="8"/>
      <c r="P256" s="8"/>
      <c r="Q256" s="8"/>
      <c r="R256" s="8"/>
      <c r="S256" s="8"/>
      <c r="T256" s="8"/>
      <c r="U256" s="8"/>
      <c r="V256" s="8"/>
      <c r="W256" s="8"/>
    </row>
    <row r="257" spans="1:23" ht="15.75" customHeight="1" x14ac:dyDescent="0.25">
      <c r="A257" s="6" t="s">
        <v>3231</v>
      </c>
      <c r="B257" s="8" t="str">
        <f ca="1">IFERROR(__xludf.DUMMYFUNCTION("""COMPUTED_VALUE"""),"Isometric")</f>
        <v>Isometric</v>
      </c>
      <c r="C257" s="8">
        <f ca="1">COUNTIF(A1:A3410, B257)</f>
        <v>1</v>
      </c>
      <c r="E257" s="8"/>
      <c r="F257" s="8" t="s">
        <v>4000</v>
      </c>
      <c r="G257" s="14">
        <v>2</v>
      </c>
      <c r="H257" s="8"/>
      <c r="I257" s="8"/>
      <c r="J257" s="8"/>
      <c r="K257" s="8"/>
      <c r="L257" s="8"/>
      <c r="M257" s="8"/>
      <c r="N257" s="8"/>
      <c r="O257" s="8"/>
      <c r="P257" s="8"/>
      <c r="Q257" s="8"/>
      <c r="R257" s="8"/>
      <c r="S257" s="8"/>
      <c r="T257" s="8"/>
      <c r="U257" s="8"/>
      <c r="V257" s="8"/>
      <c r="W257" s="8"/>
    </row>
    <row r="258" spans="1:23" ht="15.75" customHeight="1" x14ac:dyDescent="0.25">
      <c r="A258" s="6" t="s">
        <v>3231</v>
      </c>
      <c r="B258" s="8" t="str">
        <f ca="1">IFERROR(__xludf.DUMMYFUNCTION("""COMPUTED_VALUE"""),"Jackbox")</f>
        <v>Jackbox</v>
      </c>
      <c r="C258" s="8">
        <f ca="1">COUNTIF(A1:A3410, B258)</f>
        <v>1</v>
      </c>
      <c r="E258" s="8"/>
      <c r="F258" s="8" t="s">
        <v>4001</v>
      </c>
      <c r="G258" s="14">
        <v>2</v>
      </c>
      <c r="H258" s="8"/>
      <c r="I258" s="8"/>
      <c r="J258" s="8"/>
      <c r="K258" s="8"/>
      <c r="L258" s="8"/>
      <c r="M258" s="8"/>
      <c r="N258" s="8"/>
      <c r="O258" s="8"/>
      <c r="P258" s="8"/>
      <c r="Q258" s="8"/>
      <c r="R258" s="8"/>
      <c r="S258" s="8"/>
      <c r="T258" s="8"/>
      <c r="U258" s="8"/>
      <c r="V258" s="8"/>
      <c r="W258" s="8"/>
    </row>
    <row r="259" spans="1:23" ht="15.75" customHeight="1" x14ac:dyDescent="0.25">
      <c r="A259" s="6" t="s">
        <v>3231</v>
      </c>
      <c r="B259" s="8" t="str">
        <f ca="1">IFERROR(__xludf.DUMMYFUNCTION("""COMPUTED_VALUE"""),"JRPG's")</f>
        <v>JRPG's</v>
      </c>
      <c r="C259" s="8">
        <f ca="1">COUNTIF(A1:A3410, B259)</f>
        <v>1</v>
      </c>
      <c r="E259" s="8"/>
      <c r="F259" s="8" t="s">
        <v>4002</v>
      </c>
      <c r="G259" s="14">
        <v>2</v>
      </c>
      <c r="H259" s="8"/>
      <c r="I259" s="8"/>
      <c r="J259" s="8"/>
      <c r="K259" s="8"/>
      <c r="L259" s="8"/>
      <c r="M259" s="8"/>
      <c r="N259" s="8"/>
      <c r="O259" s="8"/>
      <c r="P259" s="8"/>
      <c r="Q259" s="8"/>
      <c r="R259" s="8"/>
      <c r="S259" s="8"/>
      <c r="T259" s="8"/>
      <c r="U259" s="8"/>
      <c r="V259" s="8"/>
      <c r="W259" s="8"/>
    </row>
    <row r="260" spans="1:23" ht="15.75" customHeight="1" x14ac:dyDescent="0.25">
      <c r="A260" s="6" t="s">
        <v>3231</v>
      </c>
      <c r="B260" s="8" t="str">
        <f ca="1">IFERROR(__xludf.DUMMYFUNCTION("""COMPUTED_VALUE"""),"Jurassic World")</f>
        <v>Jurassic World</v>
      </c>
      <c r="C260" s="8">
        <f ca="1">COUNTIF(A1:A3410, B260)</f>
        <v>1</v>
      </c>
      <c r="E260" s="8"/>
      <c r="F260" s="8" t="s">
        <v>4003</v>
      </c>
      <c r="G260" s="14">
        <v>2</v>
      </c>
      <c r="H260" s="8"/>
      <c r="I260" s="8"/>
      <c r="J260" s="8"/>
      <c r="K260" s="8"/>
      <c r="L260" s="8"/>
      <c r="M260" s="8"/>
      <c r="N260" s="8"/>
      <c r="O260" s="8"/>
      <c r="P260" s="8"/>
      <c r="Q260" s="8"/>
      <c r="R260" s="8"/>
      <c r="S260" s="8"/>
      <c r="T260" s="8"/>
      <c r="U260" s="8"/>
      <c r="V260" s="8"/>
      <c r="W260" s="8"/>
    </row>
    <row r="261" spans="1:23" ht="15.75" customHeight="1" x14ac:dyDescent="0.25">
      <c r="A261" s="6" t="s">
        <v>3231</v>
      </c>
      <c r="B261" s="8" t="str">
        <f ca="1">IFERROR(__xludf.DUMMYFUNCTION("""COMPUTED_VALUE"""),"KARDS")</f>
        <v>KARDS</v>
      </c>
      <c r="C261" s="8">
        <f ca="1">COUNTIF(A1:A3410, B261)</f>
        <v>1</v>
      </c>
      <c r="E261" s="8"/>
      <c r="F261" s="8" t="s">
        <v>4004</v>
      </c>
      <c r="G261" s="14">
        <v>2</v>
      </c>
      <c r="H261" s="8"/>
      <c r="I261" s="8"/>
      <c r="J261" s="8"/>
      <c r="K261" s="8"/>
      <c r="L261" s="8"/>
      <c r="M261" s="8"/>
      <c r="N261" s="8"/>
      <c r="O261" s="8"/>
      <c r="P261" s="8"/>
      <c r="Q261" s="8"/>
      <c r="R261" s="8"/>
      <c r="S261" s="8"/>
      <c r="T261" s="8"/>
      <c r="U261" s="8"/>
      <c r="V261" s="8"/>
      <c r="W261" s="8"/>
    </row>
    <row r="262" spans="1:23" ht="15.75" customHeight="1" x14ac:dyDescent="0.25">
      <c r="A262" s="6" t="s">
        <v>3231</v>
      </c>
      <c r="B262" s="8" t="str">
        <f ca="1">IFERROR(__xludf.DUMMYFUNCTION("""COMPUTED_VALUE"""),"Kerbal")</f>
        <v>Kerbal</v>
      </c>
      <c r="C262" s="8">
        <f ca="1">COUNTIF(A1:A3410, B262)</f>
        <v>1</v>
      </c>
      <c r="E262" s="8"/>
      <c r="F262" s="8" t="s">
        <v>4006</v>
      </c>
      <c r="G262" s="14">
        <v>2</v>
      </c>
      <c r="H262" s="8"/>
      <c r="I262" s="8"/>
      <c r="J262" s="8"/>
      <c r="K262" s="8"/>
      <c r="L262" s="8"/>
      <c r="M262" s="8"/>
      <c r="N262" s="8"/>
      <c r="O262" s="8"/>
      <c r="P262" s="8"/>
      <c r="Q262" s="8"/>
      <c r="R262" s="8"/>
      <c r="S262" s="8"/>
      <c r="T262" s="8"/>
      <c r="U262" s="8"/>
      <c r="V262" s="8"/>
      <c r="W262" s="8"/>
    </row>
    <row r="263" spans="1:23" ht="15.75" customHeight="1" x14ac:dyDescent="0.25">
      <c r="A263" s="6" t="s">
        <v>3231</v>
      </c>
      <c r="B263" s="8" t="str">
        <f ca="1">IFERROR(__xludf.DUMMYFUNCTION("""COMPUTED_VALUE"""),"Kerbal Space Program")</f>
        <v>Kerbal Space Program</v>
      </c>
      <c r="C263" s="8">
        <f ca="1">COUNTIF(A1:A3410, B263)</f>
        <v>1</v>
      </c>
      <c r="E263" s="8"/>
      <c r="F263" s="8" t="s">
        <v>4011</v>
      </c>
      <c r="G263" s="14">
        <v>2</v>
      </c>
      <c r="H263" s="8"/>
      <c r="I263" s="8"/>
      <c r="J263" s="8"/>
      <c r="K263" s="8"/>
      <c r="L263" s="8"/>
      <c r="M263" s="8"/>
      <c r="N263" s="8"/>
      <c r="O263" s="8"/>
      <c r="P263" s="8"/>
      <c r="Q263" s="8"/>
      <c r="R263" s="8"/>
      <c r="S263" s="8"/>
      <c r="T263" s="8"/>
      <c r="U263" s="8"/>
      <c r="V263" s="8"/>
      <c r="W263" s="8"/>
    </row>
    <row r="264" spans="1:23" ht="15.75" customHeight="1" x14ac:dyDescent="0.25">
      <c r="A264" s="6" t="s">
        <v>3231</v>
      </c>
      <c r="B264" s="8" t="str">
        <f ca="1">IFERROR(__xludf.DUMMYFUNCTION("""COMPUTED_VALUE"""),"Killing Floor 2")</f>
        <v>Killing Floor 2</v>
      </c>
      <c r="C264" s="8">
        <f ca="1">COUNTIF(A1:A3410, B264)</f>
        <v>13</v>
      </c>
      <c r="E264" s="8"/>
      <c r="F264" s="8" t="s">
        <v>4015</v>
      </c>
      <c r="G264" s="14">
        <v>2</v>
      </c>
      <c r="H264" s="8"/>
      <c r="I264" s="8"/>
      <c r="J264" s="8"/>
      <c r="K264" s="8"/>
      <c r="L264" s="8"/>
      <c r="M264" s="8"/>
      <c r="N264" s="8"/>
      <c r="O264" s="8"/>
      <c r="P264" s="8"/>
      <c r="Q264" s="8"/>
      <c r="R264" s="8"/>
      <c r="S264" s="8"/>
      <c r="T264" s="8"/>
      <c r="U264" s="8"/>
      <c r="V264" s="8"/>
      <c r="W264" s="8"/>
    </row>
    <row r="265" spans="1:23" ht="15.75" customHeight="1" x14ac:dyDescent="0.25">
      <c r="A265" s="6" t="s">
        <v>3231</v>
      </c>
      <c r="B265" s="8" t="str">
        <f ca="1">IFERROR(__xludf.DUMMYFUNCTION("""COMPUTED_VALUE"""),"Kingdom Come: Deliverance")</f>
        <v>Kingdom Come: Deliverance</v>
      </c>
      <c r="C265" s="8">
        <f ca="1">COUNTIF(A1:A3410, B265)</f>
        <v>1</v>
      </c>
      <c r="E265" s="8"/>
      <c r="F265" s="8" t="s">
        <v>4020</v>
      </c>
      <c r="G265" s="14">
        <v>2</v>
      </c>
      <c r="H265" s="8"/>
      <c r="I265" s="8"/>
      <c r="J265" s="8"/>
      <c r="K265" s="8"/>
      <c r="L265" s="8"/>
      <c r="M265" s="8"/>
      <c r="N265" s="8"/>
      <c r="O265" s="8"/>
      <c r="P265" s="8"/>
      <c r="Q265" s="8"/>
      <c r="R265" s="8"/>
      <c r="S265" s="8"/>
      <c r="T265" s="8"/>
      <c r="U265" s="8"/>
      <c r="V265" s="8"/>
      <c r="W265" s="8"/>
    </row>
    <row r="266" spans="1:23" ht="15.75" customHeight="1" x14ac:dyDescent="0.25">
      <c r="A266" s="6" t="s">
        <v>3231</v>
      </c>
      <c r="B266" s="8" t="str">
        <f ca="1">IFERROR(__xludf.DUMMYFUNCTION("""COMPUTED_VALUE"""),"Kingdom Hearts")</f>
        <v>Kingdom Hearts</v>
      </c>
      <c r="C266" s="8">
        <f ca="1">COUNTIF(A1:A3410, B266)</f>
        <v>2</v>
      </c>
      <c r="E266" s="8"/>
      <c r="F266" s="8" t="s">
        <v>4022</v>
      </c>
      <c r="G266" s="14">
        <v>2</v>
      </c>
      <c r="H266" s="8"/>
      <c r="I266" s="8"/>
      <c r="J266" s="8"/>
      <c r="K266" s="8"/>
      <c r="L266" s="8"/>
      <c r="M266" s="8"/>
      <c r="N266" s="8"/>
      <c r="O266" s="8"/>
      <c r="P266" s="8"/>
      <c r="Q266" s="8"/>
      <c r="R266" s="8"/>
      <c r="S266" s="8"/>
      <c r="T266" s="8"/>
      <c r="U266" s="8"/>
      <c r="V266" s="8"/>
      <c r="W266" s="8"/>
    </row>
    <row r="267" spans="1:23" ht="15.75" customHeight="1" x14ac:dyDescent="0.25">
      <c r="A267" s="6" t="s">
        <v>3231</v>
      </c>
      <c r="B267" s="8" t="str">
        <f ca="1">IFERROR(__xludf.DUMMYFUNCTION("""COMPUTED_VALUE"""),"kingdom new lands")</f>
        <v>kingdom new lands</v>
      </c>
      <c r="C267" s="8">
        <f ca="1">COUNTIF(A1:A3410, B267)</f>
        <v>1</v>
      </c>
      <c r="E267" s="8"/>
      <c r="F267" s="8" t="s">
        <v>4026</v>
      </c>
      <c r="G267" s="14">
        <v>2</v>
      </c>
      <c r="H267" s="8"/>
      <c r="I267" s="8"/>
      <c r="J267" s="8"/>
      <c r="K267" s="8"/>
      <c r="L267" s="8"/>
      <c r="M267" s="8"/>
      <c r="N267" s="8"/>
      <c r="O267" s="8"/>
      <c r="P267" s="8"/>
      <c r="Q267" s="8"/>
      <c r="R267" s="8"/>
      <c r="S267" s="8"/>
      <c r="T267" s="8"/>
      <c r="U267" s="8"/>
      <c r="V267" s="8"/>
      <c r="W267" s="8"/>
    </row>
    <row r="268" spans="1:23" ht="15.75" customHeight="1" x14ac:dyDescent="0.25">
      <c r="A268" s="6" t="s">
        <v>3231</v>
      </c>
      <c r="B268" s="8" t="str">
        <f ca="1">IFERROR(__xludf.DUMMYFUNCTION("""COMPUTED_VALUE"""),"Kingdom of Loathing")</f>
        <v>Kingdom of Loathing</v>
      </c>
      <c r="C268" s="8">
        <f ca="1">COUNTIF(A1:A3410, B268)</f>
        <v>1</v>
      </c>
      <c r="E268" s="8"/>
      <c r="F268" s="8" t="s">
        <v>4031</v>
      </c>
      <c r="G268" s="14">
        <v>2</v>
      </c>
      <c r="H268" s="8"/>
      <c r="I268" s="8"/>
      <c r="J268" s="8"/>
      <c r="K268" s="8"/>
      <c r="L268" s="8"/>
      <c r="M268" s="8"/>
      <c r="N268" s="8"/>
      <c r="O268" s="8"/>
      <c r="P268" s="8"/>
      <c r="Q268" s="8"/>
      <c r="R268" s="8"/>
      <c r="S268" s="8"/>
      <c r="T268" s="8"/>
      <c r="U268" s="8"/>
      <c r="V268" s="8"/>
      <c r="W268" s="8"/>
    </row>
    <row r="269" spans="1:23" ht="15.75" customHeight="1" x14ac:dyDescent="0.25">
      <c r="A269" s="6" t="s">
        <v>3231</v>
      </c>
      <c r="B269" s="8" t="str">
        <f ca="1">IFERROR(__xludf.DUMMYFUNCTION("""COMPUTED_VALUE"""),"Kingdom Rush")</f>
        <v>Kingdom Rush</v>
      </c>
      <c r="C269" s="8">
        <f ca="1">COUNTIF(A1:A3410, B269)</f>
        <v>2</v>
      </c>
      <c r="E269" s="8"/>
      <c r="F269" s="8" t="s">
        <v>4033</v>
      </c>
      <c r="G269" s="14">
        <v>2</v>
      </c>
      <c r="H269" s="8"/>
      <c r="I269" s="8"/>
      <c r="J269" s="8"/>
      <c r="K269" s="8"/>
      <c r="L269" s="8"/>
      <c r="M269" s="8"/>
      <c r="N269" s="8"/>
      <c r="O269" s="8"/>
      <c r="P269" s="8"/>
      <c r="Q269" s="8"/>
      <c r="R269" s="8"/>
      <c r="S269" s="8"/>
      <c r="T269" s="8"/>
      <c r="U269" s="8"/>
      <c r="V269" s="8"/>
      <c r="W269" s="8"/>
    </row>
    <row r="270" spans="1:23" ht="15.75" customHeight="1" x14ac:dyDescent="0.25">
      <c r="A270" s="6" t="s">
        <v>3231</v>
      </c>
      <c r="B270" s="8" t="str">
        <f ca="1">IFERROR(__xludf.DUMMYFUNCTION("""COMPUTED_VALUE"""),"Kingmaker")</f>
        <v>Kingmaker</v>
      </c>
      <c r="C270" s="8">
        <f ca="1">COUNTIF(A1:A3410, B270)</f>
        <v>1</v>
      </c>
      <c r="E270" s="8"/>
      <c r="F270" s="8" t="s">
        <v>4035</v>
      </c>
      <c r="G270" s="14">
        <v>2</v>
      </c>
      <c r="H270" s="8"/>
      <c r="I270" s="8"/>
      <c r="J270" s="8"/>
      <c r="K270" s="8"/>
      <c r="L270" s="8"/>
      <c r="M270" s="8"/>
      <c r="N270" s="8"/>
      <c r="O270" s="8"/>
      <c r="P270" s="8"/>
      <c r="Q270" s="8"/>
      <c r="R270" s="8"/>
      <c r="S270" s="8"/>
      <c r="T270" s="8"/>
      <c r="U270" s="8"/>
      <c r="V270" s="8"/>
      <c r="W270" s="8"/>
    </row>
    <row r="271" spans="1:23" ht="15.75" customHeight="1" x14ac:dyDescent="0.25">
      <c r="A271" s="6" t="s">
        <v>3231</v>
      </c>
      <c r="B271" s="8" t="str">
        <f ca="1">IFERROR(__xludf.DUMMYFUNCTION("""COMPUTED_VALUE"""),"Kingsway")</f>
        <v>Kingsway</v>
      </c>
      <c r="C271" s="8">
        <f ca="1">COUNTIF(A1:A3410, B271)</f>
        <v>1</v>
      </c>
      <c r="E271" s="8"/>
      <c r="F271" s="8" t="s">
        <v>4039</v>
      </c>
      <c r="G271" s="14">
        <v>2</v>
      </c>
      <c r="H271" s="8"/>
      <c r="I271" s="8"/>
      <c r="J271" s="8"/>
      <c r="K271" s="8"/>
      <c r="L271" s="8"/>
      <c r="M271" s="8"/>
      <c r="N271" s="8"/>
      <c r="O271" s="8"/>
      <c r="P271" s="8"/>
      <c r="Q271" s="8"/>
      <c r="R271" s="8"/>
      <c r="S271" s="8"/>
      <c r="T271" s="8"/>
      <c r="U271" s="8"/>
      <c r="V271" s="8"/>
      <c r="W271" s="8"/>
    </row>
    <row r="272" spans="1:23" ht="15.75" customHeight="1" x14ac:dyDescent="0.25">
      <c r="A272" s="6" t="s">
        <v>3231</v>
      </c>
      <c r="B272" s="8" t="str">
        <f ca="1">IFERROR(__xludf.DUMMYFUNCTION("""COMPUTED_VALUE"""),"Knight Online")</f>
        <v>Knight Online</v>
      </c>
      <c r="C272" s="8">
        <f ca="1">COUNTIF(A1:A3410, B272)</f>
        <v>1</v>
      </c>
      <c r="E272" s="8"/>
      <c r="F272" s="8" t="s">
        <v>4044</v>
      </c>
      <c r="G272" s="14">
        <v>2</v>
      </c>
      <c r="H272" s="8"/>
      <c r="I272" s="8"/>
      <c r="J272" s="8"/>
      <c r="K272" s="8"/>
      <c r="L272" s="8"/>
      <c r="M272" s="8"/>
      <c r="N272" s="8"/>
      <c r="O272" s="8"/>
      <c r="P272" s="8"/>
      <c r="Q272" s="8"/>
      <c r="R272" s="8"/>
      <c r="S272" s="8"/>
      <c r="T272" s="8"/>
      <c r="U272" s="8"/>
      <c r="V272" s="8"/>
      <c r="W272" s="8"/>
    </row>
    <row r="273" spans="1:23" ht="15.75" customHeight="1" x14ac:dyDescent="0.25">
      <c r="A273" s="6" t="s">
        <v>3231</v>
      </c>
      <c r="B273" s="8" t="str">
        <f ca="1">IFERROR(__xludf.DUMMYFUNCTION("""COMPUTED_VALUE"""),"KOF XIV")</f>
        <v>KOF XIV</v>
      </c>
      <c r="C273" s="8">
        <f ca="1">COUNTIF(A1:A3410, B273)</f>
        <v>1</v>
      </c>
      <c r="E273" s="8"/>
      <c r="F273" s="8" t="s">
        <v>4047</v>
      </c>
      <c r="G273" s="14">
        <v>2</v>
      </c>
      <c r="H273" s="8"/>
      <c r="I273" s="8"/>
      <c r="J273" s="8"/>
      <c r="K273" s="8"/>
      <c r="L273" s="8"/>
      <c r="M273" s="8"/>
      <c r="N273" s="8"/>
      <c r="O273" s="8"/>
      <c r="P273" s="8"/>
      <c r="Q273" s="8"/>
      <c r="R273" s="8"/>
      <c r="S273" s="8"/>
      <c r="T273" s="8"/>
      <c r="U273" s="8"/>
      <c r="V273" s="8"/>
      <c r="W273" s="8"/>
    </row>
    <row r="274" spans="1:23" ht="15.75" customHeight="1" x14ac:dyDescent="0.25">
      <c r="A274" s="6" t="s">
        <v>3231</v>
      </c>
      <c r="B274" s="8" t="str">
        <f ca="1">IFERROR(__xludf.DUMMYFUNCTION("""COMPUTED_VALUE"""),"KRITIKA Online")</f>
        <v>KRITIKA Online</v>
      </c>
      <c r="C274" s="8">
        <f ca="1">COUNTIF(A1:A3410, B274)</f>
        <v>1</v>
      </c>
      <c r="E274" s="8"/>
      <c r="F274" s="8" t="s">
        <v>4051</v>
      </c>
      <c r="G274" s="14">
        <v>2</v>
      </c>
      <c r="H274" s="8"/>
      <c r="I274" s="8"/>
      <c r="J274" s="8"/>
      <c r="K274" s="8"/>
      <c r="L274" s="8"/>
      <c r="M274" s="8"/>
      <c r="N274" s="8"/>
      <c r="O274" s="8"/>
      <c r="P274" s="8"/>
      <c r="Q274" s="8"/>
      <c r="R274" s="8"/>
      <c r="S274" s="8"/>
      <c r="T274" s="8"/>
      <c r="U274" s="8"/>
      <c r="V274" s="8"/>
      <c r="W274" s="8"/>
    </row>
    <row r="275" spans="1:23" ht="15.75" customHeight="1" x14ac:dyDescent="0.25">
      <c r="A275" s="6" t="s">
        <v>4052</v>
      </c>
      <c r="B275" s="8" t="str">
        <f ca="1">IFERROR(__xludf.DUMMYFUNCTION("""COMPUTED_VALUE"""),"Krosmaga")</f>
        <v>Krosmaga</v>
      </c>
      <c r="C275" s="8">
        <f ca="1">COUNTIF(A1:A3410, B275)</f>
        <v>2</v>
      </c>
      <c r="E275" s="8"/>
      <c r="F275" s="8" t="s">
        <v>4055</v>
      </c>
      <c r="G275" s="14">
        <v>2</v>
      </c>
      <c r="H275" s="8"/>
      <c r="I275" s="8"/>
      <c r="J275" s="8"/>
      <c r="K275" s="8"/>
      <c r="L275" s="8"/>
      <c r="M275" s="8"/>
      <c r="N275" s="8"/>
      <c r="O275" s="8"/>
      <c r="P275" s="8"/>
      <c r="Q275" s="8"/>
      <c r="R275" s="8"/>
      <c r="S275" s="8"/>
      <c r="T275" s="8"/>
      <c r="U275" s="8"/>
      <c r="V275" s="8"/>
      <c r="W275" s="8"/>
    </row>
    <row r="276" spans="1:23" ht="15.75" customHeight="1" x14ac:dyDescent="0.25">
      <c r="A276" s="6" t="s">
        <v>3276</v>
      </c>
      <c r="B276" s="8" t="str">
        <f ca="1">IFERROR(__xludf.DUMMYFUNCTION("""COMPUTED_VALUE"""),"Last Day on Earth")</f>
        <v>Last Day on Earth</v>
      </c>
      <c r="C276" s="8">
        <f ca="1">COUNTIF(A1:A3410, B276)</f>
        <v>2</v>
      </c>
      <c r="E276" s="8"/>
      <c r="F276" s="8" t="s">
        <v>4059</v>
      </c>
      <c r="G276" s="14">
        <v>2</v>
      </c>
      <c r="H276" s="8"/>
      <c r="I276" s="8"/>
      <c r="J276" s="8"/>
      <c r="K276" s="8"/>
      <c r="L276" s="8"/>
      <c r="M276" s="8"/>
      <c r="N276" s="8"/>
      <c r="O276" s="8"/>
      <c r="P276" s="8"/>
      <c r="Q276" s="8"/>
      <c r="R276" s="8"/>
      <c r="S276" s="8"/>
      <c r="T276" s="8"/>
      <c r="U276" s="8"/>
      <c r="V276" s="8"/>
      <c r="W276" s="8"/>
    </row>
    <row r="277" spans="1:23" ht="15.75" customHeight="1" x14ac:dyDescent="0.25">
      <c r="A277" s="6" t="s">
        <v>3276</v>
      </c>
      <c r="B277" s="8" t="str">
        <f ca="1">IFERROR(__xludf.DUMMYFUNCTION("""COMPUTED_VALUE"""),"Last Of Us")</f>
        <v>Last Of Us</v>
      </c>
      <c r="C277" s="8">
        <f ca="1">COUNTIF(A1:A3410, B277)</f>
        <v>1</v>
      </c>
      <c r="E277" s="8"/>
      <c r="F277" s="14" t="s">
        <v>3185</v>
      </c>
      <c r="G277" s="14">
        <v>1</v>
      </c>
      <c r="H277" s="8"/>
      <c r="I277" s="8"/>
      <c r="J277" s="8"/>
      <c r="K277" s="8"/>
      <c r="L277" s="8"/>
      <c r="M277" s="8"/>
      <c r="N277" s="8"/>
      <c r="O277" s="8"/>
      <c r="P277" s="8"/>
      <c r="Q277" s="8"/>
      <c r="R277" s="8"/>
      <c r="S277" s="8"/>
      <c r="T277" s="8"/>
      <c r="U277" s="8"/>
      <c r="V277" s="8"/>
      <c r="W277" s="8"/>
    </row>
    <row r="278" spans="1:23" ht="15.75" customHeight="1" x14ac:dyDescent="0.25">
      <c r="A278" s="6" t="s">
        <v>3276</v>
      </c>
      <c r="B278" s="8" t="str">
        <f ca="1">IFERROR(__xludf.DUMMYFUNCTION("""COMPUTED_VALUE"""),"League of Legends")</f>
        <v>League of Legends</v>
      </c>
      <c r="C278" s="8">
        <f ca="1">COUNTIF(A1:A3410, B278)</f>
        <v>226</v>
      </c>
      <c r="E278" s="8"/>
      <c r="F278" s="8" t="s">
        <v>3282</v>
      </c>
      <c r="G278" s="14">
        <v>1</v>
      </c>
      <c r="H278" s="8"/>
      <c r="I278" s="8"/>
      <c r="J278" s="8"/>
      <c r="K278" s="8"/>
      <c r="L278" s="8"/>
      <c r="M278" s="8"/>
      <c r="N278" s="8"/>
      <c r="O278" s="8"/>
      <c r="P278" s="8"/>
      <c r="Q278" s="8"/>
      <c r="R278" s="8"/>
      <c r="S278" s="8"/>
      <c r="T278" s="8"/>
      <c r="U278" s="8"/>
      <c r="V278" s="8"/>
      <c r="W278" s="8"/>
    </row>
    <row r="279" spans="1:23" ht="15.75" customHeight="1" x14ac:dyDescent="0.25">
      <c r="A279" s="6" t="s">
        <v>3276</v>
      </c>
      <c r="B279" s="8" t="str">
        <f ca="1">IFERROR(__xludf.DUMMYFUNCTION("""COMPUTED_VALUE"""),"Left 4 Dead 2")</f>
        <v>Left 4 Dead 2</v>
      </c>
      <c r="C279" s="8">
        <f ca="1">COUNTIF(A1:A3410, B279)</f>
        <v>10</v>
      </c>
      <c r="E279" s="8"/>
      <c r="F279" s="8" t="s">
        <v>3285</v>
      </c>
      <c r="G279" s="14">
        <v>1</v>
      </c>
      <c r="H279" s="8"/>
      <c r="I279" s="8"/>
      <c r="J279" s="8"/>
      <c r="K279" s="8"/>
      <c r="L279" s="8"/>
      <c r="M279" s="8"/>
      <c r="N279" s="8"/>
      <c r="O279" s="8"/>
      <c r="P279" s="8"/>
      <c r="Q279" s="8"/>
      <c r="R279" s="8"/>
      <c r="S279" s="8"/>
      <c r="T279" s="8"/>
      <c r="U279" s="8"/>
      <c r="V279" s="8"/>
      <c r="W279" s="8"/>
    </row>
    <row r="280" spans="1:23" ht="15.75" customHeight="1" x14ac:dyDescent="0.25">
      <c r="A280" s="6" t="s">
        <v>3276</v>
      </c>
      <c r="B280" s="8" t="str">
        <f ca="1">IFERROR(__xludf.DUMMYFUNCTION("""COMPUTED_VALUE"""),"Legend of Solgard")</f>
        <v>Legend of Solgard</v>
      </c>
      <c r="C280" s="8">
        <f ca="1">COUNTIF(A1:A3410, B280)</f>
        <v>1</v>
      </c>
      <c r="E280" s="8"/>
      <c r="F280" s="8" t="s">
        <v>3288</v>
      </c>
      <c r="G280" s="14">
        <v>1</v>
      </c>
      <c r="H280" s="8"/>
      <c r="I280" s="8"/>
      <c r="J280" s="8"/>
      <c r="K280" s="8"/>
      <c r="L280" s="8"/>
      <c r="M280" s="8"/>
      <c r="N280" s="8"/>
      <c r="O280" s="8"/>
      <c r="P280" s="8"/>
      <c r="Q280" s="8"/>
      <c r="R280" s="8"/>
      <c r="S280" s="8"/>
      <c r="T280" s="8"/>
      <c r="U280" s="8"/>
      <c r="V280" s="8"/>
      <c r="W280" s="8"/>
    </row>
    <row r="281" spans="1:23" ht="15.75" customHeight="1" x14ac:dyDescent="0.25">
      <c r="A281" s="6" t="s">
        <v>3276</v>
      </c>
      <c r="B281" s="8" t="str">
        <f ca="1">IFERROR(__xludf.DUMMYFUNCTION("""COMPUTED_VALUE"""),"Legend of Zelda")</f>
        <v>Legend of Zelda</v>
      </c>
      <c r="C281" s="8">
        <f ca="1">COUNTIF(A1:A3410, B281)</f>
        <v>5</v>
      </c>
      <c r="E281" s="8"/>
      <c r="F281" s="8" t="s">
        <v>3293</v>
      </c>
      <c r="G281" s="14">
        <v>1</v>
      </c>
      <c r="H281" s="8"/>
      <c r="I281" s="8"/>
      <c r="J281" s="8"/>
      <c r="K281" s="8"/>
      <c r="L281" s="8"/>
      <c r="M281" s="8"/>
      <c r="N281" s="8"/>
      <c r="O281" s="8"/>
      <c r="P281" s="8"/>
      <c r="Q281" s="8"/>
      <c r="R281" s="8"/>
      <c r="S281" s="8"/>
      <c r="T281" s="8"/>
      <c r="U281" s="8"/>
      <c r="V281" s="8"/>
      <c r="W281" s="8"/>
    </row>
    <row r="282" spans="1:23" ht="15.75" customHeight="1" x14ac:dyDescent="0.25">
      <c r="A282" s="6" t="s">
        <v>3276</v>
      </c>
      <c r="B282" s="8" t="str">
        <f ca="1">IFERROR(__xludf.DUMMYFUNCTION("""COMPUTED_VALUE"""),"Legion TD 2")</f>
        <v>Legion TD 2</v>
      </c>
      <c r="C282" s="8">
        <f ca="1">COUNTIF(A1:A3410, B282)</f>
        <v>7</v>
      </c>
      <c r="E282" s="8"/>
      <c r="F282" s="8" t="s">
        <v>3294</v>
      </c>
      <c r="G282" s="14">
        <v>1</v>
      </c>
      <c r="H282" s="8"/>
      <c r="I282" s="8"/>
      <c r="J282" s="8"/>
      <c r="K282" s="8"/>
      <c r="L282" s="8"/>
      <c r="M282" s="8"/>
      <c r="N282" s="8"/>
      <c r="O282" s="8"/>
      <c r="P282" s="8"/>
      <c r="Q282" s="8"/>
      <c r="R282" s="8"/>
      <c r="S282" s="8"/>
      <c r="T282" s="8"/>
      <c r="U282" s="8"/>
      <c r="V282" s="8"/>
      <c r="W282" s="8"/>
    </row>
    <row r="283" spans="1:23" ht="15.75" customHeight="1" x14ac:dyDescent="0.25">
      <c r="A283" s="6" t="s">
        <v>3276</v>
      </c>
      <c r="B283" s="8" t="str">
        <f ca="1">IFERROR(__xludf.DUMMYFUNCTION("""COMPUTED_VALUE"""),"Lethal League")</f>
        <v>Lethal League</v>
      </c>
      <c r="C283" s="8">
        <f ca="1">COUNTIF(A1:A3410, B283)</f>
        <v>2</v>
      </c>
      <c r="E283" s="8"/>
      <c r="F283" s="8" t="s">
        <v>3297</v>
      </c>
      <c r="G283" s="14">
        <v>1</v>
      </c>
      <c r="H283" s="8"/>
      <c r="I283" s="8"/>
      <c r="J283" s="8"/>
      <c r="K283" s="8"/>
      <c r="L283" s="8"/>
      <c r="M283" s="8"/>
      <c r="N283" s="8"/>
      <c r="O283" s="8"/>
      <c r="P283" s="8"/>
      <c r="Q283" s="8"/>
      <c r="R283" s="8"/>
      <c r="S283" s="8"/>
      <c r="T283" s="8"/>
      <c r="U283" s="8"/>
      <c r="V283" s="8"/>
      <c r="W283" s="8"/>
    </row>
    <row r="284" spans="1:23" ht="15.75" customHeight="1" x14ac:dyDescent="0.25">
      <c r="A284" s="6" t="s">
        <v>3276</v>
      </c>
      <c r="B284" s="8" t="str">
        <f ca="1">IFERROR(__xludf.DUMMYFUNCTION("""COMPUTED_VALUE"""),"Life is Strange")</f>
        <v>Life is Strange</v>
      </c>
      <c r="C284" s="8">
        <f ca="1">COUNTIF(A1:A3410, B284)</f>
        <v>1</v>
      </c>
      <c r="E284" s="8"/>
      <c r="F284" s="8" t="s">
        <v>3300</v>
      </c>
      <c r="G284" s="14">
        <v>1</v>
      </c>
      <c r="H284" s="8"/>
      <c r="I284" s="8"/>
      <c r="J284" s="8"/>
      <c r="K284" s="8"/>
      <c r="L284" s="8"/>
      <c r="M284" s="8"/>
      <c r="N284" s="8"/>
      <c r="O284" s="8"/>
      <c r="P284" s="8"/>
      <c r="Q284" s="8"/>
      <c r="R284" s="8"/>
      <c r="S284" s="8"/>
      <c r="T284" s="8"/>
      <c r="U284" s="8"/>
      <c r="V284" s="8"/>
      <c r="W284" s="8"/>
    </row>
    <row r="285" spans="1:23" ht="15.75" customHeight="1" x14ac:dyDescent="0.25">
      <c r="A285" s="6" t="s">
        <v>3276</v>
      </c>
      <c r="B285" s="8" t="str">
        <f ca="1">IFERROR(__xludf.DUMMYFUNCTION("""COMPUTED_VALUE"""),"Limbo")</f>
        <v>Limbo</v>
      </c>
      <c r="C285" s="8">
        <f ca="1">COUNTIF(A1:A3410, B285)</f>
        <v>1</v>
      </c>
      <c r="E285" s="8"/>
      <c r="F285" s="8" t="s">
        <v>3302</v>
      </c>
      <c r="G285" s="14">
        <v>1</v>
      </c>
      <c r="H285" s="8"/>
      <c r="I285" s="8"/>
      <c r="J285" s="8"/>
      <c r="K285" s="8"/>
      <c r="L285" s="8"/>
      <c r="M285" s="8"/>
      <c r="N285" s="8"/>
      <c r="O285" s="8"/>
      <c r="P285" s="8"/>
      <c r="Q285" s="8"/>
      <c r="R285" s="8"/>
      <c r="S285" s="8"/>
      <c r="T285" s="8"/>
      <c r="U285" s="8"/>
      <c r="V285" s="8"/>
      <c r="W285" s="8"/>
    </row>
    <row r="286" spans="1:23" ht="15.75" customHeight="1" x14ac:dyDescent="0.25">
      <c r="A286" s="6" t="s">
        <v>3276</v>
      </c>
      <c r="B286" s="8" t="str">
        <f ca="1">IFERROR(__xludf.DUMMYFUNCTION("""COMPUTED_VALUE"""),"Lineage 2")</f>
        <v>Lineage 2</v>
      </c>
      <c r="C286" s="8">
        <f ca="1">COUNTIF(A1:A3410, B286)</f>
        <v>1</v>
      </c>
      <c r="E286" s="8"/>
      <c r="F286" s="8" t="s">
        <v>3399</v>
      </c>
      <c r="G286" s="14">
        <v>1</v>
      </c>
      <c r="H286" s="8"/>
      <c r="I286" s="8"/>
      <c r="J286" s="8"/>
      <c r="K286" s="8"/>
      <c r="L286" s="8"/>
      <c r="M286" s="8"/>
      <c r="N286" s="8"/>
      <c r="O286" s="8"/>
      <c r="P286" s="8"/>
      <c r="Q286" s="8"/>
      <c r="R286" s="8"/>
      <c r="S286" s="8"/>
      <c r="T286" s="8"/>
      <c r="U286" s="8"/>
      <c r="V286" s="8"/>
      <c r="W286" s="8"/>
    </row>
    <row r="287" spans="1:23" ht="15.75" customHeight="1" x14ac:dyDescent="0.25">
      <c r="A287" s="6" t="s">
        <v>3276</v>
      </c>
      <c r="B287" s="8" t="str">
        <f ca="1">IFERROR(__xludf.DUMMYFUNCTION("""COMPUTED_VALUE"""),"Lobotomy Corp.")</f>
        <v>Lobotomy Corp.</v>
      </c>
      <c r="C287" s="8">
        <f ca="1">COUNTIF(A1:A3410, B287)</f>
        <v>1</v>
      </c>
      <c r="E287" s="8"/>
      <c r="F287" s="8" t="s">
        <v>3483</v>
      </c>
      <c r="G287" s="14">
        <v>1</v>
      </c>
      <c r="H287" s="8"/>
      <c r="I287" s="8"/>
      <c r="J287" s="8"/>
      <c r="K287" s="8"/>
      <c r="L287" s="8"/>
      <c r="M287" s="8"/>
      <c r="N287" s="8"/>
      <c r="O287" s="8"/>
      <c r="P287" s="8"/>
      <c r="Q287" s="8"/>
      <c r="R287" s="8"/>
      <c r="S287" s="8"/>
      <c r="T287" s="8"/>
      <c r="U287" s="8"/>
      <c r="V287" s="8"/>
      <c r="W287" s="8"/>
    </row>
    <row r="288" spans="1:23" ht="15.75" customHeight="1" x14ac:dyDescent="0.25">
      <c r="A288" s="6" t="s">
        <v>3276</v>
      </c>
      <c r="B288" s="8" t="str">
        <f ca="1">IFERROR(__xludf.DUMMYFUNCTION("""COMPUTED_VALUE"""),"Logic games")</f>
        <v>Logic games</v>
      </c>
      <c r="C288" s="8">
        <f ca="1">COUNTIF(A1:A3410, B288)</f>
        <v>1</v>
      </c>
      <c r="E288" s="8"/>
      <c r="F288" s="8" t="s">
        <v>3506</v>
      </c>
      <c r="G288" s="14">
        <v>1</v>
      </c>
      <c r="H288" s="8"/>
      <c r="I288" s="8"/>
      <c r="J288" s="8"/>
      <c r="K288" s="8"/>
      <c r="L288" s="8"/>
      <c r="M288" s="8"/>
      <c r="N288" s="8"/>
      <c r="O288" s="8"/>
      <c r="P288" s="8"/>
      <c r="Q288" s="8"/>
      <c r="R288" s="8"/>
      <c r="S288" s="8"/>
      <c r="T288" s="8"/>
      <c r="U288" s="8"/>
      <c r="V288" s="8"/>
      <c r="W288" s="8"/>
    </row>
    <row r="289" spans="1:23" ht="15.75" customHeight="1" x14ac:dyDescent="0.25">
      <c r="A289" s="6" t="s">
        <v>3276</v>
      </c>
      <c r="B289" s="8" t="str">
        <f ca="1">IFERROR(__xludf.DUMMYFUNCTION("""COMPUTED_VALUE"""),"Lord of the Rings Online")</f>
        <v>Lord of the Rings Online</v>
      </c>
      <c r="C289" s="8">
        <f ca="1">COUNTIF(A1:A3410, B289)</f>
        <v>3</v>
      </c>
      <c r="E289" s="8"/>
      <c r="F289" s="8" t="s">
        <v>3511</v>
      </c>
      <c r="G289" s="14">
        <v>1</v>
      </c>
      <c r="H289" s="8"/>
      <c r="I289" s="8"/>
      <c r="J289" s="8"/>
      <c r="K289" s="8"/>
      <c r="L289" s="8"/>
      <c r="M289" s="8"/>
      <c r="N289" s="8"/>
      <c r="O289" s="8"/>
      <c r="P289" s="8"/>
      <c r="Q289" s="8"/>
      <c r="R289" s="8"/>
      <c r="S289" s="8"/>
      <c r="T289" s="8"/>
      <c r="U289" s="8"/>
      <c r="V289" s="8"/>
      <c r="W289" s="8"/>
    </row>
    <row r="290" spans="1:23" ht="15.75" customHeight="1" x14ac:dyDescent="0.25">
      <c r="A290" s="6" t="s">
        <v>3276</v>
      </c>
      <c r="B290" s="8" t="str">
        <f ca="1">IFERROR(__xludf.DUMMYFUNCTION("""COMPUTED_VALUE"""),"Lost Ark")</f>
        <v>Lost Ark</v>
      </c>
      <c r="C290" s="8">
        <f ca="1">COUNTIF(A1:A3410, B290)</f>
        <v>1</v>
      </c>
      <c r="E290" s="8"/>
      <c r="F290" s="8" t="s">
        <v>3525</v>
      </c>
      <c r="G290" s="14">
        <v>1</v>
      </c>
      <c r="H290" s="8"/>
      <c r="I290" s="8"/>
      <c r="J290" s="8"/>
      <c r="K290" s="8"/>
      <c r="L290" s="8"/>
      <c r="M290" s="8"/>
      <c r="N290" s="8"/>
      <c r="O290" s="8"/>
      <c r="P290" s="8"/>
      <c r="Q290" s="8"/>
      <c r="R290" s="8"/>
      <c r="S290" s="8"/>
      <c r="T290" s="8"/>
      <c r="U290" s="8"/>
      <c r="V290" s="8"/>
      <c r="W290" s="8"/>
    </row>
    <row r="291" spans="1:23" ht="15.75" customHeight="1" x14ac:dyDescent="0.25">
      <c r="A291" s="6" t="s">
        <v>3276</v>
      </c>
      <c r="B291" s="8" t="str">
        <f ca="1">IFERROR(__xludf.DUMMYFUNCTION("""COMPUTED_VALUE"""),"Love Nikki")</f>
        <v>Love Nikki</v>
      </c>
      <c r="C291" s="8">
        <f ca="1">COUNTIF(A1:A3410, B291)</f>
        <v>1</v>
      </c>
      <c r="E291" s="8"/>
      <c r="F291" s="8" t="s">
        <v>3540</v>
      </c>
      <c r="G291" s="14">
        <v>1</v>
      </c>
      <c r="H291" s="8"/>
      <c r="I291" s="8"/>
      <c r="J291" s="8"/>
      <c r="K291" s="8"/>
      <c r="L291" s="8"/>
      <c r="M291" s="8"/>
      <c r="N291" s="8"/>
      <c r="O291" s="8"/>
      <c r="P291" s="8"/>
      <c r="Q291" s="8"/>
      <c r="R291" s="8"/>
      <c r="S291" s="8"/>
      <c r="T291" s="8"/>
      <c r="U291" s="8"/>
      <c r="V291" s="8"/>
      <c r="W291" s="8"/>
    </row>
    <row r="292" spans="1:23" ht="15.75" customHeight="1" x14ac:dyDescent="0.25">
      <c r="A292" s="6" t="s">
        <v>3276</v>
      </c>
      <c r="B292" s="8" t="str">
        <f ca="1">IFERROR(__xludf.DUMMYFUNCTION("""COMPUTED_VALUE"""),"Lunatic Rave 2")</f>
        <v>Lunatic Rave 2</v>
      </c>
      <c r="C292" s="8">
        <f ca="1">COUNTIF(A1:A3410, B292)</f>
        <v>1</v>
      </c>
      <c r="E292" s="8"/>
      <c r="F292" s="8" t="s">
        <v>3545</v>
      </c>
      <c r="G292" s="14">
        <v>1</v>
      </c>
      <c r="H292" s="8"/>
      <c r="I292" s="8"/>
      <c r="J292" s="8"/>
      <c r="K292" s="8"/>
      <c r="L292" s="8"/>
      <c r="M292" s="8"/>
      <c r="N292" s="8"/>
      <c r="O292" s="8"/>
      <c r="P292" s="8"/>
      <c r="Q292" s="8"/>
      <c r="R292" s="8"/>
      <c r="S292" s="8"/>
      <c r="T292" s="8"/>
      <c r="U292" s="8"/>
      <c r="V292" s="8"/>
      <c r="W292" s="8"/>
    </row>
    <row r="293" spans="1:23" ht="15.75" customHeight="1" x14ac:dyDescent="0.25">
      <c r="A293" s="6" t="s">
        <v>3276</v>
      </c>
      <c r="B293" s="8" t="str">
        <f ca="1">IFERROR(__xludf.DUMMYFUNCTION("""COMPUTED_VALUE"""),"Madden NFL")</f>
        <v>Madden NFL</v>
      </c>
      <c r="C293" s="8">
        <f ca="1">COUNTIF(A1:A3410, B293)</f>
        <v>2</v>
      </c>
      <c r="E293" s="8"/>
      <c r="F293" s="8" t="s">
        <v>3549</v>
      </c>
      <c r="G293" s="14">
        <v>1</v>
      </c>
      <c r="H293" s="8"/>
      <c r="I293" s="8"/>
      <c r="J293" s="8"/>
      <c r="K293" s="8"/>
      <c r="L293" s="8"/>
      <c r="M293" s="8"/>
      <c r="N293" s="8"/>
      <c r="O293" s="8"/>
      <c r="P293" s="8"/>
      <c r="Q293" s="8"/>
      <c r="R293" s="8"/>
      <c r="S293" s="8"/>
      <c r="T293" s="8"/>
      <c r="U293" s="8"/>
      <c r="V293" s="8"/>
      <c r="W293" s="8"/>
    </row>
    <row r="294" spans="1:23" ht="15.75" customHeight="1" x14ac:dyDescent="0.25">
      <c r="A294" s="6" t="s">
        <v>3276</v>
      </c>
      <c r="B294" s="8" t="str">
        <f ca="1">IFERROR(__xludf.DUMMYFUNCTION("""COMPUTED_VALUE"""),"Management games")</f>
        <v>Management games</v>
      </c>
      <c r="C294" s="8">
        <f ca="1">COUNTIF(A1:A3410, B294)</f>
        <v>2</v>
      </c>
      <c r="E294" s="8"/>
      <c r="F294" s="8" t="s">
        <v>3552</v>
      </c>
      <c r="G294" s="14">
        <v>1</v>
      </c>
      <c r="H294" s="8"/>
      <c r="I294" s="8"/>
      <c r="J294" s="8"/>
      <c r="K294" s="8"/>
      <c r="L294" s="8"/>
      <c r="M294" s="8"/>
      <c r="N294" s="8"/>
      <c r="O294" s="8"/>
      <c r="P294" s="8"/>
      <c r="Q294" s="8"/>
      <c r="R294" s="8"/>
      <c r="S294" s="8"/>
      <c r="T294" s="8"/>
      <c r="U294" s="8"/>
      <c r="V294" s="8"/>
      <c r="W294" s="8"/>
    </row>
    <row r="295" spans="1:23" ht="15.75" customHeight="1" x14ac:dyDescent="0.25">
      <c r="A295" s="6" t="s">
        <v>4097</v>
      </c>
      <c r="B295" s="8" t="str">
        <f ca="1">IFERROR(__xludf.DUMMYFUNCTION("""COMPUTED_VALUE"""),"MapleStory 2")</f>
        <v>MapleStory 2</v>
      </c>
      <c r="C295" s="8">
        <f ca="1">COUNTIF(A1:A3410, B295)</f>
        <v>17</v>
      </c>
      <c r="E295" s="8"/>
      <c r="F295" s="8" t="s">
        <v>3575</v>
      </c>
      <c r="G295" s="14">
        <v>1</v>
      </c>
      <c r="H295" s="8"/>
      <c r="I295" s="8"/>
      <c r="J295" s="8"/>
      <c r="K295" s="8"/>
      <c r="L295" s="8"/>
      <c r="M295" s="8"/>
      <c r="N295" s="8"/>
      <c r="O295" s="8"/>
      <c r="P295" s="8"/>
      <c r="Q295" s="8"/>
      <c r="R295" s="8"/>
      <c r="S295" s="8"/>
      <c r="T295" s="8"/>
      <c r="U295" s="8"/>
      <c r="V295" s="8"/>
      <c r="W295" s="8"/>
    </row>
    <row r="296" spans="1:23" ht="15.75" customHeight="1" x14ac:dyDescent="0.25">
      <c r="A296" s="6" t="s">
        <v>4099</v>
      </c>
      <c r="B296" s="8" t="str">
        <f ca="1">IFERROR(__xludf.DUMMYFUNCTION("""COMPUTED_VALUE"""),"Mario games")</f>
        <v>Mario games</v>
      </c>
      <c r="C296" s="8">
        <f ca="1">COUNTIF(A1:A3410, B296)</f>
        <v>6</v>
      </c>
      <c r="E296" s="8"/>
      <c r="F296" s="8" t="s">
        <v>3580</v>
      </c>
      <c r="G296" s="14">
        <v>1</v>
      </c>
      <c r="H296" s="8"/>
      <c r="I296" s="8"/>
      <c r="J296" s="8"/>
      <c r="K296" s="8"/>
      <c r="L296" s="8"/>
      <c r="M296" s="8"/>
      <c r="N296" s="8"/>
      <c r="O296" s="8"/>
      <c r="P296" s="8"/>
      <c r="Q296" s="8"/>
      <c r="R296" s="8"/>
      <c r="S296" s="8"/>
      <c r="T296" s="8"/>
      <c r="U296" s="8"/>
      <c r="V296" s="8"/>
      <c r="W296" s="8"/>
    </row>
    <row r="297" spans="1:23" ht="15.75" customHeight="1" x14ac:dyDescent="0.25">
      <c r="A297" s="6" t="s">
        <v>4103</v>
      </c>
      <c r="B297" s="8" t="str">
        <f ca="1">IFERROR(__xludf.DUMMYFUNCTION("""COMPUTED_VALUE"""),"Marvel's Future Fight")</f>
        <v>Marvel's Future Fight</v>
      </c>
      <c r="C297" s="8">
        <f ca="1">COUNTIF(A1:A3410, B297)</f>
        <v>1</v>
      </c>
      <c r="E297" s="8"/>
      <c r="F297" s="8" t="s">
        <v>3584</v>
      </c>
      <c r="G297" s="14">
        <v>1</v>
      </c>
      <c r="H297" s="8"/>
      <c r="I297" s="8"/>
      <c r="J297" s="8"/>
      <c r="K297" s="8"/>
      <c r="L297" s="8"/>
      <c r="M297" s="8"/>
      <c r="N297" s="8"/>
      <c r="O297" s="8"/>
      <c r="P297" s="8"/>
      <c r="Q297" s="8"/>
      <c r="R297" s="8"/>
      <c r="S297" s="8"/>
      <c r="T297" s="8"/>
      <c r="U297" s="8"/>
      <c r="V297" s="8"/>
      <c r="W297" s="8"/>
    </row>
    <row r="298" spans="1:23" ht="15.75" customHeight="1" x14ac:dyDescent="0.25">
      <c r="A298" s="6" t="s">
        <v>3823</v>
      </c>
      <c r="B298" s="8" t="str">
        <f ca="1">IFERROR(__xludf.DUMMYFUNCTION("""COMPUTED_VALUE"""),"Mass Effect")</f>
        <v>Mass Effect</v>
      </c>
      <c r="C298" s="8">
        <f ca="1">COUNTIF(A1:A3410, B298)</f>
        <v>3</v>
      </c>
      <c r="E298" s="8"/>
      <c r="F298" s="8" t="s">
        <v>3647</v>
      </c>
      <c r="G298" s="14">
        <v>1</v>
      </c>
      <c r="H298" s="8"/>
      <c r="I298" s="8"/>
      <c r="J298" s="8"/>
      <c r="K298" s="8"/>
      <c r="L298" s="8"/>
      <c r="M298" s="8"/>
      <c r="N298" s="8"/>
      <c r="O298" s="8"/>
      <c r="P298" s="8"/>
      <c r="Q298" s="8"/>
      <c r="R298" s="8"/>
      <c r="S298" s="8"/>
      <c r="T298" s="8"/>
      <c r="U298" s="8"/>
      <c r="V298" s="8"/>
      <c r="W298" s="8"/>
    </row>
    <row r="299" spans="1:23" ht="15.75" customHeight="1" x14ac:dyDescent="0.25">
      <c r="A299" s="6" t="s">
        <v>3823</v>
      </c>
      <c r="B299" s="8" t="str">
        <f ca="1">IFERROR(__xludf.DUMMYFUNCTION("""COMPUTED_VALUE"""),"Men of War")</f>
        <v>Men of War</v>
      </c>
      <c r="C299" s="8">
        <f ca="1">COUNTIF(A1:A3410, B299)</f>
        <v>1</v>
      </c>
      <c r="E299" s="8"/>
      <c r="F299" s="8" t="s">
        <v>3654</v>
      </c>
      <c r="G299" s="14">
        <v>1</v>
      </c>
      <c r="H299" s="8"/>
      <c r="I299" s="8"/>
      <c r="J299" s="8"/>
      <c r="K299" s="8"/>
      <c r="L299" s="8"/>
      <c r="M299" s="8"/>
      <c r="N299" s="8"/>
      <c r="O299" s="8"/>
      <c r="P299" s="8"/>
      <c r="Q299" s="8"/>
      <c r="R299" s="8"/>
      <c r="S299" s="8"/>
      <c r="T299" s="8"/>
      <c r="U299" s="8"/>
      <c r="V299" s="8"/>
      <c r="W299" s="8"/>
    </row>
    <row r="300" spans="1:23" ht="15.75" customHeight="1" x14ac:dyDescent="0.25">
      <c r="A300" s="6" t="s">
        <v>969</v>
      </c>
      <c r="B300" s="8" t="str">
        <f ca="1">IFERROR(__xludf.DUMMYFUNCTION("""COMPUTED_VALUE"""),"Metal Gear Solid")</f>
        <v>Metal Gear Solid</v>
      </c>
      <c r="C300" s="8">
        <f ca="1">COUNTIF(A1:A3410, B300)</f>
        <v>1</v>
      </c>
      <c r="E300" s="8"/>
      <c r="F300" s="8" t="s">
        <v>3726</v>
      </c>
      <c r="G300" s="14">
        <v>1</v>
      </c>
      <c r="H300" s="8"/>
      <c r="I300" s="8"/>
      <c r="J300" s="8"/>
      <c r="K300" s="8"/>
      <c r="L300" s="8"/>
      <c r="M300" s="8"/>
      <c r="N300" s="8"/>
      <c r="O300" s="8"/>
      <c r="P300" s="8"/>
      <c r="Q300" s="8"/>
      <c r="R300" s="8"/>
      <c r="S300" s="8"/>
      <c r="T300" s="8"/>
      <c r="U300" s="8"/>
      <c r="V300" s="8"/>
      <c r="W300" s="8"/>
    </row>
    <row r="301" spans="1:23" ht="15.75" customHeight="1" x14ac:dyDescent="0.25">
      <c r="A301" s="6" t="s">
        <v>969</v>
      </c>
      <c r="B301" s="8" t="str">
        <f ca="1">IFERROR(__xludf.DUMMYFUNCTION("""COMPUTED_VALUE"""),"Metro")</f>
        <v>Metro</v>
      </c>
      <c r="C301" s="8">
        <f ca="1">COUNTIF(A1:A3410, B301)</f>
        <v>1</v>
      </c>
      <c r="E301" s="8"/>
      <c r="F301" s="8" t="s">
        <v>3729</v>
      </c>
      <c r="G301" s="14">
        <v>1</v>
      </c>
      <c r="H301" s="8"/>
      <c r="I301" s="8"/>
      <c r="J301" s="8"/>
      <c r="K301" s="8"/>
      <c r="L301" s="8"/>
      <c r="M301" s="8"/>
      <c r="N301" s="8"/>
      <c r="O301" s="8"/>
      <c r="P301" s="8"/>
      <c r="Q301" s="8"/>
      <c r="R301" s="8"/>
      <c r="S301" s="8"/>
      <c r="T301" s="8"/>
      <c r="U301" s="8"/>
      <c r="V301" s="8"/>
      <c r="W301" s="8"/>
    </row>
    <row r="302" spans="1:23" ht="15.75" customHeight="1" x14ac:dyDescent="0.25">
      <c r="A302" s="6" t="s">
        <v>969</v>
      </c>
      <c r="B302" s="8" t="str">
        <f ca="1">IFERROR(__xludf.DUMMYFUNCTION("""COMPUTED_VALUE"""),"Metroidvania games")</f>
        <v>Metroidvania games</v>
      </c>
      <c r="C302" s="8">
        <f ca="1">COUNTIF(A1:A3410, B302)</f>
        <v>1</v>
      </c>
      <c r="E302" s="8"/>
      <c r="F302" s="8" t="s">
        <v>3731</v>
      </c>
      <c r="G302" s="14">
        <v>1</v>
      </c>
      <c r="H302" s="8"/>
      <c r="I302" s="8"/>
      <c r="J302" s="8"/>
      <c r="K302" s="8"/>
      <c r="L302" s="8"/>
      <c r="M302" s="8"/>
      <c r="N302" s="8"/>
      <c r="O302" s="8"/>
      <c r="P302" s="8"/>
      <c r="Q302" s="8"/>
      <c r="R302" s="8"/>
      <c r="S302" s="8"/>
      <c r="T302" s="8"/>
      <c r="U302" s="8"/>
      <c r="V302" s="8"/>
      <c r="W302" s="8"/>
    </row>
    <row r="303" spans="1:23" ht="15.75" customHeight="1" x14ac:dyDescent="0.25">
      <c r="A303" s="6" t="s">
        <v>969</v>
      </c>
      <c r="B303" s="8" t="str">
        <f ca="1">IFERROR(__xludf.DUMMYFUNCTION("""COMPUTED_VALUE"""),"middle earth: shadow of mordor")</f>
        <v>middle earth: shadow of mordor</v>
      </c>
      <c r="C303" s="8">
        <f ca="1">COUNTIF(A1:A3410, B303)</f>
        <v>1</v>
      </c>
      <c r="E303" s="8"/>
      <c r="F303" s="8" t="s">
        <v>3734</v>
      </c>
      <c r="G303" s="14">
        <v>1</v>
      </c>
      <c r="H303" s="8"/>
      <c r="I303" s="8"/>
      <c r="J303" s="8"/>
      <c r="K303" s="8"/>
      <c r="L303" s="8"/>
      <c r="M303" s="8"/>
      <c r="N303" s="8"/>
      <c r="O303" s="8"/>
      <c r="P303" s="8"/>
      <c r="Q303" s="8"/>
      <c r="R303" s="8"/>
      <c r="S303" s="8"/>
      <c r="T303" s="8"/>
      <c r="U303" s="8"/>
      <c r="V303" s="8"/>
      <c r="W303" s="8"/>
    </row>
    <row r="304" spans="1:23" ht="15.75" customHeight="1" x14ac:dyDescent="0.25">
      <c r="A304" s="6" t="s">
        <v>969</v>
      </c>
      <c r="B304" s="8" t="str">
        <f ca="1">IFERROR(__xludf.DUMMYFUNCTION("""COMPUTED_VALUE"""),"Minecraft")</f>
        <v>Minecraft</v>
      </c>
      <c r="C304" s="8">
        <f ca="1">COUNTIF(A1:A3410, B304)</f>
        <v>44</v>
      </c>
      <c r="E304" s="8"/>
      <c r="F304" s="8" t="s">
        <v>3786</v>
      </c>
      <c r="G304" s="14">
        <v>1</v>
      </c>
      <c r="H304" s="8"/>
      <c r="I304" s="8"/>
      <c r="J304" s="8"/>
      <c r="K304" s="8"/>
      <c r="L304" s="8"/>
      <c r="M304" s="8"/>
      <c r="N304" s="8"/>
      <c r="O304" s="8"/>
      <c r="P304" s="8"/>
      <c r="Q304" s="8"/>
      <c r="R304" s="8"/>
      <c r="S304" s="8"/>
      <c r="T304" s="8"/>
      <c r="U304" s="8"/>
      <c r="V304" s="8"/>
      <c r="W304" s="8"/>
    </row>
    <row r="305" spans="1:23" ht="15.75" customHeight="1" x14ac:dyDescent="0.25">
      <c r="A305" s="6" t="s">
        <v>969</v>
      </c>
      <c r="B305" s="8" t="str">
        <f ca="1">IFERROR(__xludf.DUMMYFUNCTION("""COMPUTED_VALUE"""),"Minesweeper")</f>
        <v>Minesweeper</v>
      </c>
      <c r="C305" s="8">
        <f ca="1">COUNTIF(A1:A3410, B305)</f>
        <v>2</v>
      </c>
      <c r="E305" s="8"/>
      <c r="F305" s="8" t="s">
        <v>832</v>
      </c>
      <c r="G305" s="14">
        <v>1</v>
      </c>
      <c r="H305" s="8"/>
      <c r="I305" s="8"/>
      <c r="J305" s="8"/>
      <c r="K305" s="8"/>
      <c r="L305" s="8"/>
      <c r="M305" s="8"/>
      <c r="N305" s="8"/>
      <c r="O305" s="8"/>
      <c r="P305" s="8"/>
      <c r="Q305" s="8"/>
      <c r="R305" s="8"/>
      <c r="S305" s="8"/>
      <c r="T305" s="8"/>
      <c r="U305" s="8"/>
      <c r="V305" s="8"/>
      <c r="W305" s="8"/>
    </row>
    <row r="306" spans="1:23" ht="15.75" customHeight="1" x14ac:dyDescent="0.25">
      <c r="A306" s="6" t="s">
        <v>4122</v>
      </c>
      <c r="B306" s="8" t="str">
        <f ca="1">IFERROR(__xludf.DUMMYFUNCTION("""COMPUTED_VALUE"""),"Mini Guns")</f>
        <v>Mini Guns</v>
      </c>
      <c r="C306" s="8">
        <f ca="1">COUNTIF(A1:A3410, B306)</f>
        <v>1</v>
      </c>
      <c r="E306" s="8"/>
      <c r="F306" s="8" t="s">
        <v>3908</v>
      </c>
      <c r="G306" s="14">
        <v>1</v>
      </c>
      <c r="H306" s="8"/>
      <c r="I306" s="8"/>
      <c r="J306" s="8"/>
      <c r="K306" s="8"/>
      <c r="L306" s="8"/>
      <c r="M306" s="8"/>
      <c r="N306" s="8"/>
      <c r="O306" s="8"/>
      <c r="P306" s="8"/>
      <c r="Q306" s="8"/>
      <c r="R306" s="8"/>
      <c r="S306" s="8"/>
      <c r="T306" s="8"/>
      <c r="U306" s="8"/>
      <c r="V306" s="8"/>
      <c r="W306" s="8"/>
    </row>
    <row r="307" spans="1:23" ht="15.75" customHeight="1" x14ac:dyDescent="0.25">
      <c r="A307" s="6" t="s">
        <v>3826</v>
      </c>
      <c r="B307" s="8" t="str">
        <f ca="1">IFERROR(__xludf.DUMMYFUNCTION("""COMPUTED_VALUE"""),"MLB: The Show")</f>
        <v>MLB: The Show</v>
      </c>
      <c r="C307" s="8">
        <f ca="1">COUNTIF(A1:A3410, B307)</f>
        <v>1</v>
      </c>
      <c r="E307" s="8"/>
      <c r="F307" s="8" t="s">
        <v>3930</v>
      </c>
      <c r="G307" s="14">
        <v>1</v>
      </c>
      <c r="H307" s="8"/>
      <c r="I307" s="8"/>
      <c r="J307" s="8"/>
      <c r="K307" s="8"/>
      <c r="L307" s="8"/>
      <c r="M307" s="8"/>
      <c r="N307" s="8"/>
      <c r="O307" s="8"/>
      <c r="P307" s="8"/>
      <c r="Q307" s="8"/>
      <c r="R307" s="8"/>
      <c r="S307" s="8"/>
      <c r="T307" s="8"/>
      <c r="U307" s="8"/>
      <c r="V307" s="8"/>
      <c r="W307" s="8"/>
    </row>
    <row r="308" spans="1:23" ht="15.75" customHeight="1" x14ac:dyDescent="0.25">
      <c r="A308" s="6" t="s">
        <v>3826</v>
      </c>
      <c r="B308" s="8" t="str">
        <f ca="1">IFERROR(__xludf.DUMMYFUNCTION("""COMPUTED_VALUE"""),"MMO")</f>
        <v>MMO</v>
      </c>
      <c r="C308" s="8">
        <f ca="1">COUNTIF(A1:A3410, B308)</f>
        <v>12</v>
      </c>
      <c r="E308" s="8"/>
      <c r="F308" s="8" t="s">
        <v>4052</v>
      </c>
      <c r="G308" s="14">
        <v>1</v>
      </c>
      <c r="H308" s="8"/>
      <c r="I308" s="8"/>
      <c r="J308" s="8"/>
      <c r="K308" s="8"/>
      <c r="L308" s="8"/>
      <c r="M308" s="8"/>
      <c r="N308" s="8"/>
      <c r="O308" s="8"/>
      <c r="P308" s="8"/>
      <c r="Q308" s="8"/>
      <c r="R308" s="8"/>
      <c r="S308" s="8"/>
      <c r="T308" s="8"/>
      <c r="U308" s="8"/>
      <c r="V308" s="8"/>
      <c r="W308" s="8"/>
    </row>
    <row r="309" spans="1:23" ht="15.75" customHeight="1" x14ac:dyDescent="0.25">
      <c r="A309" s="6" t="s">
        <v>3828</v>
      </c>
      <c r="B309" s="8" t="str">
        <f ca="1">IFERROR(__xludf.DUMMYFUNCTION("""COMPUTED_VALUE"""),"MMORPG")</f>
        <v>MMORPG</v>
      </c>
      <c r="C309" s="8">
        <f ca="1">COUNTIF(A1:A3410, B309)</f>
        <v>10</v>
      </c>
      <c r="E309" s="8"/>
      <c r="F309" s="8" t="s">
        <v>4097</v>
      </c>
      <c r="G309" s="14">
        <v>1</v>
      </c>
      <c r="H309" s="8"/>
      <c r="I309" s="8"/>
      <c r="J309" s="8"/>
      <c r="K309" s="8"/>
      <c r="L309" s="8"/>
      <c r="M309" s="8"/>
      <c r="N309" s="8"/>
      <c r="O309" s="8"/>
      <c r="P309" s="8"/>
      <c r="Q309" s="8"/>
      <c r="R309" s="8"/>
      <c r="S309" s="8"/>
      <c r="T309" s="8"/>
      <c r="U309" s="8"/>
      <c r="V309" s="8"/>
      <c r="W309" s="8"/>
    </row>
    <row r="310" spans="1:23" ht="15.75" customHeight="1" x14ac:dyDescent="0.25">
      <c r="A310" s="6" t="s">
        <v>3828</v>
      </c>
      <c r="B310" s="8" t="str">
        <f ca="1">IFERROR(__xludf.DUMMYFUNCTION("""COMPUTED_VALUE"""),"MOBA")</f>
        <v>MOBA</v>
      </c>
      <c r="C310" s="8">
        <f ca="1">COUNTIF(A1:A3410, B310)</f>
        <v>10</v>
      </c>
      <c r="E310" s="8"/>
      <c r="F310" s="8" t="s">
        <v>4099</v>
      </c>
      <c r="G310" s="14">
        <v>1</v>
      </c>
      <c r="H310" s="8"/>
      <c r="I310" s="8"/>
      <c r="J310" s="8"/>
      <c r="K310" s="8"/>
      <c r="L310" s="8"/>
      <c r="M310" s="8"/>
      <c r="N310" s="8"/>
      <c r="O310" s="8"/>
      <c r="P310" s="8"/>
      <c r="Q310" s="8"/>
      <c r="R310" s="8"/>
      <c r="S310" s="8"/>
      <c r="T310" s="8"/>
      <c r="U310" s="8"/>
      <c r="V310" s="8"/>
      <c r="W310" s="8"/>
    </row>
    <row r="311" spans="1:23" ht="15.75" customHeight="1" x14ac:dyDescent="0.25">
      <c r="A311" s="6" t="s">
        <v>3829</v>
      </c>
      <c r="B311" s="8" t="str">
        <f ca="1">IFERROR(__xludf.DUMMYFUNCTION("""COMPUTED_VALUE"""),"Mobile games")</f>
        <v>Mobile games</v>
      </c>
      <c r="C311" s="8">
        <f ca="1">COUNTIF(A1:A3410, B311)</f>
        <v>14</v>
      </c>
      <c r="E311" s="8"/>
      <c r="F311" s="8" t="s">
        <v>4103</v>
      </c>
      <c r="G311" s="14">
        <v>1</v>
      </c>
      <c r="H311" s="8"/>
      <c r="I311" s="8"/>
      <c r="J311" s="8"/>
      <c r="K311" s="8"/>
      <c r="L311" s="8"/>
      <c r="M311" s="8"/>
      <c r="N311" s="8"/>
      <c r="O311" s="8"/>
      <c r="P311" s="8"/>
      <c r="Q311" s="8"/>
      <c r="R311" s="8"/>
      <c r="S311" s="8"/>
      <c r="T311" s="8"/>
      <c r="U311" s="8"/>
      <c r="V311" s="8"/>
      <c r="W311" s="8"/>
    </row>
    <row r="312" spans="1:23" ht="15.75" customHeight="1" x14ac:dyDescent="0.25">
      <c r="A312" s="6" t="s">
        <v>3829</v>
      </c>
      <c r="B312" s="8" t="str">
        <f ca="1">IFERROR(__xludf.DUMMYFUNCTION("""COMPUTED_VALUE"""),"Mobile Legends")</f>
        <v>Mobile Legends</v>
      </c>
      <c r="C312" s="8">
        <f ca="1">COUNTIF(A1:A3410, B312)</f>
        <v>2</v>
      </c>
      <c r="E312" s="8"/>
      <c r="F312" s="8" t="s">
        <v>4122</v>
      </c>
      <c r="G312" s="14">
        <v>1</v>
      </c>
      <c r="H312" s="8"/>
      <c r="I312" s="8"/>
      <c r="J312" s="8"/>
      <c r="K312" s="8"/>
      <c r="L312" s="8"/>
      <c r="M312" s="8"/>
      <c r="N312" s="8"/>
      <c r="O312" s="8"/>
      <c r="P312" s="8"/>
      <c r="Q312" s="8"/>
      <c r="R312" s="8"/>
      <c r="S312" s="8"/>
      <c r="T312" s="8"/>
      <c r="U312" s="8"/>
      <c r="V312" s="8"/>
      <c r="W312" s="8"/>
    </row>
    <row r="313" spans="1:23" ht="15.75" customHeight="1" x14ac:dyDescent="0.25">
      <c r="A313" s="6" t="s">
        <v>3287</v>
      </c>
      <c r="B313" s="8" t="str">
        <f ca="1">IFERROR(__xludf.DUMMYFUNCTION("""COMPUTED_VALUE"""),"Monster Hunter World")</f>
        <v>Monster Hunter World</v>
      </c>
      <c r="C313" s="8">
        <f ca="1">COUNTIF(A1:A3410, B313)</f>
        <v>24</v>
      </c>
      <c r="E313" s="8"/>
      <c r="F313" s="8" t="s">
        <v>4136</v>
      </c>
      <c r="G313" s="14">
        <v>1</v>
      </c>
      <c r="H313" s="8"/>
      <c r="I313" s="8"/>
      <c r="J313" s="8"/>
      <c r="K313" s="8"/>
      <c r="L313" s="8"/>
      <c r="M313" s="8"/>
      <c r="N313" s="8"/>
      <c r="O313" s="8"/>
      <c r="P313" s="8"/>
      <c r="Q313" s="8"/>
      <c r="R313" s="8"/>
      <c r="S313" s="8"/>
      <c r="T313" s="8"/>
      <c r="U313" s="8"/>
      <c r="V313" s="8"/>
      <c r="W313" s="8"/>
    </row>
    <row r="314" spans="1:23" ht="15.75" customHeight="1" x14ac:dyDescent="0.25">
      <c r="A314" s="6" t="s">
        <v>3287</v>
      </c>
      <c r="B314" s="8" t="str">
        <f ca="1">IFERROR(__xludf.DUMMYFUNCTION("""COMPUTED_VALUE"""),"Monster Slayers")</f>
        <v>Monster Slayers</v>
      </c>
      <c r="C314" s="8">
        <f ca="1">COUNTIF(A1:A3410, B314)</f>
        <v>1</v>
      </c>
      <c r="E314" s="8"/>
      <c r="F314" s="8" t="s">
        <v>4139</v>
      </c>
      <c r="G314" s="14">
        <v>1</v>
      </c>
      <c r="H314" s="8"/>
      <c r="I314" s="8"/>
      <c r="J314" s="8"/>
      <c r="K314" s="8"/>
      <c r="L314" s="8"/>
      <c r="M314" s="8"/>
      <c r="N314" s="8"/>
      <c r="O314" s="8"/>
      <c r="P314" s="8"/>
      <c r="Q314" s="8"/>
      <c r="R314" s="8"/>
      <c r="S314" s="8"/>
      <c r="T314" s="8"/>
      <c r="U314" s="8"/>
      <c r="V314" s="8"/>
      <c r="W314" s="8"/>
    </row>
    <row r="315" spans="1:23" ht="15.75" customHeight="1" x14ac:dyDescent="0.25">
      <c r="A315" s="6" t="s">
        <v>3287</v>
      </c>
      <c r="B315" s="8" t="str">
        <f ca="1">IFERROR(__xludf.DUMMYFUNCTION("""COMPUTED_VALUE"""),"Moon Hunters")</f>
        <v>Moon Hunters</v>
      </c>
      <c r="C315" s="8">
        <f ca="1">COUNTIF(A1:A3410, B315)</f>
        <v>1</v>
      </c>
      <c r="E315" s="8"/>
      <c r="F315" s="8" t="s">
        <v>4140</v>
      </c>
      <c r="G315" s="14">
        <v>1</v>
      </c>
      <c r="H315" s="8"/>
      <c r="I315" s="8"/>
      <c r="J315" s="8"/>
      <c r="K315" s="8"/>
      <c r="L315" s="8"/>
      <c r="M315" s="8"/>
      <c r="N315" s="8"/>
      <c r="O315" s="8"/>
      <c r="P315" s="8"/>
      <c r="Q315" s="8"/>
      <c r="R315" s="8"/>
      <c r="S315" s="8"/>
      <c r="T315" s="8"/>
      <c r="U315" s="8"/>
      <c r="V315" s="8"/>
      <c r="W315" s="8"/>
    </row>
    <row r="316" spans="1:23" ht="15.75" customHeight="1" x14ac:dyDescent="0.25">
      <c r="A316" s="6" t="s">
        <v>3287</v>
      </c>
      <c r="B316" s="8" t="str">
        <f ca="1">IFERROR(__xludf.DUMMYFUNCTION("""COMPUTED_VALUE"""),"Mortal Kombat X")</f>
        <v>Mortal Kombat X</v>
      </c>
      <c r="C316" s="8">
        <f ca="1">COUNTIF(A1:A3410, B316)</f>
        <v>1</v>
      </c>
      <c r="E316" s="8"/>
      <c r="F316" s="8" t="s">
        <v>4141</v>
      </c>
      <c r="G316" s="14">
        <v>1</v>
      </c>
      <c r="H316" s="8"/>
      <c r="I316" s="8"/>
      <c r="J316" s="8"/>
      <c r="K316" s="8"/>
      <c r="L316" s="8"/>
      <c r="M316" s="8"/>
      <c r="N316" s="8"/>
      <c r="O316" s="8"/>
      <c r="P316" s="8"/>
      <c r="Q316" s="8"/>
      <c r="R316" s="8"/>
      <c r="S316" s="8"/>
      <c r="T316" s="8"/>
      <c r="U316" s="8"/>
      <c r="V316" s="8"/>
      <c r="W316" s="8"/>
    </row>
    <row r="317" spans="1:23" ht="15.75" customHeight="1" x14ac:dyDescent="0.25">
      <c r="A317" s="6" t="s">
        <v>3287</v>
      </c>
      <c r="B317" s="8" t="str">
        <f ca="1">IFERROR(__xludf.DUMMYFUNCTION("""COMPUTED_VALUE"""),"Mount &amp; Blade")</f>
        <v>Mount &amp; Blade</v>
      </c>
      <c r="C317" s="8">
        <f ca="1">COUNTIF(A1:A3410, B317)</f>
        <v>6</v>
      </c>
      <c r="E317" s="8"/>
      <c r="F317" s="8" t="s">
        <v>4142</v>
      </c>
      <c r="G317" s="14">
        <v>1</v>
      </c>
      <c r="H317" s="8"/>
      <c r="I317" s="8"/>
      <c r="J317" s="8"/>
      <c r="K317" s="8"/>
      <c r="L317" s="8"/>
      <c r="M317" s="8"/>
      <c r="N317" s="8"/>
      <c r="O317" s="8"/>
      <c r="P317" s="8"/>
      <c r="Q317" s="8"/>
      <c r="R317" s="8"/>
      <c r="S317" s="8"/>
      <c r="T317" s="8"/>
      <c r="U317" s="8"/>
      <c r="V317" s="8"/>
      <c r="W317" s="8"/>
    </row>
    <row r="318" spans="1:23" ht="15.75" customHeight="1" x14ac:dyDescent="0.25">
      <c r="A318" s="6" t="s">
        <v>3287</v>
      </c>
      <c r="B318" s="8" t="str">
        <f ca="1">IFERROR(__xludf.DUMMYFUNCTION("""COMPUTED_VALUE"""),"Move or Die")</f>
        <v>Move or Die</v>
      </c>
      <c r="C318" s="8">
        <f ca="1">COUNTIF(A1:A3410, B318)</f>
        <v>1</v>
      </c>
      <c r="E318" s="8"/>
      <c r="F318" s="8" t="s">
        <v>4143</v>
      </c>
      <c r="G318" s="14">
        <v>1</v>
      </c>
      <c r="H318" s="8"/>
      <c r="I318" s="8"/>
      <c r="J318" s="8"/>
      <c r="K318" s="8"/>
      <c r="L318" s="8"/>
      <c r="M318" s="8"/>
      <c r="N318" s="8"/>
      <c r="O318" s="8"/>
      <c r="P318" s="8"/>
      <c r="Q318" s="8"/>
      <c r="R318" s="8"/>
      <c r="S318" s="8"/>
      <c r="T318" s="8"/>
      <c r="U318" s="8"/>
      <c r="V318" s="8"/>
      <c r="W318" s="8"/>
    </row>
    <row r="319" spans="1:23" ht="15.75" customHeight="1" x14ac:dyDescent="0.25">
      <c r="A319" s="6" t="s">
        <v>3287</v>
      </c>
      <c r="B319" s="8" t="str">
        <f ca="1">IFERROR(__xludf.DUMMYFUNCTION("""COMPUTED_VALUE"""),"MTG")</f>
        <v>MTG</v>
      </c>
      <c r="C319" s="8">
        <f ca="1">COUNTIF(A1:A3410, B319)</f>
        <v>55</v>
      </c>
      <c r="E319" s="8"/>
      <c r="F319" s="8" t="s">
        <v>4144</v>
      </c>
      <c r="G319" s="14">
        <v>1</v>
      </c>
      <c r="H319" s="8"/>
      <c r="I319" s="8"/>
      <c r="J319" s="8"/>
      <c r="K319" s="8"/>
      <c r="L319" s="8"/>
      <c r="M319" s="8"/>
      <c r="N319" s="8"/>
      <c r="O319" s="8"/>
      <c r="P319" s="8"/>
      <c r="Q319" s="8"/>
      <c r="R319" s="8"/>
      <c r="S319" s="8"/>
      <c r="T319" s="8"/>
      <c r="U319" s="8"/>
      <c r="V319" s="8"/>
      <c r="W319" s="8"/>
    </row>
    <row r="320" spans="1:23" ht="15.75" customHeight="1" x14ac:dyDescent="0.25">
      <c r="A320" s="6" t="s">
        <v>3287</v>
      </c>
      <c r="B320" s="8" t="str">
        <f ca="1">IFERROR(__xludf.DUMMYFUNCTION("""COMPUTED_VALUE"""),"MU Online")</f>
        <v>MU Online</v>
      </c>
      <c r="C320" s="8">
        <f ca="1">COUNTIF(A1:A3410, B320)</f>
        <v>1</v>
      </c>
      <c r="E320" s="8"/>
      <c r="F320" s="8" t="s">
        <v>4145</v>
      </c>
      <c r="G320" s="14">
        <v>1</v>
      </c>
      <c r="H320" s="8"/>
      <c r="I320" s="8"/>
      <c r="J320" s="8"/>
      <c r="K320" s="8"/>
      <c r="L320" s="8"/>
      <c r="M320" s="8"/>
      <c r="N320" s="8"/>
      <c r="O320" s="8"/>
      <c r="P320" s="8"/>
      <c r="Q320" s="8"/>
      <c r="R320" s="8"/>
      <c r="S320" s="8"/>
      <c r="T320" s="8"/>
      <c r="U320" s="8"/>
      <c r="V320" s="8"/>
      <c r="W320" s="8"/>
    </row>
    <row r="321" spans="1:23" ht="15.75" customHeight="1" x14ac:dyDescent="0.25">
      <c r="A321" s="6" t="s">
        <v>3287</v>
      </c>
      <c r="B321" s="8" t="str">
        <f ca="1">IFERROR(__xludf.DUMMYFUNCTION("""COMPUTED_VALUE"""),"Multiplayer games")</f>
        <v>Multiplayer games</v>
      </c>
      <c r="C321" s="8">
        <f ca="1">COUNTIF(A1:A3410, B321)</f>
        <v>5</v>
      </c>
      <c r="E321" s="8"/>
      <c r="F321" s="8" t="s">
        <v>4146</v>
      </c>
      <c r="G321" s="14">
        <v>1</v>
      </c>
      <c r="H321" s="8"/>
      <c r="I321" s="8"/>
      <c r="J321" s="8"/>
      <c r="K321" s="8"/>
      <c r="L321" s="8"/>
      <c r="M321" s="8"/>
      <c r="N321" s="8"/>
      <c r="O321" s="8"/>
      <c r="P321" s="8"/>
      <c r="Q321" s="8"/>
      <c r="R321" s="8"/>
      <c r="S321" s="8"/>
      <c r="T321" s="8"/>
      <c r="U321" s="8"/>
      <c r="V321" s="8"/>
      <c r="W321" s="8"/>
    </row>
    <row r="322" spans="1:23" ht="15.75" customHeight="1" x14ac:dyDescent="0.25">
      <c r="A322" s="6" t="s">
        <v>3287</v>
      </c>
      <c r="B322" s="8" t="str">
        <f ca="1">IFERROR(__xludf.DUMMYFUNCTION("""COMPUTED_VALUE"""),"My Time At Portia")</f>
        <v>My Time At Portia</v>
      </c>
      <c r="C322" s="8">
        <f ca="1">COUNTIF(A1:A3410, B322)</f>
        <v>2</v>
      </c>
      <c r="E322" s="8"/>
      <c r="F322" s="8" t="s">
        <v>4147</v>
      </c>
      <c r="G322" s="14">
        <v>1</v>
      </c>
      <c r="H322" s="8"/>
      <c r="I322" s="8"/>
      <c r="J322" s="8"/>
      <c r="K322" s="8"/>
      <c r="L322" s="8"/>
      <c r="M322" s="8"/>
      <c r="N322" s="8"/>
      <c r="O322" s="8"/>
      <c r="P322" s="8"/>
      <c r="Q322" s="8"/>
      <c r="R322" s="8"/>
      <c r="S322" s="8"/>
      <c r="T322" s="8"/>
      <c r="U322" s="8"/>
      <c r="V322" s="8"/>
      <c r="W322" s="8"/>
    </row>
    <row r="323" spans="1:23" ht="15.75" customHeight="1" x14ac:dyDescent="0.25">
      <c r="A323" s="6" t="s">
        <v>3287</v>
      </c>
      <c r="B323" s="8" t="str">
        <f ca="1">IFERROR(__xludf.DUMMYFUNCTION("""COMPUTED_VALUE"""),"Natural Selection 2")</f>
        <v>Natural Selection 2</v>
      </c>
      <c r="C323" s="8">
        <f ca="1">COUNTIF(A1:A3410, B323)</f>
        <v>1</v>
      </c>
      <c r="E323" s="8"/>
      <c r="F323" s="8" t="s">
        <v>4148</v>
      </c>
      <c r="G323" s="14">
        <v>1</v>
      </c>
      <c r="H323" s="8"/>
      <c r="I323" s="8"/>
      <c r="J323" s="8"/>
      <c r="K323" s="8"/>
      <c r="L323" s="8"/>
      <c r="M323" s="8"/>
      <c r="N323" s="8"/>
      <c r="O323" s="8"/>
      <c r="P323" s="8"/>
      <c r="Q323" s="8"/>
      <c r="R323" s="8"/>
      <c r="S323" s="8"/>
      <c r="T323" s="8"/>
      <c r="U323" s="8"/>
      <c r="V323" s="8"/>
      <c r="W323" s="8"/>
    </row>
    <row r="324" spans="1:23" ht="15.75" customHeight="1" x14ac:dyDescent="0.25">
      <c r="A324" s="6" t="s">
        <v>3287</v>
      </c>
      <c r="B324" s="8" t="str">
        <f ca="1">IFERROR(__xludf.DUMMYFUNCTION("""COMPUTED_VALUE"""),"NCAA 14")</f>
        <v>NCAA 14</v>
      </c>
      <c r="C324" s="8">
        <f ca="1">COUNTIF(A1:A3410, B324)</f>
        <v>1</v>
      </c>
      <c r="E324" s="8"/>
      <c r="F324" s="8" t="s">
        <v>4149</v>
      </c>
      <c r="G324" s="14">
        <v>1</v>
      </c>
      <c r="H324" s="8"/>
      <c r="I324" s="8"/>
      <c r="J324" s="8"/>
      <c r="K324" s="8"/>
      <c r="L324" s="8"/>
      <c r="M324" s="8"/>
      <c r="N324" s="8"/>
      <c r="O324" s="8"/>
      <c r="P324" s="8"/>
      <c r="Q324" s="8"/>
      <c r="R324" s="8"/>
      <c r="S324" s="8"/>
      <c r="T324" s="8"/>
      <c r="U324" s="8"/>
      <c r="V324" s="8"/>
      <c r="W324" s="8"/>
    </row>
    <row r="325" spans="1:23" ht="15.75" customHeight="1" x14ac:dyDescent="0.25">
      <c r="A325" s="6" t="s">
        <v>3287</v>
      </c>
      <c r="B325" s="8" t="str">
        <f ca="1">IFERROR(__xludf.DUMMYFUNCTION("""COMPUTED_VALUE"""),"Neverending Nightmares")</f>
        <v>Neverending Nightmares</v>
      </c>
      <c r="C325" s="8">
        <f ca="1">COUNTIF(A1:A3410, B325)</f>
        <v>1</v>
      </c>
      <c r="E325" s="8"/>
      <c r="F325" s="8" t="s">
        <v>4150</v>
      </c>
      <c r="G325" s="14">
        <v>1</v>
      </c>
      <c r="H325" s="8"/>
      <c r="I325" s="8"/>
      <c r="J325" s="8"/>
      <c r="K325" s="8"/>
      <c r="L325" s="8"/>
      <c r="M325" s="8"/>
      <c r="N325" s="8"/>
      <c r="O325" s="8"/>
      <c r="P325" s="8"/>
      <c r="Q325" s="8"/>
      <c r="R325" s="8"/>
      <c r="S325" s="8"/>
      <c r="T325" s="8"/>
      <c r="U325" s="8"/>
      <c r="V325" s="8"/>
      <c r="W325" s="8"/>
    </row>
    <row r="326" spans="1:23" ht="15.75" customHeight="1" x14ac:dyDescent="0.25">
      <c r="A326" s="6" t="s">
        <v>3287</v>
      </c>
      <c r="B326" s="8" t="str">
        <f ca="1">IFERROR(__xludf.DUMMYFUNCTION("""COMPUTED_VALUE"""),"Neverwinter")</f>
        <v>Neverwinter</v>
      </c>
      <c r="C326" s="8">
        <f ca="1">COUNTIF(A1:A3410, B326)</f>
        <v>2</v>
      </c>
      <c r="E326" s="8"/>
      <c r="F326" s="8" t="s">
        <v>4151</v>
      </c>
      <c r="G326" s="14">
        <v>1</v>
      </c>
      <c r="H326" s="8"/>
      <c r="I326" s="8"/>
      <c r="J326" s="8"/>
      <c r="K326" s="8"/>
      <c r="L326" s="8"/>
      <c r="M326" s="8"/>
      <c r="N326" s="8"/>
      <c r="O326" s="8"/>
      <c r="P326" s="8"/>
      <c r="Q326" s="8"/>
      <c r="R326" s="8"/>
      <c r="S326" s="8"/>
      <c r="T326" s="8"/>
      <c r="U326" s="8"/>
      <c r="V326" s="8"/>
      <c r="W326" s="8"/>
    </row>
    <row r="327" spans="1:23" ht="15.75" customHeight="1" x14ac:dyDescent="0.25">
      <c r="A327" s="6" t="s">
        <v>3287</v>
      </c>
      <c r="B327" s="8" t="str">
        <f ca="1">IFERROR(__xludf.DUMMYFUNCTION("""COMPUTED_VALUE"""),"Nier: Automata")</f>
        <v>Nier: Automata</v>
      </c>
      <c r="C327" s="8">
        <f ca="1">COUNTIF(A1:A3410, B327)</f>
        <v>1</v>
      </c>
      <c r="E327" s="8"/>
      <c r="F327" s="8" t="s">
        <v>4152</v>
      </c>
      <c r="G327" s="14">
        <v>1</v>
      </c>
      <c r="H327" s="8"/>
      <c r="I327" s="8"/>
      <c r="J327" s="8"/>
      <c r="K327" s="8"/>
      <c r="L327" s="8"/>
      <c r="M327" s="8"/>
      <c r="N327" s="8"/>
      <c r="O327" s="8"/>
      <c r="P327" s="8"/>
      <c r="Q327" s="8"/>
      <c r="R327" s="8"/>
      <c r="S327" s="8"/>
      <c r="T327" s="8"/>
      <c r="U327" s="8"/>
      <c r="V327" s="8"/>
      <c r="W327" s="8"/>
    </row>
    <row r="328" spans="1:23" ht="15.75" customHeight="1" x14ac:dyDescent="0.25">
      <c r="A328" s="6" t="s">
        <v>3287</v>
      </c>
      <c r="B328" s="8" t="str">
        <f ca="1">IFERROR(__xludf.DUMMYFUNCTION("""COMPUTED_VALUE"""),"Nimbatus")</f>
        <v>Nimbatus</v>
      </c>
      <c r="C328" s="8">
        <f ca="1">COUNTIF(A1:A3410, B328)</f>
        <v>1</v>
      </c>
      <c r="E328" s="8"/>
      <c r="F328" s="8" t="s">
        <v>4153</v>
      </c>
      <c r="G328" s="14">
        <v>1</v>
      </c>
      <c r="H328" s="8"/>
      <c r="I328" s="8"/>
      <c r="J328" s="8"/>
      <c r="K328" s="8"/>
      <c r="L328" s="8"/>
      <c r="M328" s="8"/>
      <c r="N328" s="8"/>
      <c r="O328" s="8"/>
      <c r="P328" s="8"/>
      <c r="Q328" s="8"/>
      <c r="R328" s="8"/>
      <c r="S328" s="8"/>
      <c r="T328" s="8"/>
      <c r="U328" s="8"/>
      <c r="V328" s="8"/>
      <c r="W328" s="8"/>
    </row>
    <row r="329" spans="1:23" ht="15.75" customHeight="1" x14ac:dyDescent="0.25">
      <c r="A329" s="6" t="s">
        <v>3287</v>
      </c>
      <c r="B329" s="8" t="str">
        <f ca="1">IFERROR(__xludf.DUMMYFUNCTION("""COMPUTED_VALUE"""),"Nintendo games")</f>
        <v>Nintendo games</v>
      </c>
      <c r="C329" s="8">
        <f ca="1">COUNTIF(A1:A3410, B329)</f>
        <v>1</v>
      </c>
      <c r="E329" s="8"/>
      <c r="F329" s="8" t="s">
        <v>4154</v>
      </c>
      <c r="G329" s="14">
        <v>1</v>
      </c>
      <c r="H329" s="8"/>
      <c r="I329" s="8"/>
      <c r="J329" s="8"/>
      <c r="K329" s="8"/>
      <c r="L329" s="8"/>
      <c r="M329" s="8"/>
      <c r="N329" s="8"/>
      <c r="O329" s="8"/>
      <c r="P329" s="8"/>
      <c r="Q329" s="8"/>
      <c r="R329" s="8"/>
      <c r="S329" s="8"/>
      <c r="T329" s="8"/>
      <c r="U329" s="8"/>
      <c r="V329" s="8"/>
      <c r="W329" s="8"/>
    </row>
    <row r="330" spans="1:23" ht="15.75" customHeight="1" x14ac:dyDescent="0.25">
      <c r="A330" s="6" t="s">
        <v>3597</v>
      </c>
      <c r="B330" s="8" t="str">
        <f ca="1">IFERROR(__xludf.DUMMYFUNCTION("""COMPUTED_VALUE"""),"No Man's Sky")</f>
        <v>No Man's Sky</v>
      </c>
      <c r="C330" s="8">
        <f ca="1">COUNTIF(A1:A3410, B330)</f>
        <v>1</v>
      </c>
      <c r="E330" s="8"/>
      <c r="F330" s="8" t="s">
        <v>4155</v>
      </c>
      <c r="G330" s="14">
        <v>1</v>
      </c>
      <c r="H330" s="8"/>
      <c r="I330" s="8"/>
      <c r="J330" s="8"/>
      <c r="K330" s="8"/>
      <c r="L330" s="8"/>
      <c r="M330" s="8"/>
      <c r="N330" s="8"/>
      <c r="O330" s="8"/>
      <c r="P330" s="8"/>
      <c r="Q330" s="8"/>
      <c r="R330" s="8"/>
      <c r="S330" s="8"/>
      <c r="T330" s="8"/>
      <c r="U330" s="8"/>
      <c r="V330" s="8"/>
      <c r="W330" s="8"/>
    </row>
    <row r="331" spans="1:23" ht="15.75" customHeight="1" x14ac:dyDescent="0.25">
      <c r="A331" s="6" t="s">
        <v>3597</v>
      </c>
      <c r="B331" s="8" t="str">
        <f ca="1">IFERROR(__xludf.DUMMYFUNCTION("""COMPUTED_VALUE"""),"None")</f>
        <v>None</v>
      </c>
      <c r="C331" s="8">
        <f ca="1">COUNTIF(A1:A3410, B331)</f>
        <v>4</v>
      </c>
      <c r="E331" s="8"/>
      <c r="F331" s="8" t="s">
        <v>4156</v>
      </c>
      <c r="G331" s="14">
        <v>1</v>
      </c>
      <c r="H331" s="8"/>
      <c r="I331" s="8"/>
      <c r="J331" s="8"/>
      <c r="K331" s="8"/>
      <c r="L331" s="8"/>
      <c r="M331" s="8"/>
      <c r="N331" s="8"/>
      <c r="O331" s="8"/>
      <c r="P331" s="8"/>
      <c r="Q331" s="8"/>
      <c r="R331" s="8"/>
      <c r="S331" s="8"/>
      <c r="T331" s="8"/>
      <c r="U331" s="8"/>
      <c r="V331" s="8"/>
      <c r="W331" s="8"/>
    </row>
    <row r="332" spans="1:23" ht="15.75" customHeight="1" x14ac:dyDescent="0.25">
      <c r="A332" s="6" t="s">
        <v>3597</v>
      </c>
      <c r="B332" s="8" t="str">
        <f ca="1">IFERROR(__xludf.DUMMYFUNCTION("""COMPUTED_VALUE"""),"Nostale")</f>
        <v>Nostale</v>
      </c>
      <c r="C332" s="8">
        <f ca="1">COUNTIF(A1:A3410, B332)</f>
        <v>1</v>
      </c>
      <c r="E332" s="8"/>
      <c r="F332" s="8" t="s">
        <v>4157</v>
      </c>
      <c r="G332" s="14">
        <v>1</v>
      </c>
      <c r="H332" s="8"/>
      <c r="I332" s="8"/>
      <c r="J332" s="8"/>
      <c r="K332" s="8"/>
      <c r="L332" s="8"/>
      <c r="M332" s="8"/>
      <c r="N332" s="8"/>
      <c r="O332" s="8"/>
      <c r="P332" s="8"/>
      <c r="Q332" s="8"/>
      <c r="R332" s="8"/>
      <c r="S332" s="8"/>
      <c r="T332" s="8"/>
      <c r="U332" s="8"/>
      <c r="V332" s="8"/>
      <c r="W332" s="8"/>
    </row>
    <row r="333" spans="1:23" ht="15.75" customHeight="1" x14ac:dyDescent="0.25">
      <c r="A333" s="6" t="s">
        <v>3597</v>
      </c>
      <c r="B333" s="8" t="str">
        <f ca="1">IFERROR(__xludf.DUMMYFUNCTION("""COMPUTED_VALUE"""),"Nuclear Throne")</f>
        <v>Nuclear Throne</v>
      </c>
      <c r="C333" s="8">
        <f ca="1">COUNTIF(A1:A3410, B333)</f>
        <v>1</v>
      </c>
      <c r="E333" s="8"/>
      <c r="F333" s="8" t="s">
        <v>1535</v>
      </c>
      <c r="G333" s="14">
        <v>1</v>
      </c>
      <c r="H333" s="8"/>
      <c r="I333" s="8"/>
      <c r="J333" s="8"/>
      <c r="K333" s="8"/>
      <c r="L333" s="8"/>
      <c r="M333" s="8"/>
      <c r="N333" s="8"/>
      <c r="O333" s="8"/>
      <c r="P333" s="8"/>
      <c r="Q333" s="8"/>
      <c r="R333" s="8"/>
      <c r="S333" s="8"/>
      <c r="T333" s="8"/>
      <c r="U333" s="8"/>
      <c r="V333" s="8"/>
      <c r="W333" s="8"/>
    </row>
    <row r="334" spans="1:23" ht="15.75" customHeight="1" x14ac:dyDescent="0.25">
      <c r="A334" s="6" t="s">
        <v>651</v>
      </c>
      <c r="B334" s="8" t="str">
        <f ca="1">IFERROR(__xludf.DUMMYFUNCTION("""COMPUTED_VALUE"""),"Oldschool Runescape")</f>
        <v>Oldschool Runescape</v>
      </c>
      <c r="C334" s="8">
        <f ca="1">COUNTIF(A1:A3410, B334)</f>
        <v>9</v>
      </c>
      <c r="E334" s="8"/>
      <c r="F334" s="8" t="s">
        <v>4158</v>
      </c>
      <c r="G334" s="14">
        <v>1</v>
      </c>
      <c r="H334" s="8"/>
      <c r="I334" s="8"/>
      <c r="J334" s="8"/>
      <c r="K334" s="8"/>
      <c r="L334" s="8"/>
      <c r="M334" s="8"/>
      <c r="N334" s="8"/>
      <c r="O334" s="8"/>
      <c r="P334" s="8"/>
      <c r="Q334" s="8"/>
      <c r="R334" s="8"/>
      <c r="S334" s="8"/>
      <c r="T334" s="8"/>
      <c r="U334" s="8"/>
      <c r="V334" s="8"/>
      <c r="W334" s="8"/>
    </row>
    <row r="335" spans="1:23" ht="15.75" customHeight="1" x14ac:dyDescent="0.25">
      <c r="A335" s="6" t="s">
        <v>651</v>
      </c>
      <c r="B335" s="8" t="str">
        <f ca="1">IFERROR(__xludf.DUMMYFUNCTION("""COMPUTED_VALUE"""),"One Hour One Life")</f>
        <v>One Hour One Life</v>
      </c>
      <c r="C335" s="8">
        <f ca="1">COUNTIF(A1:A3410, B335)</f>
        <v>1</v>
      </c>
      <c r="E335" s="8"/>
      <c r="F335" s="8" t="s">
        <v>4159</v>
      </c>
      <c r="G335" s="14">
        <v>1</v>
      </c>
      <c r="H335" s="8"/>
      <c r="I335" s="8"/>
      <c r="J335" s="8"/>
      <c r="K335" s="8"/>
      <c r="L335" s="8"/>
      <c r="M335" s="8"/>
      <c r="N335" s="8"/>
      <c r="O335" s="8"/>
      <c r="P335" s="8"/>
      <c r="Q335" s="8"/>
      <c r="R335" s="8"/>
      <c r="S335" s="8"/>
      <c r="T335" s="8"/>
      <c r="U335" s="8"/>
      <c r="V335" s="8"/>
      <c r="W335" s="8"/>
    </row>
    <row r="336" spans="1:23" ht="15.75" customHeight="1" x14ac:dyDescent="0.25">
      <c r="A336" s="6" t="s">
        <v>651</v>
      </c>
      <c r="B336" s="8" t="str">
        <f ca="1">IFERROR(__xludf.DUMMYFUNCTION("""COMPUTED_VALUE"""),"Open World games")</f>
        <v>Open World games</v>
      </c>
      <c r="C336" s="8">
        <f ca="1">COUNTIF(A1:A3410, B336)</f>
        <v>1</v>
      </c>
      <c r="E336" s="8"/>
      <c r="F336" s="8" t="s">
        <v>4160</v>
      </c>
      <c r="G336" s="14">
        <v>1</v>
      </c>
      <c r="H336" s="8"/>
      <c r="I336" s="8"/>
      <c r="J336" s="8"/>
      <c r="K336" s="8"/>
      <c r="L336" s="8"/>
      <c r="M336" s="8"/>
      <c r="N336" s="8"/>
      <c r="O336" s="8"/>
      <c r="P336" s="8"/>
      <c r="Q336" s="8"/>
      <c r="R336" s="8"/>
      <c r="S336" s="8"/>
      <c r="T336" s="8"/>
      <c r="U336" s="8"/>
      <c r="V336" s="8"/>
      <c r="W336" s="8"/>
    </row>
    <row r="337" spans="1:23" ht="15.75" customHeight="1" x14ac:dyDescent="0.25">
      <c r="A337" s="6" t="s">
        <v>651</v>
      </c>
      <c r="B337" s="8" t="str">
        <f ca="1">IFERROR(__xludf.DUMMYFUNCTION("""COMPUTED_VALUE"""),"Orcs Must Die")</f>
        <v>Orcs Must Die</v>
      </c>
      <c r="C337" s="8">
        <f ca="1">COUNTIF(A1:A3410, B337)</f>
        <v>1</v>
      </c>
      <c r="E337" s="8"/>
      <c r="F337" s="8" t="s">
        <v>4161</v>
      </c>
      <c r="G337" s="14">
        <v>1</v>
      </c>
      <c r="H337" s="8"/>
      <c r="I337" s="8"/>
      <c r="J337" s="8"/>
      <c r="K337" s="8"/>
      <c r="L337" s="8"/>
      <c r="M337" s="8"/>
      <c r="N337" s="8"/>
      <c r="O337" s="8"/>
      <c r="P337" s="8"/>
      <c r="Q337" s="8"/>
      <c r="R337" s="8"/>
      <c r="S337" s="8"/>
      <c r="T337" s="8"/>
      <c r="U337" s="8"/>
      <c r="V337" s="8"/>
      <c r="W337" s="8"/>
    </row>
    <row r="338" spans="1:23" ht="15.75" customHeight="1" x14ac:dyDescent="0.25">
      <c r="A338" s="6" t="s">
        <v>651</v>
      </c>
      <c r="B338" s="8" t="str">
        <f ca="1">IFERROR(__xludf.DUMMYFUNCTION("""COMPUTED_VALUE"""),"Ori and the blind forest")</f>
        <v>Ori and the blind forest</v>
      </c>
      <c r="C338" s="8">
        <f ca="1">COUNTIF(A1:A3410, B338)</f>
        <v>1</v>
      </c>
      <c r="E338" s="8"/>
      <c r="F338" s="8" t="s">
        <v>4162</v>
      </c>
      <c r="G338" s="14">
        <v>1</v>
      </c>
      <c r="H338" s="8"/>
      <c r="I338" s="8"/>
      <c r="J338" s="8"/>
      <c r="K338" s="8"/>
      <c r="L338" s="8"/>
      <c r="M338" s="8"/>
      <c r="N338" s="8"/>
      <c r="O338" s="8"/>
      <c r="P338" s="8"/>
      <c r="Q338" s="8"/>
      <c r="R338" s="8"/>
      <c r="S338" s="8"/>
      <c r="T338" s="8"/>
      <c r="U338" s="8"/>
      <c r="V338" s="8"/>
      <c r="W338" s="8"/>
    </row>
    <row r="339" spans="1:23" ht="15.75" customHeight="1" x14ac:dyDescent="0.25">
      <c r="A339" s="6" t="s">
        <v>651</v>
      </c>
      <c r="B339" s="8" t="str">
        <f ca="1">IFERROR(__xludf.DUMMYFUNCTION("""COMPUTED_VALUE"""),"Osu!")</f>
        <v>Osu!</v>
      </c>
      <c r="C339" s="8">
        <f ca="1">COUNTIF(A1:A3410, B339)</f>
        <v>8</v>
      </c>
      <c r="E339" s="8"/>
      <c r="F339" s="8" t="s">
        <v>4163</v>
      </c>
      <c r="G339" s="14">
        <v>1</v>
      </c>
      <c r="H339" s="8"/>
      <c r="I339" s="8"/>
      <c r="J339" s="8"/>
      <c r="K339" s="8"/>
      <c r="L339" s="8"/>
      <c r="M339" s="8"/>
      <c r="N339" s="8"/>
      <c r="O339" s="8"/>
      <c r="P339" s="8"/>
      <c r="Q339" s="8"/>
      <c r="R339" s="8"/>
      <c r="S339" s="8"/>
      <c r="T339" s="8"/>
      <c r="U339" s="8"/>
      <c r="V339" s="8"/>
      <c r="W339" s="8"/>
    </row>
    <row r="340" spans="1:23" ht="15.75" customHeight="1" x14ac:dyDescent="0.25">
      <c r="A340" s="6" t="s">
        <v>651</v>
      </c>
      <c r="B340" s="8" t="str">
        <f ca="1">IFERROR(__xludf.DUMMYFUNCTION("""COMPUTED_VALUE"""),"others")</f>
        <v>others</v>
      </c>
      <c r="C340" s="8">
        <f ca="1">COUNTIF(A1:A3410, B340)</f>
        <v>86</v>
      </c>
      <c r="E340" s="8"/>
      <c r="F340" s="8" t="s">
        <v>4164</v>
      </c>
      <c r="G340" s="14">
        <v>1</v>
      </c>
      <c r="H340" s="8"/>
      <c r="I340" s="8"/>
      <c r="J340" s="8"/>
      <c r="K340" s="8"/>
      <c r="L340" s="8"/>
      <c r="M340" s="8"/>
      <c r="N340" s="8"/>
      <c r="O340" s="8"/>
      <c r="P340" s="8"/>
      <c r="Q340" s="8"/>
      <c r="R340" s="8"/>
      <c r="S340" s="8"/>
      <c r="T340" s="8"/>
      <c r="U340" s="8"/>
      <c r="V340" s="8"/>
      <c r="W340" s="8"/>
    </row>
    <row r="341" spans="1:23" ht="15.75" customHeight="1" x14ac:dyDescent="0.25">
      <c r="A341" s="6" t="s">
        <v>651</v>
      </c>
      <c r="B341" s="8" t="str">
        <f ca="1">IFERROR(__xludf.DUMMYFUNCTION("""COMPUTED_VALUE"""),"ourWorld")</f>
        <v>ourWorld</v>
      </c>
      <c r="C341" s="8">
        <f ca="1">COUNTIF(A1:A3410, B341)</f>
        <v>1</v>
      </c>
      <c r="E341" s="8"/>
      <c r="F341" s="8" t="s">
        <v>4165</v>
      </c>
      <c r="G341" s="14">
        <v>1</v>
      </c>
      <c r="H341" s="8"/>
      <c r="I341" s="8"/>
      <c r="J341" s="8"/>
      <c r="K341" s="8"/>
      <c r="L341" s="8"/>
      <c r="M341" s="8"/>
      <c r="N341" s="8"/>
      <c r="O341" s="8"/>
      <c r="P341" s="8"/>
      <c r="Q341" s="8"/>
      <c r="R341" s="8"/>
      <c r="S341" s="8"/>
      <c r="T341" s="8"/>
      <c r="U341" s="8"/>
      <c r="V341" s="8"/>
      <c r="W341" s="8"/>
    </row>
    <row r="342" spans="1:23" ht="15.75" customHeight="1" x14ac:dyDescent="0.25">
      <c r="A342" s="6" t="s">
        <v>651</v>
      </c>
      <c r="B342" s="8" t="str">
        <f ca="1">IFERROR(__xludf.DUMMYFUNCTION("""COMPUTED_VALUE"""),"Outlast")</f>
        <v>Outlast</v>
      </c>
      <c r="C342" s="8">
        <f ca="1">COUNTIF(A1:A3410, B342)</f>
        <v>2</v>
      </c>
      <c r="E342" s="8"/>
      <c r="F342" s="8" t="s">
        <v>4166</v>
      </c>
      <c r="G342" s="14">
        <v>1</v>
      </c>
      <c r="H342" s="8"/>
      <c r="I342" s="8"/>
      <c r="J342" s="8"/>
      <c r="K342" s="8"/>
      <c r="L342" s="8"/>
      <c r="M342" s="8"/>
      <c r="N342" s="8"/>
      <c r="O342" s="8"/>
      <c r="P342" s="8"/>
      <c r="Q342" s="8"/>
      <c r="R342" s="8"/>
      <c r="S342" s="8"/>
      <c r="T342" s="8"/>
      <c r="U342" s="8"/>
      <c r="V342" s="8"/>
      <c r="W342" s="8"/>
    </row>
    <row r="343" spans="1:23" ht="15.75" customHeight="1" x14ac:dyDescent="0.25">
      <c r="A343" s="6" t="s">
        <v>651</v>
      </c>
      <c r="B343" s="8" t="str">
        <f ca="1">IFERROR(__xludf.DUMMYFUNCTION("""COMPUTED_VALUE"""),"Overcooked")</f>
        <v>Overcooked</v>
      </c>
      <c r="C343" s="8">
        <f ca="1">COUNTIF(A1:A3410, B343)</f>
        <v>2</v>
      </c>
      <c r="E343" s="8"/>
      <c r="F343" s="8" t="s">
        <v>4167</v>
      </c>
      <c r="G343" s="14">
        <v>1</v>
      </c>
      <c r="H343" s="8"/>
      <c r="I343" s="8"/>
      <c r="J343" s="8"/>
      <c r="K343" s="8"/>
      <c r="L343" s="8"/>
      <c r="M343" s="8"/>
      <c r="N343" s="8"/>
      <c r="O343" s="8"/>
      <c r="P343" s="8"/>
      <c r="Q343" s="8"/>
      <c r="R343" s="8"/>
      <c r="S343" s="8"/>
      <c r="T343" s="8"/>
      <c r="U343" s="8"/>
      <c r="V343" s="8"/>
      <c r="W343" s="8"/>
    </row>
    <row r="344" spans="1:23" ht="15.75" customHeight="1" x14ac:dyDescent="0.25">
      <c r="A344" s="6" t="s">
        <v>651</v>
      </c>
      <c r="B344" s="8" t="str">
        <f ca="1">IFERROR(__xludf.DUMMYFUNCTION("""COMPUTED_VALUE"""),"Overkill's The Walking Dead")</f>
        <v>Overkill's The Walking Dead</v>
      </c>
      <c r="C344" s="8">
        <f ca="1">COUNTIF(A1:A3410, B344)</f>
        <v>2</v>
      </c>
      <c r="E344" s="8"/>
      <c r="F344" s="8" t="s">
        <v>4168</v>
      </c>
      <c r="G344" s="14">
        <v>1</v>
      </c>
      <c r="H344" s="8"/>
      <c r="I344" s="8"/>
      <c r="J344" s="8"/>
      <c r="K344" s="8"/>
      <c r="L344" s="8"/>
      <c r="M344" s="8"/>
      <c r="N344" s="8"/>
      <c r="O344" s="8"/>
      <c r="P344" s="8"/>
      <c r="Q344" s="8"/>
      <c r="R344" s="8"/>
      <c r="S344" s="8"/>
      <c r="T344" s="8"/>
      <c r="U344" s="8"/>
      <c r="V344" s="8"/>
      <c r="W344" s="8"/>
    </row>
    <row r="345" spans="1:23" ht="15.75" customHeight="1" x14ac:dyDescent="0.25">
      <c r="A345" s="6" t="s">
        <v>651</v>
      </c>
      <c r="B345" s="8" t="str">
        <f ca="1">IFERROR(__xludf.DUMMYFUNCTION("""COMPUTED_VALUE"""),"Overwatch")</f>
        <v>Overwatch</v>
      </c>
      <c r="C345" s="8">
        <f ca="1">COUNTIF(A1:A3410, B345)</f>
        <v>128</v>
      </c>
      <c r="E345" s="8"/>
      <c r="F345" s="8" t="s">
        <v>4169</v>
      </c>
      <c r="G345" s="14">
        <v>1</v>
      </c>
      <c r="H345" s="8"/>
      <c r="I345" s="8"/>
      <c r="J345" s="8"/>
      <c r="K345" s="8"/>
      <c r="L345" s="8"/>
      <c r="M345" s="8"/>
      <c r="N345" s="8"/>
      <c r="O345" s="8"/>
      <c r="P345" s="8"/>
      <c r="Q345" s="8"/>
      <c r="R345" s="8"/>
      <c r="S345" s="8"/>
      <c r="T345" s="8"/>
      <c r="U345" s="8"/>
      <c r="V345" s="8"/>
      <c r="W345" s="8"/>
    </row>
    <row r="346" spans="1:23" ht="15.75" customHeight="1" x14ac:dyDescent="0.25">
      <c r="A346" s="6" t="s">
        <v>651</v>
      </c>
      <c r="B346" s="8" t="str">
        <f ca="1">IFERROR(__xludf.DUMMYFUNCTION("""COMPUTED_VALUE"""),"Oxenfree")</f>
        <v>Oxenfree</v>
      </c>
      <c r="C346" s="8">
        <f ca="1">COUNTIF(A1:A3410, B346)</f>
        <v>1</v>
      </c>
      <c r="E346" s="8"/>
      <c r="F346" s="8" t="s">
        <v>4170</v>
      </c>
      <c r="G346" s="14">
        <v>1</v>
      </c>
      <c r="H346" s="8"/>
      <c r="I346" s="8"/>
      <c r="J346" s="8"/>
      <c r="K346" s="8"/>
      <c r="L346" s="8"/>
      <c r="M346" s="8"/>
      <c r="N346" s="8"/>
      <c r="O346" s="8"/>
      <c r="P346" s="8"/>
      <c r="Q346" s="8"/>
      <c r="R346" s="8"/>
      <c r="S346" s="8"/>
      <c r="T346" s="8"/>
      <c r="U346" s="8"/>
      <c r="V346" s="8"/>
      <c r="W346" s="8"/>
    </row>
    <row r="347" spans="1:23" ht="15.75" customHeight="1" x14ac:dyDescent="0.25">
      <c r="A347" s="6" t="s">
        <v>651</v>
      </c>
      <c r="B347" s="8" t="str">
        <f ca="1">IFERROR(__xludf.DUMMYFUNCTION("""COMPUTED_VALUE"""),"Oxygen Not Included")</f>
        <v>Oxygen Not Included</v>
      </c>
      <c r="C347" s="8">
        <f ca="1">COUNTIF(A1:A3410, B347)</f>
        <v>5</v>
      </c>
      <c r="E347" s="8"/>
      <c r="F347" s="8" t="s">
        <v>2153</v>
      </c>
      <c r="G347" s="14">
        <v>1</v>
      </c>
      <c r="H347" s="8"/>
      <c r="I347" s="8"/>
      <c r="J347" s="8"/>
      <c r="K347" s="8"/>
      <c r="L347" s="8"/>
      <c r="M347" s="8"/>
      <c r="N347" s="8"/>
      <c r="O347" s="8"/>
      <c r="P347" s="8"/>
      <c r="Q347" s="8"/>
      <c r="R347" s="8"/>
      <c r="S347" s="8"/>
      <c r="T347" s="8"/>
      <c r="U347" s="8"/>
      <c r="V347" s="8"/>
      <c r="W347" s="8"/>
    </row>
    <row r="348" spans="1:23" ht="15.75" customHeight="1" x14ac:dyDescent="0.25">
      <c r="A348" s="6" t="s">
        <v>651</v>
      </c>
      <c r="B348" s="8" t="str">
        <f ca="1">IFERROR(__xludf.DUMMYFUNCTION("""COMPUTED_VALUE"""),"Pac Man")</f>
        <v>Pac Man</v>
      </c>
      <c r="C348" s="8">
        <f ca="1">COUNTIF(A1:A3410, B348)</f>
        <v>1</v>
      </c>
      <c r="E348" s="8"/>
      <c r="F348" s="8" t="s">
        <v>4171</v>
      </c>
      <c r="G348" s="14">
        <v>1</v>
      </c>
      <c r="H348" s="8"/>
      <c r="I348" s="8"/>
      <c r="J348" s="8"/>
      <c r="K348" s="8"/>
      <c r="L348" s="8"/>
      <c r="M348" s="8"/>
      <c r="N348" s="8"/>
      <c r="O348" s="8"/>
      <c r="P348" s="8"/>
      <c r="Q348" s="8"/>
      <c r="R348" s="8"/>
      <c r="S348" s="8"/>
      <c r="T348" s="8"/>
      <c r="U348" s="8"/>
      <c r="V348" s="8"/>
      <c r="W348" s="8"/>
    </row>
    <row r="349" spans="1:23" ht="15.75" customHeight="1" x14ac:dyDescent="0.25">
      <c r="A349" s="8" t="s">
        <v>651</v>
      </c>
      <c r="B349" s="8" t="str">
        <f ca="1">IFERROR(__xludf.DUMMYFUNCTION("""COMPUTED_VALUE"""),"Paladins")</f>
        <v>Paladins</v>
      </c>
      <c r="C349" s="8">
        <f ca="1">COUNTIF(A1:A3410, B349)</f>
        <v>15</v>
      </c>
      <c r="E349" s="8"/>
      <c r="F349" s="8" t="s">
        <v>4172</v>
      </c>
      <c r="G349" s="14">
        <v>1</v>
      </c>
      <c r="H349" s="8"/>
      <c r="I349" s="8"/>
      <c r="J349" s="8"/>
      <c r="K349" s="8"/>
      <c r="L349" s="8"/>
      <c r="M349" s="8"/>
      <c r="N349" s="8"/>
      <c r="O349" s="8"/>
      <c r="P349" s="8"/>
      <c r="Q349" s="8"/>
      <c r="R349" s="8"/>
      <c r="S349" s="8"/>
      <c r="T349" s="8"/>
      <c r="U349" s="8"/>
      <c r="V349" s="8"/>
      <c r="W349" s="8"/>
    </row>
    <row r="350" spans="1:23" ht="15.75" customHeight="1" x14ac:dyDescent="0.25">
      <c r="A350" s="6" t="s">
        <v>651</v>
      </c>
      <c r="B350" s="8" t="str">
        <f ca="1">IFERROR(__xludf.DUMMYFUNCTION("""COMPUTED_VALUE"""),"Path of Exile")</f>
        <v>Path of Exile</v>
      </c>
      <c r="C350" s="8">
        <f ca="1">COUNTIF(A1:A3410, B350)</f>
        <v>42</v>
      </c>
      <c r="E350" s="8"/>
      <c r="F350" s="8" t="s">
        <v>4173</v>
      </c>
      <c r="G350" s="14">
        <v>1</v>
      </c>
      <c r="H350" s="8"/>
      <c r="I350" s="8"/>
      <c r="J350" s="8"/>
      <c r="K350" s="8"/>
      <c r="L350" s="8"/>
      <c r="M350" s="8"/>
      <c r="N350" s="8"/>
      <c r="O350" s="8"/>
      <c r="P350" s="8"/>
      <c r="Q350" s="8"/>
      <c r="R350" s="8"/>
      <c r="S350" s="8"/>
      <c r="T350" s="8"/>
      <c r="U350" s="8"/>
      <c r="V350" s="8"/>
      <c r="W350" s="8"/>
    </row>
    <row r="351" spans="1:23" ht="15.75" customHeight="1" x14ac:dyDescent="0.25">
      <c r="A351" s="6" t="s">
        <v>651</v>
      </c>
      <c r="B351" s="8" t="str">
        <f ca="1">IFERROR(__xludf.DUMMYFUNCTION("""COMPUTED_VALUE"""),"Payday 2")</f>
        <v>Payday 2</v>
      </c>
      <c r="C351" s="8">
        <f ca="1">COUNTIF(A1:A3410, B351)</f>
        <v>7</v>
      </c>
      <c r="E351" s="8"/>
      <c r="F351" s="8" t="s">
        <v>4174</v>
      </c>
      <c r="G351" s="14">
        <v>1</v>
      </c>
      <c r="H351" s="8"/>
      <c r="I351" s="8"/>
      <c r="J351" s="8"/>
      <c r="K351" s="8"/>
      <c r="L351" s="8"/>
      <c r="M351" s="8"/>
      <c r="N351" s="8"/>
      <c r="O351" s="8"/>
      <c r="P351" s="8"/>
      <c r="Q351" s="8"/>
      <c r="R351" s="8"/>
      <c r="S351" s="8"/>
      <c r="T351" s="8"/>
      <c r="U351" s="8"/>
      <c r="V351" s="8"/>
      <c r="W351" s="8"/>
    </row>
    <row r="352" spans="1:23" ht="15.75" customHeight="1" x14ac:dyDescent="0.25">
      <c r="A352" s="6" t="s">
        <v>651</v>
      </c>
      <c r="B352" s="8" t="str">
        <f ca="1">IFERROR(__xludf.DUMMYFUNCTION("""COMPUTED_VALUE"""),"PC games")</f>
        <v>PC games</v>
      </c>
      <c r="C352" s="8">
        <f ca="1">COUNTIF(A1:A3410, B352)</f>
        <v>1</v>
      </c>
      <c r="E352" s="8"/>
      <c r="F352" s="8" t="s">
        <v>4175</v>
      </c>
      <c r="G352" s="14">
        <v>1</v>
      </c>
      <c r="H352" s="8"/>
      <c r="I352" s="8"/>
      <c r="J352" s="8"/>
      <c r="K352" s="8"/>
      <c r="L352" s="8"/>
      <c r="M352" s="8"/>
      <c r="N352" s="8"/>
      <c r="O352" s="8"/>
      <c r="P352" s="8"/>
      <c r="Q352" s="8"/>
      <c r="R352" s="8"/>
      <c r="S352" s="8"/>
      <c r="T352" s="8"/>
      <c r="U352" s="8"/>
      <c r="V352" s="8"/>
      <c r="W352" s="8"/>
    </row>
    <row r="353" spans="1:23" ht="15.75" customHeight="1" x14ac:dyDescent="0.25">
      <c r="A353" s="6" t="s">
        <v>651</v>
      </c>
      <c r="B353" s="8" t="str">
        <f ca="1">IFERROR(__xludf.DUMMYFUNCTION("""COMPUTED_VALUE"""),"Persona 5")</f>
        <v>Persona 5</v>
      </c>
      <c r="C353" s="8">
        <f ca="1">COUNTIF(A1:A3410, B353)</f>
        <v>2</v>
      </c>
      <c r="E353" s="8"/>
      <c r="F353" s="8" t="s">
        <v>4176</v>
      </c>
      <c r="G353" s="14">
        <v>1</v>
      </c>
      <c r="H353" s="8"/>
      <c r="I353" s="8"/>
      <c r="J353" s="8"/>
      <c r="K353" s="8"/>
      <c r="L353" s="8"/>
      <c r="M353" s="8"/>
      <c r="N353" s="8"/>
      <c r="O353" s="8"/>
      <c r="P353" s="8"/>
      <c r="Q353" s="8"/>
      <c r="R353" s="8"/>
      <c r="S353" s="8"/>
      <c r="T353" s="8"/>
      <c r="U353" s="8"/>
      <c r="V353" s="8"/>
      <c r="W353" s="8"/>
    </row>
    <row r="354" spans="1:23" ht="15.75" customHeight="1" x14ac:dyDescent="0.25">
      <c r="A354" s="6" t="s">
        <v>651</v>
      </c>
      <c r="B354" s="8" t="str">
        <f ca="1">IFERROR(__xludf.DUMMYFUNCTION("""COMPUTED_VALUE"""),"phantasy star online 2")</f>
        <v>phantasy star online 2</v>
      </c>
      <c r="C354" s="8">
        <f ca="1">COUNTIF(A1:A3410, B354)</f>
        <v>1</v>
      </c>
      <c r="E354" s="8"/>
      <c r="F354" s="8" t="s">
        <v>4177</v>
      </c>
      <c r="G354" s="14">
        <v>1</v>
      </c>
      <c r="H354" s="8"/>
      <c r="I354" s="8"/>
      <c r="J354" s="8"/>
      <c r="K354" s="8"/>
      <c r="L354" s="8"/>
      <c r="M354" s="8"/>
      <c r="N354" s="8"/>
      <c r="O354" s="8"/>
      <c r="P354" s="8"/>
      <c r="Q354" s="8"/>
      <c r="R354" s="8"/>
      <c r="S354" s="8"/>
      <c r="T354" s="8"/>
      <c r="U354" s="8"/>
      <c r="V354" s="8"/>
      <c r="W354" s="8"/>
    </row>
    <row r="355" spans="1:23" ht="15.75" customHeight="1" x14ac:dyDescent="0.25">
      <c r="A355" s="6" t="s">
        <v>651</v>
      </c>
      <c r="B355" s="8" t="str">
        <f ca="1">IFERROR(__xludf.DUMMYFUNCTION("""COMPUTED_VALUE"""),"Pillars of Eternity")</f>
        <v>Pillars of Eternity</v>
      </c>
      <c r="C355" s="8">
        <f ca="1">COUNTIF(A1:A3410, B355)</f>
        <v>1</v>
      </c>
      <c r="E355" s="8"/>
      <c r="F355" s="8" t="s">
        <v>4178</v>
      </c>
      <c r="G355" s="14">
        <v>1</v>
      </c>
      <c r="H355" s="8"/>
      <c r="I355" s="8"/>
      <c r="J355" s="8"/>
      <c r="K355" s="8"/>
      <c r="L355" s="8"/>
      <c r="M355" s="8"/>
      <c r="N355" s="8"/>
      <c r="O355" s="8"/>
      <c r="P355" s="8"/>
      <c r="Q355" s="8"/>
      <c r="R355" s="8"/>
      <c r="S355" s="8"/>
      <c r="T355" s="8"/>
      <c r="U355" s="8"/>
      <c r="V355" s="8"/>
      <c r="W355" s="8"/>
    </row>
    <row r="356" spans="1:23" ht="15.75" customHeight="1" x14ac:dyDescent="0.25">
      <c r="A356" s="6" t="s">
        <v>651</v>
      </c>
      <c r="B356" s="8" t="str">
        <f ca="1">IFERROR(__xludf.DUMMYFUNCTION("""COMPUTED_VALUE"""),"Pit People")</f>
        <v>Pit People</v>
      </c>
      <c r="C356" s="8">
        <f ca="1">COUNTIF(A1:A3410, B356)</f>
        <v>1</v>
      </c>
      <c r="E356" s="8"/>
      <c r="F356" s="8" t="s">
        <v>4179</v>
      </c>
      <c r="G356" s="14">
        <v>1</v>
      </c>
      <c r="H356" s="8"/>
      <c r="I356" s="8"/>
      <c r="J356" s="8"/>
      <c r="K356" s="8"/>
      <c r="L356" s="8"/>
      <c r="M356" s="8"/>
      <c r="N356" s="8"/>
      <c r="O356" s="8"/>
      <c r="P356" s="8"/>
      <c r="Q356" s="8"/>
      <c r="R356" s="8"/>
      <c r="S356" s="8"/>
      <c r="T356" s="8"/>
      <c r="U356" s="8"/>
      <c r="V356" s="8"/>
      <c r="W356" s="8"/>
    </row>
    <row r="357" spans="1:23" ht="15.75" customHeight="1" x14ac:dyDescent="0.25">
      <c r="A357" s="6" t="s">
        <v>651</v>
      </c>
      <c r="B357" s="8" t="str">
        <f ca="1">IFERROR(__xludf.DUMMYFUNCTION("""COMPUTED_VALUE"""),"Planet Coaster")</f>
        <v>Planet Coaster</v>
      </c>
      <c r="C357" s="8">
        <f ca="1">COUNTIF(A1:A3410, B357)</f>
        <v>2</v>
      </c>
      <c r="E357" s="8"/>
      <c r="F357" s="8" t="s">
        <v>4180</v>
      </c>
      <c r="G357" s="14">
        <v>1</v>
      </c>
      <c r="H357" s="8"/>
      <c r="I357" s="8"/>
      <c r="J357" s="8"/>
      <c r="K357" s="8"/>
      <c r="L357" s="8"/>
      <c r="M357" s="8"/>
      <c r="N357" s="8"/>
      <c r="O357" s="8"/>
      <c r="P357" s="8"/>
      <c r="Q357" s="8"/>
      <c r="R357" s="8"/>
      <c r="S357" s="8"/>
      <c r="T357" s="8"/>
      <c r="U357" s="8"/>
      <c r="V357" s="8"/>
      <c r="W357" s="8"/>
    </row>
    <row r="358" spans="1:23" ht="15.75" customHeight="1" x14ac:dyDescent="0.25">
      <c r="A358" s="6" t="s">
        <v>651</v>
      </c>
      <c r="B358" s="8" t="str">
        <f ca="1">IFERROR(__xludf.DUMMYFUNCTION("""COMPUTED_VALUE"""),"Planetside 2")</f>
        <v>Planetside 2</v>
      </c>
      <c r="C358" s="8">
        <f ca="1">COUNTIF(A1:A3410, B358)</f>
        <v>9</v>
      </c>
      <c r="E358" s="8"/>
      <c r="F358" s="8" t="s">
        <v>4181</v>
      </c>
      <c r="G358" s="14">
        <v>1</v>
      </c>
      <c r="H358" s="8"/>
      <c r="I358" s="8"/>
      <c r="J358" s="8"/>
      <c r="K358" s="8"/>
      <c r="L358" s="8"/>
      <c r="M358" s="8"/>
      <c r="N358" s="8"/>
      <c r="O358" s="8"/>
      <c r="P358" s="8"/>
      <c r="Q358" s="8"/>
      <c r="R358" s="8"/>
      <c r="S358" s="8"/>
      <c r="T358" s="8"/>
      <c r="U358" s="8"/>
      <c r="V358" s="8"/>
      <c r="W358" s="8"/>
    </row>
    <row r="359" spans="1:23" ht="15.75" customHeight="1" x14ac:dyDescent="0.25">
      <c r="A359" s="6" t="s">
        <v>651</v>
      </c>
      <c r="B359" s="8" t="str">
        <f ca="1">IFERROR(__xludf.DUMMYFUNCTION("""COMPUTED_VALUE"""),"Platformers")</f>
        <v>Platformers</v>
      </c>
      <c r="C359" s="8">
        <f ca="1">COUNTIF(A1:A3410, B359)</f>
        <v>1</v>
      </c>
      <c r="E359" s="8"/>
      <c r="F359" s="8" t="s">
        <v>4182</v>
      </c>
      <c r="G359" s="14">
        <v>1</v>
      </c>
      <c r="H359" s="8"/>
      <c r="I359" s="8"/>
      <c r="J359" s="8"/>
      <c r="K359" s="8"/>
      <c r="L359" s="8"/>
      <c r="M359" s="8"/>
      <c r="N359" s="8"/>
      <c r="O359" s="8"/>
      <c r="P359" s="8"/>
      <c r="Q359" s="8"/>
      <c r="R359" s="8"/>
      <c r="S359" s="8"/>
      <c r="T359" s="8"/>
      <c r="U359" s="8"/>
      <c r="V359" s="8"/>
      <c r="W359" s="8"/>
    </row>
    <row r="360" spans="1:23" ht="15.75" customHeight="1" x14ac:dyDescent="0.25">
      <c r="A360" s="6" t="s">
        <v>651</v>
      </c>
      <c r="B360" s="8" t="str">
        <f ca="1">IFERROR(__xludf.DUMMYFUNCTION("""COMPUTED_VALUE"""),"Point and Click games")</f>
        <v>Point and Click games</v>
      </c>
      <c r="C360" s="8">
        <f ca="1">COUNTIF(A1:A3410, B360)</f>
        <v>2</v>
      </c>
      <c r="E360" s="8"/>
      <c r="F360" s="8" t="s">
        <v>4183</v>
      </c>
      <c r="G360" s="14">
        <v>1</v>
      </c>
      <c r="H360" s="8"/>
      <c r="I360" s="8"/>
      <c r="J360" s="8"/>
      <c r="K360" s="8"/>
      <c r="L360" s="8"/>
      <c r="M360" s="8"/>
      <c r="N360" s="8"/>
      <c r="O360" s="8"/>
      <c r="P360" s="8"/>
      <c r="Q360" s="8"/>
      <c r="R360" s="8"/>
      <c r="S360" s="8"/>
      <c r="T360" s="8"/>
      <c r="U360" s="8"/>
      <c r="V360" s="8"/>
      <c r="W360" s="8"/>
    </row>
    <row r="361" spans="1:23" ht="15.75" customHeight="1" x14ac:dyDescent="0.25">
      <c r="A361" s="6" t="s">
        <v>651</v>
      </c>
      <c r="B361" s="8" t="str">
        <f ca="1">IFERROR(__xludf.DUMMYFUNCTION("""COMPUTED_VALUE"""),"Pokemon GO")</f>
        <v>Pokemon GO</v>
      </c>
      <c r="C361" s="8">
        <f ca="1">COUNTIF(A1:A3410, B361)</f>
        <v>8</v>
      </c>
      <c r="E361" s="8"/>
      <c r="F361" s="8" t="s">
        <v>4184</v>
      </c>
      <c r="G361" s="14">
        <v>1</v>
      </c>
      <c r="H361" s="8"/>
      <c r="I361" s="8"/>
      <c r="J361" s="8"/>
      <c r="K361" s="8"/>
      <c r="L361" s="8"/>
      <c r="M361" s="8"/>
      <c r="N361" s="8"/>
      <c r="O361" s="8"/>
      <c r="P361" s="8"/>
      <c r="Q361" s="8"/>
      <c r="R361" s="8"/>
      <c r="S361" s="8"/>
      <c r="T361" s="8"/>
      <c r="U361" s="8"/>
      <c r="V361" s="8"/>
      <c r="W361" s="8"/>
    </row>
    <row r="362" spans="1:23" ht="15.75" customHeight="1" x14ac:dyDescent="0.25">
      <c r="A362" s="6" t="s">
        <v>651</v>
      </c>
      <c r="B362" s="8" t="str">
        <f ca="1">IFERROR(__xludf.DUMMYFUNCTION("""COMPUTED_VALUE"""),"Pokemon TCG")</f>
        <v>Pokemon TCG</v>
      </c>
      <c r="C362" s="8">
        <f ca="1">COUNTIF(A1:A3410, B362)</f>
        <v>18</v>
      </c>
      <c r="E362" s="8"/>
      <c r="F362" s="8" t="s">
        <v>4185</v>
      </c>
      <c r="G362" s="14">
        <v>1</v>
      </c>
      <c r="H362" s="8"/>
      <c r="I362" s="8"/>
      <c r="J362" s="8"/>
      <c r="K362" s="8"/>
      <c r="L362" s="8"/>
      <c r="M362" s="8"/>
      <c r="N362" s="8"/>
      <c r="O362" s="8"/>
      <c r="P362" s="8"/>
      <c r="Q362" s="8"/>
      <c r="R362" s="8"/>
      <c r="S362" s="8"/>
      <c r="T362" s="8"/>
      <c r="U362" s="8"/>
      <c r="V362" s="8"/>
      <c r="W362" s="8"/>
    </row>
    <row r="363" spans="1:23" ht="15.75" customHeight="1" x14ac:dyDescent="0.25">
      <c r="A363" s="6" t="s">
        <v>651</v>
      </c>
      <c r="B363" s="8" t="str">
        <f ca="1">IFERROR(__xludf.DUMMYFUNCTION("""COMPUTED_VALUE"""),"Pong")</f>
        <v>Pong</v>
      </c>
      <c r="C363" s="8">
        <f ca="1">COUNTIF(A1:A3410, B363)</f>
        <v>1</v>
      </c>
      <c r="E363" s="8"/>
      <c r="F363" s="8" t="s">
        <v>4186</v>
      </c>
      <c r="G363" s="14">
        <v>1</v>
      </c>
      <c r="H363" s="8"/>
      <c r="I363" s="8"/>
      <c r="J363" s="8"/>
      <c r="K363" s="8"/>
      <c r="L363" s="8"/>
      <c r="M363" s="8"/>
      <c r="N363" s="8"/>
      <c r="O363" s="8"/>
      <c r="P363" s="8"/>
      <c r="Q363" s="8"/>
      <c r="R363" s="8"/>
      <c r="S363" s="8"/>
      <c r="T363" s="8"/>
      <c r="U363" s="8"/>
      <c r="V363" s="8"/>
      <c r="W363" s="8"/>
    </row>
    <row r="364" spans="1:23" ht="15.75" customHeight="1" x14ac:dyDescent="0.25">
      <c r="A364" s="6" t="s">
        <v>651</v>
      </c>
      <c r="B364" s="8" t="str">
        <f ca="1">IFERROR(__xludf.DUMMYFUNCTION("""COMPUTED_VALUE"""),"Portal 2")</f>
        <v>Portal 2</v>
      </c>
      <c r="C364" s="8">
        <f ca="1">COUNTIF(A1:A3410, B364)</f>
        <v>2</v>
      </c>
      <c r="E364" s="8"/>
      <c r="F364" s="8" t="s">
        <v>2660</v>
      </c>
      <c r="G364" s="14">
        <v>1</v>
      </c>
      <c r="H364" s="8"/>
      <c r="I364" s="8"/>
      <c r="J364" s="8"/>
      <c r="K364" s="8"/>
      <c r="L364" s="8"/>
      <c r="M364" s="8"/>
      <c r="N364" s="8"/>
      <c r="O364" s="8"/>
      <c r="P364" s="8"/>
      <c r="Q364" s="8"/>
      <c r="R364" s="8"/>
      <c r="S364" s="8"/>
      <c r="T364" s="8"/>
      <c r="U364" s="8"/>
      <c r="V364" s="8"/>
      <c r="W364" s="8"/>
    </row>
    <row r="365" spans="1:23" ht="15.75" customHeight="1" x14ac:dyDescent="0.25">
      <c r="A365" s="8" t="s">
        <v>651</v>
      </c>
      <c r="B365" s="8" t="str">
        <f ca="1">IFERROR(__xludf.DUMMYFUNCTION("""COMPUTED_VALUE"""),"Prismata")</f>
        <v>Prismata</v>
      </c>
      <c r="C365" s="8">
        <f ca="1">COUNTIF(A1:A3410, B365)</f>
        <v>1</v>
      </c>
      <c r="E365" s="8"/>
      <c r="F365" s="8" t="s">
        <v>4187</v>
      </c>
      <c r="G365" s="14">
        <v>1</v>
      </c>
      <c r="H365" s="8"/>
      <c r="I365" s="8"/>
      <c r="J365" s="8"/>
      <c r="K365" s="8"/>
      <c r="L365" s="8"/>
      <c r="M365" s="8"/>
      <c r="N365" s="8"/>
      <c r="O365" s="8"/>
      <c r="P365" s="8"/>
      <c r="Q365" s="8"/>
      <c r="R365" s="8"/>
      <c r="S365" s="8"/>
      <c r="T365" s="8"/>
      <c r="U365" s="8"/>
      <c r="V365" s="8"/>
      <c r="W365" s="8"/>
    </row>
    <row r="366" spans="1:23" ht="15.75" customHeight="1" x14ac:dyDescent="0.25">
      <c r="A366" s="6" t="s">
        <v>651</v>
      </c>
      <c r="B366" s="8" t="str">
        <f ca="1">IFERROR(__xludf.DUMMYFUNCTION("""COMPUTED_VALUE"""),"Prison Architect")</f>
        <v>Prison Architect</v>
      </c>
      <c r="C366" s="8">
        <f ca="1">COUNTIF(A1:A3410, B366)</f>
        <v>3</v>
      </c>
      <c r="E366" s="8"/>
      <c r="F366" s="8" t="s">
        <v>4188</v>
      </c>
      <c r="G366" s="14">
        <v>1</v>
      </c>
      <c r="H366" s="8"/>
      <c r="I366" s="8"/>
      <c r="J366" s="8"/>
      <c r="K366" s="8"/>
      <c r="L366" s="8"/>
      <c r="M366" s="8"/>
      <c r="N366" s="8"/>
      <c r="O366" s="8"/>
      <c r="P366" s="8"/>
      <c r="Q366" s="8"/>
      <c r="R366" s="8"/>
      <c r="S366" s="8"/>
      <c r="T366" s="8"/>
      <c r="U366" s="8"/>
      <c r="V366" s="8"/>
      <c r="W366" s="8"/>
    </row>
    <row r="367" spans="1:23" ht="15.75" customHeight="1" x14ac:dyDescent="0.25">
      <c r="A367" s="6" t="s">
        <v>651</v>
      </c>
      <c r="B367" s="8" t="str">
        <f ca="1">IFERROR(__xludf.DUMMYFUNCTION("""COMPUTED_VALUE"""),"Pro Evolution Soccer")</f>
        <v>Pro Evolution Soccer</v>
      </c>
      <c r="C367" s="8">
        <f ca="1">COUNTIF(A1:A3410, B367)</f>
        <v>1</v>
      </c>
      <c r="E367" s="8"/>
      <c r="F367" s="8" t="s">
        <v>4189</v>
      </c>
      <c r="G367" s="14">
        <v>1</v>
      </c>
      <c r="H367" s="8"/>
      <c r="I367" s="8"/>
      <c r="J367" s="8"/>
      <c r="K367" s="8"/>
      <c r="L367" s="8"/>
      <c r="M367" s="8"/>
      <c r="N367" s="8"/>
      <c r="O367" s="8"/>
      <c r="P367" s="8"/>
      <c r="Q367" s="8"/>
      <c r="R367" s="8"/>
      <c r="S367" s="8"/>
      <c r="T367" s="8"/>
      <c r="U367" s="8"/>
      <c r="V367" s="8"/>
      <c r="W367" s="8"/>
    </row>
    <row r="368" spans="1:23" ht="15.75" customHeight="1" x14ac:dyDescent="0.25">
      <c r="A368" s="6" t="s">
        <v>651</v>
      </c>
      <c r="B368" s="8" t="str">
        <f ca="1">IFERROR(__xludf.DUMMYFUNCTION("""COMPUTED_VALUE"""),"Project Zomboid")</f>
        <v>Project Zomboid</v>
      </c>
      <c r="C368" s="8">
        <f ca="1">COUNTIF(A1:A3410, B368)</f>
        <v>4</v>
      </c>
      <c r="E368" s="8"/>
      <c r="F368" s="8" t="s">
        <v>4190</v>
      </c>
      <c r="G368" s="14">
        <v>1</v>
      </c>
      <c r="H368" s="8"/>
      <c r="I368" s="8"/>
      <c r="J368" s="8"/>
      <c r="K368" s="8"/>
      <c r="L368" s="8"/>
      <c r="M368" s="8"/>
      <c r="N368" s="8"/>
      <c r="O368" s="8"/>
      <c r="P368" s="8"/>
      <c r="Q368" s="8"/>
      <c r="R368" s="8"/>
      <c r="S368" s="8"/>
      <c r="T368" s="8"/>
      <c r="U368" s="8"/>
      <c r="V368" s="8"/>
      <c r="W368" s="8"/>
    </row>
    <row r="369" spans="1:23" ht="15.75" customHeight="1" x14ac:dyDescent="0.25">
      <c r="A369" s="6" t="s">
        <v>651</v>
      </c>
      <c r="B369" s="8" t="str">
        <f ca="1">IFERROR(__xludf.DUMMYFUNCTION("""COMPUTED_VALUE"""),"PS4 games")</f>
        <v>PS4 games</v>
      </c>
      <c r="C369" s="8">
        <f ca="1">COUNTIF(A1:A3410, B369)</f>
        <v>4</v>
      </c>
      <c r="E369" s="8"/>
      <c r="F369" s="8" t="s">
        <v>4191</v>
      </c>
      <c r="G369" s="14">
        <v>1</v>
      </c>
      <c r="H369" s="8"/>
      <c r="I369" s="8"/>
      <c r="J369" s="8"/>
      <c r="K369" s="8"/>
      <c r="L369" s="8"/>
      <c r="M369" s="8"/>
      <c r="N369" s="8"/>
      <c r="O369" s="8"/>
      <c r="P369" s="8"/>
      <c r="Q369" s="8"/>
      <c r="R369" s="8"/>
      <c r="S369" s="8"/>
      <c r="T369" s="8"/>
      <c r="U369" s="8"/>
      <c r="V369" s="8"/>
      <c r="W369" s="8"/>
    </row>
    <row r="370" spans="1:23" ht="15.75" customHeight="1" x14ac:dyDescent="0.25">
      <c r="A370" s="8" t="s">
        <v>651</v>
      </c>
      <c r="B370" s="8" t="str">
        <f ca="1">IFERROR(__xludf.DUMMYFUNCTION("""COMPUTED_VALUE"""),"PUBG")</f>
        <v>PUBG</v>
      </c>
      <c r="C370" s="8">
        <f ca="1">COUNTIF(A1:A3410, B370)</f>
        <v>28</v>
      </c>
      <c r="E370" s="8"/>
      <c r="F370" s="8" t="s">
        <v>4083</v>
      </c>
      <c r="G370" s="14">
        <v>1</v>
      </c>
      <c r="H370" s="8"/>
      <c r="I370" s="8"/>
      <c r="J370" s="8"/>
      <c r="K370" s="8"/>
      <c r="L370" s="8"/>
      <c r="M370" s="8"/>
      <c r="N370" s="8"/>
      <c r="O370" s="8"/>
      <c r="P370" s="8"/>
      <c r="Q370" s="8"/>
      <c r="R370" s="8"/>
      <c r="S370" s="8"/>
      <c r="T370" s="8"/>
      <c r="U370" s="8"/>
      <c r="V370" s="8"/>
      <c r="W370" s="8"/>
    </row>
    <row r="371" spans="1:23" ht="15.75" customHeight="1" x14ac:dyDescent="0.25">
      <c r="A371" s="6" t="s">
        <v>651</v>
      </c>
      <c r="B371" s="8" t="str">
        <f ca="1">IFERROR(__xludf.DUMMYFUNCTION("""COMPUTED_VALUE"""),"PUBG Mobile")</f>
        <v>PUBG Mobile</v>
      </c>
      <c r="C371" s="8">
        <f ca="1">COUNTIF(A1:A3410, B371)</f>
        <v>1</v>
      </c>
      <c r="E371" s="8"/>
      <c r="F371" s="8" t="s">
        <v>3409</v>
      </c>
      <c r="G371" s="14">
        <v>1</v>
      </c>
      <c r="H371" s="8"/>
      <c r="I371" s="8"/>
      <c r="J371" s="8"/>
      <c r="K371" s="8"/>
      <c r="L371" s="8"/>
      <c r="M371" s="8"/>
      <c r="N371" s="8"/>
      <c r="O371" s="8"/>
      <c r="P371" s="8"/>
      <c r="Q371" s="8"/>
      <c r="R371" s="8"/>
      <c r="S371" s="8"/>
      <c r="T371" s="8"/>
      <c r="U371" s="8"/>
      <c r="V371" s="8"/>
      <c r="W371" s="8"/>
    </row>
    <row r="372" spans="1:23" ht="15.75" customHeight="1" x14ac:dyDescent="0.25">
      <c r="A372" s="6" t="s">
        <v>651</v>
      </c>
      <c r="B372" s="8" t="str">
        <f ca="1">IFERROR(__xludf.DUMMYFUNCTION("""COMPUTED_VALUE"""),"puyo puyo")</f>
        <v>puyo puyo</v>
      </c>
      <c r="C372" s="8">
        <f ca="1">COUNTIF(A1:A3410, B372)</f>
        <v>1</v>
      </c>
      <c r="E372" s="8"/>
      <c r="F372" s="8" t="s">
        <v>4192</v>
      </c>
      <c r="G372" s="14">
        <v>1</v>
      </c>
      <c r="H372" s="8"/>
      <c r="I372" s="8"/>
      <c r="J372" s="8"/>
      <c r="K372" s="8"/>
      <c r="L372" s="8"/>
      <c r="M372" s="8"/>
      <c r="N372" s="8"/>
      <c r="O372" s="8"/>
      <c r="P372" s="8"/>
      <c r="Q372" s="8"/>
      <c r="R372" s="8"/>
      <c r="S372" s="8"/>
      <c r="T372" s="8"/>
      <c r="U372" s="8"/>
      <c r="V372" s="8"/>
      <c r="W372" s="8"/>
    </row>
    <row r="373" spans="1:23" ht="15.75" customHeight="1" x14ac:dyDescent="0.25">
      <c r="A373" s="6" t="s">
        <v>651</v>
      </c>
      <c r="B373" s="8" t="str">
        <f ca="1">IFERROR(__xludf.DUMMYFUNCTION("""COMPUTED_VALUE"""),"Puzzle games")</f>
        <v>Puzzle games</v>
      </c>
      <c r="C373" s="8">
        <f ca="1">COUNTIF(A1:A3410, B373)</f>
        <v>8</v>
      </c>
      <c r="E373" s="8"/>
      <c r="F373" s="8" t="s">
        <v>4193</v>
      </c>
      <c r="G373" s="14">
        <v>1</v>
      </c>
      <c r="H373" s="8"/>
      <c r="I373" s="8"/>
      <c r="J373" s="8"/>
      <c r="K373" s="8"/>
      <c r="L373" s="8"/>
      <c r="M373" s="8"/>
      <c r="N373" s="8"/>
      <c r="O373" s="8"/>
      <c r="P373" s="8"/>
      <c r="Q373" s="8"/>
      <c r="R373" s="8"/>
      <c r="S373" s="8"/>
      <c r="T373" s="8"/>
      <c r="U373" s="8"/>
      <c r="V373" s="8"/>
      <c r="W373" s="8"/>
    </row>
    <row r="374" spans="1:23" ht="15.75" customHeight="1" x14ac:dyDescent="0.25">
      <c r="A374" s="6" t="s">
        <v>651</v>
      </c>
      <c r="B374" s="8" t="str">
        <f ca="1">IFERROR(__xludf.DUMMYFUNCTION("""COMPUTED_VALUE"""),"Quake")</f>
        <v>Quake</v>
      </c>
      <c r="C374" s="8">
        <f ca="1">COUNTIF(A1:A3410, B374)</f>
        <v>7</v>
      </c>
      <c r="E374" s="8"/>
      <c r="F374" s="8" t="s">
        <v>4194</v>
      </c>
      <c r="G374" s="14">
        <v>1</v>
      </c>
      <c r="H374" s="8"/>
      <c r="I374" s="8"/>
      <c r="J374" s="8"/>
      <c r="K374" s="8"/>
      <c r="L374" s="8"/>
      <c r="M374" s="8"/>
      <c r="N374" s="8"/>
      <c r="O374" s="8"/>
      <c r="P374" s="8"/>
      <c r="Q374" s="8"/>
      <c r="R374" s="8"/>
      <c r="S374" s="8"/>
      <c r="T374" s="8"/>
      <c r="U374" s="8"/>
      <c r="V374" s="8"/>
      <c r="W374" s="8"/>
    </row>
    <row r="375" spans="1:23" ht="15.75" customHeight="1" x14ac:dyDescent="0.25">
      <c r="A375" s="6" t="s">
        <v>651</v>
      </c>
      <c r="B375" s="8" t="str">
        <f ca="1">IFERROR(__xludf.DUMMYFUNCTION("""COMPUTED_VALUE"""),"Racing games")</f>
        <v>Racing games</v>
      </c>
      <c r="C375" s="8">
        <f ca="1">COUNTIF(A1:A3410, B375)</f>
        <v>2</v>
      </c>
      <c r="E375" s="8"/>
      <c r="F375" s="8" t="s">
        <v>4195</v>
      </c>
      <c r="G375" s="14">
        <v>1</v>
      </c>
      <c r="H375" s="8"/>
      <c r="I375" s="8"/>
      <c r="J375" s="8"/>
      <c r="K375" s="8"/>
      <c r="L375" s="8"/>
      <c r="M375" s="8"/>
      <c r="N375" s="8"/>
      <c r="O375" s="8"/>
      <c r="P375" s="8"/>
      <c r="Q375" s="8"/>
      <c r="R375" s="8"/>
      <c r="S375" s="8"/>
      <c r="T375" s="8"/>
      <c r="U375" s="8"/>
      <c r="V375" s="8"/>
      <c r="W375" s="8"/>
    </row>
    <row r="376" spans="1:23" ht="15.75" customHeight="1" x14ac:dyDescent="0.25">
      <c r="A376" s="6" t="s">
        <v>651</v>
      </c>
      <c r="B376" s="8" t="str">
        <f ca="1">IFERROR(__xludf.DUMMYFUNCTION("""COMPUTED_VALUE"""),"Raft")</f>
        <v>Raft</v>
      </c>
      <c r="C376" s="8">
        <f ca="1">COUNTIF(A1:A3410, B376)</f>
        <v>2</v>
      </c>
      <c r="E376" s="8"/>
      <c r="F376" s="8" t="s">
        <v>4196</v>
      </c>
      <c r="G376" s="14">
        <v>1</v>
      </c>
      <c r="H376" s="8"/>
      <c r="I376" s="8"/>
      <c r="J376" s="8"/>
      <c r="K376" s="8"/>
      <c r="L376" s="8"/>
      <c r="M376" s="8"/>
      <c r="N376" s="8"/>
      <c r="O376" s="8"/>
      <c r="P376" s="8"/>
      <c r="Q376" s="8"/>
      <c r="R376" s="8"/>
      <c r="S376" s="8"/>
      <c r="T376" s="8"/>
      <c r="U376" s="8"/>
      <c r="V376" s="8"/>
      <c r="W376" s="8"/>
    </row>
    <row r="377" spans="1:23" ht="15.75" customHeight="1" x14ac:dyDescent="0.25">
      <c r="A377" s="6" t="s">
        <v>651</v>
      </c>
      <c r="B377" s="8" t="str">
        <f ca="1">IFERROR(__xludf.DUMMYFUNCTION("""COMPUTED_VALUE"""),"Ragnarok")</f>
        <v>Ragnarok</v>
      </c>
      <c r="C377" s="8">
        <f ca="1">COUNTIF(A1:A3410, B377)</f>
        <v>2</v>
      </c>
      <c r="E377" s="8"/>
      <c r="F377" s="8" t="s">
        <v>4197</v>
      </c>
      <c r="G377" s="14">
        <v>1</v>
      </c>
      <c r="H377" s="8"/>
      <c r="I377" s="8"/>
      <c r="J377" s="8"/>
      <c r="K377" s="8"/>
      <c r="L377" s="8"/>
      <c r="M377" s="8"/>
      <c r="N377" s="8"/>
      <c r="O377" s="8"/>
      <c r="P377" s="8"/>
      <c r="Q377" s="8"/>
      <c r="R377" s="8"/>
      <c r="S377" s="8"/>
      <c r="T377" s="8"/>
      <c r="U377" s="8"/>
      <c r="V377" s="8"/>
      <c r="W377" s="8"/>
    </row>
    <row r="378" spans="1:23" ht="15.75" customHeight="1" x14ac:dyDescent="0.25">
      <c r="A378" s="6" t="s">
        <v>4136</v>
      </c>
      <c r="B378" s="8" t="str">
        <f ca="1">IFERROR(__xludf.DUMMYFUNCTION("""COMPUTED_VALUE"""),"Rainbow Six Siege")</f>
        <v>Rainbow Six Siege</v>
      </c>
      <c r="C378" s="8">
        <f ca="1">COUNTIF(A1:A3410, B378)</f>
        <v>49</v>
      </c>
      <c r="E378" s="8"/>
      <c r="F378" s="8" t="s">
        <v>4198</v>
      </c>
      <c r="G378" s="14">
        <v>1</v>
      </c>
      <c r="H378" s="8"/>
      <c r="I378" s="8"/>
      <c r="J378" s="8"/>
      <c r="K378" s="8"/>
      <c r="L378" s="8"/>
      <c r="M378" s="8"/>
      <c r="N378" s="8"/>
      <c r="O378" s="8"/>
      <c r="P378" s="8"/>
      <c r="Q378" s="8"/>
      <c r="R378" s="8"/>
      <c r="S378" s="8"/>
      <c r="T378" s="8"/>
      <c r="U378" s="8"/>
      <c r="V378" s="8"/>
      <c r="W378" s="8"/>
    </row>
    <row r="379" spans="1:23" ht="15.75" customHeight="1" x14ac:dyDescent="0.25">
      <c r="A379" s="6" t="s">
        <v>4139</v>
      </c>
      <c r="B379" s="8" t="str">
        <f ca="1">IFERROR(__xludf.DUMMYFUNCTION("""COMPUTED_VALUE"""),"Ravenfield")</f>
        <v>Ravenfield</v>
      </c>
      <c r="C379" s="8">
        <f ca="1">COUNTIF(A1:A3410, B379)</f>
        <v>4</v>
      </c>
      <c r="E379" s="8"/>
      <c r="F379" s="8" t="s">
        <v>4199</v>
      </c>
      <c r="G379" s="14">
        <v>1</v>
      </c>
      <c r="H379" s="8"/>
      <c r="I379" s="8"/>
      <c r="J379" s="8"/>
      <c r="K379" s="8"/>
      <c r="L379" s="8"/>
      <c r="M379" s="8"/>
      <c r="N379" s="8"/>
      <c r="O379" s="8"/>
      <c r="P379" s="8"/>
      <c r="Q379" s="8"/>
      <c r="R379" s="8"/>
      <c r="S379" s="8"/>
      <c r="T379" s="8"/>
      <c r="U379" s="8"/>
      <c r="V379" s="8"/>
      <c r="W379" s="8"/>
    </row>
    <row r="380" spans="1:23" ht="15.75" customHeight="1" x14ac:dyDescent="0.25">
      <c r="A380" s="6" t="s">
        <v>4140</v>
      </c>
      <c r="B380" s="8" t="str">
        <f ca="1">IFERROR(__xludf.DUMMYFUNCTION("""COMPUTED_VALUE"""),"rayman legends")</f>
        <v>rayman legends</v>
      </c>
      <c r="C380" s="8">
        <f ca="1">COUNTIF(A1:A3410, B380)</f>
        <v>1</v>
      </c>
      <c r="E380" s="8"/>
      <c r="F380" s="8" t="s">
        <v>4200</v>
      </c>
      <c r="G380" s="14">
        <v>1</v>
      </c>
      <c r="H380" s="8"/>
      <c r="I380" s="8"/>
      <c r="J380" s="8"/>
      <c r="K380" s="8"/>
      <c r="L380" s="8"/>
      <c r="M380" s="8"/>
      <c r="N380" s="8"/>
      <c r="O380" s="8"/>
      <c r="P380" s="8"/>
      <c r="Q380" s="8"/>
      <c r="R380" s="8"/>
      <c r="S380" s="8"/>
      <c r="T380" s="8"/>
      <c r="U380" s="8"/>
      <c r="V380" s="8"/>
      <c r="W380" s="8"/>
    </row>
    <row r="381" spans="1:23" ht="15.75" customHeight="1" x14ac:dyDescent="0.25">
      <c r="A381" s="6" t="s">
        <v>3685</v>
      </c>
      <c r="B381" s="8" t="str">
        <f ca="1">IFERROR(__xludf.DUMMYFUNCTION("""COMPUTED_VALUE"""),"Real Racing 3")</f>
        <v>Real Racing 3</v>
      </c>
      <c r="C381" s="8">
        <f ca="1">COUNTIF(A1:A3410, B381)</f>
        <v>1</v>
      </c>
      <c r="E381" s="8"/>
      <c r="F381" s="8" t="s">
        <v>4201</v>
      </c>
      <c r="G381" s="14">
        <v>1</v>
      </c>
      <c r="H381" s="8"/>
      <c r="I381" s="8"/>
      <c r="J381" s="8"/>
      <c r="K381" s="8"/>
      <c r="L381" s="8"/>
      <c r="M381" s="8"/>
      <c r="N381" s="8"/>
      <c r="O381" s="8"/>
      <c r="P381" s="8"/>
      <c r="Q381" s="8"/>
      <c r="R381" s="8"/>
      <c r="S381" s="8"/>
      <c r="T381" s="8"/>
      <c r="U381" s="8"/>
      <c r="V381" s="8"/>
      <c r="W381" s="8"/>
    </row>
    <row r="382" spans="1:23" ht="15.75" customHeight="1" x14ac:dyDescent="0.25">
      <c r="A382" s="6" t="s">
        <v>3685</v>
      </c>
      <c r="B382" s="8" t="str">
        <f ca="1">IFERROR(__xludf.DUMMYFUNCTION("""COMPUTED_VALUE"""),"Real-time games")</f>
        <v>Real-time games</v>
      </c>
      <c r="C382" s="8">
        <f ca="1">COUNTIF(A1:A3410, B382)</f>
        <v>2</v>
      </c>
      <c r="E382" s="8"/>
      <c r="F382" s="8" t="s">
        <v>4202</v>
      </c>
      <c r="G382" s="14">
        <v>1</v>
      </c>
      <c r="H382" s="8"/>
      <c r="I382" s="8"/>
      <c r="J382" s="8"/>
      <c r="K382" s="8"/>
      <c r="L382" s="8"/>
      <c r="M382" s="8"/>
      <c r="N382" s="8"/>
      <c r="O382" s="8"/>
      <c r="P382" s="8"/>
      <c r="Q382" s="8"/>
      <c r="R382" s="8"/>
      <c r="S382" s="8"/>
      <c r="T382" s="8"/>
      <c r="U382" s="8"/>
      <c r="V382" s="8"/>
      <c r="W382" s="8"/>
    </row>
    <row r="383" spans="1:23" ht="15.75" customHeight="1" x14ac:dyDescent="0.25">
      <c r="A383" s="6" t="s">
        <v>3685</v>
      </c>
      <c r="B383" s="8" t="str">
        <f ca="1">IFERROR(__xludf.DUMMYFUNCTION("""COMPUTED_VALUE"""),"Realm Grinder")</f>
        <v>Realm Grinder</v>
      </c>
      <c r="C383" s="8">
        <f ca="1">COUNTIF(A1:A3410, B383)</f>
        <v>2</v>
      </c>
      <c r="E383" s="8"/>
      <c r="F383" s="8" t="s">
        <v>4203</v>
      </c>
      <c r="G383" s="14">
        <v>1</v>
      </c>
      <c r="H383" s="8"/>
      <c r="I383" s="8"/>
      <c r="J383" s="8"/>
      <c r="K383" s="8"/>
      <c r="L383" s="8"/>
      <c r="M383" s="8"/>
      <c r="N383" s="8"/>
      <c r="O383" s="8"/>
      <c r="P383" s="8"/>
      <c r="Q383" s="8"/>
      <c r="R383" s="8"/>
      <c r="S383" s="8"/>
      <c r="T383" s="8"/>
      <c r="U383" s="8"/>
      <c r="V383" s="8"/>
      <c r="W383" s="8"/>
    </row>
    <row r="384" spans="1:23" ht="15.75" customHeight="1" x14ac:dyDescent="0.25">
      <c r="A384" s="6" t="s">
        <v>4141</v>
      </c>
      <c r="B384" s="8" t="str">
        <f ca="1">IFERROR(__xludf.DUMMYFUNCTION("""COMPUTED_VALUE"""),"Realm of the Mad God")</f>
        <v>Realm of the Mad God</v>
      </c>
      <c r="C384" s="8">
        <f ca="1">COUNTIF(A1:A3410, B384)</f>
        <v>2</v>
      </c>
      <c r="E384" s="8"/>
      <c r="F384" s="8" t="s">
        <v>4204</v>
      </c>
      <c r="G384" s="14">
        <v>1</v>
      </c>
      <c r="H384" s="8"/>
      <c r="I384" s="8"/>
      <c r="J384" s="8"/>
      <c r="K384" s="8"/>
      <c r="L384" s="8"/>
      <c r="M384" s="8"/>
      <c r="N384" s="8"/>
      <c r="O384" s="8"/>
      <c r="P384" s="8"/>
      <c r="Q384" s="8"/>
      <c r="R384" s="8"/>
      <c r="S384" s="8"/>
      <c r="T384" s="8"/>
      <c r="U384" s="8"/>
      <c r="V384" s="8"/>
      <c r="W384" s="8"/>
    </row>
    <row r="385" spans="1:23" ht="15.75" customHeight="1" x14ac:dyDescent="0.25">
      <c r="A385" s="6" t="s">
        <v>3687</v>
      </c>
      <c r="B385" s="8" t="str">
        <f ca="1">IFERROR(__xludf.DUMMYFUNCTION("""COMPUTED_VALUE"""),"Realm Royale")</f>
        <v>Realm Royale</v>
      </c>
      <c r="C385" s="8">
        <f ca="1">COUNTIF(A1:A3410, B385)</f>
        <v>3</v>
      </c>
      <c r="E385" s="8"/>
      <c r="F385" s="8" t="s">
        <v>4205</v>
      </c>
      <c r="G385" s="14">
        <v>1</v>
      </c>
      <c r="H385" s="8"/>
      <c r="I385" s="8"/>
      <c r="J385" s="8"/>
      <c r="K385" s="8"/>
      <c r="L385" s="8"/>
      <c r="M385" s="8"/>
      <c r="N385" s="8"/>
      <c r="O385" s="8"/>
      <c r="P385" s="8"/>
      <c r="Q385" s="8"/>
      <c r="R385" s="8"/>
      <c r="S385" s="8"/>
      <c r="T385" s="8"/>
      <c r="U385" s="8"/>
      <c r="V385" s="8"/>
      <c r="W385" s="8"/>
    </row>
    <row r="386" spans="1:23" ht="15.75" customHeight="1" x14ac:dyDescent="0.25">
      <c r="A386" s="6" t="s">
        <v>3687</v>
      </c>
      <c r="B386" s="8" t="str">
        <f ca="1">IFERROR(__xludf.DUMMYFUNCTION("""COMPUTED_VALUE"""),"Reassembly")</f>
        <v>Reassembly</v>
      </c>
      <c r="C386" s="8">
        <f ca="1">COUNTIF(A1:A3410, B386)</f>
        <v>3</v>
      </c>
      <c r="E386" s="8"/>
      <c r="F386" s="8" t="s">
        <v>4206</v>
      </c>
      <c r="G386" s="14">
        <v>1</v>
      </c>
      <c r="H386" s="8"/>
      <c r="I386" s="8"/>
      <c r="J386" s="8"/>
      <c r="K386" s="8"/>
      <c r="L386" s="8"/>
      <c r="M386" s="8"/>
      <c r="N386" s="8"/>
      <c r="O386" s="8"/>
      <c r="P386" s="8"/>
      <c r="Q386" s="8"/>
      <c r="R386" s="8"/>
      <c r="S386" s="8"/>
      <c r="T386" s="8"/>
      <c r="U386" s="8"/>
      <c r="V386" s="8"/>
      <c r="W386" s="8"/>
    </row>
    <row r="387" spans="1:23" ht="15.75" customHeight="1" x14ac:dyDescent="0.25">
      <c r="A387" s="6" t="s">
        <v>3687</v>
      </c>
      <c r="B387" s="8" t="str">
        <f ca="1">IFERROR(__xludf.DUMMYFUNCTION("""COMPUTED_VALUE"""),"Rec room")</f>
        <v>Rec room</v>
      </c>
      <c r="C387" s="8">
        <f ca="1">COUNTIF(A1:A3410, B387)</f>
        <v>1</v>
      </c>
      <c r="E387" s="8"/>
      <c r="F387" s="8" t="s">
        <v>4207</v>
      </c>
      <c r="G387" s="14">
        <v>1</v>
      </c>
      <c r="H387" s="8"/>
      <c r="I387" s="8"/>
      <c r="J387" s="8"/>
      <c r="K387" s="8"/>
      <c r="L387" s="8"/>
      <c r="M387" s="8"/>
      <c r="N387" s="8"/>
      <c r="O387" s="8"/>
      <c r="P387" s="8"/>
      <c r="Q387" s="8"/>
      <c r="R387" s="8"/>
      <c r="S387" s="8"/>
      <c r="T387" s="8"/>
      <c r="U387" s="8"/>
      <c r="V387" s="8"/>
      <c r="W387" s="8"/>
    </row>
    <row r="388" spans="1:23" ht="15.75" customHeight="1" x14ac:dyDescent="0.25">
      <c r="A388" s="6" t="s">
        <v>4142</v>
      </c>
      <c r="B388" s="8" t="str">
        <f ca="1">IFERROR(__xludf.DUMMYFUNCTION("""COMPUTED_VALUE"""),"Red Alert 2")</f>
        <v>Red Alert 2</v>
      </c>
      <c r="C388" s="8">
        <f ca="1">COUNTIF(A1:A3410, B388)</f>
        <v>1</v>
      </c>
      <c r="E388" s="8"/>
      <c r="F388" s="8" t="s">
        <v>4208</v>
      </c>
      <c r="G388" s="14">
        <v>1</v>
      </c>
      <c r="H388" s="8"/>
      <c r="I388" s="8"/>
      <c r="J388" s="8"/>
      <c r="K388" s="8"/>
      <c r="L388" s="8"/>
      <c r="M388" s="8"/>
      <c r="N388" s="8"/>
      <c r="O388" s="8"/>
      <c r="P388" s="8"/>
      <c r="Q388" s="8"/>
      <c r="R388" s="8"/>
      <c r="S388" s="8"/>
      <c r="T388" s="8"/>
      <c r="U388" s="8"/>
      <c r="V388" s="8"/>
      <c r="W388" s="8"/>
    </row>
    <row r="389" spans="1:23" ht="15.75" customHeight="1" x14ac:dyDescent="0.25">
      <c r="A389" s="6" t="s">
        <v>3493</v>
      </c>
      <c r="B389" s="8" t="str">
        <f ca="1">IFERROR(__xludf.DUMMYFUNCTION("""COMPUTED_VALUE"""),"Red Dead Redemption 2")</f>
        <v>Red Dead Redemption 2</v>
      </c>
      <c r="C389" s="8">
        <f ca="1">COUNTIF(A1:A3410, B389)</f>
        <v>7</v>
      </c>
      <c r="E389" s="8"/>
      <c r="F389" s="8" t="s">
        <v>4209</v>
      </c>
      <c r="G389" s="14">
        <v>1</v>
      </c>
      <c r="H389" s="8"/>
      <c r="I389" s="8"/>
      <c r="J389" s="8"/>
      <c r="K389" s="8"/>
      <c r="L389" s="8"/>
      <c r="M389" s="8"/>
      <c r="N389" s="8"/>
      <c r="O389" s="8"/>
      <c r="P389" s="8"/>
      <c r="Q389" s="8"/>
      <c r="R389" s="8"/>
      <c r="S389" s="8"/>
      <c r="T389" s="8"/>
      <c r="U389" s="8"/>
      <c r="V389" s="8"/>
      <c r="W389" s="8"/>
    </row>
    <row r="390" spans="1:23" ht="15.75" customHeight="1" x14ac:dyDescent="0.25">
      <c r="A390" s="6" t="s">
        <v>3493</v>
      </c>
      <c r="B390" s="8" t="str">
        <f ca="1">IFERROR(__xludf.DUMMYFUNCTION("""COMPUTED_VALUE"""),"Red Solstice")</f>
        <v>Red Solstice</v>
      </c>
      <c r="C390" s="8">
        <f ca="1">COUNTIF(A1:A3410, B390)</f>
        <v>1</v>
      </c>
      <c r="E390" s="8"/>
      <c r="F390" s="8" t="s">
        <v>4210</v>
      </c>
      <c r="G390" s="14">
        <v>1</v>
      </c>
      <c r="H390" s="8"/>
      <c r="I390" s="8"/>
      <c r="J390" s="8"/>
      <c r="K390" s="8"/>
      <c r="L390" s="8"/>
      <c r="M390" s="8"/>
      <c r="N390" s="8"/>
      <c r="O390" s="8"/>
      <c r="P390" s="8"/>
      <c r="Q390" s="8"/>
      <c r="R390" s="8"/>
      <c r="S390" s="8"/>
      <c r="T390" s="8"/>
      <c r="U390" s="8"/>
      <c r="V390" s="8"/>
      <c r="W390" s="8"/>
    </row>
    <row r="391" spans="1:23" ht="15.75" customHeight="1" x14ac:dyDescent="0.25">
      <c r="A391" s="6" t="s">
        <v>3493</v>
      </c>
      <c r="B391" s="8" t="str">
        <f ca="1">IFERROR(__xludf.DUMMYFUNCTION("""COMPUTED_VALUE"""),"Resident Evil")</f>
        <v>Resident Evil</v>
      </c>
      <c r="C391" s="8">
        <f ca="1">COUNTIF(A1:A3410, B391)</f>
        <v>2</v>
      </c>
      <c r="E391" s="8"/>
      <c r="F391" s="8" t="s">
        <v>4211</v>
      </c>
      <c r="G391" s="14">
        <v>1</v>
      </c>
      <c r="H391" s="8"/>
      <c r="I391" s="8"/>
      <c r="J391" s="8"/>
      <c r="K391" s="8"/>
      <c r="L391" s="8"/>
      <c r="M391" s="8"/>
      <c r="N391" s="8"/>
      <c r="O391" s="8"/>
      <c r="P391" s="8"/>
      <c r="Q391" s="8"/>
      <c r="R391" s="8"/>
      <c r="S391" s="8"/>
      <c r="T391" s="8"/>
      <c r="U391" s="8"/>
      <c r="V391" s="8"/>
      <c r="W391" s="8"/>
    </row>
    <row r="392" spans="1:23" ht="15.75" customHeight="1" x14ac:dyDescent="0.25">
      <c r="A392" s="8" t="s">
        <v>3493</v>
      </c>
      <c r="B392" s="8" t="str">
        <f ca="1">IFERROR(__xludf.DUMMYFUNCTION("""COMPUTED_VALUE"""),"resonance of fate")</f>
        <v>resonance of fate</v>
      </c>
      <c r="C392" s="8">
        <f ca="1">COUNTIF(A1:A3410, B392)</f>
        <v>1</v>
      </c>
      <c r="E392" s="8"/>
      <c r="F392" s="8" t="s">
        <v>4212</v>
      </c>
      <c r="G392" s="14">
        <v>1</v>
      </c>
      <c r="H392" s="8"/>
      <c r="I392" s="8"/>
      <c r="J392" s="8"/>
      <c r="K392" s="8"/>
      <c r="L392" s="8"/>
      <c r="M392" s="8"/>
      <c r="N392" s="8"/>
      <c r="O392" s="8"/>
      <c r="P392" s="8"/>
      <c r="Q392" s="8"/>
      <c r="R392" s="8"/>
      <c r="S392" s="8"/>
      <c r="T392" s="8"/>
      <c r="U392" s="8"/>
      <c r="V392" s="8"/>
      <c r="W392" s="8"/>
    </row>
    <row r="393" spans="1:23" ht="15.75" customHeight="1" x14ac:dyDescent="0.25">
      <c r="A393" s="6" t="s">
        <v>3493</v>
      </c>
      <c r="B393" s="8" t="str">
        <f ca="1">IFERROR(__xludf.DUMMYFUNCTION("""COMPUTED_VALUE"""),"Riff Racer")</f>
        <v>Riff Racer</v>
      </c>
      <c r="C393" s="8">
        <f ca="1">COUNTIF(A1:A3410, B393)</f>
        <v>1</v>
      </c>
      <c r="E393" s="8"/>
      <c r="F393" s="8" t="s">
        <v>4213</v>
      </c>
      <c r="G393" s="14">
        <v>1</v>
      </c>
      <c r="H393" s="8"/>
      <c r="I393" s="8"/>
      <c r="J393" s="8"/>
      <c r="K393" s="8"/>
      <c r="L393" s="8"/>
      <c r="M393" s="8"/>
      <c r="N393" s="8"/>
      <c r="O393" s="8"/>
      <c r="P393" s="8"/>
      <c r="Q393" s="8"/>
      <c r="R393" s="8"/>
      <c r="S393" s="8"/>
      <c r="T393" s="8"/>
      <c r="U393" s="8"/>
      <c r="V393" s="8"/>
      <c r="W393" s="8"/>
    </row>
    <row r="394" spans="1:23" ht="15.75" customHeight="1" x14ac:dyDescent="0.25">
      <c r="A394" s="6" t="s">
        <v>3493</v>
      </c>
      <c r="B394" s="8" t="str">
        <f ca="1">IFERROR(__xludf.DUMMYFUNCTION("""COMPUTED_VALUE"""),"RimWorld")</f>
        <v>RimWorld</v>
      </c>
      <c r="C394" s="8">
        <f ca="1">COUNTIF(A1:A3410, B394)</f>
        <v>10</v>
      </c>
      <c r="E394" s="8"/>
      <c r="F394" s="8" t="s">
        <v>4214</v>
      </c>
      <c r="G394" s="14">
        <v>1</v>
      </c>
      <c r="H394" s="8"/>
      <c r="I394" s="8"/>
      <c r="J394" s="8"/>
      <c r="K394" s="8"/>
      <c r="L394" s="8"/>
      <c r="M394" s="8"/>
      <c r="N394" s="8"/>
      <c r="O394" s="8"/>
      <c r="P394" s="8"/>
      <c r="Q394" s="8"/>
      <c r="R394" s="8"/>
      <c r="S394" s="8"/>
      <c r="T394" s="8"/>
      <c r="U394" s="8"/>
      <c r="V394" s="8"/>
      <c r="W394" s="8"/>
    </row>
    <row r="395" spans="1:23" ht="15.75" customHeight="1" x14ac:dyDescent="0.25">
      <c r="A395" s="6" t="s">
        <v>4143</v>
      </c>
      <c r="B395" s="8" t="str">
        <f ca="1">IFERROR(__xludf.DUMMYFUNCTION("""COMPUTED_VALUE"""),"Ring of Elysium")</f>
        <v>Ring of Elysium</v>
      </c>
      <c r="C395" s="8">
        <f ca="1">COUNTIF(A1:A3410, B395)</f>
        <v>3</v>
      </c>
      <c r="E395" s="8"/>
      <c r="F395" s="8" t="s">
        <v>4215</v>
      </c>
      <c r="G395" s="14">
        <v>1</v>
      </c>
      <c r="H395" s="8"/>
      <c r="I395" s="8"/>
      <c r="J395" s="8"/>
      <c r="K395" s="8"/>
      <c r="L395" s="8"/>
      <c r="M395" s="8"/>
      <c r="N395" s="8"/>
      <c r="O395" s="8"/>
      <c r="P395" s="8"/>
      <c r="Q395" s="8"/>
      <c r="R395" s="8"/>
      <c r="S395" s="8"/>
      <c r="T395" s="8"/>
      <c r="U395" s="8"/>
      <c r="V395" s="8"/>
      <c r="W395" s="8"/>
    </row>
    <row r="396" spans="1:23" ht="15.75" customHeight="1" x14ac:dyDescent="0.25">
      <c r="A396" s="6" t="s">
        <v>4144</v>
      </c>
      <c r="B396" s="8" t="str">
        <f ca="1">IFERROR(__xludf.DUMMYFUNCTION("""COMPUTED_VALUE"""),"Rise of Nations")</f>
        <v>Rise of Nations</v>
      </c>
      <c r="C396" s="8">
        <f ca="1">COUNTIF(A1:A3410, B396)</f>
        <v>2</v>
      </c>
      <c r="E396" s="8"/>
      <c r="F396" s="8" t="s">
        <v>4216</v>
      </c>
      <c r="G396" s="14">
        <v>1</v>
      </c>
      <c r="H396" s="8"/>
      <c r="I396" s="8"/>
      <c r="J396" s="8"/>
      <c r="K396" s="8"/>
      <c r="L396" s="8"/>
      <c r="M396" s="8"/>
      <c r="N396" s="8"/>
      <c r="O396" s="8"/>
      <c r="P396" s="8"/>
      <c r="Q396" s="8"/>
      <c r="R396" s="8"/>
      <c r="S396" s="8"/>
      <c r="T396" s="8"/>
      <c r="U396" s="8"/>
      <c r="V396" s="8"/>
      <c r="W396" s="8"/>
    </row>
    <row r="397" spans="1:23" ht="15.75" customHeight="1" x14ac:dyDescent="0.25">
      <c r="A397" s="6" t="s">
        <v>3832</v>
      </c>
      <c r="B397" s="8" t="str">
        <f ca="1">IFERROR(__xludf.DUMMYFUNCTION("""COMPUTED_VALUE"""),"Rise to Ruins")</f>
        <v>Rise to Ruins</v>
      </c>
      <c r="C397" s="8">
        <f ca="1">COUNTIF(A1:A3410, B397)</f>
        <v>3</v>
      </c>
      <c r="E397" s="8"/>
      <c r="F397" s="8" t="s">
        <v>4217</v>
      </c>
      <c r="G397" s="14">
        <v>1</v>
      </c>
      <c r="H397" s="8"/>
      <c r="I397" s="8"/>
      <c r="J397" s="8"/>
      <c r="K397" s="8"/>
      <c r="L397" s="8"/>
      <c r="M397" s="8"/>
      <c r="N397" s="8"/>
      <c r="O397" s="8"/>
      <c r="P397" s="8"/>
      <c r="Q397" s="8"/>
      <c r="R397" s="8"/>
      <c r="S397" s="8"/>
      <c r="T397" s="8"/>
      <c r="U397" s="8"/>
      <c r="V397" s="8"/>
      <c r="W397" s="8"/>
    </row>
    <row r="398" spans="1:23" ht="15.75" customHeight="1" x14ac:dyDescent="0.25">
      <c r="A398" s="6" t="s">
        <v>3832</v>
      </c>
      <c r="B398" s="8" t="str">
        <f ca="1">IFERROR(__xludf.DUMMYFUNCTION("""COMPUTED_VALUE"""),"Risen")</f>
        <v>Risen</v>
      </c>
      <c r="C398" s="8">
        <f ca="1">COUNTIF(A1:A3410, B398)</f>
        <v>1</v>
      </c>
      <c r="E398" s="8"/>
      <c r="F398" s="8" t="s">
        <v>4218</v>
      </c>
      <c r="G398" s="14">
        <v>1</v>
      </c>
      <c r="H398" s="8"/>
      <c r="I398" s="8"/>
      <c r="J398" s="8"/>
      <c r="K398" s="8"/>
      <c r="L398" s="8"/>
      <c r="M398" s="8"/>
      <c r="N398" s="8"/>
      <c r="O398" s="8"/>
      <c r="P398" s="8"/>
      <c r="Q398" s="8"/>
      <c r="R398" s="8"/>
      <c r="S398" s="8"/>
      <c r="T398" s="8"/>
      <c r="U398" s="8"/>
      <c r="V398" s="8"/>
      <c r="W398" s="8"/>
    </row>
    <row r="399" spans="1:23" ht="15.75" customHeight="1" x14ac:dyDescent="0.25">
      <c r="A399" s="6" t="s">
        <v>3689</v>
      </c>
      <c r="B399" s="8" t="str">
        <f ca="1">IFERROR(__xludf.DUMMYFUNCTION("""COMPUTED_VALUE"""),"Rising Storm 2")</f>
        <v>Rising Storm 2</v>
      </c>
      <c r="C399" s="8">
        <f ca="1">COUNTIF(A1:A3410, B399)</f>
        <v>1</v>
      </c>
      <c r="E399" s="8"/>
      <c r="F399" s="8" t="s">
        <v>4219</v>
      </c>
      <c r="G399" s="14">
        <v>1</v>
      </c>
      <c r="H399" s="8"/>
      <c r="I399" s="8"/>
      <c r="J399" s="8"/>
      <c r="K399" s="8"/>
      <c r="L399" s="8"/>
      <c r="M399" s="8"/>
      <c r="N399" s="8"/>
      <c r="O399" s="8"/>
      <c r="P399" s="8"/>
      <c r="Q399" s="8"/>
      <c r="R399" s="8"/>
      <c r="S399" s="8"/>
      <c r="T399" s="8"/>
      <c r="U399" s="8"/>
      <c r="V399" s="8"/>
      <c r="W399" s="8"/>
    </row>
    <row r="400" spans="1:23" ht="15.75" customHeight="1" x14ac:dyDescent="0.25">
      <c r="A400" s="6" t="s">
        <v>3689</v>
      </c>
      <c r="B400" s="8" t="str">
        <f ca="1">IFERROR(__xludf.DUMMYFUNCTION("""COMPUTED_VALUE"""),"Rivals of Aether")</f>
        <v>Rivals of Aether</v>
      </c>
      <c r="C400" s="8">
        <f ca="1">COUNTIF(A1:A3410, B400)</f>
        <v>1</v>
      </c>
      <c r="E400" s="8"/>
      <c r="F400" s="8" t="s">
        <v>4220</v>
      </c>
      <c r="G400" s="14">
        <v>1</v>
      </c>
      <c r="H400" s="8"/>
      <c r="I400" s="8"/>
      <c r="J400" s="8"/>
      <c r="K400" s="8"/>
      <c r="L400" s="8"/>
      <c r="M400" s="8"/>
      <c r="N400" s="8"/>
      <c r="O400" s="8"/>
      <c r="P400" s="8"/>
      <c r="Q400" s="8"/>
      <c r="R400" s="8"/>
      <c r="S400" s="8"/>
      <c r="T400" s="8"/>
      <c r="U400" s="8"/>
      <c r="V400" s="8"/>
      <c r="W400" s="8"/>
    </row>
    <row r="401" spans="1:23" ht="15.75" customHeight="1" x14ac:dyDescent="0.25">
      <c r="A401" s="6" t="s">
        <v>3689</v>
      </c>
      <c r="B401" s="8" t="str">
        <f ca="1">IFERROR(__xludf.DUMMYFUNCTION("""COMPUTED_VALUE"""),"Roblox")</f>
        <v>Roblox</v>
      </c>
      <c r="C401" s="8">
        <f ca="1">COUNTIF(A1:A3410, B401)</f>
        <v>24</v>
      </c>
      <c r="E401" s="8"/>
      <c r="F401" s="8" t="s">
        <v>4221</v>
      </c>
      <c r="G401" s="14">
        <v>1</v>
      </c>
      <c r="H401" s="8"/>
      <c r="I401" s="8"/>
      <c r="J401" s="8"/>
      <c r="K401" s="8"/>
      <c r="L401" s="8"/>
      <c r="M401" s="8"/>
      <c r="N401" s="8"/>
      <c r="O401" s="8"/>
      <c r="P401" s="8"/>
      <c r="Q401" s="8"/>
      <c r="R401" s="8"/>
      <c r="S401" s="8"/>
      <c r="T401" s="8"/>
      <c r="U401" s="8"/>
      <c r="V401" s="8"/>
      <c r="W401" s="8"/>
    </row>
    <row r="402" spans="1:23" ht="15.75" customHeight="1" x14ac:dyDescent="0.25">
      <c r="A402" s="6" t="s">
        <v>4145</v>
      </c>
      <c r="B402" s="8" t="str">
        <f ca="1">IFERROR(__xludf.DUMMYFUNCTION("""COMPUTED_VALUE"""),"Robocraft")</f>
        <v>Robocraft</v>
      </c>
      <c r="C402" s="8">
        <f ca="1">COUNTIF(A1:A3410, B402)</f>
        <v>4</v>
      </c>
      <c r="E402" s="8"/>
      <c r="F402" s="8" t="s">
        <v>4222</v>
      </c>
      <c r="G402" s="14">
        <v>1</v>
      </c>
      <c r="H402" s="8"/>
      <c r="I402" s="8"/>
      <c r="J402" s="8"/>
      <c r="K402" s="8"/>
      <c r="L402" s="8"/>
      <c r="M402" s="8"/>
      <c r="N402" s="8"/>
      <c r="O402" s="8"/>
      <c r="P402" s="8"/>
      <c r="Q402" s="8"/>
      <c r="R402" s="8"/>
      <c r="S402" s="8"/>
      <c r="T402" s="8"/>
      <c r="U402" s="8"/>
      <c r="V402" s="8"/>
      <c r="W402" s="8"/>
    </row>
    <row r="403" spans="1:23" ht="15.75" customHeight="1" x14ac:dyDescent="0.25">
      <c r="A403" s="6" t="s">
        <v>4146</v>
      </c>
      <c r="B403" s="8" t="str">
        <f ca="1">IFERROR(__xludf.DUMMYFUNCTION("""COMPUTED_VALUE"""),"Rocket League")</f>
        <v>Rocket League</v>
      </c>
      <c r="C403" s="8">
        <f ca="1">COUNTIF(A1:A3410, B403)</f>
        <v>55</v>
      </c>
      <c r="E403" s="8"/>
      <c r="F403" s="8" t="s">
        <v>4223</v>
      </c>
      <c r="G403" s="14">
        <v>1</v>
      </c>
      <c r="H403" s="8"/>
      <c r="I403" s="8"/>
      <c r="J403" s="8"/>
      <c r="K403" s="8"/>
      <c r="L403" s="8"/>
      <c r="M403" s="8"/>
      <c r="N403" s="8"/>
      <c r="O403" s="8"/>
      <c r="P403" s="8"/>
      <c r="Q403" s="8"/>
      <c r="R403" s="8"/>
      <c r="S403" s="8"/>
      <c r="T403" s="8"/>
      <c r="U403" s="8"/>
      <c r="V403" s="8"/>
      <c r="W403" s="8"/>
    </row>
    <row r="404" spans="1:23" ht="15.75" customHeight="1" x14ac:dyDescent="0.25">
      <c r="A404" s="6" t="s">
        <v>3691</v>
      </c>
      <c r="B404" s="8" t="str">
        <f ca="1">IFERROR(__xludf.DUMMYFUNCTION("""COMPUTED_VALUE"""),"Roguelike games")</f>
        <v>Roguelike games</v>
      </c>
      <c r="C404" s="8">
        <f ca="1">COUNTIF(A1:A3410, B404)</f>
        <v>7</v>
      </c>
      <c r="E404" s="8"/>
      <c r="F404" s="8" t="s">
        <v>4224</v>
      </c>
      <c r="G404" s="14">
        <v>1</v>
      </c>
      <c r="H404" s="8"/>
      <c r="I404" s="8"/>
      <c r="J404" s="8"/>
      <c r="K404" s="8"/>
      <c r="L404" s="8"/>
      <c r="M404" s="8"/>
      <c r="N404" s="8"/>
      <c r="O404" s="8"/>
      <c r="P404" s="8"/>
      <c r="Q404" s="8"/>
      <c r="R404" s="8"/>
      <c r="S404" s="8"/>
      <c r="T404" s="8"/>
      <c r="U404" s="8"/>
      <c r="V404" s="8"/>
      <c r="W404" s="8"/>
    </row>
    <row r="405" spans="1:23" ht="15.75" customHeight="1" x14ac:dyDescent="0.25">
      <c r="A405" s="6" t="s">
        <v>3691</v>
      </c>
      <c r="B405" s="8" t="str">
        <f ca="1">IFERROR(__xludf.DUMMYFUNCTION("""COMPUTED_VALUE"""),"Rollercoaster Tycoon")</f>
        <v>Rollercoaster Tycoon</v>
      </c>
      <c r="C405" s="8">
        <f ca="1">COUNTIF(A1:A3410, B405)</f>
        <v>1</v>
      </c>
      <c r="E405" s="8"/>
      <c r="F405" s="8" t="s">
        <v>4225</v>
      </c>
      <c r="G405" s="14">
        <v>1</v>
      </c>
      <c r="H405" s="8"/>
      <c r="I405" s="8"/>
      <c r="J405" s="8"/>
      <c r="K405" s="8"/>
      <c r="L405" s="8"/>
      <c r="M405" s="8"/>
      <c r="N405" s="8"/>
      <c r="O405" s="8"/>
      <c r="P405" s="8"/>
      <c r="Q405" s="8"/>
      <c r="R405" s="8"/>
      <c r="S405" s="8"/>
      <c r="T405" s="8"/>
      <c r="U405" s="8"/>
      <c r="V405" s="8"/>
      <c r="W405" s="8"/>
    </row>
    <row r="406" spans="1:23" ht="15.75" customHeight="1" x14ac:dyDescent="0.25">
      <c r="A406" s="6" t="s">
        <v>3691</v>
      </c>
      <c r="B406" s="8" t="str">
        <f ca="1">IFERROR(__xludf.DUMMYFUNCTION("""COMPUTED_VALUE"""),"RPG")</f>
        <v>RPG</v>
      </c>
      <c r="C406" s="8">
        <f ca="1">COUNTIF(A1:A3410, B406)</f>
        <v>28</v>
      </c>
      <c r="E406" s="8"/>
      <c r="F406" s="8" t="s">
        <v>4226</v>
      </c>
      <c r="G406" s="14">
        <v>1</v>
      </c>
      <c r="H406" s="8"/>
      <c r="I406" s="8"/>
      <c r="J406" s="8"/>
      <c r="K406" s="8"/>
      <c r="L406" s="8"/>
      <c r="M406" s="8"/>
      <c r="N406" s="8"/>
      <c r="O406" s="8"/>
      <c r="P406" s="8"/>
      <c r="Q406" s="8"/>
      <c r="R406" s="8"/>
      <c r="S406" s="8"/>
      <c r="T406" s="8"/>
      <c r="U406" s="8"/>
      <c r="V406" s="8"/>
      <c r="W406" s="8"/>
    </row>
    <row r="407" spans="1:23" ht="15.75" customHeight="1" x14ac:dyDescent="0.25">
      <c r="A407" s="6" t="s">
        <v>3543</v>
      </c>
      <c r="B407" s="8" t="str">
        <f ca="1">IFERROR(__xludf.DUMMYFUNCTION("""COMPUTED_VALUE"""),"RTS")</f>
        <v>RTS</v>
      </c>
      <c r="C407" s="8">
        <f ca="1">COUNTIF(A1:A3410, B407)</f>
        <v>16</v>
      </c>
      <c r="E407" s="8"/>
      <c r="F407" s="8" t="s">
        <v>4227</v>
      </c>
      <c r="G407" s="14">
        <v>1</v>
      </c>
      <c r="H407" s="8"/>
      <c r="I407" s="8"/>
      <c r="J407" s="8"/>
      <c r="K407" s="8"/>
      <c r="L407" s="8"/>
      <c r="M407" s="8"/>
      <c r="N407" s="8"/>
      <c r="O407" s="8"/>
      <c r="P407" s="8"/>
      <c r="Q407" s="8"/>
      <c r="R407" s="8"/>
      <c r="S407" s="8"/>
      <c r="T407" s="8"/>
      <c r="U407" s="8"/>
      <c r="V407" s="8"/>
      <c r="W407" s="8"/>
    </row>
    <row r="408" spans="1:23" ht="15.75" customHeight="1" x14ac:dyDescent="0.25">
      <c r="A408" s="6" t="s">
        <v>3543</v>
      </c>
      <c r="B408" s="8" t="str">
        <f ca="1">IFERROR(__xludf.DUMMYFUNCTION("""COMPUTED_VALUE"""),"Runeward")</f>
        <v>Runeward</v>
      </c>
      <c r="C408" s="8">
        <f ca="1">COUNTIF(A1:A3410, B408)</f>
        <v>1</v>
      </c>
      <c r="E408" s="8"/>
      <c r="F408" s="8" t="s">
        <v>4228</v>
      </c>
      <c r="G408" s="14">
        <v>1</v>
      </c>
      <c r="H408" s="8"/>
      <c r="I408" s="8"/>
      <c r="J408" s="8"/>
      <c r="K408" s="8"/>
      <c r="L408" s="8"/>
      <c r="M408" s="8"/>
      <c r="N408" s="8"/>
      <c r="O408" s="8"/>
      <c r="P408" s="8"/>
      <c r="Q408" s="8"/>
      <c r="R408" s="8"/>
      <c r="S408" s="8"/>
      <c r="T408" s="8"/>
      <c r="U408" s="8"/>
      <c r="V408" s="8"/>
      <c r="W408" s="8"/>
    </row>
    <row r="409" spans="1:23" ht="15.75" customHeight="1" x14ac:dyDescent="0.25">
      <c r="A409" s="6" t="s">
        <v>3543</v>
      </c>
      <c r="B409" s="8" t="str">
        <f ca="1">IFERROR(__xludf.DUMMYFUNCTION("""COMPUTED_VALUE"""),"Rust")</f>
        <v>Rust</v>
      </c>
      <c r="C409" s="8">
        <f ca="1">COUNTIF(A1:A3410, B409)</f>
        <v>16</v>
      </c>
      <c r="E409" s="8"/>
      <c r="F409" s="8" t="s">
        <v>4229</v>
      </c>
      <c r="G409" s="14">
        <v>1</v>
      </c>
      <c r="H409" s="8"/>
      <c r="I409" s="8"/>
      <c r="J409" s="8"/>
      <c r="K409" s="8"/>
      <c r="L409" s="8"/>
      <c r="M409" s="8"/>
      <c r="N409" s="8"/>
      <c r="O409" s="8"/>
      <c r="P409" s="8"/>
      <c r="Q409" s="8"/>
      <c r="R409" s="8"/>
      <c r="S409" s="8"/>
      <c r="T409" s="8"/>
      <c r="U409" s="8"/>
      <c r="V409" s="8"/>
      <c r="W409" s="8"/>
    </row>
    <row r="410" spans="1:23" ht="15.75" customHeight="1" x14ac:dyDescent="0.25">
      <c r="A410" s="6" t="s">
        <v>3543</v>
      </c>
      <c r="B410" s="8" t="str">
        <f ca="1">IFERROR(__xludf.DUMMYFUNCTION("""COMPUTED_VALUE"""),"RWBY:Amity Arena")</f>
        <v>RWBY:Amity Arena</v>
      </c>
      <c r="C410" s="8">
        <f ca="1">COUNTIF(A1:A3410, B410)</f>
        <v>1</v>
      </c>
      <c r="E410" s="8"/>
      <c r="F410" s="8" t="s">
        <v>4230</v>
      </c>
      <c r="G410" s="14">
        <v>1</v>
      </c>
      <c r="H410" s="8"/>
      <c r="I410" s="8"/>
      <c r="J410" s="8"/>
      <c r="K410" s="8"/>
      <c r="L410" s="8"/>
      <c r="M410" s="8"/>
      <c r="N410" s="8"/>
      <c r="O410" s="8"/>
      <c r="P410" s="8"/>
      <c r="Q410" s="8"/>
      <c r="R410" s="8"/>
      <c r="S410" s="8"/>
      <c r="T410" s="8"/>
      <c r="U410" s="8"/>
      <c r="V410" s="8"/>
      <c r="W410" s="8"/>
    </row>
    <row r="411" spans="1:23" ht="15.75" customHeight="1" x14ac:dyDescent="0.25">
      <c r="A411" s="6" t="s">
        <v>3543</v>
      </c>
      <c r="B411" s="8" t="str">
        <f ca="1">IFERROR(__xludf.DUMMYFUNCTION("""COMPUTED_VALUE"""),"S.T.A.L.K.E.R.")</f>
        <v>S.T.A.L.K.E.R.</v>
      </c>
      <c r="C411" s="8">
        <f ca="1">COUNTIF(A1:A3410, B411)</f>
        <v>1</v>
      </c>
      <c r="E411" s="8"/>
      <c r="F411" s="8" t="s">
        <v>4231</v>
      </c>
      <c r="G411" s="14">
        <v>1</v>
      </c>
      <c r="H411" s="8"/>
      <c r="I411" s="8"/>
      <c r="J411" s="8"/>
      <c r="K411" s="8"/>
      <c r="L411" s="8"/>
      <c r="M411" s="8"/>
      <c r="N411" s="8"/>
      <c r="O411" s="8"/>
      <c r="P411" s="8"/>
      <c r="Q411" s="8"/>
      <c r="R411" s="8"/>
      <c r="S411" s="8"/>
      <c r="T411" s="8"/>
      <c r="U411" s="8"/>
      <c r="V411" s="8"/>
      <c r="W411" s="8"/>
    </row>
    <row r="412" spans="1:23" ht="15.75" customHeight="1" x14ac:dyDescent="0.25">
      <c r="A412" s="6" t="s">
        <v>4147</v>
      </c>
      <c r="B412" s="8" t="str">
        <f ca="1">IFERROR(__xludf.DUMMYFUNCTION("""COMPUTED_VALUE"""),"S4")</f>
        <v>S4</v>
      </c>
      <c r="C412" s="8">
        <f ca="1">COUNTIF(A1:A3410, B412)</f>
        <v>1</v>
      </c>
      <c r="E412" s="8"/>
      <c r="F412" s="8" t="s">
        <v>4232</v>
      </c>
      <c r="G412" s="14">
        <v>1</v>
      </c>
      <c r="H412" s="8"/>
      <c r="I412" s="8"/>
      <c r="J412" s="8"/>
      <c r="K412" s="8"/>
      <c r="L412" s="8"/>
      <c r="M412" s="8"/>
      <c r="N412" s="8"/>
      <c r="O412" s="8"/>
      <c r="P412" s="8"/>
      <c r="Q412" s="8"/>
      <c r="R412" s="8"/>
      <c r="S412" s="8"/>
      <c r="T412" s="8"/>
      <c r="U412" s="8"/>
      <c r="V412" s="8"/>
      <c r="W412" s="8"/>
    </row>
    <row r="413" spans="1:23" ht="15.75" customHeight="1" x14ac:dyDescent="0.25">
      <c r="A413" s="6" t="s">
        <v>4148</v>
      </c>
      <c r="B413" s="8" t="str">
        <f ca="1">IFERROR(__xludf.DUMMYFUNCTION("""COMPUTED_VALUE"""),"Salt and sanctuary")</f>
        <v>Salt and sanctuary</v>
      </c>
      <c r="C413" s="8">
        <f ca="1">COUNTIF(A1:A3410, B413)</f>
        <v>1</v>
      </c>
      <c r="E413" s="8"/>
      <c r="F413" s="8" t="s">
        <v>4233</v>
      </c>
      <c r="G413" s="14">
        <v>1</v>
      </c>
      <c r="H413" s="8"/>
      <c r="I413" s="8"/>
      <c r="J413" s="8"/>
      <c r="K413" s="8"/>
      <c r="L413" s="8"/>
      <c r="M413" s="8"/>
      <c r="N413" s="8"/>
      <c r="O413" s="8"/>
      <c r="P413" s="8"/>
      <c r="Q413" s="8"/>
      <c r="R413" s="8"/>
      <c r="S413" s="8"/>
      <c r="T413" s="8"/>
      <c r="U413" s="8"/>
      <c r="V413" s="8"/>
      <c r="W413" s="8"/>
    </row>
    <row r="414" spans="1:23" ht="15.75" customHeight="1" x14ac:dyDescent="0.25">
      <c r="A414" s="6" t="s">
        <v>224</v>
      </c>
      <c r="B414" s="8" t="str">
        <f ca="1">IFERROR(__xludf.DUMMYFUNCTION("""COMPUTED_VALUE"""),"Sanctum")</f>
        <v>Sanctum</v>
      </c>
      <c r="C414" s="8">
        <f ca="1">COUNTIF(A1:A3410, B414)</f>
        <v>1</v>
      </c>
      <c r="E414" s="8"/>
      <c r="F414" s="8" t="s">
        <v>4234</v>
      </c>
      <c r="G414" s="14">
        <v>1</v>
      </c>
      <c r="H414" s="8"/>
      <c r="I414" s="8"/>
      <c r="J414" s="8"/>
      <c r="K414" s="8"/>
      <c r="L414" s="8"/>
      <c r="M414" s="8"/>
      <c r="N414" s="8"/>
      <c r="O414" s="8"/>
      <c r="P414" s="8"/>
      <c r="Q414" s="8"/>
      <c r="R414" s="8"/>
      <c r="S414" s="8"/>
      <c r="T414" s="8"/>
      <c r="U414" s="8"/>
      <c r="V414" s="8"/>
      <c r="W414" s="8"/>
    </row>
    <row r="415" spans="1:23" ht="15.75" customHeight="1" x14ac:dyDescent="0.25">
      <c r="A415" s="6" t="s">
        <v>224</v>
      </c>
      <c r="B415" s="8" t="str">
        <f ca="1">IFERROR(__xludf.DUMMYFUNCTION("""COMPUTED_VALUE"""),"SAS: Zombie Assault 4")</f>
        <v>SAS: Zombie Assault 4</v>
      </c>
      <c r="C415" s="8">
        <f ca="1">COUNTIF(A1:A3410, B415)</f>
        <v>1</v>
      </c>
      <c r="E415" s="8"/>
      <c r="F415" s="8" t="s">
        <v>4235</v>
      </c>
      <c r="G415" s="14">
        <v>1</v>
      </c>
      <c r="H415" s="8"/>
      <c r="I415" s="8"/>
      <c r="J415" s="8"/>
      <c r="K415" s="8"/>
      <c r="L415" s="8"/>
      <c r="M415" s="8"/>
      <c r="N415" s="8"/>
      <c r="O415" s="8"/>
      <c r="P415" s="8"/>
      <c r="Q415" s="8"/>
      <c r="R415" s="8"/>
      <c r="S415" s="8"/>
      <c r="T415" s="8"/>
      <c r="U415" s="8"/>
      <c r="V415" s="8"/>
      <c r="W415" s="8"/>
    </row>
    <row r="416" spans="1:23" ht="15.75" customHeight="1" x14ac:dyDescent="0.25">
      <c r="A416" s="6" t="s">
        <v>224</v>
      </c>
      <c r="B416" s="8" t="str">
        <f ca="1">IFERROR(__xludf.DUMMYFUNCTION("""COMPUTED_VALUE"""),"Savage Worlds")</f>
        <v>Savage Worlds</v>
      </c>
      <c r="C416" s="8">
        <f ca="1">COUNTIF(A1:A3410, B416)</f>
        <v>1</v>
      </c>
      <c r="E416" s="8"/>
      <c r="F416" s="8" t="s">
        <v>4236</v>
      </c>
      <c r="G416" s="14">
        <v>1</v>
      </c>
      <c r="H416" s="8"/>
      <c r="I416" s="8"/>
      <c r="J416" s="8"/>
      <c r="K416" s="8"/>
      <c r="L416" s="8"/>
      <c r="M416" s="8"/>
      <c r="N416" s="8"/>
      <c r="O416" s="8"/>
      <c r="P416" s="8"/>
      <c r="Q416" s="8"/>
      <c r="R416" s="8"/>
      <c r="S416" s="8"/>
      <c r="T416" s="8"/>
      <c r="U416" s="8"/>
      <c r="V416" s="8"/>
      <c r="W416" s="8"/>
    </row>
    <row r="417" spans="1:23" ht="15.75" customHeight="1" x14ac:dyDescent="0.25">
      <c r="A417" s="6" t="s">
        <v>224</v>
      </c>
      <c r="B417" s="8" t="str">
        <f ca="1">IFERROR(__xludf.DUMMYFUNCTION("""COMPUTED_VALUE"""),"Save the world")</f>
        <v>Save the world</v>
      </c>
      <c r="C417" s="8">
        <f ca="1">COUNTIF(A1:A3410, B417)</f>
        <v>1</v>
      </c>
      <c r="E417" s="8"/>
      <c r="F417" s="8" t="s">
        <v>4237</v>
      </c>
      <c r="G417" s="14">
        <v>1</v>
      </c>
      <c r="H417" s="8"/>
      <c r="I417" s="8"/>
      <c r="J417" s="8"/>
      <c r="K417" s="8"/>
      <c r="L417" s="8"/>
      <c r="M417" s="8"/>
      <c r="N417" s="8"/>
      <c r="O417" s="8"/>
      <c r="P417" s="8"/>
      <c r="Q417" s="8"/>
      <c r="R417" s="8"/>
      <c r="S417" s="8"/>
      <c r="T417" s="8"/>
      <c r="U417" s="8"/>
      <c r="V417" s="8"/>
      <c r="W417" s="8"/>
    </row>
    <row r="418" spans="1:23" ht="15.75" customHeight="1" x14ac:dyDescent="0.25">
      <c r="A418" s="6" t="s">
        <v>224</v>
      </c>
      <c r="B418" s="8" t="str">
        <f ca="1">IFERROR(__xludf.DUMMYFUNCTION("""COMPUTED_VALUE"""),"SCP secret laboratory")</f>
        <v>SCP secret laboratory</v>
      </c>
      <c r="C418" s="8">
        <f ca="1">COUNTIF(A1:A3410, B418)</f>
        <v>3</v>
      </c>
      <c r="E418" s="8"/>
      <c r="F418" s="8" t="s">
        <v>4238</v>
      </c>
      <c r="G418" s="14">
        <v>1</v>
      </c>
      <c r="H418" s="8"/>
      <c r="I418" s="8"/>
      <c r="J418" s="8"/>
      <c r="K418" s="8"/>
      <c r="L418" s="8"/>
      <c r="M418" s="8"/>
      <c r="N418" s="8"/>
      <c r="O418" s="8"/>
      <c r="P418" s="8"/>
      <c r="Q418" s="8"/>
      <c r="R418" s="8"/>
      <c r="S418" s="8"/>
      <c r="T418" s="8"/>
      <c r="U418" s="8"/>
      <c r="V418" s="8"/>
      <c r="W418" s="8"/>
    </row>
    <row r="419" spans="1:23" ht="15.75" customHeight="1" x14ac:dyDescent="0.25">
      <c r="A419" s="6" t="s">
        <v>224</v>
      </c>
      <c r="B419" s="8" t="str">
        <f ca="1">IFERROR(__xludf.DUMMYFUNCTION("""COMPUTED_VALUE"""),"SCUM")</f>
        <v>SCUM</v>
      </c>
      <c r="C419" s="8">
        <f ca="1">COUNTIF(A1:A3410, B419)</f>
        <v>2</v>
      </c>
      <c r="E419" s="8"/>
      <c r="F419" s="8" t="s">
        <v>4239</v>
      </c>
      <c r="G419" s="14">
        <v>1</v>
      </c>
      <c r="H419" s="8"/>
      <c r="I419" s="8"/>
      <c r="J419" s="8"/>
      <c r="K419" s="8"/>
      <c r="L419" s="8"/>
      <c r="M419" s="8"/>
      <c r="N419" s="8"/>
      <c r="O419" s="8"/>
      <c r="P419" s="8"/>
      <c r="Q419" s="8"/>
      <c r="R419" s="8"/>
      <c r="S419" s="8"/>
      <c r="T419" s="8"/>
      <c r="U419" s="8"/>
      <c r="V419" s="8"/>
      <c r="W419" s="8"/>
    </row>
    <row r="420" spans="1:23" ht="15.75" customHeight="1" x14ac:dyDescent="0.25">
      <c r="A420" s="6" t="s">
        <v>224</v>
      </c>
      <c r="B420" s="8" t="str">
        <f ca="1">IFERROR(__xludf.DUMMYFUNCTION("""COMPUTED_VALUE"""),"Sdorica")</f>
        <v>Sdorica</v>
      </c>
      <c r="C420" s="8">
        <f ca="1">COUNTIF(A1:A3410, B420)</f>
        <v>1</v>
      </c>
      <c r="E420" s="8"/>
      <c r="F420" s="8" t="s">
        <v>4240</v>
      </c>
      <c r="G420" s="14">
        <v>1</v>
      </c>
      <c r="H420" s="8"/>
      <c r="I420" s="8"/>
      <c r="J420" s="8"/>
      <c r="K420" s="8"/>
      <c r="L420" s="8"/>
      <c r="M420" s="8"/>
      <c r="N420" s="8"/>
      <c r="O420" s="8"/>
      <c r="P420" s="8"/>
      <c r="Q420" s="8"/>
      <c r="R420" s="8"/>
      <c r="S420" s="8"/>
      <c r="T420" s="8"/>
      <c r="U420" s="8"/>
      <c r="V420" s="8"/>
      <c r="W420" s="8"/>
    </row>
    <row r="421" spans="1:23" ht="15.75" customHeight="1" x14ac:dyDescent="0.25">
      <c r="A421" s="6" t="s">
        <v>224</v>
      </c>
      <c r="B421" s="8" t="str">
        <f ca="1">IFERROR(__xludf.DUMMYFUNCTION("""COMPUTED_VALUE"""),"Sea of Thieves")</f>
        <v>Sea of Thieves</v>
      </c>
      <c r="C421" s="8">
        <f ca="1">COUNTIF(A1:A3410, B421)</f>
        <v>2</v>
      </c>
      <c r="E421" s="8"/>
      <c r="F421" s="8" t="s">
        <v>4241</v>
      </c>
      <c r="G421" s="14">
        <v>1</v>
      </c>
      <c r="H421" s="8"/>
      <c r="I421" s="8"/>
      <c r="J421" s="8"/>
      <c r="K421" s="8"/>
      <c r="L421" s="8"/>
      <c r="M421" s="8"/>
      <c r="N421" s="8"/>
      <c r="O421" s="8"/>
      <c r="P421" s="8"/>
      <c r="Q421" s="8"/>
      <c r="R421" s="8"/>
      <c r="S421" s="8"/>
      <c r="T421" s="8"/>
      <c r="U421" s="8"/>
      <c r="V421" s="8"/>
      <c r="W421" s="8"/>
    </row>
    <row r="422" spans="1:23" ht="15.75" customHeight="1" x14ac:dyDescent="0.25">
      <c r="A422" s="6" t="s">
        <v>224</v>
      </c>
      <c r="B422" s="8" t="str">
        <f ca="1">IFERROR(__xludf.DUMMYFUNCTION("""COMPUTED_VALUE"""),"Secret World")</f>
        <v>Secret World</v>
      </c>
      <c r="C422" s="8">
        <f ca="1">COUNTIF(A1:A3410, B422)</f>
        <v>1</v>
      </c>
      <c r="E422" s="8"/>
      <c r="F422" s="8" t="s">
        <v>4242</v>
      </c>
      <c r="G422" s="14">
        <v>1</v>
      </c>
      <c r="H422" s="8"/>
      <c r="I422" s="8"/>
      <c r="J422" s="8"/>
      <c r="K422" s="8"/>
      <c r="L422" s="8"/>
      <c r="M422" s="8"/>
      <c r="N422" s="8"/>
      <c r="O422" s="8"/>
      <c r="P422" s="8"/>
      <c r="Q422" s="8"/>
      <c r="R422" s="8"/>
      <c r="S422" s="8"/>
      <c r="T422" s="8"/>
      <c r="U422" s="8"/>
      <c r="V422" s="8"/>
      <c r="W422" s="8"/>
    </row>
    <row r="423" spans="1:23" ht="15.75" customHeight="1" x14ac:dyDescent="0.25">
      <c r="A423" s="6" t="s">
        <v>224</v>
      </c>
      <c r="B423" s="8" t="str">
        <f ca="1">IFERROR(__xludf.DUMMYFUNCTION("""COMPUTED_VALUE"""),"Secrets of Grindea")</f>
        <v>Secrets of Grindea</v>
      </c>
      <c r="C423" s="8">
        <f ca="1">COUNTIF(A1:A3410, B423)</f>
        <v>1</v>
      </c>
      <c r="E423" s="8"/>
      <c r="F423" s="8" t="s">
        <v>4243</v>
      </c>
      <c r="G423" s="14">
        <v>1</v>
      </c>
      <c r="H423" s="8"/>
      <c r="I423" s="8"/>
      <c r="J423" s="8"/>
      <c r="K423" s="8"/>
      <c r="L423" s="8"/>
      <c r="M423" s="8"/>
      <c r="N423" s="8"/>
      <c r="O423" s="8"/>
      <c r="P423" s="8"/>
      <c r="Q423" s="8"/>
      <c r="R423" s="8"/>
      <c r="S423" s="8"/>
      <c r="T423" s="8"/>
      <c r="U423" s="8"/>
      <c r="V423" s="8"/>
      <c r="W423" s="8"/>
    </row>
    <row r="424" spans="1:23" ht="15.75" customHeight="1" x14ac:dyDescent="0.25">
      <c r="A424" s="6" t="s">
        <v>224</v>
      </c>
      <c r="B424" s="8" t="str">
        <f ca="1">IFERROR(__xludf.DUMMYFUNCTION("""COMPUTED_VALUE"""),"Sega Genesis")</f>
        <v>Sega Genesis</v>
      </c>
      <c r="C424" s="8">
        <f ca="1">COUNTIF(A1:A3410, B424)</f>
        <v>1</v>
      </c>
      <c r="E424" s="8"/>
      <c r="F424" s="8" t="s">
        <v>4244</v>
      </c>
      <c r="G424" s="14">
        <v>1</v>
      </c>
      <c r="H424" s="8"/>
      <c r="I424" s="8"/>
      <c r="J424" s="8"/>
      <c r="K424" s="8"/>
      <c r="L424" s="8"/>
      <c r="M424" s="8"/>
      <c r="N424" s="8"/>
      <c r="O424" s="8"/>
      <c r="P424" s="8"/>
      <c r="Q424" s="8"/>
      <c r="R424" s="8"/>
      <c r="S424" s="8"/>
      <c r="T424" s="8"/>
      <c r="U424" s="8"/>
      <c r="V424" s="8"/>
      <c r="W424" s="8"/>
    </row>
    <row r="425" spans="1:23" ht="15.75" customHeight="1" x14ac:dyDescent="0.25">
      <c r="A425" s="6" t="s">
        <v>224</v>
      </c>
      <c r="B425" s="8" t="str">
        <f ca="1">IFERROR(__xludf.DUMMYFUNCTION("""COMPUTED_VALUE"""),"Sentinels of the Multiverse")</f>
        <v>Sentinels of the Multiverse</v>
      </c>
      <c r="C425" s="8">
        <f ca="1">COUNTIF(A1:A3410, B425)</f>
        <v>1</v>
      </c>
      <c r="E425" s="8"/>
      <c r="F425" s="8" t="s">
        <v>4245</v>
      </c>
      <c r="G425" s="14">
        <v>1</v>
      </c>
      <c r="H425" s="8"/>
      <c r="I425" s="8"/>
      <c r="J425" s="8"/>
      <c r="K425" s="8"/>
      <c r="L425" s="8"/>
      <c r="M425" s="8"/>
      <c r="N425" s="8"/>
      <c r="O425" s="8"/>
      <c r="P425" s="8"/>
      <c r="Q425" s="8"/>
      <c r="R425" s="8"/>
      <c r="S425" s="8"/>
      <c r="T425" s="8"/>
      <c r="U425" s="8"/>
      <c r="V425" s="8"/>
      <c r="W425" s="8"/>
    </row>
    <row r="426" spans="1:23" ht="15.75" customHeight="1" x14ac:dyDescent="0.25">
      <c r="A426" s="6" t="s">
        <v>224</v>
      </c>
      <c r="B426" s="8" t="str">
        <f ca="1">IFERROR(__xludf.DUMMYFUNCTION("""COMPUTED_VALUE"""),"Shadow of Mordor")</f>
        <v>Shadow of Mordor</v>
      </c>
      <c r="C426" s="8">
        <f ca="1">COUNTIF(A1:A3410, B426)</f>
        <v>1</v>
      </c>
      <c r="E426" s="8"/>
      <c r="F426" s="8" t="s">
        <v>4246</v>
      </c>
      <c r="G426" s="14">
        <v>1</v>
      </c>
      <c r="H426" s="8"/>
      <c r="I426" s="8"/>
      <c r="J426" s="8"/>
      <c r="K426" s="8"/>
      <c r="L426" s="8"/>
      <c r="M426" s="8"/>
      <c r="N426" s="8"/>
      <c r="O426" s="8"/>
      <c r="P426" s="8"/>
      <c r="Q426" s="8"/>
      <c r="R426" s="8"/>
      <c r="S426" s="8"/>
      <c r="T426" s="8"/>
      <c r="U426" s="8"/>
      <c r="V426" s="8"/>
      <c r="W426" s="8"/>
    </row>
    <row r="427" spans="1:23" ht="15.75" customHeight="1" x14ac:dyDescent="0.25">
      <c r="A427" s="6" t="s">
        <v>224</v>
      </c>
      <c r="B427" s="8" t="str">
        <f ca="1">IFERROR(__xludf.DUMMYFUNCTION("""COMPUTED_VALUE"""),"Shadow of War")</f>
        <v>Shadow of War</v>
      </c>
      <c r="C427" s="8">
        <f ca="1">COUNTIF(A1:A3410, B427)</f>
        <v>2</v>
      </c>
      <c r="E427" s="8"/>
      <c r="F427" s="8" t="s">
        <v>4247</v>
      </c>
      <c r="G427" s="14">
        <v>1</v>
      </c>
      <c r="H427" s="8"/>
      <c r="I427" s="8"/>
      <c r="J427" s="8"/>
      <c r="K427" s="8"/>
      <c r="L427" s="8"/>
      <c r="M427" s="8"/>
      <c r="N427" s="8"/>
      <c r="O427" s="8"/>
      <c r="P427" s="8"/>
      <c r="Q427" s="8"/>
      <c r="R427" s="8"/>
      <c r="S427" s="8"/>
      <c r="T427" s="8"/>
      <c r="U427" s="8"/>
      <c r="V427" s="8"/>
      <c r="W427" s="8"/>
    </row>
    <row r="428" spans="1:23" ht="15.75" customHeight="1" x14ac:dyDescent="0.25">
      <c r="A428" s="6" t="s">
        <v>224</v>
      </c>
      <c r="B428" s="8" t="str">
        <f ca="1">IFERROR(__xludf.DUMMYFUNCTION("""COMPUTED_VALUE"""),"Shadow Warrior 2")</f>
        <v>Shadow Warrior 2</v>
      </c>
      <c r="C428" s="8">
        <f ca="1">COUNTIF(A1:A3410, B428)</f>
        <v>1</v>
      </c>
      <c r="E428" s="8"/>
      <c r="F428" s="8" t="s">
        <v>4248</v>
      </c>
      <c r="G428" s="14">
        <v>1</v>
      </c>
      <c r="H428" s="8"/>
      <c r="I428" s="8"/>
      <c r="J428" s="8"/>
      <c r="K428" s="8"/>
      <c r="L428" s="8"/>
      <c r="M428" s="8"/>
      <c r="N428" s="8"/>
      <c r="O428" s="8"/>
      <c r="P428" s="8"/>
      <c r="Q428" s="8"/>
      <c r="R428" s="8"/>
      <c r="S428" s="8"/>
      <c r="T428" s="8"/>
      <c r="U428" s="8"/>
      <c r="V428" s="8"/>
      <c r="W428" s="8"/>
    </row>
    <row r="429" spans="1:23" ht="15.75" customHeight="1" x14ac:dyDescent="0.25">
      <c r="A429" s="6" t="s">
        <v>224</v>
      </c>
      <c r="B429" s="8" t="str">
        <f ca="1">IFERROR(__xludf.DUMMYFUNCTION("""COMPUTED_VALUE"""),"Shadowverse")</f>
        <v>Shadowverse</v>
      </c>
      <c r="C429" s="8">
        <f ca="1">COUNTIF(A1:A3410, B429)</f>
        <v>5</v>
      </c>
      <c r="E429" s="8"/>
      <c r="F429" s="8" t="s">
        <v>4249</v>
      </c>
      <c r="G429" s="14">
        <v>1</v>
      </c>
      <c r="H429" s="8"/>
      <c r="I429" s="8"/>
      <c r="J429" s="8"/>
      <c r="K429" s="8"/>
      <c r="L429" s="8"/>
      <c r="M429" s="8"/>
      <c r="N429" s="8"/>
      <c r="O429" s="8"/>
      <c r="P429" s="8"/>
      <c r="Q429" s="8"/>
      <c r="R429" s="8"/>
      <c r="S429" s="8"/>
      <c r="T429" s="8"/>
      <c r="U429" s="8"/>
      <c r="V429" s="8"/>
      <c r="W429" s="8"/>
    </row>
    <row r="430" spans="1:23" ht="15.75" customHeight="1" x14ac:dyDescent="0.25">
      <c r="A430" s="6" t="s">
        <v>224</v>
      </c>
      <c r="B430" s="8" t="str">
        <f ca="1">IFERROR(__xludf.DUMMYFUNCTION("""COMPUTED_VALUE"""),"Shooter games")</f>
        <v>Shooter games</v>
      </c>
      <c r="C430" s="8">
        <f ca="1">COUNTIF(A1:A3410, B430)</f>
        <v>10</v>
      </c>
      <c r="E430" s="8"/>
      <c r="F430" s="8" t="s">
        <v>4250</v>
      </c>
      <c r="G430" s="14">
        <v>1</v>
      </c>
      <c r="H430" s="8"/>
      <c r="I430" s="8"/>
      <c r="J430" s="8"/>
      <c r="K430" s="8"/>
      <c r="L430" s="8"/>
      <c r="M430" s="8"/>
      <c r="N430" s="8"/>
      <c r="O430" s="8"/>
      <c r="P430" s="8"/>
      <c r="Q430" s="8"/>
      <c r="R430" s="8"/>
      <c r="S430" s="8"/>
      <c r="T430" s="8"/>
      <c r="U430" s="8"/>
      <c r="V430" s="8"/>
      <c r="W430" s="8"/>
    </row>
    <row r="431" spans="1:23" ht="15.75" customHeight="1" x14ac:dyDescent="0.25">
      <c r="A431" s="6" t="s">
        <v>224</v>
      </c>
      <c r="B431" s="8" t="str">
        <f ca="1">IFERROR(__xludf.DUMMYFUNCTION("""COMPUTED_VALUE"""),"Silent Hill 2")</f>
        <v>Silent Hill 2</v>
      </c>
      <c r="C431" s="8">
        <f ca="1">COUNTIF(A1:A3410, B431)</f>
        <v>1</v>
      </c>
      <c r="E431" s="8"/>
      <c r="F431" s="8" t="s">
        <v>4251</v>
      </c>
      <c r="G431" s="14">
        <v>1</v>
      </c>
      <c r="H431" s="8"/>
      <c r="I431" s="8"/>
      <c r="J431" s="8"/>
      <c r="K431" s="8"/>
      <c r="L431" s="8"/>
      <c r="M431" s="8"/>
      <c r="N431" s="8"/>
      <c r="O431" s="8"/>
      <c r="P431" s="8"/>
      <c r="Q431" s="8"/>
      <c r="R431" s="8"/>
      <c r="S431" s="8"/>
      <c r="T431" s="8"/>
      <c r="U431" s="8"/>
      <c r="V431" s="8"/>
      <c r="W431" s="8"/>
    </row>
    <row r="432" spans="1:23" ht="15.75" customHeight="1" x14ac:dyDescent="0.25">
      <c r="A432" s="6" t="s">
        <v>224</v>
      </c>
      <c r="B432" s="8" t="str">
        <f ca="1">IFERROR(__xludf.DUMMYFUNCTION("""COMPUTED_VALUE"""),"Sims")</f>
        <v>Sims</v>
      </c>
      <c r="C432" s="8">
        <f ca="1">COUNTIF(A1:A3410, B432)</f>
        <v>6</v>
      </c>
      <c r="E432" s="8"/>
      <c r="F432" s="8" t="s">
        <v>4252</v>
      </c>
      <c r="G432" s="14">
        <v>1</v>
      </c>
      <c r="H432" s="8"/>
      <c r="I432" s="8"/>
      <c r="J432" s="8"/>
      <c r="K432" s="8"/>
      <c r="L432" s="8"/>
      <c r="M432" s="8"/>
      <c r="N432" s="8"/>
      <c r="O432" s="8"/>
      <c r="P432" s="8"/>
      <c r="Q432" s="8"/>
      <c r="R432" s="8"/>
      <c r="S432" s="8"/>
      <c r="T432" s="8"/>
      <c r="U432" s="8"/>
      <c r="V432" s="8"/>
      <c r="W432" s="8"/>
    </row>
    <row r="433" spans="1:23" ht="15.75" customHeight="1" x14ac:dyDescent="0.25">
      <c r="A433" s="6" t="s">
        <v>224</v>
      </c>
      <c r="B433" s="8" t="str">
        <f ca="1">IFERROR(__xludf.DUMMYFUNCTION("""COMPUTED_VALUE"""),"Simulator games")</f>
        <v>Simulator games</v>
      </c>
      <c r="C433" s="8">
        <f ca="1">COUNTIF(A1:A3410, B433)</f>
        <v>2</v>
      </c>
      <c r="E433" s="8"/>
      <c r="F433" s="8" t="s">
        <v>4253</v>
      </c>
      <c r="G433" s="14">
        <v>1</v>
      </c>
      <c r="H433" s="8"/>
      <c r="I433" s="8"/>
      <c r="J433" s="8"/>
      <c r="K433" s="8"/>
      <c r="L433" s="8"/>
      <c r="M433" s="8"/>
      <c r="N433" s="8"/>
      <c r="O433" s="8"/>
      <c r="P433" s="8"/>
      <c r="Q433" s="8"/>
      <c r="R433" s="8"/>
      <c r="S433" s="8"/>
      <c r="T433" s="8"/>
      <c r="U433" s="8"/>
      <c r="V433" s="8"/>
      <c r="W433" s="8"/>
    </row>
    <row r="434" spans="1:23" ht="15.75" customHeight="1" x14ac:dyDescent="0.25">
      <c r="A434" s="6" t="s">
        <v>224</v>
      </c>
      <c r="B434" s="8" t="str">
        <f ca="1">IFERROR(__xludf.DUMMYFUNCTION("""COMPUTED_VALUE"""),"Single-Player games")</f>
        <v>Single-Player games</v>
      </c>
      <c r="C434" s="8">
        <f ca="1">COUNTIF(A1:A3410, B434)</f>
        <v>5</v>
      </c>
      <c r="E434" s="8"/>
      <c r="F434" s="8" t="s">
        <v>4254</v>
      </c>
      <c r="G434" s="14">
        <v>1</v>
      </c>
      <c r="H434" s="8"/>
      <c r="I434" s="8"/>
      <c r="J434" s="8"/>
      <c r="K434" s="8"/>
      <c r="L434" s="8"/>
      <c r="M434" s="8"/>
      <c r="N434" s="8"/>
      <c r="O434" s="8"/>
      <c r="P434" s="8"/>
      <c r="Q434" s="8"/>
      <c r="R434" s="8"/>
      <c r="S434" s="8"/>
      <c r="T434" s="8"/>
      <c r="U434" s="8"/>
      <c r="V434" s="8"/>
      <c r="W434" s="8"/>
    </row>
    <row r="435" spans="1:23" ht="15.75" customHeight="1" x14ac:dyDescent="0.25">
      <c r="A435" s="6" t="s">
        <v>224</v>
      </c>
      <c r="B435" s="8" t="str">
        <f ca="1">IFERROR(__xludf.DUMMYFUNCTION("""COMPUTED_VALUE"""),"Sinner: Sacrifice for Redemption")</f>
        <v>Sinner: Sacrifice for Redemption</v>
      </c>
      <c r="C435" s="8">
        <f ca="1">COUNTIF(A1:A3410, B435)</f>
        <v>1</v>
      </c>
      <c r="E435" s="8"/>
      <c r="F435" s="8" t="s">
        <v>4255</v>
      </c>
      <c r="G435" s="14">
        <v>1</v>
      </c>
      <c r="H435" s="8"/>
      <c r="I435" s="8"/>
      <c r="J435" s="8"/>
      <c r="K435" s="8"/>
      <c r="L435" s="8"/>
      <c r="M435" s="8"/>
      <c r="N435" s="8"/>
      <c r="O435" s="8"/>
      <c r="P435" s="8"/>
      <c r="Q435" s="8"/>
      <c r="R435" s="8"/>
      <c r="S435" s="8"/>
      <c r="T435" s="8"/>
      <c r="U435" s="8"/>
      <c r="V435" s="8"/>
      <c r="W435" s="8"/>
    </row>
    <row r="436" spans="1:23" ht="15.75" customHeight="1" x14ac:dyDescent="0.25">
      <c r="A436" s="6" t="s">
        <v>224</v>
      </c>
      <c r="B436" s="8" t="str">
        <f ca="1">IFERROR(__xludf.DUMMYFUNCTION("""COMPUTED_VALUE"""),"Sins of the Solar Empire")</f>
        <v>Sins of the Solar Empire</v>
      </c>
      <c r="C436" s="8">
        <f ca="1">COUNTIF(A1:A3410, B436)</f>
        <v>2</v>
      </c>
      <c r="E436" s="8"/>
      <c r="F436" s="8" t="s">
        <v>4256</v>
      </c>
      <c r="G436" s="14">
        <v>1</v>
      </c>
      <c r="H436" s="8"/>
      <c r="I436" s="8"/>
      <c r="J436" s="8"/>
      <c r="K436" s="8"/>
      <c r="L436" s="8"/>
      <c r="M436" s="8"/>
      <c r="N436" s="8"/>
      <c r="O436" s="8"/>
      <c r="P436" s="8"/>
      <c r="Q436" s="8"/>
      <c r="R436" s="8"/>
      <c r="S436" s="8"/>
      <c r="T436" s="8"/>
      <c r="U436" s="8"/>
      <c r="V436" s="8"/>
      <c r="W436" s="8"/>
    </row>
    <row r="437" spans="1:23" ht="15.75" customHeight="1" x14ac:dyDescent="0.25">
      <c r="A437" s="6" t="s">
        <v>224</v>
      </c>
      <c r="B437" s="8" t="str">
        <f ca="1">IFERROR(__xludf.DUMMYFUNCTION("""COMPUTED_VALUE"""),"Skylords Online")</f>
        <v>Skylords Online</v>
      </c>
      <c r="C437" s="8">
        <f ca="1">COUNTIF(A1:A3410, B437)</f>
        <v>1</v>
      </c>
      <c r="E437" s="8"/>
      <c r="F437" s="8" t="s">
        <v>4257</v>
      </c>
      <c r="G437" s="14">
        <v>1</v>
      </c>
      <c r="H437" s="8"/>
      <c r="I437" s="8"/>
      <c r="J437" s="8"/>
      <c r="K437" s="8"/>
      <c r="L437" s="8"/>
      <c r="M437" s="8"/>
      <c r="N437" s="8"/>
      <c r="O437" s="8"/>
      <c r="P437" s="8"/>
      <c r="Q437" s="8"/>
      <c r="R437" s="8"/>
      <c r="S437" s="8"/>
      <c r="T437" s="8"/>
      <c r="U437" s="8"/>
      <c r="V437" s="8"/>
      <c r="W437" s="8"/>
    </row>
    <row r="438" spans="1:23" ht="15.75" customHeight="1" x14ac:dyDescent="0.25">
      <c r="A438" s="6" t="s">
        <v>224</v>
      </c>
      <c r="B438" s="8" t="str">
        <f ca="1">IFERROR(__xludf.DUMMYFUNCTION("""COMPUTED_VALUE"""),"Skyrim")</f>
        <v>Skyrim</v>
      </c>
      <c r="C438" s="8">
        <f ca="1">COUNTIF(A1:A3410, B438)</f>
        <v>20</v>
      </c>
      <c r="E438" s="8"/>
      <c r="F438" s="8" t="s">
        <v>4258</v>
      </c>
      <c r="G438" s="14">
        <v>1</v>
      </c>
      <c r="H438" s="8"/>
      <c r="I438" s="8"/>
      <c r="J438" s="8"/>
      <c r="K438" s="8"/>
      <c r="L438" s="8"/>
      <c r="M438" s="8"/>
      <c r="N438" s="8"/>
      <c r="O438" s="8"/>
      <c r="P438" s="8"/>
      <c r="Q438" s="8"/>
      <c r="R438" s="8"/>
      <c r="S438" s="8"/>
      <c r="T438" s="8"/>
      <c r="U438" s="8"/>
      <c r="V438" s="8"/>
      <c r="W438" s="8"/>
    </row>
    <row r="439" spans="1:23" ht="15.75" customHeight="1" x14ac:dyDescent="0.25">
      <c r="A439" s="6" t="s">
        <v>224</v>
      </c>
      <c r="B439" s="8" t="str">
        <f ca="1">IFERROR(__xludf.DUMMYFUNCTION("""COMPUTED_VALUE"""),"Slay the Spire")</f>
        <v>Slay the Spire</v>
      </c>
      <c r="C439" s="8">
        <f ca="1">COUNTIF(A1:A3410, B439)</f>
        <v>30</v>
      </c>
      <c r="E439" s="8"/>
      <c r="F439" s="8" t="s">
        <v>4259</v>
      </c>
      <c r="G439" s="14">
        <v>1</v>
      </c>
      <c r="H439" s="8"/>
      <c r="I439" s="8"/>
      <c r="J439" s="8"/>
      <c r="K439" s="8"/>
      <c r="L439" s="8"/>
      <c r="M439" s="8"/>
      <c r="N439" s="8"/>
      <c r="O439" s="8"/>
      <c r="P439" s="8"/>
      <c r="Q439" s="8"/>
      <c r="R439" s="8"/>
      <c r="S439" s="8"/>
      <c r="T439" s="8"/>
      <c r="U439" s="8"/>
      <c r="V439" s="8"/>
      <c r="W439" s="8"/>
    </row>
    <row r="440" spans="1:23" ht="15.75" customHeight="1" x14ac:dyDescent="0.25">
      <c r="A440" s="6" t="s">
        <v>224</v>
      </c>
      <c r="B440" s="8" t="str">
        <f ca="1">IFERROR(__xludf.DUMMYFUNCTION("""COMPUTED_VALUE"""),"Slime Rancher")</f>
        <v>Slime Rancher</v>
      </c>
      <c r="C440" s="8">
        <f ca="1">COUNTIF(A1:A3410, B440)</f>
        <v>3</v>
      </c>
      <c r="E440" s="8"/>
      <c r="F440" s="8" t="s">
        <v>4260</v>
      </c>
      <c r="G440" s="14">
        <v>1</v>
      </c>
      <c r="H440" s="8"/>
      <c r="I440" s="8"/>
      <c r="J440" s="8"/>
      <c r="K440" s="8"/>
      <c r="L440" s="8"/>
      <c r="M440" s="8"/>
      <c r="N440" s="8"/>
      <c r="O440" s="8"/>
      <c r="P440" s="8"/>
      <c r="Q440" s="8"/>
      <c r="R440" s="8"/>
      <c r="S440" s="8"/>
      <c r="T440" s="8"/>
      <c r="U440" s="8"/>
      <c r="V440" s="8"/>
      <c r="W440" s="8"/>
    </row>
    <row r="441" spans="1:23" ht="15.75" customHeight="1" x14ac:dyDescent="0.25">
      <c r="A441" s="6" t="s">
        <v>224</v>
      </c>
      <c r="B441" s="8" t="str">
        <f ca="1">IFERROR(__xludf.DUMMYFUNCTION("""COMPUTED_VALUE"""),"Smite")</f>
        <v>Smite</v>
      </c>
      <c r="C441" s="8">
        <f ca="1">COUNTIF(A1:A3410, B441)</f>
        <v>30</v>
      </c>
      <c r="E441" s="8"/>
      <c r="F441" s="8" t="s">
        <v>4261</v>
      </c>
      <c r="G441" s="14">
        <v>1</v>
      </c>
      <c r="H441" s="8"/>
      <c r="I441" s="8"/>
      <c r="J441" s="8"/>
      <c r="K441" s="8"/>
      <c r="L441" s="8"/>
      <c r="M441" s="8"/>
      <c r="N441" s="8"/>
      <c r="O441" s="8"/>
      <c r="P441" s="8"/>
      <c r="Q441" s="8"/>
      <c r="R441" s="8"/>
      <c r="S441" s="8"/>
      <c r="T441" s="8"/>
      <c r="U441" s="8"/>
      <c r="V441" s="8"/>
      <c r="W441" s="8"/>
    </row>
    <row r="442" spans="1:23" ht="15.75" customHeight="1" x14ac:dyDescent="0.25">
      <c r="A442" s="6" t="s">
        <v>224</v>
      </c>
      <c r="B442" s="8" t="str">
        <f ca="1">IFERROR(__xludf.DUMMYFUNCTION("""COMPUTED_VALUE"""),"Sonic adventure battle 2")</f>
        <v>Sonic adventure battle 2</v>
      </c>
      <c r="C442" s="8">
        <f ca="1">COUNTIF(A1:A3410, B442)</f>
        <v>1</v>
      </c>
      <c r="E442" s="8"/>
      <c r="F442" s="8" t="s">
        <v>4262</v>
      </c>
      <c r="G442" s="14">
        <v>1</v>
      </c>
      <c r="H442" s="8"/>
      <c r="I442" s="8"/>
      <c r="J442" s="8"/>
      <c r="K442" s="8"/>
      <c r="L442" s="8"/>
      <c r="M442" s="8"/>
      <c r="N442" s="8"/>
      <c r="O442" s="8"/>
      <c r="P442" s="8"/>
      <c r="Q442" s="8"/>
      <c r="R442" s="8"/>
      <c r="S442" s="8"/>
      <c r="T442" s="8"/>
      <c r="U442" s="8"/>
      <c r="V442" s="8"/>
      <c r="W442" s="8"/>
    </row>
    <row r="443" spans="1:23" ht="15.75" customHeight="1" x14ac:dyDescent="0.25">
      <c r="A443" s="6" t="s">
        <v>224</v>
      </c>
      <c r="B443" s="8" t="str">
        <f ca="1">IFERROR(__xludf.DUMMYFUNCTION("""COMPUTED_VALUE"""),"Sorcerer King Rivals")</f>
        <v>Sorcerer King Rivals</v>
      </c>
      <c r="C443" s="8">
        <f ca="1">COUNTIF(A1:A3410, B443)</f>
        <v>1</v>
      </c>
      <c r="E443" s="8"/>
      <c r="F443" s="8" t="s">
        <v>4263</v>
      </c>
      <c r="G443" s="14">
        <v>1</v>
      </c>
      <c r="H443" s="8"/>
      <c r="I443" s="8"/>
      <c r="J443" s="8"/>
      <c r="K443" s="8"/>
      <c r="L443" s="8"/>
      <c r="M443" s="8"/>
      <c r="N443" s="8"/>
      <c r="O443" s="8"/>
      <c r="P443" s="8"/>
      <c r="Q443" s="8"/>
      <c r="R443" s="8"/>
      <c r="S443" s="8"/>
      <c r="T443" s="8"/>
      <c r="U443" s="8"/>
      <c r="V443" s="8"/>
      <c r="W443" s="8"/>
    </row>
    <row r="444" spans="1:23" ht="15.75" customHeight="1" x14ac:dyDescent="0.25">
      <c r="A444" s="6" t="s">
        <v>224</v>
      </c>
      <c r="B444" s="8" t="str">
        <f ca="1">IFERROR(__xludf.DUMMYFUNCTION("""COMPUTED_VALUE"""),"Soulcalibur 6")</f>
        <v>Soulcalibur 6</v>
      </c>
      <c r="C444" s="8">
        <f ca="1">COUNTIF(A1:A3410, B444)</f>
        <v>6</v>
      </c>
      <c r="E444" s="8"/>
      <c r="F444" s="8" t="s">
        <v>4264</v>
      </c>
      <c r="G444" s="14">
        <v>1</v>
      </c>
      <c r="H444" s="8"/>
      <c r="I444" s="8"/>
      <c r="J444" s="8"/>
      <c r="K444" s="8"/>
      <c r="L444" s="8"/>
      <c r="M444" s="8"/>
      <c r="N444" s="8"/>
      <c r="O444" s="8"/>
      <c r="P444" s="8"/>
      <c r="Q444" s="8"/>
      <c r="R444" s="8"/>
      <c r="S444" s="8"/>
      <c r="T444" s="8"/>
      <c r="U444" s="8"/>
      <c r="V444" s="8"/>
      <c r="W444" s="8"/>
    </row>
    <row r="445" spans="1:23" ht="15.75" customHeight="1" x14ac:dyDescent="0.25">
      <c r="A445" s="6" t="s">
        <v>224</v>
      </c>
      <c r="B445" s="8" t="str">
        <f ca="1">IFERROR(__xludf.DUMMYFUNCTION("""COMPUTED_VALUE"""),"Soulworker Online")</f>
        <v>Soulworker Online</v>
      </c>
      <c r="C445" s="8">
        <f ca="1">COUNTIF(A1:A3410, B445)</f>
        <v>1</v>
      </c>
      <c r="E445" s="8"/>
      <c r="F445" s="8" t="s">
        <v>4265</v>
      </c>
      <c r="G445" s="14">
        <v>1</v>
      </c>
      <c r="H445" s="8"/>
      <c r="I445" s="8"/>
      <c r="J445" s="8"/>
      <c r="K445" s="8"/>
      <c r="L445" s="8"/>
      <c r="M445" s="8"/>
      <c r="N445" s="8"/>
      <c r="O445" s="8"/>
      <c r="P445" s="8"/>
      <c r="Q445" s="8"/>
      <c r="R445" s="8"/>
      <c r="S445" s="8"/>
      <c r="T445" s="8"/>
      <c r="U445" s="8"/>
      <c r="V445" s="8"/>
      <c r="W445" s="8"/>
    </row>
    <row r="446" spans="1:23" ht="15.75" customHeight="1" x14ac:dyDescent="0.25">
      <c r="A446" s="6" t="s">
        <v>224</v>
      </c>
      <c r="B446" s="8" t="str">
        <f ca="1">IFERROR(__xludf.DUMMYFUNCTION("""COMPUTED_VALUE"""),"Space Engineers")</f>
        <v>Space Engineers</v>
      </c>
      <c r="C446" s="8">
        <f ca="1">COUNTIF(A1:A3410, B446)</f>
        <v>3</v>
      </c>
      <c r="E446" s="8"/>
      <c r="F446" s="8" t="s">
        <v>4266</v>
      </c>
      <c r="G446" s="14">
        <v>1</v>
      </c>
      <c r="H446" s="8"/>
      <c r="I446" s="8"/>
      <c r="J446" s="8"/>
      <c r="K446" s="8"/>
      <c r="L446" s="8"/>
      <c r="M446" s="8"/>
      <c r="N446" s="8"/>
      <c r="O446" s="8"/>
      <c r="P446" s="8"/>
      <c r="Q446" s="8"/>
      <c r="R446" s="8"/>
      <c r="S446" s="8"/>
      <c r="T446" s="8"/>
      <c r="U446" s="8"/>
      <c r="V446" s="8"/>
      <c r="W446" s="8"/>
    </row>
    <row r="447" spans="1:23" ht="15.75" customHeight="1" x14ac:dyDescent="0.25">
      <c r="A447" s="6" t="s">
        <v>224</v>
      </c>
      <c r="B447" s="8" t="str">
        <f ca="1">IFERROR(__xludf.DUMMYFUNCTION("""COMPUTED_VALUE"""),"Space station 13")</f>
        <v>Space station 13</v>
      </c>
      <c r="C447" s="8">
        <f ca="1">COUNTIF(A1:A3410, B447)</f>
        <v>1</v>
      </c>
      <c r="E447" s="8"/>
      <c r="F447" s="8" t="s">
        <v>4267</v>
      </c>
      <c r="G447" s="14">
        <v>1</v>
      </c>
      <c r="H447" s="8"/>
      <c r="I447" s="8"/>
      <c r="J447" s="8"/>
      <c r="K447" s="8"/>
      <c r="L447" s="8"/>
      <c r="M447" s="8"/>
      <c r="N447" s="8"/>
      <c r="O447" s="8"/>
      <c r="P447" s="8"/>
      <c r="Q447" s="8"/>
      <c r="R447" s="8"/>
      <c r="S447" s="8"/>
      <c r="T447" s="8"/>
      <c r="U447" s="8"/>
      <c r="V447" s="8"/>
      <c r="W447" s="8"/>
    </row>
    <row r="448" spans="1:23" ht="15.75" customHeight="1" x14ac:dyDescent="0.25">
      <c r="A448" s="6" t="s">
        <v>224</v>
      </c>
      <c r="B448" s="8" t="str">
        <f ca="1">IFERROR(__xludf.DUMMYFUNCTION("""COMPUTED_VALUE"""),"Spellforce")</f>
        <v>Spellforce</v>
      </c>
      <c r="C448" s="8">
        <f ca="1">COUNTIF(A1:A3410, B448)</f>
        <v>1</v>
      </c>
      <c r="E448" s="8"/>
      <c r="F448" s="8" t="s">
        <v>4268</v>
      </c>
      <c r="G448" s="14">
        <v>1</v>
      </c>
      <c r="H448" s="8"/>
      <c r="I448" s="8"/>
      <c r="J448" s="8"/>
      <c r="K448" s="8"/>
      <c r="L448" s="8"/>
      <c r="M448" s="8"/>
      <c r="N448" s="8"/>
      <c r="O448" s="8"/>
      <c r="P448" s="8"/>
      <c r="Q448" s="8"/>
      <c r="R448" s="8"/>
      <c r="S448" s="8"/>
      <c r="T448" s="8"/>
      <c r="U448" s="8"/>
      <c r="V448" s="8"/>
      <c r="W448" s="8"/>
    </row>
    <row r="449" spans="1:23" ht="15.75" customHeight="1" x14ac:dyDescent="0.25">
      <c r="A449" s="6" t="s">
        <v>224</v>
      </c>
      <c r="B449" s="8" t="str">
        <f ca="1">IFERROR(__xludf.DUMMYFUNCTION("""COMPUTED_VALUE"""),"SpellStone")</f>
        <v>SpellStone</v>
      </c>
      <c r="C449" s="8">
        <f ca="1">COUNTIF(A1:A3410, B449)</f>
        <v>1</v>
      </c>
      <c r="E449" s="8"/>
      <c r="F449" s="8" t="s">
        <v>4269</v>
      </c>
      <c r="G449" s="14">
        <v>1</v>
      </c>
      <c r="H449" s="8"/>
      <c r="I449" s="8"/>
      <c r="J449" s="8"/>
      <c r="K449" s="8"/>
      <c r="L449" s="8"/>
      <c r="M449" s="8"/>
      <c r="N449" s="8"/>
      <c r="O449" s="8"/>
      <c r="P449" s="8"/>
      <c r="Q449" s="8"/>
      <c r="R449" s="8"/>
      <c r="S449" s="8"/>
      <c r="T449" s="8"/>
      <c r="U449" s="8"/>
      <c r="V449" s="8"/>
      <c r="W449" s="8"/>
    </row>
    <row r="450" spans="1:23" ht="15.75" customHeight="1" x14ac:dyDescent="0.25">
      <c r="A450" s="6" t="s">
        <v>224</v>
      </c>
      <c r="B450" s="8" t="str">
        <f ca="1">IFERROR(__xludf.DUMMYFUNCTION("""COMPUTED_VALUE"""),"Spellweaver")</f>
        <v>Spellweaver</v>
      </c>
      <c r="C450" s="8">
        <f ca="1">COUNTIF(A1:A3410, B450)</f>
        <v>3</v>
      </c>
      <c r="E450" s="8"/>
      <c r="F450" s="8" t="s">
        <v>4270</v>
      </c>
      <c r="G450" s="14">
        <v>1</v>
      </c>
      <c r="H450" s="8"/>
      <c r="I450" s="8"/>
      <c r="J450" s="8"/>
      <c r="K450" s="8"/>
      <c r="L450" s="8"/>
      <c r="M450" s="8"/>
      <c r="N450" s="8"/>
      <c r="O450" s="8"/>
      <c r="P450" s="8"/>
      <c r="Q450" s="8"/>
      <c r="R450" s="8"/>
      <c r="S450" s="8"/>
      <c r="T450" s="8"/>
      <c r="U450" s="8"/>
      <c r="V450" s="8"/>
      <c r="W450" s="8"/>
    </row>
    <row r="451" spans="1:23" ht="15.75" customHeight="1" x14ac:dyDescent="0.25">
      <c r="A451" s="6" t="s">
        <v>224</v>
      </c>
      <c r="B451" s="8" t="str">
        <f ca="1">IFERROR(__xludf.DUMMYFUNCTION("""COMPUTED_VALUE"""),"Spelunky")</f>
        <v>Spelunky</v>
      </c>
      <c r="C451" s="8">
        <f ca="1">COUNTIF(A1:A3410, B451)</f>
        <v>1</v>
      </c>
      <c r="E451" s="8"/>
      <c r="F451" s="8" t="s">
        <v>4271</v>
      </c>
      <c r="G451" s="14">
        <v>1</v>
      </c>
      <c r="H451" s="8"/>
      <c r="I451" s="8"/>
      <c r="J451" s="8"/>
      <c r="K451" s="8"/>
      <c r="L451" s="8"/>
      <c r="M451" s="8"/>
      <c r="N451" s="8"/>
      <c r="O451" s="8"/>
      <c r="P451" s="8"/>
      <c r="Q451" s="8"/>
      <c r="R451" s="8"/>
      <c r="S451" s="8"/>
      <c r="T451" s="8"/>
      <c r="U451" s="8"/>
      <c r="V451" s="8"/>
      <c r="W451" s="8"/>
    </row>
    <row r="452" spans="1:23" ht="15.75" customHeight="1" x14ac:dyDescent="0.25">
      <c r="A452" s="6" t="s">
        <v>224</v>
      </c>
      <c r="B452" s="8" t="str">
        <f ca="1">IFERROR(__xludf.DUMMYFUNCTION("""COMPUTED_VALUE"""),"Spiderman")</f>
        <v>Spiderman</v>
      </c>
      <c r="C452" s="8">
        <f ca="1">COUNTIF(A1:A3410, B452)</f>
        <v>2</v>
      </c>
      <c r="E452" s="8"/>
      <c r="F452" s="8" t="s">
        <v>4272</v>
      </c>
      <c r="G452" s="14">
        <v>1</v>
      </c>
      <c r="H452" s="8"/>
      <c r="I452" s="8"/>
      <c r="J452" s="8"/>
      <c r="K452" s="8"/>
      <c r="L452" s="8"/>
      <c r="M452" s="8"/>
      <c r="N452" s="8"/>
      <c r="O452" s="8"/>
      <c r="P452" s="8"/>
      <c r="Q452" s="8"/>
      <c r="R452" s="8"/>
      <c r="S452" s="8"/>
      <c r="T452" s="8"/>
      <c r="U452" s="8"/>
      <c r="V452" s="8"/>
      <c r="W452" s="8"/>
    </row>
    <row r="453" spans="1:23" ht="15.75" customHeight="1" x14ac:dyDescent="0.25">
      <c r="A453" s="6" t="s">
        <v>224</v>
      </c>
      <c r="B453" s="8" t="str">
        <f ca="1">IFERROR(__xludf.DUMMYFUNCTION("""COMPUTED_VALUE"""),"Spiral Knights")</f>
        <v>Spiral Knights</v>
      </c>
      <c r="C453" s="8">
        <f ca="1">COUNTIF(A1:A3410, B453)</f>
        <v>2</v>
      </c>
      <c r="E453" s="8"/>
      <c r="F453" s="8" t="s">
        <v>4273</v>
      </c>
      <c r="G453" s="14">
        <v>1</v>
      </c>
      <c r="H453" s="8"/>
      <c r="I453" s="8"/>
      <c r="J453" s="8"/>
      <c r="K453" s="8"/>
      <c r="L453" s="8"/>
      <c r="M453" s="8"/>
      <c r="N453" s="8"/>
      <c r="O453" s="8"/>
      <c r="P453" s="8"/>
      <c r="Q453" s="8"/>
      <c r="R453" s="8"/>
      <c r="S453" s="8"/>
      <c r="T453" s="8"/>
      <c r="U453" s="8"/>
      <c r="V453" s="8"/>
      <c r="W453" s="8"/>
    </row>
    <row r="454" spans="1:23" ht="15.75" customHeight="1" x14ac:dyDescent="0.25">
      <c r="A454" s="6" t="s">
        <v>224</v>
      </c>
      <c r="B454" s="8" t="str">
        <f ca="1">IFERROR(__xludf.DUMMYFUNCTION("""COMPUTED_VALUE"""),"Sports games")</f>
        <v>Sports games</v>
      </c>
      <c r="C454" s="8">
        <f ca="1">COUNTIF(A1:A3410, B454)</f>
        <v>2</v>
      </c>
      <c r="E454" s="8"/>
      <c r="F454" s="8" t="s">
        <v>4274</v>
      </c>
      <c r="G454" s="14">
        <v>1</v>
      </c>
      <c r="H454" s="8"/>
      <c r="I454" s="8"/>
      <c r="J454" s="8"/>
      <c r="K454" s="8"/>
      <c r="L454" s="8"/>
      <c r="M454" s="8"/>
      <c r="N454" s="8"/>
      <c r="O454" s="8"/>
      <c r="P454" s="8"/>
      <c r="Q454" s="8"/>
      <c r="R454" s="8"/>
      <c r="S454" s="8"/>
      <c r="T454" s="8"/>
      <c r="U454" s="8"/>
      <c r="V454" s="8"/>
      <c r="W454" s="8"/>
    </row>
    <row r="455" spans="1:23" ht="15.75" customHeight="1" x14ac:dyDescent="0.25">
      <c r="A455" s="6" t="s">
        <v>224</v>
      </c>
      <c r="B455" s="8" t="str">
        <f ca="1">IFERROR(__xludf.DUMMYFUNCTION("""COMPUTED_VALUE"""),"Spyro Remastered")</f>
        <v>Spyro Remastered</v>
      </c>
      <c r="C455" s="8">
        <f ca="1">COUNTIF(A1:A3410, B455)</f>
        <v>1</v>
      </c>
      <c r="E455" s="8"/>
      <c r="F455" s="8" t="s">
        <v>4275</v>
      </c>
      <c r="G455" s="14">
        <v>1</v>
      </c>
      <c r="H455" s="8"/>
      <c r="I455" s="8"/>
      <c r="J455" s="8"/>
      <c r="K455" s="8"/>
      <c r="L455" s="8"/>
      <c r="M455" s="8"/>
      <c r="N455" s="8"/>
      <c r="O455" s="8"/>
      <c r="P455" s="8"/>
      <c r="Q455" s="8"/>
      <c r="R455" s="8"/>
      <c r="S455" s="8"/>
      <c r="T455" s="8"/>
      <c r="U455" s="8"/>
      <c r="V455" s="8"/>
      <c r="W455" s="8"/>
    </row>
    <row r="456" spans="1:23" ht="15.75" customHeight="1" x14ac:dyDescent="0.25">
      <c r="A456" s="6" t="s">
        <v>224</v>
      </c>
      <c r="B456" s="8" t="str">
        <f ca="1">IFERROR(__xludf.DUMMYFUNCTION("""COMPUTED_VALUE"""),"Star Citizen")</f>
        <v>Star Citizen</v>
      </c>
      <c r="C456" s="8">
        <f ca="1">COUNTIF(A1:A3410, B456)</f>
        <v>1</v>
      </c>
      <c r="E456" s="8"/>
      <c r="F456" s="8" t="s">
        <v>4276</v>
      </c>
      <c r="G456" s="14">
        <v>1</v>
      </c>
      <c r="H456" s="8"/>
      <c r="I456" s="8"/>
      <c r="J456" s="8"/>
      <c r="K456" s="8"/>
      <c r="L456" s="8"/>
      <c r="M456" s="8"/>
      <c r="N456" s="8"/>
      <c r="O456" s="8"/>
      <c r="P456" s="8"/>
      <c r="Q456" s="8"/>
      <c r="R456" s="8"/>
      <c r="S456" s="8"/>
      <c r="T456" s="8"/>
      <c r="U456" s="8"/>
      <c r="V456" s="8"/>
      <c r="W456" s="8"/>
    </row>
    <row r="457" spans="1:23" ht="15.75" customHeight="1" x14ac:dyDescent="0.25">
      <c r="A457" s="6" t="s">
        <v>224</v>
      </c>
      <c r="B457" s="8" t="str">
        <f ca="1">IFERROR(__xludf.DUMMYFUNCTION("""COMPUTED_VALUE"""),"Star Conflict")</f>
        <v>Star Conflict</v>
      </c>
      <c r="C457" s="8">
        <f ca="1">COUNTIF(A1:A3410, B457)</f>
        <v>2</v>
      </c>
      <c r="E457" s="8"/>
      <c r="F457" s="8" t="s">
        <v>4277</v>
      </c>
      <c r="G457" s="14">
        <v>1</v>
      </c>
      <c r="H457" s="8"/>
      <c r="I457" s="8"/>
      <c r="J457" s="8"/>
      <c r="K457" s="8"/>
      <c r="L457" s="8"/>
      <c r="M457" s="8"/>
      <c r="N457" s="8"/>
      <c r="O457" s="8"/>
      <c r="P457" s="8"/>
      <c r="Q457" s="8"/>
      <c r="R457" s="8"/>
      <c r="S457" s="8"/>
      <c r="T457" s="8"/>
      <c r="U457" s="8"/>
      <c r="V457" s="8"/>
      <c r="W457" s="8"/>
    </row>
    <row r="458" spans="1:23" ht="15.75" customHeight="1" x14ac:dyDescent="0.25">
      <c r="A458" s="6" t="s">
        <v>224</v>
      </c>
      <c r="B458" s="8" t="str">
        <f ca="1">IFERROR(__xludf.DUMMYFUNCTION("""COMPUTED_VALUE"""),"Star Trek Adversaries")</f>
        <v>Star Trek Adversaries</v>
      </c>
      <c r="C458" s="8">
        <f ca="1">COUNTIF(A1:A3410, B458)</f>
        <v>1</v>
      </c>
      <c r="E458" s="8"/>
      <c r="F458" s="8" t="s">
        <v>4278</v>
      </c>
      <c r="G458" s="14">
        <v>1</v>
      </c>
      <c r="H458" s="8"/>
      <c r="I458" s="8"/>
      <c r="J458" s="8"/>
      <c r="K458" s="8"/>
      <c r="L458" s="8"/>
      <c r="M458" s="8"/>
      <c r="N458" s="8"/>
      <c r="O458" s="8"/>
      <c r="P458" s="8"/>
      <c r="Q458" s="8"/>
      <c r="R458" s="8"/>
      <c r="S458" s="8"/>
      <c r="T458" s="8"/>
      <c r="U458" s="8"/>
      <c r="V458" s="8"/>
      <c r="W458" s="8"/>
    </row>
    <row r="459" spans="1:23" ht="15.75" customHeight="1" x14ac:dyDescent="0.25">
      <c r="A459" s="6" t="s">
        <v>224</v>
      </c>
      <c r="B459" s="8" t="str">
        <f ca="1">IFERROR(__xludf.DUMMYFUNCTION("""COMPUTED_VALUE"""),"Star Wars")</f>
        <v>Star Wars</v>
      </c>
      <c r="C459" s="8">
        <f ca="1">COUNTIF(A1:A3410, B459)</f>
        <v>8</v>
      </c>
      <c r="E459" s="8"/>
      <c r="F459" s="8" t="s">
        <v>4279</v>
      </c>
      <c r="G459" s="14">
        <v>1</v>
      </c>
      <c r="H459" s="8"/>
      <c r="I459" s="8"/>
      <c r="J459" s="8"/>
      <c r="K459" s="8"/>
      <c r="L459" s="8"/>
      <c r="M459" s="8"/>
      <c r="N459" s="8"/>
      <c r="O459" s="8"/>
      <c r="P459" s="8"/>
      <c r="Q459" s="8"/>
      <c r="R459" s="8"/>
      <c r="S459" s="8"/>
      <c r="T459" s="8"/>
      <c r="U459" s="8"/>
      <c r="V459" s="8"/>
      <c r="W459" s="8"/>
    </row>
    <row r="460" spans="1:23" ht="15.75" customHeight="1" x14ac:dyDescent="0.25">
      <c r="A460" s="6" t="s">
        <v>224</v>
      </c>
      <c r="B460" s="8" t="str">
        <f ca="1">IFERROR(__xludf.DUMMYFUNCTION("""COMPUTED_VALUE"""),"Starbound")</f>
        <v>Starbound</v>
      </c>
      <c r="C460" s="8">
        <f ca="1">COUNTIF(A1:A3410, B460)</f>
        <v>3</v>
      </c>
      <c r="E460" s="8"/>
      <c r="F460" s="8" t="s">
        <v>4280</v>
      </c>
      <c r="G460" s="14">
        <v>1</v>
      </c>
      <c r="H460" s="8"/>
      <c r="I460" s="8"/>
      <c r="J460" s="8"/>
      <c r="K460" s="8"/>
      <c r="L460" s="8"/>
      <c r="M460" s="8"/>
      <c r="N460" s="8"/>
      <c r="O460" s="8"/>
      <c r="P460" s="8"/>
      <c r="Q460" s="8"/>
      <c r="R460" s="8"/>
      <c r="S460" s="8"/>
      <c r="T460" s="8"/>
      <c r="U460" s="8"/>
      <c r="V460" s="8"/>
      <c r="W460" s="8"/>
    </row>
    <row r="461" spans="1:23" ht="15.75" customHeight="1" x14ac:dyDescent="0.25">
      <c r="A461" s="6" t="s">
        <v>224</v>
      </c>
      <c r="B461" s="8" t="str">
        <f ca="1">IFERROR(__xludf.DUMMYFUNCTION("""COMPUTED_VALUE"""),"Starcraft 2")</f>
        <v>Starcraft 2</v>
      </c>
      <c r="C461" s="8">
        <f ca="1">COUNTIF(A1:A3410, B461)</f>
        <v>38</v>
      </c>
      <c r="E461" s="8"/>
      <c r="F461" s="8" t="s">
        <v>4281</v>
      </c>
      <c r="G461" s="14">
        <v>1</v>
      </c>
      <c r="H461" s="8"/>
      <c r="I461" s="8"/>
      <c r="J461" s="8"/>
      <c r="K461" s="8"/>
      <c r="L461" s="8"/>
      <c r="M461" s="8"/>
      <c r="N461" s="8"/>
      <c r="O461" s="8"/>
      <c r="P461" s="8"/>
      <c r="Q461" s="8"/>
      <c r="R461" s="8"/>
      <c r="S461" s="8"/>
      <c r="T461" s="8"/>
      <c r="U461" s="8"/>
      <c r="V461" s="8"/>
      <c r="W461" s="8"/>
    </row>
    <row r="462" spans="1:23" ht="15.75" customHeight="1" x14ac:dyDescent="0.25">
      <c r="A462" s="6" t="s">
        <v>224</v>
      </c>
      <c r="B462" s="8" t="str">
        <f ca="1">IFERROR(__xludf.DUMMYFUNCTION("""COMPUTED_VALUE"""),"Stardew Valley")</f>
        <v>Stardew Valley</v>
      </c>
      <c r="C462" s="8">
        <f ca="1">COUNTIF(A1:A3410, B462)</f>
        <v>14</v>
      </c>
      <c r="E462" s="8"/>
      <c r="F462" s="8" t="s">
        <v>4282</v>
      </c>
      <c r="G462" s="14">
        <v>1</v>
      </c>
      <c r="H462" s="8"/>
      <c r="I462" s="8"/>
      <c r="J462" s="8"/>
      <c r="K462" s="8"/>
      <c r="L462" s="8"/>
      <c r="M462" s="8"/>
      <c r="N462" s="8"/>
      <c r="O462" s="8"/>
      <c r="P462" s="8"/>
      <c r="Q462" s="8"/>
      <c r="R462" s="8"/>
      <c r="S462" s="8"/>
      <c r="T462" s="8"/>
      <c r="U462" s="8"/>
      <c r="V462" s="8"/>
      <c r="W462" s="8"/>
    </row>
    <row r="463" spans="1:23" ht="15.75" customHeight="1" x14ac:dyDescent="0.25">
      <c r="A463" s="6" t="s">
        <v>224</v>
      </c>
      <c r="B463" s="8" t="str">
        <f ca="1">IFERROR(__xludf.DUMMYFUNCTION("""COMPUTED_VALUE"""),"Starsector")</f>
        <v>Starsector</v>
      </c>
      <c r="C463" s="8">
        <f ca="1">COUNTIF(A1:A3410, B463)</f>
        <v>1</v>
      </c>
      <c r="E463" s="8"/>
      <c r="F463" s="8" t="s">
        <v>4283</v>
      </c>
      <c r="G463" s="14">
        <v>1</v>
      </c>
      <c r="H463" s="8"/>
      <c r="I463" s="8"/>
      <c r="J463" s="8"/>
      <c r="K463" s="8"/>
      <c r="L463" s="8"/>
      <c r="M463" s="8"/>
      <c r="N463" s="8"/>
      <c r="O463" s="8"/>
      <c r="P463" s="8"/>
      <c r="Q463" s="8"/>
      <c r="R463" s="8"/>
      <c r="S463" s="8"/>
      <c r="T463" s="8"/>
      <c r="U463" s="8"/>
      <c r="V463" s="8"/>
      <c r="W463" s="8"/>
    </row>
    <row r="464" spans="1:23" ht="15.75" customHeight="1" x14ac:dyDescent="0.25">
      <c r="A464" s="6" t="s">
        <v>224</v>
      </c>
      <c r="B464" s="8" t="str">
        <f ca="1">IFERROR(__xludf.DUMMYFUNCTION("""COMPUTED_VALUE"""),"Steam Games")</f>
        <v>Steam Games</v>
      </c>
      <c r="C464" s="8">
        <f ca="1">COUNTIF(A1:A3410, B464)</f>
        <v>3</v>
      </c>
      <c r="E464" s="8"/>
      <c r="F464" s="8" t="s">
        <v>4284</v>
      </c>
      <c r="G464" s="14">
        <v>1</v>
      </c>
      <c r="H464" s="8"/>
      <c r="I464" s="8"/>
      <c r="J464" s="8"/>
      <c r="K464" s="8"/>
      <c r="L464" s="8"/>
      <c r="M464" s="8"/>
      <c r="N464" s="8"/>
      <c r="O464" s="8"/>
      <c r="P464" s="8"/>
      <c r="Q464" s="8"/>
      <c r="R464" s="8"/>
      <c r="S464" s="8"/>
      <c r="T464" s="8"/>
      <c r="U464" s="8"/>
      <c r="V464" s="8"/>
      <c r="W464" s="8"/>
    </row>
    <row r="465" spans="1:23" ht="15.75" customHeight="1" x14ac:dyDescent="0.25">
      <c r="A465" s="6" t="s">
        <v>224</v>
      </c>
      <c r="B465" s="8" t="str">
        <f ca="1">IFERROR(__xludf.DUMMYFUNCTION("""COMPUTED_VALUE"""),"steambirds alliance")</f>
        <v>steambirds alliance</v>
      </c>
      <c r="C465" s="8">
        <f ca="1">COUNTIF(A1:A3410, B465)</f>
        <v>1</v>
      </c>
      <c r="E465" s="8"/>
      <c r="F465" s="8" t="s">
        <v>4285</v>
      </c>
      <c r="G465" s="14">
        <v>1</v>
      </c>
      <c r="H465" s="8"/>
      <c r="I465" s="8"/>
      <c r="J465" s="8"/>
      <c r="K465" s="8"/>
      <c r="L465" s="8"/>
      <c r="M465" s="8"/>
      <c r="N465" s="8"/>
      <c r="O465" s="8"/>
      <c r="P465" s="8"/>
      <c r="Q465" s="8"/>
      <c r="R465" s="8"/>
      <c r="S465" s="8"/>
      <c r="T465" s="8"/>
      <c r="U465" s="8"/>
      <c r="V465" s="8"/>
      <c r="W465" s="8"/>
    </row>
    <row r="466" spans="1:23" ht="15.75" customHeight="1" x14ac:dyDescent="0.25">
      <c r="A466" s="6" t="s">
        <v>224</v>
      </c>
      <c r="B466" s="8" t="str">
        <f ca="1">IFERROR(__xludf.DUMMYFUNCTION("""COMPUTED_VALUE"""),"Stellaris")</f>
        <v>Stellaris</v>
      </c>
      <c r="C466" s="8">
        <f ca="1">COUNTIF(A1:A3410, B466)</f>
        <v>4</v>
      </c>
      <c r="E466" s="8"/>
      <c r="F466" s="8" t="s">
        <v>4286</v>
      </c>
      <c r="G466" s="14">
        <v>1</v>
      </c>
      <c r="H466" s="8"/>
      <c r="I466" s="8"/>
      <c r="J466" s="8"/>
      <c r="K466" s="8"/>
      <c r="L466" s="8"/>
      <c r="M466" s="8"/>
      <c r="N466" s="8"/>
      <c r="O466" s="8"/>
      <c r="P466" s="8"/>
      <c r="Q466" s="8"/>
      <c r="R466" s="8"/>
      <c r="S466" s="8"/>
      <c r="T466" s="8"/>
      <c r="U466" s="8"/>
      <c r="V466" s="8"/>
      <c r="W466" s="8"/>
    </row>
    <row r="467" spans="1:23" ht="15.75" customHeight="1" x14ac:dyDescent="0.25">
      <c r="A467" s="8" t="s">
        <v>224</v>
      </c>
      <c r="B467" s="8" t="str">
        <f ca="1">IFERROR(__xludf.DUMMYFUNCTION("""COMPUTED_VALUE"""),"Stick Fight")</f>
        <v>Stick Fight</v>
      </c>
      <c r="C467" s="8">
        <f ca="1">COUNTIF(A1:A3410, B467)</f>
        <v>1</v>
      </c>
      <c r="E467" s="8"/>
      <c r="F467" s="8" t="s">
        <v>4287</v>
      </c>
      <c r="G467" s="14">
        <v>1</v>
      </c>
      <c r="H467" s="8"/>
      <c r="I467" s="8"/>
      <c r="J467" s="8"/>
      <c r="K467" s="8"/>
      <c r="L467" s="8"/>
      <c r="M467" s="8"/>
      <c r="N467" s="8"/>
      <c r="O467" s="8"/>
      <c r="P467" s="8"/>
      <c r="Q467" s="8"/>
      <c r="R467" s="8"/>
      <c r="S467" s="8"/>
      <c r="T467" s="8"/>
      <c r="U467" s="8"/>
      <c r="V467" s="8"/>
      <c r="W467" s="8"/>
    </row>
    <row r="468" spans="1:23" ht="15.75" customHeight="1" x14ac:dyDescent="0.25">
      <c r="A468" s="6" t="s">
        <v>224</v>
      </c>
      <c r="B468" s="8" t="str">
        <f ca="1">IFERROR(__xludf.DUMMYFUNCTION("""COMPUTED_VALUE"""),"Stonehearth")</f>
        <v>Stonehearth</v>
      </c>
      <c r="C468" s="8">
        <f ca="1">COUNTIF(A1:A3410, B468)</f>
        <v>1</v>
      </c>
      <c r="E468" s="8"/>
      <c r="F468" s="8" t="s">
        <v>4288</v>
      </c>
      <c r="G468" s="14">
        <v>1</v>
      </c>
      <c r="H468" s="8"/>
      <c r="I468" s="8"/>
      <c r="J468" s="8"/>
      <c r="K468" s="8"/>
      <c r="L468" s="8"/>
      <c r="M468" s="8"/>
      <c r="N468" s="8"/>
      <c r="O468" s="8"/>
      <c r="P468" s="8"/>
      <c r="Q468" s="8"/>
      <c r="R468" s="8"/>
      <c r="S468" s="8"/>
      <c r="T468" s="8"/>
      <c r="U468" s="8"/>
      <c r="V468" s="8"/>
      <c r="W468" s="8"/>
    </row>
    <row r="469" spans="1:23" ht="15.75" customHeight="1" x14ac:dyDescent="0.25">
      <c r="A469" s="6" t="s">
        <v>224</v>
      </c>
      <c r="B469" s="8" t="str">
        <f ca="1">IFERROR(__xludf.DUMMYFUNCTION("""COMPUTED_VALUE"""),"stormbound")</f>
        <v>stormbound</v>
      </c>
      <c r="C469" s="8">
        <f ca="1">COUNTIF(A1:A3410, B469)</f>
        <v>1</v>
      </c>
      <c r="E469" s="8"/>
      <c r="F469" s="8" t="s">
        <v>4289</v>
      </c>
      <c r="G469" s="14">
        <v>1</v>
      </c>
      <c r="H469" s="8"/>
      <c r="I469" s="8"/>
      <c r="J469" s="8"/>
      <c r="K469" s="8"/>
      <c r="L469" s="8"/>
      <c r="M469" s="8"/>
      <c r="N469" s="8"/>
      <c r="O469" s="8"/>
      <c r="P469" s="8"/>
      <c r="Q469" s="8"/>
      <c r="R469" s="8"/>
      <c r="S469" s="8"/>
      <c r="T469" s="8"/>
      <c r="U469" s="8"/>
      <c r="V469" s="8"/>
      <c r="W469" s="8"/>
    </row>
    <row r="470" spans="1:23" ht="15.75" customHeight="1" x14ac:dyDescent="0.25">
      <c r="A470" s="6" t="s">
        <v>224</v>
      </c>
      <c r="B470" s="8" t="str">
        <f ca="1">IFERROR(__xludf.DUMMYFUNCTION("""COMPUTED_VALUE"""),"stormguard")</f>
        <v>stormguard</v>
      </c>
      <c r="C470" s="8">
        <f ca="1">COUNTIF(A1:A3410, B470)</f>
        <v>1</v>
      </c>
      <c r="E470" s="8"/>
      <c r="F470" s="8" t="s">
        <v>4290</v>
      </c>
      <c r="G470" s="14">
        <v>1</v>
      </c>
      <c r="H470" s="8"/>
      <c r="I470" s="8"/>
      <c r="J470" s="8"/>
      <c r="K470" s="8"/>
      <c r="L470" s="8"/>
      <c r="M470" s="8"/>
      <c r="N470" s="8"/>
      <c r="O470" s="8"/>
      <c r="P470" s="8"/>
      <c r="Q470" s="8"/>
      <c r="R470" s="8"/>
      <c r="S470" s="8"/>
      <c r="T470" s="8"/>
      <c r="U470" s="8"/>
      <c r="V470" s="8"/>
      <c r="W470" s="8"/>
    </row>
    <row r="471" spans="1:23" ht="15.75" customHeight="1" x14ac:dyDescent="0.25">
      <c r="A471" s="6" t="s">
        <v>224</v>
      </c>
      <c r="B471" s="8" t="str">
        <f ca="1">IFERROR(__xludf.DUMMYFUNCTION("""COMPUTED_VALUE"""),"Storyline games")</f>
        <v>Storyline games</v>
      </c>
      <c r="C471" s="8">
        <f ca="1">COUNTIF(A1:A3410, B471)</f>
        <v>2</v>
      </c>
      <c r="E471" s="8"/>
      <c r="F471" s="8" t="s">
        <v>4291</v>
      </c>
      <c r="G471" s="14">
        <v>1</v>
      </c>
      <c r="H471" s="8"/>
      <c r="I471" s="8"/>
      <c r="J471" s="8"/>
      <c r="K471" s="8"/>
      <c r="L471" s="8"/>
      <c r="M471" s="8"/>
      <c r="N471" s="8"/>
      <c r="O471" s="8"/>
      <c r="P471" s="8"/>
      <c r="Q471" s="8"/>
      <c r="R471" s="8"/>
      <c r="S471" s="8"/>
      <c r="T471" s="8"/>
      <c r="U471" s="8"/>
      <c r="V471" s="8"/>
      <c r="W471" s="8"/>
    </row>
    <row r="472" spans="1:23" ht="15.75" customHeight="1" x14ac:dyDescent="0.25">
      <c r="A472" s="6" t="s">
        <v>224</v>
      </c>
      <c r="B472" s="8" t="str">
        <f ca="1">IFERROR(__xludf.DUMMYFUNCTION("""COMPUTED_VALUE"""),"Strategy games")</f>
        <v>Strategy games</v>
      </c>
      <c r="C472" s="8">
        <f ca="1">COUNTIF(A1:A3410, B472)</f>
        <v>20</v>
      </c>
      <c r="E472" s="8"/>
      <c r="F472" s="8" t="s">
        <v>4292</v>
      </c>
      <c r="G472" s="14">
        <v>1</v>
      </c>
      <c r="H472" s="8"/>
      <c r="I472" s="8"/>
      <c r="J472" s="8"/>
      <c r="K472" s="8"/>
      <c r="L472" s="8"/>
      <c r="M472" s="8"/>
      <c r="N472" s="8"/>
      <c r="O472" s="8"/>
      <c r="P472" s="8"/>
      <c r="Q472" s="8"/>
      <c r="R472" s="8"/>
      <c r="S472" s="8"/>
      <c r="T472" s="8"/>
      <c r="U472" s="8"/>
      <c r="V472" s="8"/>
      <c r="W472" s="8"/>
    </row>
    <row r="473" spans="1:23" ht="15.75" customHeight="1" x14ac:dyDescent="0.25">
      <c r="A473" s="6" t="s">
        <v>224</v>
      </c>
      <c r="B473" s="8" t="str">
        <f ca="1">IFERROR(__xludf.DUMMYFUNCTION("""COMPUTED_VALUE"""),"Street Fighter")</f>
        <v>Street Fighter</v>
      </c>
      <c r="C473" s="8">
        <f ca="1">COUNTIF(A1:A3410, B473)</f>
        <v>1</v>
      </c>
      <c r="E473" s="8"/>
      <c r="F473" s="8" t="s">
        <v>4293</v>
      </c>
      <c r="G473" s="14">
        <v>1</v>
      </c>
      <c r="H473" s="8"/>
      <c r="I473" s="8"/>
      <c r="J473" s="8"/>
      <c r="K473" s="8"/>
      <c r="L473" s="8"/>
      <c r="M473" s="8"/>
      <c r="N473" s="8"/>
      <c r="O473" s="8"/>
      <c r="P473" s="8"/>
      <c r="Q473" s="8"/>
      <c r="R473" s="8"/>
      <c r="S473" s="8"/>
      <c r="T473" s="8"/>
      <c r="U473" s="8"/>
      <c r="V473" s="8"/>
      <c r="W473" s="8"/>
    </row>
    <row r="474" spans="1:23" ht="15.75" customHeight="1" x14ac:dyDescent="0.25">
      <c r="A474" s="6" t="s">
        <v>224</v>
      </c>
      <c r="B474" s="8" t="str">
        <f ca="1">IFERROR(__xludf.DUMMYFUNCTION("""COMPUTED_VALUE"""),"Streets of Rogue")</f>
        <v>Streets of Rogue</v>
      </c>
      <c r="C474" s="8">
        <f ca="1">COUNTIF(A1:A3410, B474)</f>
        <v>1</v>
      </c>
      <c r="E474" s="8"/>
      <c r="F474" s="8" t="s">
        <v>4294</v>
      </c>
      <c r="G474" s="14">
        <v>1</v>
      </c>
      <c r="H474" s="8"/>
      <c r="I474" s="8"/>
      <c r="J474" s="8"/>
      <c r="K474" s="8"/>
      <c r="L474" s="8"/>
      <c r="M474" s="8"/>
      <c r="N474" s="8"/>
      <c r="O474" s="8"/>
      <c r="P474" s="8"/>
      <c r="Q474" s="8"/>
      <c r="R474" s="8"/>
      <c r="S474" s="8"/>
      <c r="T474" s="8"/>
      <c r="U474" s="8"/>
      <c r="V474" s="8"/>
      <c r="W474" s="8"/>
    </row>
    <row r="475" spans="1:23" ht="15.75" customHeight="1" x14ac:dyDescent="0.25">
      <c r="A475" s="6" t="s">
        <v>224</v>
      </c>
      <c r="B475" s="8" t="str">
        <f ca="1">IFERROR(__xludf.DUMMYFUNCTION("""COMPUTED_VALUE"""),"Stronghold Crusader")</f>
        <v>Stronghold Crusader</v>
      </c>
      <c r="C475" s="8">
        <f ca="1">COUNTIF(A1:A3410, B475)</f>
        <v>2</v>
      </c>
      <c r="E475" s="8"/>
      <c r="F475" s="8" t="s">
        <v>4295</v>
      </c>
      <c r="G475" s="14">
        <v>1</v>
      </c>
      <c r="H475" s="8"/>
      <c r="I475" s="8"/>
      <c r="J475" s="8"/>
      <c r="K475" s="8"/>
      <c r="L475" s="8"/>
      <c r="M475" s="8"/>
      <c r="N475" s="8"/>
      <c r="O475" s="8"/>
      <c r="P475" s="8"/>
      <c r="Q475" s="8"/>
      <c r="R475" s="8"/>
      <c r="S475" s="8"/>
      <c r="T475" s="8"/>
      <c r="U475" s="8"/>
      <c r="V475" s="8"/>
      <c r="W475" s="8"/>
    </row>
    <row r="476" spans="1:23" ht="15.75" customHeight="1" x14ac:dyDescent="0.25">
      <c r="A476" s="6" t="s">
        <v>224</v>
      </c>
      <c r="B476" s="8" t="str">
        <f ca="1">IFERROR(__xludf.DUMMYFUNCTION("""COMPUTED_VALUE"""),"Subnautica")</f>
        <v>Subnautica</v>
      </c>
      <c r="C476" s="8">
        <f ca="1">COUNTIF(A1:A3410, B476)</f>
        <v>2</v>
      </c>
      <c r="E476" s="8"/>
      <c r="F476" s="8" t="s">
        <v>4296</v>
      </c>
      <c r="G476" s="14">
        <v>1</v>
      </c>
      <c r="H476" s="8"/>
      <c r="I476" s="8"/>
      <c r="J476" s="8"/>
      <c r="K476" s="8"/>
      <c r="L476" s="8"/>
      <c r="M476" s="8"/>
      <c r="N476" s="8"/>
      <c r="O476" s="8"/>
      <c r="P476" s="8"/>
      <c r="Q476" s="8"/>
      <c r="R476" s="8"/>
      <c r="S476" s="8"/>
      <c r="T476" s="8"/>
      <c r="U476" s="8"/>
      <c r="V476" s="8"/>
      <c r="W476" s="8"/>
    </row>
    <row r="477" spans="1:23" ht="15.75" customHeight="1" x14ac:dyDescent="0.25">
      <c r="A477" s="6" t="s">
        <v>224</v>
      </c>
      <c r="B477" s="8" t="str">
        <f ca="1">IFERROR(__xludf.DUMMYFUNCTION("""COMPUTED_VALUE"""),"Sudoku")</f>
        <v>Sudoku</v>
      </c>
      <c r="C477" s="8">
        <f ca="1">COUNTIF(A1:A3410, B477)</f>
        <v>1</v>
      </c>
      <c r="E477" s="8"/>
      <c r="F477" s="8" t="s">
        <v>4297</v>
      </c>
      <c r="G477" s="14">
        <v>1</v>
      </c>
      <c r="H477" s="8"/>
      <c r="I477" s="8"/>
      <c r="J477" s="8"/>
      <c r="K477" s="8"/>
      <c r="L477" s="8"/>
      <c r="M477" s="8"/>
      <c r="N477" s="8"/>
      <c r="O477" s="8"/>
      <c r="P477" s="8"/>
      <c r="Q477" s="8"/>
      <c r="R477" s="8"/>
      <c r="S477" s="8"/>
      <c r="T477" s="8"/>
      <c r="U477" s="8"/>
      <c r="V477" s="8"/>
      <c r="W477" s="8"/>
    </row>
    <row r="478" spans="1:23" ht="15.75" customHeight="1" x14ac:dyDescent="0.25">
      <c r="A478" s="6" t="s">
        <v>224</v>
      </c>
      <c r="B478" s="8" t="str">
        <f ca="1">IFERROR(__xludf.DUMMYFUNCTION("""COMPUTED_VALUE"""),"Suikoden")</f>
        <v>Suikoden</v>
      </c>
      <c r="C478" s="8">
        <f ca="1">COUNTIF(A1:A3410, B478)</f>
        <v>1</v>
      </c>
      <c r="E478" s="8"/>
      <c r="F478" s="8" t="s">
        <v>4298</v>
      </c>
      <c r="G478" s="14">
        <v>1</v>
      </c>
      <c r="H478" s="8"/>
      <c r="I478" s="8"/>
      <c r="J478" s="8"/>
      <c r="K478" s="8"/>
      <c r="L478" s="8"/>
      <c r="M478" s="8"/>
      <c r="N478" s="8"/>
      <c r="O478" s="8"/>
      <c r="P478" s="8"/>
      <c r="Q478" s="8"/>
      <c r="R478" s="8"/>
      <c r="S478" s="8"/>
      <c r="T478" s="8"/>
      <c r="U478" s="8"/>
      <c r="V478" s="8"/>
      <c r="W478" s="8"/>
    </row>
    <row r="479" spans="1:23" ht="15.75" customHeight="1" x14ac:dyDescent="0.25">
      <c r="A479" s="6" t="s">
        <v>224</v>
      </c>
      <c r="B479" s="8" t="str">
        <f ca="1">IFERROR(__xludf.DUMMYFUNCTION("""COMPUTED_VALUE"""),"Summoners War")</f>
        <v>Summoners War</v>
      </c>
      <c r="C479" s="8">
        <f ca="1">COUNTIF(A1:A3410, B479)</f>
        <v>3</v>
      </c>
      <c r="E479" s="8"/>
      <c r="F479" s="8" t="s">
        <v>4299</v>
      </c>
      <c r="G479" s="14">
        <v>1</v>
      </c>
      <c r="H479" s="8"/>
      <c r="I479" s="8"/>
      <c r="J479" s="8"/>
      <c r="K479" s="8"/>
      <c r="L479" s="8"/>
      <c r="M479" s="8"/>
      <c r="N479" s="8"/>
      <c r="O479" s="8"/>
      <c r="P479" s="8"/>
      <c r="Q479" s="8"/>
      <c r="R479" s="8"/>
      <c r="S479" s="8"/>
      <c r="T479" s="8"/>
      <c r="U479" s="8"/>
      <c r="V479" s="8"/>
      <c r="W479" s="8"/>
    </row>
    <row r="480" spans="1:23" ht="15.75" customHeight="1" x14ac:dyDescent="0.25">
      <c r="A480" s="6" t="s">
        <v>224</v>
      </c>
      <c r="B480" s="8" t="str">
        <f ca="1">IFERROR(__xludf.DUMMYFUNCTION("""COMPUTED_VALUE"""),"super luckys tales")</f>
        <v>super luckys tales</v>
      </c>
      <c r="C480" s="8">
        <f ca="1">COUNTIF(A1:A3410, B480)</f>
        <v>1</v>
      </c>
      <c r="E480" s="8"/>
      <c r="F480" s="8" t="s">
        <v>4300</v>
      </c>
      <c r="G480" s="14">
        <v>1</v>
      </c>
      <c r="H480" s="8"/>
      <c r="I480" s="8"/>
      <c r="J480" s="8"/>
      <c r="K480" s="8"/>
      <c r="L480" s="8"/>
      <c r="M480" s="8"/>
      <c r="N480" s="8"/>
      <c r="O480" s="8"/>
      <c r="P480" s="8"/>
      <c r="Q480" s="8"/>
      <c r="R480" s="8"/>
      <c r="S480" s="8"/>
      <c r="T480" s="8"/>
      <c r="U480" s="8"/>
      <c r="V480" s="8"/>
      <c r="W480" s="8"/>
    </row>
    <row r="481" spans="1:23" ht="15.75" customHeight="1" x14ac:dyDescent="0.25">
      <c r="A481" s="6" t="s">
        <v>224</v>
      </c>
      <c r="B481" s="8" t="str">
        <f ca="1">IFERROR(__xludf.DUMMYFUNCTION("""COMPUTED_VALUE"""),"Super Smash Bros")</f>
        <v>Super Smash Bros</v>
      </c>
      <c r="C481" s="8">
        <f ca="1">COUNTIF(A1:A3410, B481)</f>
        <v>7</v>
      </c>
      <c r="E481" s="8"/>
      <c r="F481" s="8" t="s">
        <v>4301</v>
      </c>
      <c r="G481" s="14">
        <v>1</v>
      </c>
      <c r="H481" s="8"/>
      <c r="I481" s="8"/>
      <c r="J481" s="8"/>
      <c r="K481" s="8"/>
      <c r="L481" s="8"/>
      <c r="M481" s="8"/>
      <c r="N481" s="8"/>
      <c r="O481" s="8"/>
      <c r="P481" s="8"/>
      <c r="Q481" s="8"/>
      <c r="R481" s="8"/>
      <c r="S481" s="8"/>
      <c r="T481" s="8"/>
      <c r="U481" s="8"/>
      <c r="V481" s="8"/>
      <c r="W481" s="8"/>
    </row>
    <row r="482" spans="1:23" ht="15.75" customHeight="1" x14ac:dyDescent="0.25">
      <c r="A482" s="6" t="s">
        <v>224</v>
      </c>
      <c r="B482" s="8" t="str">
        <f ca="1">IFERROR(__xludf.DUMMYFUNCTION("""COMPUTED_VALUE"""),"Supreme Commander")</f>
        <v>Supreme Commander</v>
      </c>
      <c r="C482" s="8">
        <f ca="1">COUNTIF(A1:A3410, B482)</f>
        <v>3</v>
      </c>
      <c r="E482" s="8"/>
      <c r="F482" s="8" t="s">
        <v>4302</v>
      </c>
      <c r="G482" s="14">
        <v>1</v>
      </c>
      <c r="H482" s="8"/>
      <c r="I482" s="8"/>
      <c r="J482" s="8"/>
      <c r="K482" s="8"/>
      <c r="L482" s="8"/>
      <c r="M482" s="8"/>
      <c r="N482" s="8"/>
      <c r="O482" s="8"/>
      <c r="P482" s="8"/>
      <c r="Q482" s="8"/>
      <c r="R482" s="8"/>
      <c r="S482" s="8"/>
      <c r="T482" s="8"/>
      <c r="U482" s="8"/>
      <c r="V482" s="8"/>
      <c r="W482" s="8"/>
    </row>
    <row r="483" spans="1:23" ht="15.75" customHeight="1" x14ac:dyDescent="0.25">
      <c r="A483" s="8" t="s">
        <v>224</v>
      </c>
      <c r="B483" s="8" t="str">
        <f ca="1">IFERROR(__xludf.DUMMYFUNCTION("""COMPUTED_VALUE"""),"Survival games")</f>
        <v>Survival games</v>
      </c>
      <c r="C483" s="8">
        <f ca="1">COUNTIF(A1:A3410, B483)</f>
        <v>1</v>
      </c>
      <c r="E483" s="8"/>
      <c r="F483" s="8" t="s">
        <v>4303</v>
      </c>
      <c r="G483" s="14">
        <v>1</v>
      </c>
      <c r="H483" s="8"/>
      <c r="I483" s="8"/>
      <c r="J483" s="8"/>
      <c r="K483" s="8"/>
      <c r="L483" s="8"/>
      <c r="M483" s="8"/>
      <c r="N483" s="8"/>
      <c r="O483" s="8"/>
      <c r="P483" s="8"/>
      <c r="Q483" s="8"/>
      <c r="R483" s="8"/>
      <c r="S483" s="8"/>
      <c r="T483" s="8"/>
      <c r="U483" s="8"/>
      <c r="V483" s="8"/>
      <c r="W483" s="8"/>
    </row>
    <row r="484" spans="1:23" ht="15.75" customHeight="1" x14ac:dyDescent="0.25">
      <c r="A484" s="6" t="s">
        <v>224</v>
      </c>
      <c r="B484" s="8" t="str">
        <f ca="1">IFERROR(__xludf.DUMMYFUNCTION("""COMPUTED_VALUE"""),"survive io")</f>
        <v>survive io</v>
      </c>
      <c r="C484" s="8">
        <f ca="1">COUNTIF(A1:A3410, B484)</f>
        <v>1</v>
      </c>
      <c r="E484" s="8"/>
      <c r="F484" s="8" t="s">
        <v>4304</v>
      </c>
      <c r="G484" s="14">
        <v>1</v>
      </c>
      <c r="H484" s="8"/>
      <c r="I484" s="8"/>
      <c r="J484" s="8"/>
      <c r="K484" s="8"/>
      <c r="L484" s="8"/>
      <c r="M484" s="8"/>
      <c r="N484" s="8"/>
      <c r="O484" s="8"/>
      <c r="P484" s="8"/>
      <c r="Q484" s="8"/>
      <c r="R484" s="8"/>
      <c r="S484" s="8"/>
      <c r="T484" s="8"/>
      <c r="U484" s="8"/>
      <c r="V484" s="8"/>
      <c r="W484" s="8"/>
    </row>
    <row r="485" spans="1:23" ht="15.75" customHeight="1" x14ac:dyDescent="0.25">
      <c r="A485" s="6" t="s">
        <v>224</v>
      </c>
      <c r="B485" s="8" t="str">
        <f ca="1">IFERROR(__xludf.DUMMYFUNCTION("""COMPUTED_VALUE"""),"Switch games")</f>
        <v>Switch games</v>
      </c>
      <c r="C485" s="8">
        <f ca="1">COUNTIF(A1:A3410, B485)</f>
        <v>4</v>
      </c>
      <c r="E485" s="8"/>
      <c r="F485" s="8" t="s">
        <v>4305</v>
      </c>
      <c r="G485" s="14">
        <v>1</v>
      </c>
      <c r="H485" s="8"/>
      <c r="I485" s="8"/>
      <c r="J485" s="8"/>
      <c r="K485" s="8"/>
      <c r="L485" s="8"/>
      <c r="M485" s="8"/>
      <c r="N485" s="8"/>
      <c r="O485" s="8"/>
      <c r="P485" s="8"/>
      <c r="Q485" s="8"/>
      <c r="R485" s="8"/>
      <c r="S485" s="8"/>
      <c r="T485" s="8"/>
      <c r="U485" s="8"/>
      <c r="V485" s="8"/>
      <c r="W485" s="8"/>
    </row>
    <row r="486" spans="1:23" ht="15.75" customHeight="1" x14ac:dyDescent="0.25">
      <c r="A486" s="8" t="s">
        <v>224</v>
      </c>
      <c r="B486" s="8" t="str">
        <f ca="1">IFERROR(__xludf.DUMMYFUNCTION("""COMPUTED_VALUE"""),"Tabletop Simulator")</f>
        <v>Tabletop Simulator</v>
      </c>
      <c r="C486" s="8">
        <f ca="1">COUNTIF(A1:A3410, B486)</f>
        <v>5</v>
      </c>
      <c r="E486" s="8"/>
      <c r="F486" s="8" t="s">
        <v>4306</v>
      </c>
      <c r="G486" s="14">
        <v>1</v>
      </c>
      <c r="H486" s="8"/>
      <c r="I486" s="8"/>
      <c r="J486" s="8"/>
      <c r="K486" s="8"/>
      <c r="L486" s="8"/>
      <c r="M486" s="8"/>
      <c r="N486" s="8"/>
      <c r="O486" s="8"/>
      <c r="P486" s="8"/>
      <c r="Q486" s="8"/>
      <c r="R486" s="8"/>
      <c r="S486" s="8"/>
      <c r="T486" s="8"/>
      <c r="U486" s="8"/>
      <c r="V486" s="8"/>
      <c r="W486" s="8"/>
    </row>
    <row r="487" spans="1:23" ht="15.75" customHeight="1" x14ac:dyDescent="0.25">
      <c r="A487" s="6" t="s">
        <v>224</v>
      </c>
      <c r="B487" s="8" t="str">
        <f ca="1">IFERROR(__xludf.DUMMYFUNCTION("""COMPUTED_VALUE"""),"Tales of Berseria")</f>
        <v>Tales of Berseria</v>
      </c>
      <c r="C487" s="8">
        <f ca="1">COUNTIF(A1:A3410, B487)</f>
        <v>3</v>
      </c>
      <c r="E487" s="8"/>
      <c r="F487" s="8" t="s">
        <v>4307</v>
      </c>
      <c r="G487" s="14">
        <v>1</v>
      </c>
      <c r="H487" s="8"/>
      <c r="I487" s="8"/>
      <c r="J487" s="8"/>
      <c r="K487" s="8"/>
      <c r="L487" s="8"/>
      <c r="M487" s="8"/>
      <c r="N487" s="8"/>
      <c r="O487" s="8"/>
      <c r="P487" s="8"/>
      <c r="Q487" s="8"/>
      <c r="R487" s="8"/>
      <c r="S487" s="8"/>
      <c r="T487" s="8"/>
      <c r="U487" s="8"/>
      <c r="V487" s="8"/>
      <c r="W487" s="8"/>
    </row>
    <row r="488" spans="1:23" ht="15.75" customHeight="1" x14ac:dyDescent="0.25">
      <c r="A488" s="6" t="s">
        <v>224</v>
      </c>
      <c r="B488" s="8" t="str">
        <f ca="1">IFERROR(__xludf.DUMMYFUNCTION("""COMPUTED_VALUE"""),"Talos Principle")</f>
        <v>Talos Principle</v>
      </c>
      <c r="C488" s="8">
        <f ca="1">COUNTIF(A1:A3410, B488)</f>
        <v>1</v>
      </c>
      <c r="E488" s="8"/>
      <c r="F488" s="8" t="s">
        <v>4308</v>
      </c>
      <c r="G488" s="14">
        <v>1</v>
      </c>
      <c r="H488" s="8"/>
      <c r="I488" s="8"/>
      <c r="J488" s="8"/>
      <c r="K488" s="8"/>
      <c r="L488" s="8"/>
      <c r="M488" s="8"/>
      <c r="N488" s="8"/>
      <c r="O488" s="8"/>
      <c r="P488" s="8"/>
      <c r="Q488" s="8"/>
      <c r="R488" s="8"/>
      <c r="S488" s="8"/>
      <c r="T488" s="8"/>
      <c r="U488" s="8"/>
      <c r="V488" s="8"/>
      <c r="W488" s="8"/>
    </row>
    <row r="489" spans="1:23" ht="15.75" customHeight="1" x14ac:dyDescent="0.25">
      <c r="A489" s="6" t="s">
        <v>224</v>
      </c>
      <c r="B489" s="8" t="str">
        <f ca="1">IFERROR(__xludf.DUMMYFUNCTION("""COMPUTED_VALUE"""),"TD games")</f>
        <v>TD games</v>
      </c>
      <c r="C489" s="8">
        <f ca="1">COUNTIF(A1:A3410, B489)</f>
        <v>4</v>
      </c>
      <c r="E489" s="8"/>
      <c r="F489" s="8" t="s">
        <v>4309</v>
      </c>
      <c r="G489" s="14">
        <v>1</v>
      </c>
      <c r="H489" s="8"/>
      <c r="I489" s="8"/>
      <c r="J489" s="8"/>
      <c r="K489" s="8"/>
      <c r="L489" s="8"/>
      <c r="M489" s="8"/>
      <c r="N489" s="8"/>
      <c r="O489" s="8"/>
      <c r="P489" s="8"/>
      <c r="Q489" s="8"/>
      <c r="R489" s="8"/>
      <c r="S489" s="8"/>
      <c r="T489" s="8"/>
      <c r="U489" s="8"/>
      <c r="V489" s="8"/>
      <c r="W489" s="8"/>
    </row>
    <row r="490" spans="1:23" ht="15.75" customHeight="1" x14ac:dyDescent="0.25">
      <c r="A490" s="6" t="s">
        <v>224</v>
      </c>
      <c r="B490" s="8" t="str">
        <f ca="1">IFERROR(__xludf.DUMMYFUNCTION("""COMPUTED_VALUE"""),"Team Fortress 2")</f>
        <v>Team Fortress 2</v>
      </c>
      <c r="C490" s="8">
        <f ca="1">COUNTIF(A1:A3410, B490)</f>
        <v>14</v>
      </c>
      <c r="E490" s="8"/>
      <c r="F490" s="8" t="s">
        <v>4310</v>
      </c>
      <c r="G490" s="14">
        <v>1</v>
      </c>
      <c r="H490" s="8"/>
      <c r="I490" s="8"/>
      <c r="J490" s="8"/>
      <c r="K490" s="8"/>
      <c r="L490" s="8"/>
      <c r="M490" s="8"/>
      <c r="N490" s="8"/>
      <c r="O490" s="8"/>
      <c r="P490" s="8"/>
      <c r="Q490" s="8"/>
      <c r="R490" s="8"/>
      <c r="S490" s="8"/>
      <c r="T490" s="8"/>
      <c r="U490" s="8"/>
      <c r="V490" s="8"/>
      <c r="W490" s="8"/>
    </row>
    <row r="491" spans="1:23" ht="15.75" customHeight="1" x14ac:dyDescent="0.25">
      <c r="A491" s="6" t="s">
        <v>224</v>
      </c>
      <c r="B491" s="8" t="str">
        <f ca="1">IFERROR(__xludf.DUMMYFUNCTION("""COMPUTED_VALUE"""),"Tekken")</f>
        <v>Tekken</v>
      </c>
      <c r="C491" s="8">
        <f ca="1">COUNTIF(A1:A3410, B491)</f>
        <v>5</v>
      </c>
      <c r="E491" s="8"/>
      <c r="F491" s="8" t="s">
        <v>4311</v>
      </c>
      <c r="G491" s="14">
        <v>1</v>
      </c>
      <c r="H491" s="8"/>
      <c r="I491" s="8"/>
      <c r="J491" s="8"/>
      <c r="K491" s="8"/>
      <c r="L491" s="8"/>
      <c r="M491" s="8"/>
      <c r="N491" s="8"/>
      <c r="O491" s="8"/>
      <c r="P491" s="8"/>
      <c r="Q491" s="8"/>
      <c r="R491" s="8"/>
      <c r="S491" s="8"/>
      <c r="T491" s="8"/>
      <c r="U491" s="8"/>
      <c r="V491" s="8"/>
      <c r="W491" s="8"/>
    </row>
    <row r="492" spans="1:23" ht="15.75" customHeight="1" x14ac:dyDescent="0.25">
      <c r="A492" s="6" t="s">
        <v>3835</v>
      </c>
      <c r="B492" s="8" t="str">
        <f ca="1">IFERROR(__xludf.DUMMYFUNCTION("""COMPUTED_VALUE"""),"Tera")</f>
        <v>Tera</v>
      </c>
      <c r="C492" s="8">
        <f ca="1">COUNTIF(A1:A3410, B492)</f>
        <v>1</v>
      </c>
      <c r="E492" s="8"/>
      <c r="F492" s="8" t="s">
        <v>4312</v>
      </c>
      <c r="G492" s="14">
        <v>1</v>
      </c>
      <c r="H492" s="8"/>
      <c r="I492" s="8"/>
      <c r="J492" s="8"/>
      <c r="K492" s="8"/>
      <c r="L492" s="8"/>
      <c r="M492" s="8"/>
      <c r="N492" s="8"/>
      <c r="O492" s="8"/>
      <c r="P492" s="8"/>
      <c r="Q492" s="8"/>
      <c r="R492" s="8"/>
      <c r="S492" s="8"/>
      <c r="T492" s="8"/>
      <c r="U492" s="8"/>
      <c r="V492" s="8"/>
      <c r="W492" s="8"/>
    </row>
    <row r="493" spans="1:23" ht="15.75" customHeight="1" x14ac:dyDescent="0.25">
      <c r="A493" s="6" t="s">
        <v>3835</v>
      </c>
      <c r="B493" s="8" t="str">
        <f ca="1">IFERROR(__xludf.DUMMYFUNCTION("""COMPUTED_VALUE"""),"Terraria")</f>
        <v>Terraria</v>
      </c>
      <c r="C493" s="8">
        <f ca="1">COUNTIF(A1:A3410, B493)</f>
        <v>20</v>
      </c>
      <c r="E493" s="8"/>
      <c r="F493" s="8" t="s">
        <v>4313</v>
      </c>
      <c r="G493" s="14">
        <v>1</v>
      </c>
      <c r="H493" s="8"/>
      <c r="I493" s="8"/>
      <c r="J493" s="8"/>
      <c r="K493" s="8"/>
      <c r="L493" s="8"/>
      <c r="M493" s="8"/>
      <c r="N493" s="8"/>
      <c r="O493" s="8"/>
      <c r="P493" s="8"/>
      <c r="Q493" s="8"/>
      <c r="R493" s="8"/>
      <c r="S493" s="8"/>
      <c r="T493" s="8"/>
      <c r="U493" s="8"/>
      <c r="V493" s="8"/>
      <c r="W493" s="8"/>
    </row>
    <row r="494" spans="1:23" ht="15.75" customHeight="1" x14ac:dyDescent="0.25">
      <c r="A494" s="8" t="s">
        <v>4149</v>
      </c>
      <c r="B494" s="8" t="str">
        <f ca="1">IFERROR(__xludf.DUMMYFUNCTION("""COMPUTED_VALUE"""),"TerraTech")</f>
        <v>TerraTech</v>
      </c>
      <c r="C494" s="8">
        <f ca="1">COUNTIF(A1:A3410, B494)</f>
        <v>2</v>
      </c>
      <c r="E494" s="8"/>
      <c r="F494" s="8" t="s">
        <v>4314</v>
      </c>
      <c r="G494" s="14">
        <v>1</v>
      </c>
      <c r="H494" s="8"/>
      <c r="I494" s="8"/>
      <c r="J494" s="8"/>
      <c r="K494" s="8"/>
      <c r="L494" s="8"/>
      <c r="M494" s="8"/>
      <c r="N494" s="8"/>
      <c r="O494" s="8"/>
      <c r="P494" s="8"/>
      <c r="Q494" s="8"/>
      <c r="R494" s="8"/>
      <c r="S494" s="8"/>
      <c r="T494" s="8"/>
      <c r="U494" s="8"/>
      <c r="V494" s="8"/>
      <c r="W494" s="8"/>
    </row>
    <row r="495" spans="1:23" ht="15.75" customHeight="1" x14ac:dyDescent="0.25">
      <c r="A495" s="6" t="s">
        <v>4150</v>
      </c>
      <c r="B495" s="8" t="str">
        <f ca="1">IFERROR(__xludf.DUMMYFUNCTION("""COMPUTED_VALUE"""),"Tetris")</f>
        <v>Tetris</v>
      </c>
      <c r="C495" s="8">
        <f ca="1">COUNTIF(A1:A3410, B495)</f>
        <v>1</v>
      </c>
      <c r="E495" s="8"/>
      <c r="F495" s="8" t="s">
        <v>4315</v>
      </c>
      <c r="G495" s="14">
        <v>1</v>
      </c>
      <c r="H495" s="8"/>
      <c r="I495" s="8"/>
      <c r="J495" s="8"/>
      <c r="K495" s="8"/>
      <c r="L495" s="8"/>
      <c r="M495" s="8"/>
      <c r="N495" s="8"/>
      <c r="O495" s="8"/>
      <c r="P495" s="8"/>
      <c r="Q495" s="8"/>
      <c r="R495" s="8"/>
      <c r="S495" s="8"/>
      <c r="T495" s="8"/>
      <c r="U495" s="8"/>
      <c r="V495" s="8"/>
      <c r="W495" s="8"/>
    </row>
    <row r="496" spans="1:23" ht="15.75" customHeight="1" x14ac:dyDescent="0.25">
      <c r="A496" s="6" t="s">
        <v>4151</v>
      </c>
      <c r="B496" s="8" t="str">
        <f ca="1">IFERROR(__xludf.DUMMYFUNCTION("""COMPUTED_VALUE"""),"The Alchemist Code")</f>
        <v>The Alchemist Code</v>
      </c>
      <c r="C496" s="8">
        <f ca="1">COUNTIF(A1:A3410, B496)</f>
        <v>1</v>
      </c>
      <c r="E496" s="8"/>
      <c r="F496" s="8" t="s">
        <v>4316</v>
      </c>
      <c r="G496" s="14">
        <v>1</v>
      </c>
      <c r="H496" s="8"/>
      <c r="I496" s="8"/>
      <c r="J496" s="8"/>
      <c r="K496" s="8"/>
      <c r="L496" s="8"/>
      <c r="M496" s="8"/>
      <c r="N496" s="8"/>
      <c r="O496" s="8"/>
      <c r="P496" s="8"/>
      <c r="Q496" s="8"/>
      <c r="R496" s="8"/>
      <c r="S496" s="8"/>
      <c r="T496" s="8"/>
      <c r="U496" s="8"/>
      <c r="V496" s="8"/>
      <c r="W496" s="8"/>
    </row>
    <row r="497" spans="1:23" ht="15.75" customHeight="1" x14ac:dyDescent="0.25">
      <c r="A497" s="6" t="s">
        <v>3601</v>
      </c>
      <c r="B497" s="8" t="str">
        <f ca="1">IFERROR(__xludf.DUMMYFUNCTION("""COMPUTED_VALUE"""),"The Division")</f>
        <v>The Division</v>
      </c>
      <c r="C497" s="8">
        <f ca="1">COUNTIF(A1:A3410, B497)</f>
        <v>1</v>
      </c>
      <c r="E497" s="8"/>
      <c r="F497" s="8" t="s">
        <v>4317</v>
      </c>
      <c r="G497" s="14">
        <v>1</v>
      </c>
      <c r="H497" s="8"/>
      <c r="I497" s="8"/>
      <c r="J497" s="8"/>
      <c r="K497" s="8"/>
      <c r="L497" s="8"/>
      <c r="M497" s="8"/>
      <c r="N497" s="8"/>
      <c r="O497" s="8"/>
      <c r="P497" s="8"/>
      <c r="Q497" s="8"/>
      <c r="R497" s="8"/>
      <c r="S497" s="8"/>
      <c r="T497" s="8"/>
      <c r="U497" s="8"/>
      <c r="V497" s="8"/>
      <c r="W497" s="8"/>
    </row>
    <row r="498" spans="1:23" ht="15.75" customHeight="1" x14ac:dyDescent="0.25">
      <c r="A498" s="6" t="s">
        <v>3601</v>
      </c>
      <c r="B498" s="8" t="str">
        <f ca="1">IFERROR(__xludf.DUMMYFUNCTION("""COMPUTED_VALUE"""),"The Elder Scrolls V: Skyrim")</f>
        <v>The Elder Scrolls V: Skyrim</v>
      </c>
      <c r="C498" s="8">
        <f ca="1">COUNTIF(A1:A3410, B498)</f>
        <v>4</v>
      </c>
      <c r="E498" s="8"/>
      <c r="F498" s="8" t="s">
        <v>4318</v>
      </c>
      <c r="G498" s="14">
        <v>1</v>
      </c>
      <c r="H498" s="8"/>
      <c r="I498" s="8"/>
      <c r="J498" s="8"/>
      <c r="K498" s="8"/>
      <c r="L498" s="8"/>
      <c r="M498" s="8"/>
      <c r="N498" s="8"/>
      <c r="O498" s="8"/>
      <c r="P498" s="8"/>
      <c r="Q498" s="8"/>
      <c r="R498" s="8"/>
      <c r="S498" s="8"/>
      <c r="T498" s="8"/>
      <c r="U498" s="8"/>
      <c r="V498" s="8"/>
      <c r="W498" s="8"/>
    </row>
    <row r="499" spans="1:23" ht="15.75" customHeight="1" x14ac:dyDescent="0.25">
      <c r="A499" s="6" t="s">
        <v>3601</v>
      </c>
      <c r="B499" s="8" t="str">
        <f ca="1">IFERROR(__xludf.DUMMYFUNCTION("""COMPUTED_VALUE"""),"The Elder Scrolls: Legends")</f>
        <v>The Elder Scrolls: Legends</v>
      </c>
      <c r="C499" s="8">
        <f ca="1">COUNTIF(A1:A3410, B499)</f>
        <v>12</v>
      </c>
      <c r="E499" s="8"/>
      <c r="F499" s="8" t="s">
        <v>4319</v>
      </c>
      <c r="G499" s="14">
        <v>1</v>
      </c>
      <c r="H499" s="8"/>
      <c r="I499" s="8"/>
      <c r="J499" s="8"/>
      <c r="K499" s="8"/>
      <c r="L499" s="8"/>
      <c r="M499" s="8"/>
      <c r="N499" s="8"/>
      <c r="O499" s="8"/>
      <c r="P499" s="8"/>
      <c r="Q499" s="8"/>
      <c r="R499" s="8"/>
      <c r="S499" s="8"/>
      <c r="T499" s="8"/>
      <c r="U499" s="8"/>
      <c r="V499" s="8"/>
      <c r="W499" s="8"/>
    </row>
    <row r="500" spans="1:23" ht="15.75" customHeight="1" x14ac:dyDescent="0.25">
      <c r="A500" s="8" t="s">
        <v>3601</v>
      </c>
      <c r="B500" s="8" t="str">
        <f ca="1">IFERROR(__xludf.DUMMYFUNCTION("""COMPUTED_VALUE"""),"The Elders Scrolls Online")</f>
        <v>The Elders Scrolls Online</v>
      </c>
      <c r="C500" s="8">
        <f ca="1">COUNTIF(A1:A3410, B500)</f>
        <v>6</v>
      </c>
      <c r="E500" s="8"/>
      <c r="F500" s="8" t="s">
        <v>4320</v>
      </c>
      <c r="G500" s="14">
        <v>1</v>
      </c>
      <c r="H500" s="8"/>
      <c r="I500" s="8"/>
      <c r="J500" s="8"/>
      <c r="K500" s="8"/>
      <c r="L500" s="8"/>
      <c r="M500" s="8"/>
      <c r="N500" s="8"/>
      <c r="O500" s="8"/>
      <c r="P500" s="8"/>
      <c r="Q500" s="8"/>
      <c r="R500" s="8"/>
      <c r="S500" s="8"/>
      <c r="T500" s="8"/>
      <c r="U500" s="8"/>
      <c r="V500" s="8"/>
      <c r="W500" s="8"/>
    </row>
    <row r="501" spans="1:23" ht="15.75" customHeight="1" x14ac:dyDescent="0.25">
      <c r="A501" s="6" t="s">
        <v>1300</v>
      </c>
      <c r="B501" s="8" t="str">
        <f ca="1">IFERROR(__xludf.DUMMYFUNCTION("""COMPUTED_VALUE"""),"The Flame and the Flood")</f>
        <v>The Flame and the Flood</v>
      </c>
      <c r="C501" s="8">
        <f ca="1">COUNTIF(A1:A3410, B501)</f>
        <v>1</v>
      </c>
      <c r="E501" s="8"/>
      <c r="F501" s="8" t="s">
        <v>4321</v>
      </c>
      <c r="G501" s="14">
        <v>1</v>
      </c>
      <c r="H501" s="8"/>
      <c r="I501" s="8"/>
      <c r="J501" s="8"/>
      <c r="K501" s="8"/>
      <c r="L501" s="8"/>
      <c r="M501" s="8"/>
      <c r="N501" s="8"/>
      <c r="O501" s="8"/>
      <c r="P501" s="8"/>
      <c r="Q501" s="8"/>
      <c r="R501" s="8"/>
      <c r="S501" s="8"/>
      <c r="T501" s="8"/>
      <c r="U501" s="8"/>
      <c r="V501" s="8"/>
      <c r="W501" s="8"/>
    </row>
    <row r="502" spans="1:23" ht="15.75" customHeight="1" x14ac:dyDescent="0.25">
      <c r="A502" s="8" t="s">
        <v>1300</v>
      </c>
      <c r="B502" s="8" t="str">
        <f ca="1">IFERROR(__xludf.DUMMYFUNCTION("""COMPUTED_VALUE"""),"The Forest")</f>
        <v>The Forest</v>
      </c>
      <c r="C502" s="8">
        <f ca="1">COUNTIF(A1:A3410, B502)</f>
        <v>2</v>
      </c>
      <c r="E502" s="8"/>
      <c r="F502" s="8" t="s">
        <v>4322</v>
      </c>
      <c r="G502" s="14">
        <v>1</v>
      </c>
      <c r="H502" s="8"/>
      <c r="I502" s="8"/>
      <c r="J502" s="8"/>
      <c r="K502" s="8"/>
      <c r="L502" s="8"/>
      <c r="M502" s="8"/>
      <c r="N502" s="8"/>
      <c r="O502" s="8"/>
      <c r="P502" s="8"/>
      <c r="Q502" s="8"/>
      <c r="R502" s="8"/>
      <c r="S502" s="8"/>
      <c r="T502" s="8"/>
      <c r="U502" s="8"/>
      <c r="V502" s="8"/>
      <c r="W502" s="8"/>
    </row>
    <row r="503" spans="1:23" ht="15.75" customHeight="1" x14ac:dyDescent="0.25">
      <c r="A503" s="6" t="s">
        <v>4152</v>
      </c>
      <c r="B503" s="8" t="str">
        <f ca="1">IFERROR(__xludf.DUMMYFUNCTION("""COMPUTED_VALUE"""),"The Long Dark")</f>
        <v>The Long Dark</v>
      </c>
      <c r="C503" s="8">
        <f ca="1">COUNTIF(A1:A3410, B503)</f>
        <v>1</v>
      </c>
      <c r="E503" s="8"/>
      <c r="F503" s="8" t="s">
        <v>4323</v>
      </c>
      <c r="G503" s="14">
        <v>1</v>
      </c>
      <c r="H503" s="8"/>
      <c r="I503" s="8"/>
      <c r="J503" s="8"/>
      <c r="K503" s="8"/>
      <c r="L503" s="8"/>
      <c r="M503" s="8"/>
      <c r="N503" s="8"/>
      <c r="O503" s="8"/>
      <c r="P503" s="8"/>
      <c r="Q503" s="8"/>
      <c r="R503" s="8"/>
      <c r="S503" s="8"/>
      <c r="T503" s="8"/>
      <c r="U503" s="8"/>
      <c r="V503" s="8"/>
      <c r="W503" s="8"/>
    </row>
    <row r="504" spans="1:23" ht="15.75" customHeight="1" x14ac:dyDescent="0.25">
      <c r="A504" s="6" t="s">
        <v>3248</v>
      </c>
      <c r="B504" s="8" t="str">
        <f ca="1">IFERROR(__xludf.DUMMYFUNCTION("""COMPUTED_VALUE"""),"The Powder Toy")</f>
        <v>The Powder Toy</v>
      </c>
      <c r="C504" s="8">
        <f ca="1">COUNTIF(A1:A3410, B504)</f>
        <v>1</v>
      </c>
      <c r="E504" s="8"/>
      <c r="F504" s="8" t="s">
        <v>4324</v>
      </c>
      <c r="G504" s="14">
        <v>1</v>
      </c>
      <c r="H504" s="8"/>
      <c r="I504" s="8"/>
      <c r="J504" s="8"/>
      <c r="K504" s="8"/>
      <c r="L504" s="8"/>
      <c r="M504" s="8"/>
      <c r="N504" s="8"/>
      <c r="O504" s="8"/>
      <c r="P504" s="8"/>
      <c r="Q504" s="8"/>
      <c r="R504" s="8"/>
      <c r="S504" s="8"/>
      <c r="T504" s="8"/>
      <c r="U504" s="8"/>
      <c r="V504" s="8"/>
      <c r="W504" s="8"/>
    </row>
    <row r="505" spans="1:23" ht="15.75" customHeight="1" x14ac:dyDescent="0.25">
      <c r="A505" s="6" t="s">
        <v>3248</v>
      </c>
      <c r="B505" s="8" t="str">
        <f ca="1">IFERROR(__xludf.DUMMYFUNCTION("""COMPUTED_VALUE"""),"The Settlers")</f>
        <v>The Settlers</v>
      </c>
      <c r="C505" s="8">
        <f ca="1">COUNTIF(A1:A3410, B505)</f>
        <v>1</v>
      </c>
      <c r="E505" s="8"/>
      <c r="F505" s="8" t="s">
        <v>3843</v>
      </c>
      <c r="G505" s="14">
        <v>1</v>
      </c>
      <c r="H505" s="8"/>
      <c r="I505" s="8"/>
      <c r="J505" s="8"/>
      <c r="K505" s="8"/>
      <c r="L505" s="8"/>
      <c r="M505" s="8"/>
      <c r="N505" s="8"/>
      <c r="O505" s="8"/>
      <c r="P505" s="8"/>
      <c r="Q505" s="8"/>
      <c r="R505" s="8"/>
      <c r="S505" s="8"/>
      <c r="T505" s="8"/>
      <c r="U505" s="8"/>
      <c r="V505" s="8"/>
      <c r="W505" s="8"/>
    </row>
    <row r="506" spans="1:23" ht="15.75" customHeight="1" x14ac:dyDescent="0.25">
      <c r="A506" s="6" t="s">
        <v>3248</v>
      </c>
      <c r="B506" s="8" t="str">
        <f ca="1">IFERROR(__xludf.DUMMYFUNCTION("""COMPUTED_VALUE"""),"The Surge")</f>
        <v>The Surge</v>
      </c>
      <c r="C506" s="8">
        <f ca="1">COUNTIF(A1:A3410, B506)</f>
        <v>1</v>
      </c>
      <c r="E506" s="8"/>
      <c r="F506" s="8" t="s">
        <v>4325</v>
      </c>
      <c r="G506" s="14">
        <v>1</v>
      </c>
      <c r="H506" s="8"/>
      <c r="I506" s="8"/>
      <c r="J506" s="8"/>
      <c r="K506" s="8"/>
      <c r="L506" s="8"/>
      <c r="M506" s="8"/>
      <c r="N506" s="8"/>
      <c r="O506" s="8"/>
      <c r="P506" s="8"/>
      <c r="Q506" s="8"/>
      <c r="R506" s="8"/>
      <c r="S506" s="8"/>
      <c r="T506" s="8"/>
      <c r="U506" s="8"/>
      <c r="V506" s="8"/>
      <c r="W506" s="8"/>
    </row>
    <row r="507" spans="1:23" ht="15.75" customHeight="1" x14ac:dyDescent="0.25">
      <c r="A507" s="6" t="s">
        <v>3248</v>
      </c>
      <c r="B507" s="8" t="str">
        <f ca="1">IFERROR(__xludf.DUMMYFUNCTION("""COMPUTED_VALUE"""),"The Ultimatest Battle")</f>
        <v>The Ultimatest Battle</v>
      </c>
      <c r="C507" s="8">
        <f ca="1">COUNTIF(A1:A3410, B507)</f>
        <v>1</v>
      </c>
      <c r="E507" s="8"/>
      <c r="F507" s="8" t="s">
        <v>4326</v>
      </c>
      <c r="G507" s="14">
        <v>1</v>
      </c>
      <c r="H507" s="8"/>
      <c r="I507" s="8"/>
      <c r="J507" s="8"/>
      <c r="K507" s="8"/>
      <c r="L507" s="8"/>
      <c r="M507" s="8"/>
      <c r="N507" s="8"/>
      <c r="O507" s="8"/>
      <c r="P507" s="8"/>
      <c r="Q507" s="8"/>
      <c r="R507" s="8"/>
      <c r="S507" s="8"/>
      <c r="T507" s="8"/>
      <c r="U507" s="8"/>
      <c r="V507" s="8"/>
      <c r="W507" s="8"/>
    </row>
    <row r="508" spans="1:23" ht="15.75" customHeight="1" x14ac:dyDescent="0.25">
      <c r="A508" s="6" t="s">
        <v>3248</v>
      </c>
      <c r="B508" s="8" t="str">
        <f ca="1">IFERROR(__xludf.DUMMYFUNCTION("""COMPUTED_VALUE"""),"The Walking Dead")</f>
        <v>The Walking Dead</v>
      </c>
      <c r="C508" s="8">
        <f ca="1">COUNTIF(A1:A3410, B508)</f>
        <v>3</v>
      </c>
      <c r="E508" s="8"/>
      <c r="F508" s="8" t="s">
        <v>4327</v>
      </c>
      <c r="G508" s="14">
        <v>1</v>
      </c>
      <c r="H508" s="8"/>
      <c r="I508" s="8"/>
      <c r="J508" s="8"/>
      <c r="K508" s="8"/>
      <c r="L508" s="8"/>
      <c r="M508" s="8"/>
      <c r="N508" s="8"/>
      <c r="O508" s="8"/>
      <c r="P508" s="8"/>
      <c r="Q508" s="8"/>
      <c r="R508" s="8"/>
      <c r="S508" s="8"/>
      <c r="T508" s="8"/>
      <c r="U508" s="8"/>
      <c r="V508" s="8"/>
      <c r="W508" s="8"/>
    </row>
    <row r="509" spans="1:23" ht="15.75" customHeight="1" x14ac:dyDescent="0.25">
      <c r="A509" s="6" t="s">
        <v>3248</v>
      </c>
      <c r="B509" s="8" t="str">
        <f ca="1">IFERROR(__xludf.DUMMYFUNCTION("""COMPUTED_VALUE"""),"The Witcher 3")</f>
        <v>The Witcher 3</v>
      </c>
      <c r="C509" s="8">
        <f ca="1">COUNTIF(A1:A3410, B509)</f>
        <v>17</v>
      </c>
      <c r="E509" s="8"/>
      <c r="F509" s="8" t="s">
        <v>4328</v>
      </c>
      <c r="G509" s="14">
        <v>1</v>
      </c>
      <c r="H509" s="8"/>
      <c r="I509" s="8"/>
      <c r="J509" s="8"/>
      <c r="K509" s="8"/>
      <c r="L509" s="8"/>
      <c r="M509" s="8"/>
      <c r="N509" s="8"/>
      <c r="O509" s="8"/>
      <c r="P509" s="8"/>
      <c r="Q509" s="8"/>
      <c r="R509" s="8"/>
      <c r="S509" s="8"/>
      <c r="T509" s="8"/>
      <c r="U509" s="8"/>
      <c r="V509" s="8"/>
      <c r="W509" s="8"/>
    </row>
    <row r="510" spans="1:23" ht="15.75" customHeight="1" x14ac:dyDescent="0.25">
      <c r="A510" s="6" t="s">
        <v>3248</v>
      </c>
      <c r="B510" s="8" t="str">
        <f ca="1">IFERROR(__xludf.DUMMYFUNCTION("""COMPUTED_VALUE"""),"Thea: The Awakening")</f>
        <v>Thea: The Awakening</v>
      </c>
      <c r="C510" s="8">
        <f ca="1">COUNTIF(A1:A3410, B510)</f>
        <v>1</v>
      </c>
      <c r="E510" s="8"/>
      <c r="F510" s="8" t="s">
        <v>4329</v>
      </c>
      <c r="G510" s="14">
        <v>1</v>
      </c>
      <c r="H510" s="8"/>
      <c r="I510" s="8"/>
      <c r="J510" s="8"/>
      <c r="K510" s="8"/>
      <c r="L510" s="8"/>
      <c r="M510" s="8"/>
      <c r="N510" s="8"/>
      <c r="O510" s="8"/>
      <c r="P510" s="8"/>
      <c r="Q510" s="8"/>
      <c r="R510" s="8"/>
      <c r="S510" s="8"/>
      <c r="T510" s="8"/>
      <c r="U510" s="8"/>
      <c r="V510" s="8"/>
      <c r="W510" s="8"/>
    </row>
    <row r="511" spans="1:23" ht="15.75" customHeight="1" x14ac:dyDescent="0.25">
      <c r="A511" s="6" t="s">
        <v>3248</v>
      </c>
      <c r="B511" s="8" t="str">
        <f ca="1">IFERROR(__xludf.DUMMYFUNCTION("""COMPUTED_VALUE"""),"Theme Hospital")</f>
        <v>Theme Hospital</v>
      </c>
      <c r="C511" s="8">
        <f ca="1">COUNTIF(A1:A3410, B511)</f>
        <v>2</v>
      </c>
      <c r="E511" s="8"/>
      <c r="F511" s="8" t="s">
        <v>4330</v>
      </c>
      <c r="G511" s="14">
        <v>1</v>
      </c>
      <c r="H511" s="8"/>
      <c r="I511" s="8"/>
      <c r="J511" s="8"/>
      <c r="K511" s="8"/>
      <c r="L511" s="8"/>
      <c r="M511" s="8"/>
      <c r="N511" s="8"/>
      <c r="O511" s="8"/>
      <c r="P511" s="8"/>
      <c r="Q511" s="8"/>
      <c r="R511" s="8"/>
      <c r="S511" s="8"/>
      <c r="T511" s="8"/>
      <c r="U511" s="8"/>
      <c r="V511" s="8"/>
      <c r="W511" s="8"/>
    </row>
    <row r="512" spans="1:23" ht="15.75" customHeight="1" x14ac:dyDescent="0.25">
      <c r="A512" s="6" t="s">
        <v>3248</v>
      </c>
      <c r="B512" s="8" t="str">
        <f ca="1">IFERROR(__xludf.DUMMYFUNCTION("""COMPUTED_VALUE"""),"They Are Billions")</f>
        <v>They Are Billions</v>
      </c>
      <c r="C512" s="8">
        <f ca="1">COUNTIF(A1:A3410, B512)</f>
        <v>3</v>
      </c>
      <c r="E512" s="8"/>
      <c r="F512" s="8" t="s">
        <v>4331</v>
      </c>
      <c r="G512" s="14">
        <v>1</v>
      </c>
      <c r="H512" s="8"/>
      <c r="I512" s="8"/>
      <c r="J512" s="8"/>
      <c r="K512" s="8"/>
      <c r="L512" s="8"/>
      <c r="M512" s="8"/>
      <c r="N512" s="8"/>
      <c r="O512" s="8"/>
      <c r="P512" s="8"/>
      <c r="Q512" s="8"/>
      <c r="R512" s="8"/>
      <c r="S512" s="8"/>
      <c r="T512" s="8"/>
      <c r="U512" s="8"/>
      <c r="V512" s="8"/>
      <c r="W512" s="8"/>
    </row>
    <row r="513" spans="1:23" ht="15.75" customHeight="1" x14ac:dyDescent="0.25">
      <c r="A513" s="6" t="s">
        <v>3248</v>
      </c>
      <c r="B513" s="8" t="str">
        <f ca="1">IFERROR(__xludf.DUMMYFUNCTION("""COMPUTED_VALUE"""),"Third-Person Shooters")</f>
        <v>Third-Person Shooters</v>
      </c>
      <c r="C513" s="8">
        <f ca="1">COUNTIF(A1:A3410, B513)</f>
        <v>2</v>
      </c>
      <c r="E513" s="8"/>
      <c r="F513" s="8" t="s">
        <v>4332</v>
      </c>
      <c r="G513" s="14">
        <v>1</v>
      </c>
      <c r="H513" s="8"/>
      <c r="I513" s="8"/>
      <c r="J513" s="8"/>
      <c r="K513" s="8"/>
      <c r="L513" s="8"/>
      <c r="M513" s="8"/>
      <c r="N513" s="8"/>
      <c r="O513" s="8"/>
      <c r="P513" s="8"/>
      <c r="Q513" s="8"/>
      <c r="R513" s="8"/>
      <c r="S513" s="8"/>
      <c r="T513" s="8"/>
      <c r="U513" s="8"/>
      <c r="V513" s="8"/>
      <c r="W513" s="8"/>
    </row>
    <row r="514" spans="1:23" ht="15.75" customHeight="1" x14ac:dyDescent="0.25">
      <c r="A514" s="6" t="s">
        <v>3248</v>
      </c>
      <c r="B514" s="8" t="str">
        <f ca="1">IFERROR(__xludf.DUMMYFUNCTION("""COMPUTED_VALUE"""),"This War of Mine")</f>
        <v>This War of Mine</v>
      </c>
      <c r="C514" s="8">
        <f ca="1">COUNTIF(A1:A3410, B514)</f>
        <v>1</v>
      </c>
      <c r="E514" s="8"/>
      <c r="F514" s="8" t="s">
        <v>4333</v>
      </c>
      <c r="G514" s="14">
        <v>1</v>
      </c>
      <c r="H514" s="8"/>
      <c r="I514" s="8"/>
      <c r="J514" s="8"/>
      <c r="K514" s="8"/>
      <c r="L514" s="8"/>
      <c r="M514" s="8"/>
      <c r="N514" s="8"/>
      <c r="O514" s="8"/>
      <c r="P514" s="8"/>
      <c r="Q514" s="8"/>
      <c r="R514" s="8"/>
      <c r="S514" s="8"/>
      <c r="T514" s="8"/>
      <c r="U514" s="8"/>
      <c r="V514" s="8"/>
      <c r="W514" s="8"/>
    </row>
    <row r="515" spans="1:23" ht="15.75" customHeight="1" x14ac:dyDescent="0.25">
      <c r="A515" s="6" t="s">
        <v>3248</v>
      </c>
      <c r="B515" s="8" t="str">
        <f ca="1">IFERROR(__xludf.DUMMYFUNCTION("""COMPUTED_VALUE"""),"Thumper")</f>
        <v>Thumper</v>
      </c>
      <c r="C515" s="8">
        <f ca="1">COUNTIF(A1:A3410, B515)</f>
        <v>1</v>
      </c>
      <c r="E515" s="8"/>
      <c r="F515" s="8" t="s">
        <v>4334</v>
      </c>
      <c r="G515" s="14">
        <v>1</v>
      </c>
      <c r="H515" s="8"/>
      <c r="I515" s="8"/>
      <c r="J515" s="8"/>
      <c r="K515" s="8"/>
      <c r="L515" s="8"/>
      <c r="M515" s="8"/>
      <c r="N515" s="8"/>
      <c r="O515" s="8"/>
      <c r="P515" s="8"/>
      <c r="Q515" s="8"/>
      <c r="R515" s="8"/>
      <c r="S515" s="8"/>
      <c r="T515" s="8"/>
      <c r="U515" s="8"/>
      <c r="V515" s="8"/>
      <c r="W515" s="8"/>
    </row>
    <row r="516" spans="1:23" ht="15.75" customHeight="1" x14ac:dyDescent="0.25">
      <c r="A516" s="8" t="s">
        <v>3248</v>
      </c>
      <c r="B516" s="8" t="str">
        <f ca="1">IFERROR(__xludf.DUMMYFUNCTION("""COMPUTED_VALUE"""),"Tibia")</f>
        <v>Tibia</v>
      </c>
      <c r="C516" s="8">
        <f ca="1">COUNTIF(A1:A3410, B516)</f>
        <v>1</v>
      </c>
      <c r="E516" s="8"/>
      <c r="F516" s="8" t="s">
        <v>4335</v>
      </c>
      <c r="G516" s="14">
        <v>1</v>
      </c>
      <c r="H516" s="8"/>
      <c r="I516" s="8"/>
      <c r="J516" s="8"/>
      <c r="K516" s="8"/>
      <c r="L516" s="8"/>
      <c r="M516" s="8"/>
      <c r="N516" s="8"/>
      <c r="O516" s="8"/>
      <c r="P516" s="8"/>
      <c r="Q516" s="8"/>
      <c r="R516" s="8"/>
      <c r="S516" s="8"/>
      <c r="T516" s="8"/>
      <c r="U516" s="8"/>
      <c r="V516" s="8"/>
      <c r="W516" s="8"/>
    </row>
    <row r="517" spans="1:23" ht="15.75" customHeight="1" x14ac:dyDescent="0.25">
      <c r="A517" s="6" t="s">
        <v>3248</v>
      </c>
      <c r="B517" s="8" t="str">
        <f ca="1">IFERROR(__xludf.DUMMYFUNCTION("""COMPUTED_VALUE"""),"Titan Quest")</f>
        <v>Titan Quest</v>
      </c>
      <c r="C517" s="8">
        <f ca="1">COUNTIF(A1:A3410, B517)</f>
        <v>2</v>
      </c>
      <c r="E517" s="8"/>
      <c r="F517" s="8" t="s">
        <v>4336</v>
      </c>
      <c r="G517" s="14">
        <v>1</v>
      </c>
      <c r="H517" s="8"/>
      <c r="I517" s="8"/>
      <c r="J517" s="8"/>
      <c r="K517" s="8"/>
      <c r="L517" s="8"/>
      <c r="M517" s="8"/>
      <c r="N517" s="8"/>
      <c r="O517" s="8"/>
      <c r="P517" s="8"/>
      <c r="Q517" s="8"/>
      <c r="R517" s="8"/>
      <c r="S517" s="8"/>
      <c r="T517" s="8"/>
      <c r="U517" s="8"/>
      <c r="V517" s="8"/>
      <c r="W517" s="8"/>
    </row>
    <row r="518" spans="1:23" ht="15.75" customHeight="1" x14ac:dyDescent="0.25">
      <c r="A518" s="6" t="s">
        <v>3248</v>
      </c>
      <c r="B518" s="8" t="str">
        <f ca="1">IFERROR(__xludf.DUMMYFUNCTION("""COMPUTED_VALUE"""),"Titanfall 2")</f>
        <v>Titanfall 2</v>
      </c>
      <c r="C518" s="8">
        <f ca="1">COUNTIF(A1:A3410, B518)</f>
        <v>3</v>
      </c>
      <c r="E518" s="8"/>
      <c r="F518" s="8" t="s">
        <v>4337</v>
      </c>
      <c r="G518" s="14">
        <v>1</v>
      </c>
      <c r="H518" s="8"/>
      <c r="I518" s="8"/>
      <c r="J518" s="8"/>
      <c r="K518" s="8"/>
      <c r="L518" s="8"/>
      <c r="M518" s="8"/>
      <c r="N518" s="8"/>
      <c r="O518" s="8"/>
      <c r="P518" s="8"/>
      <c r="Q518" s="8"/>
      <c r="R518" s="8"/>
      <c r="S518" s="8"/>
      <c r="T518" s="8"/>
      <c r="U518" s="8"/>
      <c r="V518" s="8"/>
      <c r="W518" s="8"/>
    </row>
    <row r="519" spans="1:23" ht="15.75" customHeight="1" x14ac:dyDescent="0.25">
      <c r="A519" s="6" t="s">
        <v>3248</v>
      </c>
      <c r="B519" s="8" t="str">
        <f ca="1">IFERROR(__xludf.DUMMYFUNCTION("""COMPUTED_VALUE"""),"Tomb Raider")</f>
        <v>Tomb Raider</v>
      </c>
      <c r="C519" s="8">
        <f ca="1">COUNTIF(A1:A3410, B519)</f>
        <v>2</v>
      </c>
      <c r="E519" s="8"/>
      <c r="F519" s="8" t="s">
        <v>4338</v>
      </c>
      <c r="G519" s="14">
        <v>1</v>
      </c>
      <c r="H519" s="8"/>
      <c r="I519" s="8"/>
      <c r="J519" s="8"/>
      <c r="K519" s="8"/>
      <c r="L519" s="8"/>
      <c r="M519" s="8"/>
      <c r="N519" s="8"/>
      <c r="O519" s="8"/>
      <c r="P519" s="8"/>
      <c r="Q519" s="8"/>
      <c r="R519" s="8"/>
      <c r="S519" s="8"/>
      <c r="T519" s="8"/>
      <c r="U519" s="8"/>
      <c r="V519" s="8"/>
      <c r="W519" s="8"/>
    </row>
    <row r="520" spans="1:23" ht="15.75" customHeight="1" x14ac:dyDescent="0.25">
      <c r="A520" s="6" t="s">
        <v>3248</v>
      </c>
      <c r="B520" s="8" t="str">
        <f ca="1">IFERROR(__xludf.DUMMYFUNCTION("""COMPUTED_VALUE"""),"Toontown Rewritten")</f>
        <v>Toontown Rewritten</v>
      </c>
      <c r="C520" s="8">
        <f ca="1">COUNTIF(A1:A3410, B520)</f>
        <v>1</v>
      </c>
      <c r="E520" s="8"/>
      <c r="F520" s="8" t="s">
        <v>4339</v>
      </c>
      <c r="G520" s="14">
        <v>1</v>
      </c>
      <c r="H520" s="8"/>
      <c r="I520" s="8"/>
      <c r="J520" s="8"/>
      <c r="K520" s="8"/>
      <c r="L520" s="8"/>
      <c r="M520" s="8"/>
      <c r="N520" s="8"/>
      <c r="O520" s="8"/>
      <c r="P520" s="8"/>
      <c r="Q520" s="8"/>
      <c r="R520" s="8"/>
      <c r="S520" s="8"/>
      <c r="T520" s="8"/>
      <c r="U520" s="8"/>
      <c r="V520" s="8"/>
      <c r="W520" s="8"/>
    </row>
    <row r="521" spans="1:23" ht="15.75" customHeight="1" x14ac:dyDescent="0.25">
      <c r="A521" s="6" t="s">
        <v>3248</v>
      </c>
      <c r="B521" s="8" t="str">
        <f ca="1">IFERROR(__xludf.DUMMYFUNCTION("""COMPUTED_VALUE"""),"Tooth and Tail")</f>
        <v>Tooth and Tail</v>
      </c>
      <c r="C521" s="8">
        <f ca="1">COUNTIF(A1:A3410, B521)</f>
        <v>1</v>
      </c>
      <c r="E521" s="8"/>
      <c r="F521" s="8" t="s">
        <v>4340</v>
      </c>
      <c r="G521" s="14">
        <v>1</v>
      </c>
      <c r="H521" s="8"/>
      <c r="I521" s="8"/>
      <c r="J521" s="8"/>
      <c r="K521" s="8"/>
      <c r="L521" s="8"/>
      <c r="M521" s="8"/>
      <c r="N521" s="8"/>
      <c r="O521" s="8"/>
      <c r="P521" s="8"/>
      <c r="Q521" s="8"/>
      <c r="R521" s="8"/>
      <c r="S521" s="8"/>
      <c r="T521" s="8"/>
      <c r="U521" s="8"/>
      <c r="V521" s="8"/>
      <c r="W521" s="8"/>
    </row>
    <row r="522" spans="1:23" ht="15.75" customHeight="1" x14ac:dyDescent="0.25">
      <c r="A522" s="6" t="s">
        <v>3248</v>
      </c>
      <c r="B522" s="8" t="str">
        <f ca="1">IFERROR(__xludf.DUMMYFUNCTION("""COMPUTED_VALUE"""),"Torchlight 2")</f>
        <v>Torchlight 2</v>
      </c>
      <c r="C522" s="8">
        <f ca="1">COUNTIF(A1:A3410, B522)</f>
        <v>4</v>
      </c>
      <c r="E522" s="8"/>
      <c r="F522" s="8" t="s">
        <v>4341</v>
      </c>
      <c r="G522" s="14">
        <v>1</v>
      </c>
      <c r="H522" s="8"/>
      <c r="I522" s="8"/>
      <c r="J522" s="8"/>
      <c r="K522" s="8"/>
      <c r="L522" s="8"/>
      <c r="M522" s="8"/>
      <c r="N522" s="8"/>
      <c r="O522" s="8"/>
      <c r="P522" s="8"/>
      <c r="Q522" s="8"/>
      <c r="R522" s="8"/>
      <c r="S522" s="8"/>
      <c r="T522" s="8"/>
      <c r="U522" s="8"/>
      <c r="V522" s="8"/>
      <c r="W522" s="8"/>
    </row>
    <row r="523" spans="1:23" ht="15.75" customHeight="1" x14ac:dyDescent="0.25">
      <c r="A523" s="6" t="s">
        <v>3248</v>
      </c>
      <c r="B523" s="8" t="str">
        <f ca="1">IFERROR(__xludf.DUMMYFUNCTION("""COMPUTED_VALUE"""),"Total War Warhammer")</f>
        <v>Total War Warhammer</v>
      </c>
      <c r="C523" s="8">
        <f ca="1">COUNTIF(A1:A3410, B523)</f>
        <v>31</v>
      </c>
      <c r="E523" s="8"/>
      <c r="F523" s="8" t="s">
        <v>4342</v>
      </c>
      <c r="G523" s="14">
        <v>1</v>
      </c>
      <c r="H523" s="8"/>
      <c r="I523" s="8"/>
      <c r="J523" s="8"/>
      <c r="K523" s="8"/>
      <c r="L523" s="8"/>
      <c r="M523" s="8"/>
      <c r="N523" s="8"/>
      <c r="O523" s="8"/>
      <c r="P523" s="8"/>
      <c r="Q523" s="8"/>
      <c r="R523" s="8"/>
      <c r="S523" s="8"/>
      <c r="T523" s="8"/>
      <c r="U523" s="8"/>
      <c r="V523" s="8"/>
      <c r="W523" s="8"/>
    </row>
    <row r="524" spans="1:23" ht="15.75" customHeight="1" x14ac:dyDescent="0.25">
      <c r="A524" s="6" t="s">
        <v>3248</v>
      </c>
      <c r="B524" s="8" t="str">
        <f ca="1">IFERROR(__xludf.DUMMYFUNCTION("""COMPUTED_VALUE"""),"Town of Salem")</f>
        <v>Town of Salem</v>
      </c>
      <c r="C524" s="8">
        <f ca="1">COUNTIF(A1:A3410, B524)</f>
        <v>6</v>
      </c>
      <c r="E524" s="8"/>
      <c r="F524" s="8" t="s">
        <v>4343</v>
      </c>
      <c r="G524" s="14">
        <v>1</v>
      </c>
      <c r="H524" s="8"/>
      <c r="I524" s="8"/>
      <c r="J524" s="8"/>
      <c r="K524" s="8"/>
      <c r="L524" s="8"/>
      <c r="M524" s="8"/>
      <c r="N524" s="8"/>
      <c r="O524" s="8"/>
      <c r="P524" s="8"/>
      <c r="Q524" s="8"/>
      <c r="R524" s="8"/>
      <c r="S524" s="8"/>
      <c r="T524" s="8"/>
      <c r="U524" s="8"/>
      <c r="V524" s="8"/>
      <c r="W524" s="8"/>
    </row>
    <row r="525" spans="1:23" ht="15.75" customHeight="1" x14ac:dyDescent="0.25">
      <c r="A525" s="6" t="s">
        <v>3248</v>
      </c>
      <c r="B525" s="8" t="str">
        <f ca="1">IFERROR(__xludf.DUMMYFUNCTION("""COMPUTED_VALUE"""),"Trackmania 2 Stadium")</f>
        <v>Trackmania 2 Stadium</v>
      </c>
      <c r="C525" s="8">
        <f ca="1">COUNTIF(A1:A3410, B525)</f>
        <v>1</v>
      </c>
      <c r="E525" s="8"/>
      <c r="F525" s="8" t="s">
        <v>4344</v>
      </c>
      <c r="G525" s="14">
        <v>1</v>
      </c>
      <c r="H525" s="8"/>
      <c r="I525" s="8"/>
      <c r="J525" s="8"/>
      <c r="K525" s="8"/>
      <c r="L525" s="8"/>
      <c r="M525" s="8"/>
      <c r="N525" s="8"/>
      <c r="O525" s="8"/>
      <c r="P525" s="8"/>
      <c r="Q525" s="8"/>
      <c r="R525" s="8"/>
      <c r="S525" s="8"/>
      <c r="T525" s="8"/>
      <c r="U525" s="8"/>
      <c r="V525" s="8"/>
      <c r="W525" s="8"/>
    </row>
    <row r="526" spans="1:23" ht="15.75" customHeight="1" x14ac:dyDescent="0.25">
      <c r="A526" s="6" t="s">
        <v>3248</v>
      </c>
      <c r="B526" s="8" t="str">
        <f ca="1">IFERROR(__xludf.DUMMYFUNCTION("""COMPUTED_VALUE"""),"Tricky Towers")</f>
        <v>Tricky Towers</v>
      </c>
      <c r="C526" s="8">
        <f ca="1">COUNTIF(A1:A3410, B526)</f>
        <v>1</v>
      </c>
      <c r="E526" s="8"/>
      <c r="F526" s="8" t="s">
        <v>4345</v>
      </c>
      <c r="G526" s="14">
        <v>1</v>
      </c>
      <c r="H526" s="8"/>
      <c r="I526" s="8"/>
      <c r="J526" s="8"/>
      <c r="K526" s="8"/>
      <c r="L526" s="8"/>
      <c r="M526" s="8"/>
      <c r="N526" s="8"/>
      <c r="O526" s="8"/>
      <c r="P526" s="8"/>
      <c r="Q526" s="8"/>
      <c r="R526" s="8"/>
      <c r="S526" s="8"/>
      <c r="T526" s="8"/>
      <c r="U526" s="8"/>
      <c r="V526" s="8"/>
      <c r="W526" s="8"/>
    </row>
    <row r="527" spans="1:23" ht="15.75" customHeight="1" x14ac:dyDescent="0.25">
      <c r="A527" s="6" t="s">
        <v>3248</v>
      </c>
      <c r="B527" s="8" t="str">
        <f ca="1">IFERROR(__xludf.DUMMYFUNCTION("""COMPUTED_VALUE"""),"Trine")</f>
        <v>Trine</v>
      </c>
      <c r="C527" s="8">
        <f ca="1">COUNTIF(A1:A3410, B527)</f>
        <v>1</v>
      </c>
      <c r="E527" s="8"/>
      <c r="F527" s="8" t="s">
        <v>4346</v>
      </c>
      <c r="G527" s="14">
        <v>1</v>
      </c>
      <c r="H527" s="8"/>
      <c r="I527" s="8"/>
      <c r="J527" s="8"/>
      <c r="K527" s="8"/>
      <c r="L527" s="8"/>
      <c r="M527" s="8"/>
      <c r="N527" s="8"/>
      <c r="O527" s="8"/>
      <c r="P527" s="8"/>
      <c r="Q527" s="8"/>
      <c r="R527" s="8"/>
      <c r="S527" s="8"/>
      <c r="T527" s="8"/>
      <c r="U527" s="8"/>
      <c r="V527" s="8"/>
      <c r="W527" s="8"/>
    </row>
    <row r="528" spans="1:23" ht="15.75" customHeight="1" x14ac:dyDescent="0.25">
      <c r="A528" s="6" t="s">
        <v>3248</v>
      </c>
      <c r="B528" s="8" t="str">
        <f ca="1">IFERROR(__xludf.DUMMYFUNCTION("""COMPUTED_VALUE"""),"Turn-based games")</f>
        <v>Turn-based games</v>
      </c>
      <c r="C528" s="8">
        <f ca="1">COUNTIF(A1:A3410, B528)</f>
        <v>1</v>
      </c>
      <c r="E528" s="8"/>
      <c r="F528" s="8" t="s">
        <v>4347</v>
      </c>
      <c r="G528" s="14">
        <v>1</v>
      </c>
      <c r="H528" s="8"/>
      <c r="I528" s="8"/>
      <c r="J528" s="8"/>
      <c r="K528" s="8"/>
      <c r="L528" s="8"/>
      <c r="M528" s="8"/>
      <c r="N528" s="8"/>
      <c r="O528" s="8"/>
      <c r="P528" s="8"/>
      <c r="Q528" s="8"/>
      <c r="R528" s="8"/>
      <c r="S528" s="8"/>
      <c r="T528" s="8"/>
      <c r="U528" s="8"/>
      <c r="V528" s="8"/>
      <c r="W528" s="8"/>
    </row>
    <row r="529" spans="1:23" ht="15.75" customHeight="1" x14ac:dyDescent="0.25">
      <c r="A529" s="6" t="s">
        <v>3248</v>
      </c>
      <c r="B529" s="8" t="str">
        <f ca="1">IFERROR(__xludf.DUMMYFUNCTION("""COMPUTED_VALUE"""),"Tyranny")</f>
        <v>Tyranny</v>
      </c>
      <c r="C529" s="8">
        <f ca="1">COUNTIF(A1:A3410, B529)</f>
        <v>1</v>
      </c>
      <c r="E529" s="8"/>
      <c r="F529" s="8" t="s">
        <v>4348</v>
      </c>
      <c r="G529" s="14">
        <v>1</v>
      </c>
      <c r="H529" s="8"/>
      <c r="I529" s="8"/>
      <c r="J529" s="8"/>
      <c r="K529" s="8"/>
      <c r="L529" s="8"/>
      <c r="M529" s="8"/>
      <c r="N529" s="8"/>
      <c r="O529" s="8"/>
      <c r="P529" s="8"/>
      <c r="Q529" s="8"/>
      <c r="R529" s="8"/>
      <c r="S529" s="8"/>
      <c r="T529" s="8"/>
      <c r="U529" s="8"/>
      <c r="V529" s="8"/>
      <c r="W529" s="8"/>
    </row>
    <row r="530" spans="1:23" ht="15.75" customHeight="1" x14ac:dyDescent="0.25">
      <c r="A530" s="6" t="s">
        <v>3248</v>
      </c>
      <c r="B530" s="8" t="str">
        <f ca="1">IFERROR(__xludf.DUMMYFUNCTION("""COMPUTED_VALUE"""),"Ultimate Chicken Horse")</f>
        <v>Ultimate Chicken Horse</v>
      </c>
      <c r="C530" s="8">
        <f ca="1">COUNTIF(A1:A3410, B530)</f>
        <v>1</v>
      </c>
      <c r="E530" s="8"/>
      <c r="F530" s="8" t="s">
        <v>4349</v>
      </c>
      <c r="G530" s="14">
        <v>1</v>
      </c>
      <c r="H530" s="8"/>
      <c r="I530" s="8"/>
      <c r="J530" s="8"/>
      <c r="K530" s="8"/>
      <c r="L530" s="8"/>
      <c r="M530" s="8"/>
      <c r="N530" s="8"/>
      <c r="O530" s="8"/>
      <c r="P530" s="8"/>
      <c r="Q530" s="8"/>
      <c r="R530" s="8"/>
      <c r="S530" s="8"/>
      <c r="T530" s="8"/>
      <c r="U530" s="8"/>
      <c r="V530" s="8"/>
      <c r="W530" s="8"/>
    </row>
    <row r="531" spans="1:23" ht="15.75" customHeight="1" x14ac:dyDescent="0.25">
      <c r="A531" s="6" t="s">
        <v>3248</v>
      </c>
      <c r="B531" s="8" t="str">
        <f ca="1">IFERROR(__xludf.DUMMYFUNCTION("""COMPUTED_VALUE"""),"Ultra Street Fighter IV")</f>
        <v>Ultra Street Fighter IV</v>
      </c>
      <c r="C531" s="8">
        <f ca="1">COUNTIF(A1:A3410, B531)</f>
        <v>1</v>
      </c>
      <c r="E531" s="8"/>
      <c r="F531" s="8" t="s">
        <v>4350</v>
      </c>
      <c r="G531" s="14">
        <v>1</v>
      </c>
      <c r="H531" s="8"/>
      <c r="I531" s="8"/>
      <c r="J531" s="8"/>
      <c r="K531" s="8"/>
      <c r="L531" s="8"/>
      <c r="M531" s="8"/>
      <c r="N531" s="8"/>
      <c r="O531" s="8"/>
      <c r="P531" s="8"/>
      <c r="Q531" s="8"/>
      <c r="R531" s="8"/>
      <c r="S531" s="8"/>
      <c r="T531" s="8"/>
      <c r="U531" s="8"/>
      <c r="V531" s="8"/>
      <c r="W531" s="8"/>
    </row>
    <row r="532" spans="1:23" ht="15.75" customHeight="1" x14ac:dyDescent="0.25">
      <c r="A532" s="6" t="s">
        <v>3248</v>
      </c>
      <c r="B532" s="8" t="str">
        <f ca="1">IFERROR(__xludf.DUMMYFUNCTION("""COMPUTED_VALUE"""),"Undertale")</f>
        <v>Undertale</v>
      </c>
      <c r="C532" s="8">
        <f ca="1">COUNTIF(A1:A3410, B532)</f>
        <v>4</v>
      </c>
      <c r="E532" s="8"/>
      <c r="F532" s="8" t="s">
        <v>4351</v>
      </c>
      <c r="G532" s="14">
        <v>1</v>
      </c>
      <c r="H532" s="8"/>
      <c r="I532" s="8"/>
      <c r="J532" s="8"/>
      <c r="K532" s="8"/>
      <c r="L532" s="8"/>
      <c r="M532" s="8"/>
      <c r="N532" s="8"/>
      <c r="O532" s="8"/>
      <c r="P532" s="8"/>
      <c r="Q532" s="8"/>
      <c r="R532" s="8"/>
      <c r="S532" s="8"/>
      <c r="T532" s="8"/>
      <c r="U532" s="8"/>
      <c r="V532" s="8"/>
      <c r="W532" s="8"/>
    </row>
    <row r="533" spans="1:23" ht="15.75" customHeight="1" x14ac:dyDescent="0.25">
      <c r="A533" s="6" t="s">
        <v>3407</v>
      </c>
      <c r="B533" s="8" t="str">
        <f ca="1">IFERROR(__xludf.DUMMYFUNCTION("""COMPUTED_VALUE"""),"UNLEASH")</f>
        <v>UNLEASH</v>
      </c>
      <c r="C533" s="8">
        <f ca="1">COUNTIF(A1:A3410, B533)</f>
        <v>1</v>
      </c>
      <c r="E533" s="8"/>
      <c r="F533" s="8" t="s">
        <v>4352</v>
      </c>
      <c r="G533" s="14">
        <v>1</v>
      </c>
      <c r="H533" s="8"/>
      <c r="I533" s="8"/>
      <c r="J533" s="8"/>
      <c r="K533" s="8"/>
      <c r="L533" s="8"/>
      <c r="M533" s="8"/>
      <c r="N533" s="8"/>
      <c r="O533" s="8"/>
      <c r="P533" s="8"/>
      <c r="Q533" s="8"/>
      <c r="R533" s="8"/>
      <c r="S533" s="8"/>
      <c r="T533" s="8"/>
      <c r="U533" s="8"/>
      <c r="V533" s="8"/>
      <c r="W533" s="8"/>
    </row>
    <row r="534" spans="1:23" ht="15.75" customHeight="1" x14ac:dyDescent="0.25">
      <c r="A534" s="8" t="s">
        <v>3407</v>
      </c>
      <c r="B534" s="8" t="str">
        <f ca="1">IFERROR(__xludf.DUMMYFUNCTION("""COMPUTED_VALUE"""),"Unreal Tournament")</f>
        <v>Unreal Tournament</v>
      </c>
      <c r="C534" s="8">
        <f ca="1">COUNTIF(A1:A3410, B534)</f>
        <v>1</v>
      </c>
      <c r="E534" s="8"/>
      <c r="F534" s="8" t="s">
        <v>4353</v>
      </c>
      <c r="G534" s="14">
        <v>1</v>
      </c>
      <c r="H534" s="8"/>
      <c r="I534" s="8"/>
      <c r="J534" s="8"/>
      <c r="K534" s="8"/>
      <c r="L534" s="8"/>
      <c r="M534" s="8"/>
      <c r="N534" s="8"/>
      <c r="O534" s="8"/>
      <c r="P534" s="8"/>
      <c r="Q534" s="8"/>
      <c r="R534" s="8"/>
      <c r="S534" s="8"/>
      <c r="T534" s="8"/>
      <c r="U534" s="8"/>
      <c r="V534" s="8"/>
      <c r="W534" s="8"/>
    </row>
    <row r="535" spans="1:23" ht="15.75" customHeight="1" x14ac:dyDescent="0.25">
      <c r="A535" s="6" t="s">
        <v>3407</v>
      </c>
      <c r="B535" s="8" t="str">
        <f ca="1">IFERROR(__xludf.DUMMYFUNCTION("""COMPUTED_VALUE"""),"Unturned")</f>
        <v>Unturned</v>
      </c>
      <c r="C535" s="8">
        <f ca="1">COUNTIF(A1:A3410, B535)</f>
        <v>1</v>
      </c>
      <c r="E535" s="8"/>
      <c r="F535" s="8" t="s">
        <v>4354</v>
      </c>
      <c r="G535" s="14">
        <v>1</v>
      </c>
      <c r="H535" s="8"/>
      <c r="I535" s="8"/>
      <c r="J535" s="8"/>
      <c r="K535" s="8"/>
      <c r="L535" s="8"/>
      <c r="M535" s="8"/>
      <c r="N535" s="8"/>
      <c r="O535" s="8"/>
      <c r="P535" s="8"/>
      <c r="Q535" s="8"/>
      <c r="R535" s="8"/>
      <c r="S535" s="8"/>
      <c r="T535" s="8"/>
      <c r="U535" s="8"/>
      <c r="V535" s="8"/>
      <c r="W535" s="8"/>
    </row>
    <row r="536" spans="1:23" ht="15.75" customHeight="1" x14ac:dyDescent="0.25">
      <c r="A536" s="6" t="s">
        <v>3407</v>
      </c>
      <c r="B536" s="8" t="str">
        <f ca="1">IFERROR(__xludf.DUMMYFUNCTION("""COMPUTED_VALUE"""),"Vainglory")</f>
        <v>Vainglory</v>
      </c>
      <c r="C536" s="8">
        <f ca="1">COUNTIF(A1:A3410, B536)</f>
        <v>1</v>
      </c>
      <c r="E536" s="8"/>
      <c r="F536" s="8" t="s">
        <v>4355</v>
      </c>
      <c r="G536" s="14">
        <v>1</v>
      </c>
      <c r="H536" s="8"/>
      <c r="I536" s="8"/>
      <c r="J536" s="8"/>
      <c r="K536" s="8"/>
      <c r="L536" s="8"/>
      <c r="M536" s="8"/>
      <c r="N536" s="8"/>
      <c r="O536" s="8"/>
      <c r="P536" s="8"/>
      <c r="Q536" s="8"/>
      <c r="R536" s="8"/>
      <c r="S536" s="8"/>
      <c r="T536" s="8"/>
      <c r="U536" s="8"/>
      <c r="V536" s="8"/>
      <c r="W536" s="8"/>
    </row>
    <row r="537" spans="1:23" ht="15.75" customHeight="1" x14ac:dyDescent="0.25">
      <c r="A537" s="6" t="s">
        <v>3407</v>
      </c>
      <c r="B537" s="8" t="str">
        <f ca="1">IFERROR(__xludf.DUMMYFUNCTION("""COMPUTED_VALUE"""),"Valkyrie Connect")</f>
        <v>Valkyrie Connect</v>
      </c>
      <c r="C537" s="8">
        <f ca="1">COUNTIF(A1:A3410, B537)</f>
        <v>1</v>
      </c>
      <c r="E537" s="8"/>
      <c r="F537" s="8" t="s">
        <v>4356</v>
      </c>
      <c r="G537" s="14">
        <v>1</v>
      </c>
      <c r="H537" s="8"/>
      <c r="I537" s="8"/>
      <c r="J537" s="8"/>
      <c r="K537" s="8"/>
      <c r="L537" s="8"/>
      <c r="M537" s="8"/>
      <c r="N537" s="8"/>
      <c r="O537" s="8"/>
      <c r="P537" s="8"/>
      <c r="Q537" s="8"/>
      <c r="R537" s="8"/>
      <c r="S537" s="8"/>
      <c r="T537" s="8"/>
      <c r="U537" s="8"/>
      <c r="V537" s="8"/>
      <c r="W537" s="8"/>
    </row>
    <row r="538" spans="1:23" ht="15.75" customHeight="1" x14ac:dyDescent="0.25">
      <c r="A538" s="6" t="s">
        <v>3407</v>
      </c>
      <c r="B538" s="8" t="str">
        <f ca="1">IFERROR(__xludf.DUMMYFUNCTION("""COMPUTED_VALUE"""),"Vindictus")</f>
        <v>Vindictus</v>
      </c>
      <c r="C538" s="8">
        <f ca="1">COUNTIF(A1:A3410, B538)</f>
        <v>3</v>
      </c>
      <c r="E538" s="8"/>
      <c r="F538" s="8" t="s">
        <v>4357</v>
      </c>
      <c r="G538" s="14">
        <v>1</v>
      </c>
      <c r="H538" s="8"/>
      <c r="I538" s="8"/>
      <c r="J538" s="8"/>
      <c r="K538" s="8"/>
      <c r="L538" s="8"/>
      <c r="M538" s="8"/>
      <c r="N538" s="8"/>
      <c r="O538" s="8"/>
      <c r="P538" s="8"/>
      <c r="Q538" s="8"/>
      <c r="R538" s="8"/>
      <c r="S538" s="8"/>
      <c r="T538" s="8"/>
      <c r="U538" s="8"/>
      <c r="V538" s="8"/>
      <c r="W538" s="8"/>
    </row>
    <row r="539" spans="1:23" ht="15.75" customHeight="1" x14ac:dyDescent="0.25">
      <c r="A539" s="6" t="s">
        <v>3407</v>
      </c>
      <c r="B539" s="8" t="str">
        <f ca="1">IFERROR(__xludf.DUMMYFUNCTION("""COMPUTED_VALUE"""),"Visual Novel games")</f>
        <v>Visual Novel games</v>
      </c>
      <c r="C539" s="8">
        <f ca="1">COUNTIF(A1:A3410, B539)</f>
        <v>1</v>
      </c>
      <c r="E539" s="8"/>
      <c r="F539" s="8" t="s">
        <v>4358</v>
      </c>
      <c r="G539" s="14">
        <v>1</v>
      </c>
      <c r="H539" s="8"/>
      <c r="I539" s="8"/>
      <c r="J539" s="8"/>
      <c r="K539" s="8"/>
      <c r="L539" s="8"/>
      <c r="M539" s="8"/>
      <c r="N539" s="8"/>
      <c r="O539" s="8"/>
      <c r="P539" s="8"/>
      <c r="Q539" s="8"/>
      <c r="R539" s="8"/>
      <c r="S539" s="8"/>
      <c r="T539" s="8"/>
      <c r="U539" s="8"/>
      <c r="V539" s="8"/>
      <c r="W539" s="8"/>
    </row>
    <row r="540" spans="1:23" ht="15.75" customHeight="1" x14ac:dyDescent="0.25">
      <c r="A540" s="6" t="s">
        <v>3407</v>
      </c>
      <c r="B540" s="8" t="str">
        <f ca="1">IFERROR(__xludf.DUMMYFUNCTION("""COMPUTED_VALUE"""),"VRChat")</f>
        <v>VRChat</v>
      </c>
      <c r="C540" s="8">
        <f ca="1">COUNTIF(A1:A3410, B540)</f>
        <v>1</v>
      </c>
      <c r="E540" s="8"/>
      <c r="F540" s="8" t="s">
        <v>4359</v>
      </c>
      <c r="G540" s="14">
        <v>1</v>
      </c>
      <c r="H540" s="8"/>
      <c r="I540" s="8"/>
      <c r="J540" s="8"/>
      <c r="K540" s="8"/>
      <c r="L540" s="8"/>
      <c r="M540" s="8"/>
      <c r="N540" s="8"/>
      <c r="O540" s="8"/>
      <c r="P540" s="8"/>
      <c r="Q540" s="8"/>
      <c r="R540" s="8"/>
      <c r="S540" s="8"/>
      <c r="T540" s="8"/>
      <c r="U540" s="8"/>
      <c r="V540" s="8"/>
      <c r="W540" s="8"/>
    </row>
    <row r="541" spans="1:23" ht="15.75" customHeight="1" x14ac:dyDescent="0.25">
      <c r="A541" s="6" t="s">
        <v>3407</v>
      </c>
      <c r="B541" s="8" t="str">
        <f ca="1">IFERROR(__xludf.DUMMYFUNCTION("""COMPUTED_VALUE"""),"Wakfu")</f>
        <v>Wakfu</v>
      </c>
      <c r="C541" s="8">
        <f ca="1">COUNTIF(A1:A3410, B541)</f>
        <v>2</v>
      </c>
      <c r="E541" s="8"/>
      <c r="F541" s="8" t="s">
        <v>4360</v>
      </c>
      <c r="G541" s="14">
        <v>1</v>
      </c>
      <c r="H541" s="8"/>
      <c r="I541" s="8"/>
      <c r="J541" s="8"/>
      <c r="K541" s="8"/>
      <c r="L541" s="8"/>
      <c r="M541" s="8"/>
      <c r="N541" s="8"/>
      <c r="O541" s="8"/>
      <c r="P541" s="8"/>
      <c r="Q541" s="8"/>
      <c r="R541" s="8"/>
      <c r="S541" s="8"/>
      <c r="T541" s="8"/>
      <c r="U541" s="8"/>
      <c r="V541" s="8"/>
      <c r="W541" s="8"/>
    </row>
    <row r="542" spans="1:23" ht="15.75" customHeight="1" x14ac:dyDescent="0.25">
      <c r="A542" s="6" t="s">
        <v>4153</v>
      </c>
      <c r="B542" s="8" t="str">
        <f ca="1">IFERROR(__xludf.DUMMYFUNCTION("""COMPUTED_VALUE"""),"War for the Overworld")</f>
        <v>War for the Overworld</v>
      </c>
      <c r="C542" s="8">
        <f ca="1">COUNTIF(A1:A3410, B542)</f>
        <v>1</v>
      </c>
      <c r="E542" s="8"/>
      <c r="F542" s="8" t="s">
        <v>4361</v>
      </c>
      <c r="G542" s="14">
        <v>1</v>
      </c>
      <c r="H542" s="8"/>
      <c r="I542" s="8"/>
      <c r="J542" s="8"/>
      <c r="K542" s="8"/>
      <c r="L542" s="8"/>
      <c r="M542" s="8"/>
      <c r="N542" s="8"/>
      <c r="O542" s="8"/>
      <c r="P542" s="8"/>
      <c r="Q542" s="8"/>
      <c r="R542" s="8"/>
      <c r="S542" s="8"/>
      <c r="T542" s="8"/>
      <c r="U542" s="8"/>
      <c r="V542" s="8"/>
      <c r="W542" s="8"/>
    </row>
    <row r="543" spans="1:23" ht="15.75" customHeight="1" x14ac:dyDescent="0.25">
      <c r="A543" s="6" t="s">
        <v>4154</v>
      </c>
      <c r="B543" s="8" t="str">
        <f ca="1">IFERROR(__xludf.DUMMYFUNCTION("""COMPUTED_VALUE"""),"War Thunder")</f>
        <v>War Thunder</v>
      </c>
      <c r="C543" s="8">
        <f ca="1">COUNTIF(A1:A3410, B543)</f>
        <v>2</v>
      </c>
      <c r="E543" s="8"/>
      <c r="F543" s="8" t="s">
        <v>4362</v>
      </c>
      <c r="G543" s="14">
        <v>1</v>
      </c>
      <c r="H543" s="8"/>
      <c r="I543" s="8"/>
      <c r="J543" s="8"/>
      <c r="K543" s="8"/>
      <c r="L543" s="8"/>
      <c r="M543" s="8"/>
      <c r="N543" s="8"/>
      <c r="O543" s="8"/>
      <c r="P543" s="8"/>
      <c r="Q543" s="8"/>
      <c r="R543" s="8"/>
      <c r="S543" s="8"/>
      <c r="T543" s="8"/>
      <c r="U543" s="8"/>
      <c r="V543" s="8"/>
      <c r="W543" s="8"/>
    </row>
    <row r="544" spans="1:23" ht="15.75" customHeight="1" x14ac:dyDescent="0.25">
      <c r="A544" s="6" t="s">
        <v>4155</v>
      </c>
      <c r="B544" s="8" t="str">
        <f ca="1">IFERROR(__xludf.DUMMYFUNCTION("""COMPUTED_VALUE"""),"warbands bushido")</f>
        <v>warbands bushido</v>
      </c>
      <c r="C544" s="8">
        <f ca="1">COUNTIF(A1:A3410, B544)</f>
        <v>1</v>
      </c>
      <c r="E544" s="8"/>
      <c r="F544" s="8" t="s">
        <v>4363</v>
      </c>
      <c r="G544" s="14">
        <v>1</v>
      </c>
      <c r="H544" s="8"/>
      <c r="I544" s="8"/>
      <c r="J544" s="8"/>
      <c r="K544" s="8"/>
      <c r="L544" s="8"/>
      <c r="M544" s="8"/>
      <c r="N544" s="8"/>
      <c r="O544" s="8"/>
      <c r="P544" s="8"/>
      <c r="Q544" s="8"/>
      <c r="R544" s="8"/>
      <c r="S544" s="8"/>
      <c r="T544" s="8"/>
      <c r="U544" s="8"/>
      <c r="V544" s="8"/>
      <c r="W544" s="8"/>
    </row>
    <row r="545" spans="1:23" ht="15.75" customHeight="1" x14ac:dyDescent="0.25">
      <c r="A545" s="6" t="s">
        <v>3839</v>
      </c>
      <c r="B545" s="8" t="str">
        <f ca="1">IFERROR(__xludf.DUMMYFUNCTION("""COMPUTED_VALUE"""),"Warcraft 3")</f>
        <v>Warcraft 3</v>
      </c>
      <c r="C545" s="8">
        <f ca="1">COUNTIF(A1:A3410, B545)</f>
        <v>17</v>
      </c>
      <c r="E545" s="8"/>
      <c r="F545" s="8" t="s">
        <v>4364</v>
      </c>
      <c r="G545" s="14">
        <v>1</v>
      </c>
      <c r="H545" s="8"/>
      <c r="I545" s="8"/>
      <c r="J545" s="8"/>
      <c r="K545" s="8"/>
      <c r="L545" s="8"/>
      <c r="M545" s="8"/>
      <c r="N545" s="8"/>
      <c r="O545" s="8"/>
      <c r="P545" s="8"/>
      <c r="Q545" s="8"/>
      <c r="R545" s="8"/>
      <c r="S545" s="8"/>
      <c r="T545" s="8"/>
      <c r="U545" s="8"/>
      <c r="V545" s="8"/>
      <c r="W545" s="8"/>
    </row>
    <row r="546" spans="1:23" ht="15.75" customHeight="1" x14ac:dyDescent="0.25">
      <c r="A546" s="6" t="s">
        <v>3839</v>
      </c>
      <c r="B546" s="8" t="str">
        <f ca="1">IFERROR(__xludf.DUMMYFUNCTION("""COMPUTED_VALUE"""),"Warframe")</f>
        <v>Warframe</v>
      </c>
      <c r="C546" s="8">
        <f ca="1">COUNTIF(A1:A3410, B546)</f>
        <v>63</v>
      </c>
      <c r="E546" s="8"/>
      <c r="F546" s="8" t="s">
        <v>4365</v>
      </c>
      <c r="G546" s="14">
        <v>1</v>
      </c>
      <c r="H546" s="8"/>
      <c r="I546" s="8"/>
      <c r="J546" s="8"/>
      <c r="K546" s="8"/>
      <c r="L546" s="8"/>
      <c r="M546" s="8"/>
      <c r="N546" s="8"/>
      <c r="O546" s="8"/>
      <c r="P546" s="8"/>
      <c r="Q546" s="8"/>
      <c r="R546" s="8"/>
      <c r="S546" s="8"/>
      <c r="T546" s="8"/>
      <c r="U546" s="8"/>
      <c r="V546" s="8"/>
      <c r="W546" s="8"/>
    </row>
    <row r="547" spans="1:23" ht="15.75" customHeight="1" x14ac:dyDescent="0.25">
      <c r="A547" s="8" t="s">
        <v>4156</v>
      </c>
      <c r="B547" s="8" t="str">
        <f ca="1">IFERROR(__xludf.DUMMYFUNCTION("""COMPUTED_VALUE"""),"warplanet conquest")</f>
        <v>warplanet conquest</v>
      </c>
      <c r="C547" s="8">
        <f ca="1">COUNTIF(A1:A3410, B547)</f>
        <v>1</v>
      </c>
      <c r="E547" s="8"/>
      <c r="F547" s="8" t="s">
        <v>2251</v>
      </c>
      <c r="G547" s="14">
        <v>1</v>
      </c>
      <c r="H547" s="8"/>
      <c r="I547" s="8"/>
      <c r="J547" s="8"/>
      <c r="K547" s="8"/>
      <c r="L547" s="8"/>
      <c r="M547" s="8"/>
      <c r="N547" s="8"/>
      <c r="O547" s="8"/>
      <c r="P547" s="8"/>
      <c r="Q547" s="8"/>
      <c r="R547" s="8"/>
      <c r="S547" s="8"/>
      <c r="T547" s="8"/>
      <c r="U547" s="8"/>
      <c r="V547" s="8"/>
      <c r="W547" s="8"/>
    </row>
    <row r="548" spans="1:23" ht="15.75" customHeight="1" x14ac:dyDescent="0.25">
      <c r="A548" s="6" t="s">
        <v>4157</v>
      </c>
      <c r="B548" s="8" t="str">
        <f ca="1">IFERROR(__xludf.DUMMYFUNCTION("""COMPUTED_VALUE"""),"Watchdogs")</f>
        <v>Watchdogs</v>
      </c>
      <c r="C548" s="8">
        <f ca="1">COUNTIF(A1:A3410, B548)</f>
        <v>1</v>
      </c>
      <c r="E548" s="8"/>
      <c r="F548" s="8" t="s">
        <v>4366</v>
      </c>
      <c r="G548" s="14">
        <v>1</v>
      </c>
      <c r="H548" s="8"/>
      <c r="I548" s="8"/>
      <c r="J548" s="8"/>
      <c r="K548" s="8"/>
      <c r="L548" s="8"/>
      <c r="M548" s="8"/>
      <c r="N548" s="8"/>
      <c r="O548" s="8"/>
      <c r="P548" s="8"/>
      <c r="Q548" s="8"/>
      <c r="R548" s="8"/>
      <c r="S548" s="8"/>
      <c r="T548" s="8"/>
      <c r="U548" s="8"/>
      <c r="V548" s="8"/>
      <c r="W548" s="8"/>
    </row>
    <row r="549" spans="1:23" ht="15.75" customHeight="1" x14ac:dyDescent="0.25">
      <c r="A549" s="6" t="s">
        <v>3842</v>
      </c>
      <c r="B549" s="8" t="str">
        <f ca="1">IFERROR(__xludf.DUMMYFUNCTION("""COMPUTED_VALUE"""),"West of Loathing")</f>
        <v>West of Loathing</v>
      </c>
      <c r="C549" s="8">
        <f ca="1">COUNTIF(A1:A3410, B549)</f>
        <v>2</v>
      </c>
      <c r="E549" s="8"/>
      <c r="F549" s="8" t="s">
        <v>4367</v>
      </c>
      <c r="G549" s="14">
        <v>1</v>
      </c>
      <c r="H549" s="8"/>
      <c r="I549" s="8"/>
      <c r="J549" s="8"/>
      <c r="K549" s="8"/>
      <c r="L549" s="8"/>
      <c r="M549" s="8"/>
      <c r="N549" s="8"/>
      <c r="O549" s="8"/>
      <c r="P549" s="8"/>
      <c r="Q549" s="8"/>
      <c r="R549" s="8"/>
      <c r="S549" s="8"/>
      <c r="T549" s="8"/>
      <c r="U549" s="8"/>
      <c r="V549" s="8"/>
      <c r="W549" s="8"/>
    </row>
    <row r="550" spans="1:23" ht="15.75" customHeight="1" x14ac:dyDescent="0.25">
      <c r="A550" s="6" t="s">
        <v>3842</v>
      </c>
      <c r="B550" s="8" t="str">
        <f ca="1">IFERROR(__xludf.DUMMYFUNCTION("""COMPUTED_VALUE"""),"Wildstar")</f>
        <v>Wildstar</v>
      </c>
      <c r="C550" s="8">
        <f ca="1">COUNTIF(A1:A3410, B550)</f>
        <v>1</v>
      </c>
      <c r="E550" s="8"/>
      <c r="F550" s="8" t="s">
        <v>4368</v>
      </c>
      <c r="G550" s="14">
        <v>1</v>
      </c>
      <c r="H550" s="8"/>
      <c r="I550" s="8"/>
      <c r="J550" s="8"/>
      <c r="K550" s="8"/>
      <c r="L550" s="8"/>
      <c r="M550" s="8"/>
      <c r="N550" s="8"/>
      <c r="O550" s="8"/>
      <c r="P550" s="8"/>
      <c r="Q550" s="8"/>
      <c r="R550" s="8"/>
      <c r="S550" s="8"/>
      <c r="T550" s="8"/>
      <c r="U550" s="8"/>
      <c r="V550" s="8"/>
      <c r="W550" s="8"/>
    </row>
    <row r="551" spans="1:23" ht="15.75" customHeight="1" x14ac:dyDescent="0.25">
      <c r="A551" s="6" t="s">
        <v>1535</v>
      </c>
      <c r="B551" s="8" t="str">
        <f ca="1">IFERROR(__xludf.DUMMYFUNCTION("""COMPUTED_VALUE"""),"Wizard of Legend")</f>
        <v>Wizard of Legend</v>
      </c>
      <c r="C551" s="8">
        <f ca="1">COUNTIF(A1:A3410, B551)</f>
        <v>3</v>
      </c>
      <c r="E551" s="8"/>
      <c r="F551" s="8" t="s">
        <v>4369</v>
      </c>
      <c r="G551" s="14">
        <v>1</v>
      </c>
      <c r="H551" s="8"/>
      <c r="I551" s="8"/>
      <c r="J551" s="8"/>
      <c r="K551" s="8"/>
      <c r="L551" s="8"/>
      <c r="M551" s="8"/>
      <c r="N551" s="8"/>
      <c r="O551" s="8"/>
      <c r="P551" s="8"/>
      <c r="Q551" s="8"/>
      <c r="R551" s="8"/>
      <c r="S551" s="8"/>
      <c r="T551" s="8"/>
      <c r="U551" s="8"/>
      <c r="V551" s="8"/>
      <c r="W551" s="8"/>
    </row>
    <row r="552" spans="1:23" ht="15.75" customHeight="1" x14ac:dyDescent="0.25">
      <c r="A552" s="6" t="s">
        <v>3321</v>
      </c>
      <c r="B552" s="8" t="str">
        <f ca="1">IFERROR(__xludf.DUMMYFUNCTION("""COMPUTED_VALUE"""),"Wizard101")</f>
        <v>Wizard101</v>
      </c>
      <c r="C552" s="8">
        <f ca="1">COUNTIF(A1:A3410, B552)</f>
        <v>1</v>
      </c>
      <c r="E552" s="8"/>
      <c r="F552" s="8" t="s">
        <v>4370</v>
      </c>
      <c r="G552" s="14">
        <v>1</v>
      </c>
      <c r="H552" s="8"/>
      <c r="I552" s="8"/>
      <c r="J552" s="8"/>
      <c r="K552" s="8"/>
      <c r="L552" s="8"/>
      <c r="M552" s="8"/>
      <c r="N552" s="8"/>
      <c r="O552" s="8"/>
      <c r="P552" s="8"/>
      <c r="Q552" s="8"/>
      <c r="R552" s="8"/>
      <c r="S552" s="8"/>
      <c r="T552" s="8"/>
      <c r="U552" s="8"/>
      <c r="V552" s="8"/>
      <c r="W552" s="8"/>
    </row>
    <row r="553" spans="1:23" ht="15.75" customHeight="1" x14ac:dyDescent="0.25">
      <c r="A553" s="6" t="s">
        <v>3321</v>
      </c>
      <c r="B553" s="8" t="str">
        <f ca="1">IFERROR(__xludf.DUMMYFUNCTION("""COMPUTED_VALUE"""),"World of Tanks")</f>
        <v>World of Tanks</v>
      </c>
      <c r="C553" s="8">
        <f ca="1">COUNTIF(A1:A3410, B553)</f>
        <v>4</v>
      </c>
      <c r="E553" s="8"/>
      <c r="F553" s="8" t="s">
        <v>4371</v>
      </c>
      <c r="G553" s="14">
        <v>1</v>
      </c>
      <c r="H553" s="8"/>
      <c r="I553" s="8"/>
      <c r="J553" s="8"/>
      <c r="K553" s="8"/>
      <c r="L553" s="8"/>
      <c r="M553" s="8"/>
      <c r="N553" s="8"/>
      <c r="O553" s="8"/>
      <c r="P553" s="8"/>
      <c r="Q553" s="8"/>
      <c r="R553" s="8"/>
      <c r="S553" s="8"/>
      <c r="T553" s="8"/>
      <c r="U553" s="8"/>
      <c r="V553" s="8"/>
      <c r="W553" s="8"/>
    </row>
    <row r="554" spans="1:23" ht="15.75" customHeight="1" x14ac:dyDescent="0.25">
      <c r="A554" s="6" t="s">
        <v>3321</v>
      </c>
      <c r="B554" s="8" t="str">
        <f ca="1">IFERROR(__xludf.DUMMYFUNCTION("""COMPUTED_VALUE"""),"World of Warcraft")</f>
        <v>World of Warcraft</v>
      </c>
      <c r="C554" s="8">
        <f ca="1">COUNTIF(A1:A3410, B554)</f>
        <v>72</v>
      </c>
      <c r="E554" s="8"/>
      <c r="F554" s="8" t="s">
        <v>4372</v>
      </c>
      <c r="G554" s="14">
        <v>1</v>
      </c>
      <c r="H554" s="8"/>
      <c r="I554" s="8"/>
      <c r="J554" s="8"/>
      <c r="K554" s="8"/>
      <c r="L554" s="8"/>
      <c r="M554" s="8"/>
      <c r="N554" s="8"/>
      <c r="O554" s="8"/>
      <c r="P554" s="8"/>
      <c r="Q554" s="8"/>
      <c r="R554" s="8"/>
      <c r="S554" s="8"/>
      <c r="T554" s="8"/>
      <c r="U554" s="8"/>
      <c r="V554" s="8"/>
      <c r="W554" s="8"/>
    </row>
    <row r="555" spans="1:23" ht="15.75" customHeight="1" x14ac:dyDescent="0.25">
      <c r="A555" s="6" t="s">
        <v>3321</v>
      </c>
      <c r="B555" s="8" t="str">
        <f ca="1">IFERROR(__xludf.DUMMYFUNCTION("""COMPUTED_VALUE"""),"World of Warships")</f>
        <v>World of Warships</v>
      </c>
      <c r="C555" s="8">
        <f ca="1">COUNTIF(A1:A3410, B555)</f>
        <v>2</v>
      </c>
      <c r="E555" s="8"/>
      <c r="F555" s="8" t="s">
        <v>4373</v>
      </c>
      <c r="G555" s="14">
        <v>1</v>
      </c>
      <c r="H555" s="8"/>
      <c r="I555" s="8"/>
      <c r="J555" s="8"/>
      <c r="K555" s="8"/>
      <c r="L555" s="8"/>
      <c r="M555" s="8"/>
      <c r="N555" s="8"/>
      <c r="O555" s="8"/>
      <c r="P555" s="8"/>
      <c r="Q555" s="8"/>
      <c r="R555" s="8"/>
      <c r="S555" s="8"/>
      <c r="T555" s="8"/>
      <c r="U555" s="8"/>
      <c r="V555" s="8"/>
      <c r="W555" s="8"/>
    </row>
    <row r="556" spans="1:23" ht="15.75" customHeight="1" x14ac:dyDescent="0.25">
      <c r="A556" s="6" t="s">
        <v>3321</v>
      </c>
      <c r="B556" s="8" t="str">
        <f ca="1">IFERROR(__xludf.DUMMYFUNCTION("""COMPUTED_VALUE"""),"Worms W.M.D")</f>
        <v>Worms W.M.D</v>
      </c>
      <c r="C556" s="8">
        <f ca="1">COUNTIF(A1:A3410, B556)</f>
        <v>1</v>
      </c>
      <c r="E556" s="8"/>
      <c r="F556" s="8" t="s">
        <v>4374</v>
      </c>
      <c r="G556" s="14">
        <v>1</v>
      </c>
      <c r="H556" s="8"/>
      <c r="I556" s="8"/>
      <c r="J556" s="8"/>
      <c r="K556" s="8"/>
      <c r="L556" s="8"/>
      <c r="M556" s="8"/>
      <c r="N556" s="8"/>
      <c r="O556" s="8"/>
      <c r="P556" s="8"/>
      <c r="Q556" s="8"/>
      <c r="R556" s="8"/>
      <c r="S556" s="8"/>
      <c r="T556" s="8"/>
      <c r="U556" s="8"/>
      <c r="V556" s="8"/>
      <c r="W556" s="8"/>
    </row>
    <row r="557" spans="1:23" ht="15.75" customHeight="1" x14ac:dyDescent="0.25">
      <c r="A557" s="6" t="s">
        <v>3321</v>
      </c>
      <c r="B557" s="8" t="str">
        <f ca="1">IFERROR(__xludf.DUMMYFUNCTION("""COMPUTED_VALUE"""),"Wreckfest")</f>
        <v>Wreckfest</v>
      </c>
      <c r="C557" s="8">
        <f ca="1">COUNTIF(A1:A3410, B557)</f>
        <v>1</v>
      </c>
      <c r="E557" s="8"/>
      <c r="F557" s="8" t="s">
        <v>937</v>
      </c>
      <c r="G557" s="14">
        <v>1</v>
      </c>
      <c r="H557" s="8"/>
      <c r="I557" s="8"/>
      <c r="J557" s="8"/>
      <c r="K557" s="8"/>
      <c r="L557" s="8"/>
      <c r="M557" s="8"/>
      <c r="N557" s="8"/>
      <c r="O557" s="8"/>
      <c r="P557" s="8"/>
      <c r="Q557" s="8"/>
      <c r="R557" s="8"/>
      <c r="S557" s="8"/>
      <c r="T557" s="8"/>
      <c r="U557" s="8"/>
      <c r="V557" s="8"/>
      <c r="W557" s="8"/>
    </row>
    <row r="558" spans="1:23" ht="15.75" customHeight="1" x14ac:dyDescent="0.25">
      <c r="A558" s="6" t="s">
        <v>3321</v>
      </c>
      <c r="B558" s="8" t="str">
        <f ca="1">IFERROR(__xludf.DUMMYFUNCTION("""COMPUTED_VALUE"""),"Wurm Unlimited")</f>
        <v>Wurm Unlimited</v>
      </c>
      <c r="C558" s="8">
        <f ca="1">COUNTIF(A1:A3410, B558)</f>
        <v>2</v>
      </c>
      <c r="E558" s="8"/>
      <c r="F558" s="8" t="s">
        <v>4375</v>
      </c>
      <c r="G558" s="14">
        <v>1</v>
      </c>
      <c r="H558" s="8"/>
      <c r="I558" s="8"/>
      <c r="J558" s="8"/>
      <c r="K558" s="8"/>
      <c r="L558" s="8"/>
      <c r="M558" s="8"/>
      <c r="N558" s="8"/>
      <c r="O558" s="8"/>
      <c r="P558" s="8"/>
      <c r="Q558" s="8"/>
      <c r="R558" s="8"/>
      <c r="S558" s="8"/>
      <c r="T558" s="8"/>
      <c r="U558" s="8"/>
      <c r="V558" s="8"/>
      <c r="W558" s="8"/>
    </row>
    <row r="559" spans="1:23" ht="15.75" customHeight="1" x14ac:dyDescent="0.25">
      <c r="A559" s="6" t="s">
        <v>3321</v>
      </c>
      <c r="B559" s="8" t="str">
        <f ca="1">IFERROR(__xludf.DUMMYFUNCTION("""COMPUTED_VALUE"""),"WWE")</f>
        <v>WWE</v>
      </c>
      <c r="C559" s="8">
        <f ca="1">COUNTIF(A1:A3410, B559)</f>
        <v>2</v>
      </c>
      <c r="E559" s="8"/>
      <c r="F559" s="8" t="s">
        <v>4376</v>
      </c>
      <c r="G559" s="14">
        <v>1</v>
      </c>
      <c r="H559" s="8"/>
      <c r="I559" s="8"/>
      <c r="J559" s="8"/>
      <c r="K559" s="8"/>
      <c r="L559" s="8"/>
      <c r="M559" s="8"/>
      <c r="N559" s="8"/>
      <c r="O559" s="8"/>
      <c r="P559" s="8"/>
      <c r="Q559" s="8"/>
      <c r="R559" s="8"/>
      <c r="S559" s="8"/>
      <c r="T559" s="8"/>
      <c r="U559" s="8"/>
      <c r="V559" s="8"/>
      <c r="W559" s="8"/>
    </row>
    <row r="560" spans="1:23" ht="15.75" customHeight="1" x14ac:dyDescent="0.25">
      <c r="A560" s="6" t="s">
        <v>3321</v>
      </c>
      <c r="B560" s="8" t="str">
        <f ca="1">IFERROR(__xludf.DUMMYFUNCTION("""COMPUTED_VALUE"""),"X-Wing")</f>
        <v>X-Wing</v>
      </c>
      <c r="C560" s="8">
        <f ca="1">COUNTIF(A1:A3410, B560)</f>
        <v>1</v>
      </c>
      <c r="E560" s="8"/>
      <c r="F560" s="8" t="s">
        <v>4377</v>
      </c>
      <c r="G560" s="14">
        <v>1</v>
      </c>
      <c r="H560" s="8"/>
      <c r="I560" s="8"/>
      <c r="J560" s="8"/>
      <c r="K560" s="8"/>
      <c r="L560" s="8"/>
      <c r="M560" s="8"/>
      <c r="N560" s="8"/>
      <c r="O560" s="8"/>
      <c r="P560" s="8"/>
      <c r="Q560" s="8"/>
      <c r="R560" s="8"/>
      <c r="S560" s="8"/>
      <c r="T560" s="8"/>
      <c r="U560" s="8"/>
      <c r="V560" s="8"/>
      <c r="W560" s="8"/>
    </row>
    <row r="561" spans="1:23" ht="15.75" customHeight="1" x14ac:dyDescent="0.25">
      <c r="A561" s="6" t="s">
        <v>3321</v>
      </c>
      <c r="B561" s="8" t="str">
        <f ca="1">IFERROR(__xludf.DUMMYFUNCTION("""COMPUTED_VALUE"""),"Xbox games")</f>
        <v>Xbox games</v>
      </c>
      <c r="C561" s="8">
        <f ca="1">COUNTIF(A1:A3410, B561)</f>
        <v>1</v>
      </c>
      <c r="E561" s="8"/>
      <c r="F561" s="8" t="s">
        <v>4378</v>
      </c>
      <c r="G561" s="14">
        <v>1</v>
      </c>
      <c r="H561" s="8"/>
      <c r="I561" s="8"/>
      <c r="J561" s="8"/>
      <c r="K561" s="8"/>
      <c r="L561" s="8"/>
      <c r="M561" s="8"/>
      <c r="N561" s="8"/>
      <c r="O561" s="8"/>
      <c r="P561" s="8"/>
      <c r="Q561" s="8"/>
      <c r="R561" s="8"/>
      <c r="S561" s="8"/>
      <c r="T561" s="8"/>
      <c r="U561" s="8"/>
      <c r="V561" s="8"/>
      <c r="W561" s="8"/>
    </row>
    <row r="562" spans="1:23" ht="15.75" customHeight="1" x14ac:dyDescent="0.25">
      <c r="A562" s="6" t="s">
        <v>3321</v>
      </c>
      <c r="B562" s="8" t="str">
        <f ca="1">IFERROR(__xludf.DUMMYFUNCTION("""COMPUTED_VALUE"""),"XCOM 2")</f>
        <v>XCOM 2</v>
      </c>
      <c r="C562" s="8">
        <f ca="1">COUNTIF(A1:A3410, B562)</f>
        <v>8</v>
      </c>
      <c r="E562" s="8"/>
      <c r="F562" s="8" t="s">
        <v>4379</v>
      </c>
      <c r="G562" s="14">
        <v>1</v>
      </c>
      <c r="H562" s="8"/>
      <c r="I562" s="8"/>
      <c r="J562" s="8"/>
      <c r="K562" s="8"/>
      <c r="L562" s="8"/>
      <c r="M562" s="8"/>
      <c r="N562" s="8"/>
      <c r="O562" s="8"/>
      <c r="P562" s="8"/>
      <c r="Q562" s="8"/>
      <c r="R562" s="8"/>
      <c r="S562" s="8"/>
      <c r="T562" s="8"/>
      <c r="U562" s="8"/>
      <c r="V562" s="8"/>
      <c r="W562" s="8"/>
    </row>
    <row r="563" spans="1:23" ht="15.75" customHeight="1" x14ac:dyDescent="0.25">
      <c r="A563" s="6" t="s">
        <v>3321</v>
      </c>
      <c r="B563" s="8" t="str">
        <f ca="1">IFERROR(__xludf.DUMMYFUNCTION("""COMPUTED_VALUE"""),"Yakuza 0")</f>
        <v>Yakuza 0</v>
      </c>
      <c r="C563" s="8">
        <f ca="1">COUNTIF(A1:A3410, B563)</f>
        <v>1</v>
      </c>
      <c r="E563" s="8"/>
      <c r="F563" s="8" t="s">
        <v>4380</v>
      </c>
      <c r="G563" s="14">
        <v>1</v>
      </c>
      <c r="H563" s="8"/>
      <c r="I563" s="8"/>
      <c r="J563" s="8"/>
      <c r="K563" s="8"/>
      <c r="L563" s="8"/>
      <c r="M563" s="8"/>
      <c r="N563" s="8"/>
      <c r="O563" s="8"/>
      <c r="P563" s="8"/>
      <c r="Q563" s="8"/>
      <c r="R563" s="8"/>
      <c r="S563" s="8"/>
      <c r="T563" s="8"/>
      <c r="U563" s="8"/>
      <c r="V563" s="8"/>
      <c r="W563" s="8"/>
    </row>
    <row r="564" spans="1:23" ht="15.75" customHeight="1" x14ac:dyDescent="0.25">
      <c r="A564" s="6" t="s">
        <v>3321</v>
      </c>
      <c r="B564" s="8" t="str">
        <f ca="1">IFERROR(__xludf.DUMMYFUNCTION("""COMPUTED_VALUE"""),"Ylands")</f>
        <v>Ylands</v>
      </c>
      <c r="C564" s="8">
        <f ca="1">COUNTIF(A1:A3410, B564)</f>
        <v>1</v>
      </c>
      <c r="E564" s="8"/>
      <c r="F564" s="8" t="s">
        <v>4381</v>
      </c>
      <c r="G564" s="14">
        <v>1</v>
      </c>
      <c r="H564" s="8"/>
      <c r="I564" s="8"/>
      <c r="J564" s="8"/>
      <c r="K564" s="8"/>
      <c r="L564" s="8"/>
      <c r="M564" s="8"/>
      <c r="N564" s="8"/>
      <c r="O564" s="8"/>
      <c r="P564" s="8"/>
      <c r="Q564" s="8"/>
      <c r="R564" s="8"/>
      <c r="S564" s="8"/>
      <c r="T564" s="8"/>
      <c r="U564" s="8"/>
      <c r="V564" s="8"/>
      <c r="W564" s="8"/>
    </row>
    <row r="565" spans="1:23" ht="15.75" customHeight="1" x14ac:dyDescent="0.25">
      <c r="A565" s="6" t="s">
        <v>3321</v>
      </c>
      <c r="B565" s="8" t="str">
        <f ca="1">IFERROR(__xludf.DUMMYFUNCTION("""COMPUTED_VALUE"""),"Yu-Gi-Oh! DUEL LINKS")</f>
        <v>Yu-Gi-Oh! DUEL LINKS</v>
      </c>
      <c r="C565" s="8">
        <f ca="1">COUNTIF(A1:A3410, B565)</f>
        <v>8</v>
      </c>
      <c r="E565" s="8"/>
      <c r="F565" s="8" t="s">
        <v>4382</v>
      </c>
      <c r="G565" s="14">
        <v>1</v>
      </c>
      <c r="H565" s="8"/>
      <c r="I565" s="8"/>
      <c r="J565" s="8"/>
      <c r="K565" s="8"/>
      <c r="L565" s="8"/>
      <c r="M565" s="8"/>
      <c r="N565" s="8"/>
      <c r="O565" s="8"/>
      <c r="P565" s="8"/>
      <c r="Q565" s="8"/>
      <c r="R565" s="8"/>
      <c r="S565" s="8"/>
      <c r="T565" s="8"/>
      <c r="U565" s="8"/>
      <c r="V565" s="8"/>
      <c r="W565" s="8"/>
    </row>
    <row r="566" spans="1:23" ht="15.75" customHeight="1" x14ac:dyDescent="0.25">
      <c r="A566" s="6" t="s">
        <v>1115</v>
      </c>
      <c r="B566" s="8" t="str">
        <f ca="1">IFERROR(__xludf.DUMMYFUNCTION("""COMPUTED_VALUE"""),"zero escape")</f>
        <v>zero escape</v>
      </c>
      <c r="C566" s="8">
        <f ca="1">COUNTIF(A1:A3410, B566)</f>
        <v>1</v>
      </c>
      <c r="E566" s="8"/>
      <c r="F566" s="8" t="s">
        <v>4383</v>
      </c>
      <c r="G566" s="14">
        <v>1</v>
      </c>
      <c r="H566" s="8"/>
      <c r="I566" s="8"/>
      <c r="J566" s="8"/>
      <c r="K566" s="8"/>
      <c r="L566" s="8"/>
      <c r="M566" s="8"/>
      <c r="N566" s="8"/>
      <c r="O566" s="8"/>
      <c r="P566" s="8"/>
      <c r="Q566" s="8"/>
      <c r="R566" s="8"/>
      <c r="S566" s="8"/>
      <c r="T566" s="8"/>
      <c r="U566" s="8"/>
      <c r="V566" s="8"/>
      <c r="W566" s="8"/>
    </row>
    <row r="567" spans="1:23" ht="15.75" customHeight="1" x14ac:dyDescent="0.25">
      <c r="A567" s="6" t="s">
        <v>1115</v>
      </c>
      <c r="B567" s="8"/>
      <c r="C567" s="8"/>
      <c r="D567" s="8"/>
      <c r="E567" s="8"/>
      <c r="F567" s="8"/>
      <c r="G567" s="8"/>
      <c r="H567" s="8"/>
      <c r="I567" s="8"/>
      <c r="J567" s="8"/>
      <c r="K567" s="8"/>
      <c r="L567" s="8"/>
      <c r="M567" s="8"/>
      <c r="N567" s="8"/>
      <c r="O567" s="8"/>
      <c r="P567" s="8"/>
      <c r="Q567" s="8"/>
      <c r="R567" s="8"/>
      <c r="S567" s="8"/>
      <c r="T567" s="8"/>
      <c r="U567" s="8"/>
      <c r="V567" s="8"/>
      <c r="W567" s="8"/>
    </row>
    <row r="568" spans="1:23" ht="15.75" customHeight="1" x14ac:dyDescent="0.25">
      <c r="A568" s="6" t="s">
        <v>1115</v>
      </c>
      <c r="B568" s="8"/>
      <c r="C568" s="8"/>
      <c r="D568" s="8"/>
      <c r="E568" s="8"/>
      <c r="F568" s="8"/>
      <c r="G568" s="8"/>
      <c r="H568" s="8"/>
      <c r="I568" s="8"/>
      <c r="J568" s="8"/>
      <c r="K568" s="8"/>
      <c r="L568" s="8"/>
      <c r="M568" s="8"/>
      <c r="N568" s="8"/>
      <c r="O568" s="8"/>
      <c r="P568" s="8"/>
      <c r="Q568" s="8"/>
      <c r="R568" s="8"/>
      <c r="S568" s="8"/>
      <c r="T568" s="8"/>
      <c r="U568" s="8"/>
      <c r="V568" s="8"/>
      <c r="W568" s="8"/>
    </row>
    <row r="569" spans="1:23" ht="15.75" customHeight="1" x14ac:dyDescent="0.25">
      <c r="A569" s="6" t="s">
        <v>1115</v>
      </c>
      <c r="B569" s="8"/>
      <c r="C569" s="8"/>
      <c r="D569" s="8"/>
      <c r="E569" s="8"/>
      <c r="F569" s="8"/>
      <c r="G569" s="8"/>
      <c r="H569" s="8"/>
      <c r="I569" s="8"/>
      <c r="J569" s="8"/>
      <c r="K569" s="8"/>
      <c r="L569" s="8"/>
      <c r="M569" s="8"/>
      <c r="N569" s="8"/>
      <c r="O569" s="8"/>
      <c r="P569" s="8"/>
      <c r="Q569" s="8"/>
      <c r="R569" s="8"/>
      <c r="S569" s="8"/>
      <c r="T569" s="8"/>
      <c r="U569" s="8"/>
      <c r="V569" s="8"/>
      <c r="W569" s="8"/>
    </row>
    <row r="570" spans="1:23" ht="15.75" customHeight="1" x14ac:dyDescent="0.25">
      <c r="A570" s="6" t="s">
        <v>1115</v>
      </c>
      <c r="B570" s="8"/>
      <c r="C570" s="8"/>
      <c r="D570" s="8"/>
      <c r="E570" s="8"/>
      <c r="F570" s="8"/>
      <c r="G570" s="8"/>
      <c r="H570" s="8"/>
      <c r="I570" s="8"/>
      <c r="J570" s="8"/>
      <c r="K570" s="8"/>
      <c r="L570" s="8"/>
      <c r="M570" s="8"/>
      <c r="N570" s="8"/>
      <c r="O570" s="8"/>
      <c r="P570" s="8"/>
      <c r="Q570" s="8"/>
      <c r="R570" s="8"/>
      <c r="S570" s="8"/>
      <c r="T570" s="8"/>
      <c r="U570" s="8"/>
      <c r="V570" s="8"/>
      <c r="W570" s="8"/>
    </row>
    <row r="571" spans="1:23" ht="15.75" customHeight="1" x14ac:dyDescent="0.25">
      <c r="A571" s="6" t="s">
        <v>4158</v>
      </c>
      <c r="B571" s="8"/>
      <c r="C571" s="8"/>
      <c r="D571" s="8"/>
      <c r="E571" s="8"/>
      <c r="F571" s="8"/>
      <c r="G571" s="8"/>
      <c r="H571" s="8"/>
      <c r="I571" s="8"/>
      <c r="J571" s="8"/>
      <c r="K571" s="8"/>
      <c r="L571" s="8"/>
      <c r="M571" s="8"/>
      <c r="N571" s="8"/>
      <c r="O571" s="8"/>
      <c r="P571" s="8"/>
      <c r="Q571" s="8"/>
      <c r="R571" s="8"/>
      <c r="S571" s="8"/>
      <c r="T571" s="8"/>
      <c r="U571" s="8"/>
      <c r="V571" s="8"/>
      <c r="W571" s="8"/>
    </row>
    <row r="572" spans="1:23" ht="15.75" customHeight="1" x14ac:dyDescent="0.25">
      <c r="A572" s="6" t="s">
        <v>4159</v>
      </c>
      <c r="B572" s="8"/>
      <c r="C572" s="8"/>
      <c r="D572" s="8"/>
      <c r="E572" s="8"/>
      <c r="F572" s="8"/>
      <c r="G572" s="8"/>
      <c r="H572" s="8"/>
      <c r="I572" s="8"/>
      <c r="J572" s="8"/>
      <c r="K572" s="8"/>
      <c r="L572" s="8"/>
      <c r="M572" s="8"/>
      <c r="N572" s="8"/>
      <c r="O572" s="8"/>
      <c r="P572" s="8"/>
      <c r="Q572" s="8"/>
      <c r="R572" s="8"/>
      <c r="S572" s="8"/>
      <c r="T572" s="8"/>
      <c r="U572" s="8"/>
      <c r="V572" s="8"/>
      <c r="W572" s="8"/>
    </row>
    <row r="573" spans="1:23" ht="15.75" customHeight="1" x14ac:dyDescent="0.25">
      <c r="A573" s="6" t="s">
        <v>4160</v>
      </c>
      <c r="B573" s="8"/>
      <c r="C573" s="8"/>
      <c r="D573" s="8"/>
      <c r="E573" s="8"/>
      <c r="F573" s="8"/>
      <c r="G573" s="8"/>
      <c r="H573" s="8"/>
      <c r="I573" s="8"/>
      <c r="J573" s="8"/>
      <c r="K573" s="8"/>
      <c r="L573" s="8"/>
      <c r="M573" s="8"/>
      <c r="N573" s="8"/>
      <c r="O573" s="8"/>
      <c r="P573" s="8"/>
      <c r="Q573" s="8"/>
      <c r="R573" s="8"/>
      <c r="S573" s="8"/>
      <c r="T573" s="8"/>
      <c r="U573" s="8"/>
      <c r="V573" s="8"/>
      <c r="W573" s="8"/>
    </row>
    <row r="574" spans="1:23" ht="15.75" customHeight="1" x14ac:dyDescent="0.25">
      <c r="A574" s="6" t="s">
        <v>3844</v>
      </c>
      <c r="B574" s="8"/>
      <c r="C574" s="8"/>
      <c r="D574" s="8"/>
      <c r="E574" s="8"/>
      <c r="F574" s="8"/>
      <c r="G574" s="8"/>
      <c r="H574" s="8"/>
      <c r="I574" s="8"/>
      <c r="J574" s="8"/>
      <c r="K574" s="8"/>
      <c r="L574" s="8"/>
      <c r="M574" s="8"/>
      <c r="N574" s="8"/>
      <c r="O574" s="8"/>
      <c r="P574" s="8"/>
      <c r="Q574" s="8"/>
      <c r="R574" s="8"/>
      <c r="S574" s="8"/>
      <c r="T574" s="8"/>
      <c r="U574" s="8"/>
      <c r="V574" s="8"/>
      <c r="W574" s="8"/>
    </row>
    <row r="575" spans="1:23" ht="15.75" customHeight="1" x14ac:dyDescent="0.25">
      <c r="A575" s="6" t="s">
        <v>3844</v>
      </c>
      <c r="B575" s="8"/>
      <c r="C575" s="8"/>
      <c r="D575" s="8"/>
      <c r="E575" s="8"/>
      <c r="F575" s="8"/>
      <c r="G575" s="8"/>
      <c r="H575" s="8"/>
      <c r="I575" s="8"/>
      <c r="J575" s="8"/>
      <c r="K575" s="8"/>
      <c r="L575" s="8"/>
      <c r="M575" s="8"/>
      <c r="N575" s="8"/>
      <c r="O575" s="8"/>
      <c r="P575" s="8"/>
      <c r="Q575" s="8"/>
      <c r="R575" s="8"/>
      <c r="S575" s="8"/>
      <c r="T575" s="8"/>
      <c r="U575" s="8"/>
      <c r="V575" s="8"/>
      <c r="W575" s="8"/>
    </row>
    <row r="576" spans="1:23" ht="15.75" customHeight="1" x14ac:dyDescent="0.25">
      <c r="A576" s="6" t="s">
        <v>4161</v>
      </c>
      <c r="B576" s="8"/>
      <c r="C576" s="8"/>
      <c r="D576" s="8"/>
      <c r="E576" s="8"/>
      <c r="F576" s="8"/>
      <c r="G576" s="8"/>
      <c r="H576" s="8"/>
      <c r="I576" s="8"/>
      <c r="J576" s="8"/>
      <c r="K576" s="8"/>
      <c r="L576" s="8"/>
      <c r="M576" s="8"/>
      <c r="N576" s="8"/>
      <c r="O576" s="8"/>
      <c r="P576" s="8"/>
      <c r="Q576" s="8"/>
      <c r="R576" s="8"/>
      <c r="S576" s="8"/>
      <c r="T576" s="8"/>
      <c r="U576" s="8"/>
      <c r="V576" s="8"/>
      <c r="W576" s="8"/>
    </row>
    <row r="577" spans="1:23" ht="15.75" customHeight="1" x14ac:dyDescent="0.25">
      <c r="A577" s="6" t="s">
        <v>3221</v>
      </c>
      <c r="B577" s="8"/>
      <c r="C577" s="8"/>
      <c r="D577" s="8"/>
      <c r="E577" s="8"/>
      <c r="F577" s="8"/>
      <c r="G577" s="8"/>
      <c r="H577" s="8"/>
      <c r="I577" s="8"/>
      <c r="J577" s="8"/>
      <c r="K577" s="8"/>
      <c r="L577" s="8"/>
      <c r="M577" s="8"/>
      <c r="N577" s="8"/>
      <c r="O577" s="8"/>
      <c r="P577" s="8"/>
      <c r="Q577" s="8"/>
      <c r="R577" s="8"/>
      <c r="S577" s="8"/>
      <c r="T577" s="8"/>
      <c r="U577" s="8"/>
      <c r="V577" s="8"/>
      <c r="W577" s="8"/>
    </row>
    <row r="578" spans="1:23" ht="15.75" customHeight="1" x14ac:dyDescent="0.25">
      <c r="A578" s="6" t="s">
        <v>3221</v>
      </c>
      <c r="B578" s="8"/>
      <c r="C578" s="8"/>
      <c r="D578" s="8"/>
      <c r="E578" s="8"/>
      <c r="F578" s="8"/>
      <c r="G578" s="8"/>
      <c r="H578" s="8"/>
      <c r="I578" s="8"/>
      <c r="J578" s="8"/>
      <c r="K578" s="8"/>
      <c r="L578" s="8"/>
      <c r="M578" s="8"/>
      <c r="N578" s="8"/>
      <c r="O578" s="8"/>
      <c r="P578" s="8"/>
      <c r="Q578" s="8"/>
      <c r="R578" s="8"/>
      <c r="S578" s="8"/>
      <c r="T578" s="8"/>
      <c r="U578" s="8"/>
      <c r="V578" s="8"/>
      <c r="W578" s="8"/>
    </row>
    <row r="579" spans="1:23" ht="15.75" customHeight="1" x14ac:dyDescent="0.25">
      <c r="A579" s="6" t="s">
        <v>3221</v>
      </c>
      <c r="B579" s="8"/>
      <c r="C579" s="8"/>
      <c r="D579" s="8"/>
      <c r="E579" s="8"/>
      <c r="F579" s="8"/>
      <c r="G579" s="8"/>
      <c r="H579" s="8"/>
      <c r="I579" s="8"/>
      <c r="J579" s="8"/>
      <c r="K579" s="8"/>
      <c r="L579" s="8"/>
      <c r="M579" s="8"/>
      <c r="N579" s="8"/>
      <c r="O579" s="8"/>
      <c r="P579" s="8"/>
      <c r="Q579" s="8"/>
      <c r="R579" s="8"/>
      <c r="S579" s="8"/>
      <c r="T579" s="8"/>
      <c r="U579" s="8"/>
      <c r="V579" s="8"/>
      <c r="W579" s="8"/>
    </row>
    <row r="580" spans="1:23" ht="15.75" customHeight="1" x14ac:dyDescent="0.25">
      <c r="A580" s="6" t="s">
        <v>3221</v>
      </c>
      <c r="B580" s="8"/>
      <c r="C580" s="8"/>
      <c r="D580" s="8"/>
      <c r="E580" s="8"/>
      <c r="F580" s="8"/>
      <c r="G580" s="8"/>
      <c r="H580" s="8"/>
      <c r="I580" s="8"/>
      <c r="J580" s="8"/>
      <c r="K580" s="8"/>
      <c r="L580" s="8"/>
      <c r="M580" s="8"/>
      <c r="N580" s="8"/>
      <c r="O580" s="8"/>
      <c r="P580" s="8"/>
      <c r="Q580" s="8"/>
      <c r="R580" s="8"/>
      <c r="S580" s="8"/>
      <c r="T580" s="8"/>
      <c r="U580" s="8"/>
      <c r="V580" s="8"/>
      <c r="W580" s="8"/>
    </row>
    <row r="581" spans="1:23" ht="15.75" customHeight="1" x14ac:dyDescent="0.25">
      <c r="A581" s="6" t="s">
        <v>3221</v>
      </c>
      <c r="B581" s="8"/>
      <c r="C581" s="8"/>
      <c r="D581" s="8"/>
      <c r="E581" s="8"/>
      <c r="F581" s="8"/>
      <c r="G581" s="8"/>
      <c r="H581" s="8"/>
      <c r="I581" s="8"/>
      <c r="J581" s="8"/>
      <c r="K581" s="8"/>
      <c r="L581" s="8"/>
      <c r="M581" s="8"/>
      <c r="N581" s="8"/>
      <c r="O581" s="8"/>
      <c r="P581" s="8"/>
      <c r="Q581" s="8"/>
      <c r="R581" s="8"/>
      <c r="S581" s="8"/>
      <c r="T581" s="8"/>
      <c r="U581" s="8"/>
      <c r="V581" s="8"/>
      <c r="W581" s="8"/>
    </row>
    <row r="582" spans="1:23" ht="15.75" customHeight="1" x14ac:dyDescent="0.25">
      <c r="A582" s="6" t="s">
        <v>3221</v>
      </c>
      <c r="B582" s="8"/>
      <c r="C582" s="8"/>
      <c r="D582" s="8"/>
      <c r="E582" s="8"/>
      <c r="F582" s="8"/>
      <c r="G582" s="8"/>
      <c r="H582" s="8"/>
      <c r="I582" s="8"/>
      <c r="J582" s="8"/>
      <c r="K582" s="8"/>
      <c r="L582" s="8"/>
      <c r="M582" s="8"/>
      <c r="N582" s="8"/>
      <c r="O582" s="8"/>
      <c r="P582" s="8"/>
      <c r="Q582" s="8"/>
      <c r="R582" s="8"/>
      <c r="S582" s="8"/>
      <c r="T582" s="8"/>
      <c r="U582" s="8"/>
      <c r="V582" s="8"/>
      <c r="W582" s="8"/>
    </row>
    <row r="583" spans="1:23" ht="15.75" customHeight="1" x14ac:dyDescent="0.25">
      <c r="A583" s="6" t="s">
        <v>3221</v>
      </c>
      <c r="B583" s="8"/>
      <c r="C583" s="8"/>
      <c r="D583" s="8"/>
      <c r="E583" s="8"/>
      <c r="F583" s="8"/>
      <c r="G583" s="8"/>
      <c r="H583" s="8"/>
      <c r="I583" s="8"/>
      <c r="J583" s="8"/>
      <c r="K583" s="8"/>
      <c r="L583" s="8"/>
      <c r="M583" s="8"/>
      <c r="N583" s="8"/>
      <c r="O583" s="8"/>
      <c r="P583" s="8"/>
      <c r="Q583" s="8"/>
      <c r="R583" s="8"/>
      <c r="S583" s="8"/>
      <c r="T583" s="8"/>
      <c r="U583" s="8"/>
      <c r="V583" s="8"/>
      <c r="W583" s="8"/>
    </row>
    <row r="584" spans="1:23" ht="15.75" customHeight="1" x14ac:dyDescent="0.25">
      <c r="A584" s="6" t="s">
        <v>3221</v>
      </c>
      <c r="B584" s="8"/>
      <c r="C584" s="8"/>
      <c r="D584" s="8"/>
      <c r="E584" s="8"/>
      <c r="F584" s="8"/>
      <c r="G584" s="8"/>
      <c r="H584" s="8"/>
      <c r="I584" s="8"/>
      <c r="J584" s="8"/>
      <c r="K584" s="8"/>
      <c r="L584" s="8"/>
      <c r="M584" s="8"/>
      <c r="N584" s="8"/>
      <c r="O584" s="8"/>
      <c r="P584" s="8"/>
      <c r="Q584" s="8"/>
      <c r="R584" s="8"/>
      <c r="S584" s="8"/>
      <c r="T584" s="8"/>
      <c r="U584" s="8"/>
      <c r="V584" s="8"/>
      <c r="W584" s="8"/>
    </row>
    <row r="585" spans="1:23" ht="15.75" customHeight="1" x14ac:dyDescent="0.25">
      <c r="A585" s="6" t="s">
        <v>3221</v>
      </c>
      <c r="B585" s="8"/>
      <c r="C585" s="8"/>
      <c r="D585" s="8"/>
      <c r="E585" s="8"/>
      <c r="F585" s="8"/>
      <c r="G585" s="8"/>
      <c r="H585" s="8"/>
      <c r="I585" s="8"/>
      <c r="J585" s="8"/>
      <c r="K585" s="8"/>
      <c r="L585" s="8"/>
      <c r="M585" s="8"/>
      <c r="N585" s="8"/>
      <c r="O585" s="8"/>
      <c r="P585" s="8"/>
      <c r="Q585" s="8"/>
      <c r="R585" s="8"/>
      <c r="S585" s="8"/>
      <c r="T585" s="8"/>
      <c r="U585" s="8"/>
      <c r="V585" s="8"/>
      <c r="W585" s="8"/>
    </row>
    <row r="586" spans="1:23" ht="15.75" customHeight="1" x14ac:dyDescent="0.25">
      <c r="A586" s="6" t="s">
        <v>3221</v>
      </c>
      <c r="B586" s="8"/>
      <c r="C586" s="8"/>
      <c r="D586" s="8"/>
      <c r="E586" s="8"/>
      <c r="F586" s="8"/>
      <c r="G586" s="8"/>
      <c r="H586" s="8"/>
      <c r="I586" s="8"/>
      <c r="J586" s="8"/>
      <c r="K586" s="8"/>
      <c r="L586" s="8"/>
      <c r="M586" s="8"/>
      <c r="N586" s="8"/>
      <c r="O586" s="8"/>
      <c r="P586" s="8"/>
      <c r="Q586" s="8"/>
      <c r="R586" s="8"/>
      <c r="S586" s="8"/>
      <c r="T586" s="8"/>
      <c r="U586" s="8"/>
      <c r="V586" s="8"/>
      <c r="W586" s="8"/>
    </row>
    <row r="587" spans="1:23" ht="15.75" customHeight="1" x14ac:dyDescent="0.25">
      <c r="A587" s="6" t="s">
        <v>3221</v>
      </c>
      <c r="B587" s="8"/>
      <c r="C587" s="8"/>
      <c r="D587" s="8"/>
      <c r="E587" s="8"/>
      <c r="F587" s="8"/>
      <c r="G587" s="8"/>
      <c r="H587" s="8"/>
      <c r="I587" s="8"/>
      <c r="J587" s="8"/>
      <c r="K587" s="8"/>
      <c r="L587" s="8"/>
      <c r="M587" s="8"/>
      <c r="N587" s="8"/>
      <c r="O587" s="8"/>
      <c r="P587" s="8"/>
      <c r="Q587" s="8"/>
      <c r="R587" s="8"/>
      <c r="S587" s="8"/>
      <c r="T587" s="8"/>
      <c r="U587" s="8"/>
      <c r="V587" s="8"/>
      <c r="W587" s="8"/>
    </row>
    <row r="588" spans="1:23" ht="15.75" customHeight="1" x14ac:dyDescent="0.25">
      <c r="A588" s="6" t="s">
        <v>3221</v>
      </c>
      <c r="B588" s="8"/>
      <c r="C588" s="8"/>
      <c r="D588" s="8"/>
      <c r="E588" s="8"/>
      <c r="F588" s="8"/>
      <c r="G588" s="8"/>
      <c r="H588" s="8"/>
      <c r="I588" s="8"/>
      <c r="J588" s="8"/>
      <c r="K588" s="8"/>
      <c r="L588" s="8"/>
      <c r="M588" s="8"/>
      <c r="N588" s="8"/>
      <c r="O588" s="8"/>
      <c r="P588" s="8"/>
      <c r="Q588" s="8"/>
      <c r="R588" s="8"/>
      <c r="S588" s="8"/>
      <c r="T588" s="8"/>
      <c r="U588" s="8"/>
      <c r="V588" s="8"/>
      <c r="W588" s="8"/>
    </row>
    <row r="589" spans="1:23" ht="15.75" customHeight="1" x14ac:dyDescent="0.25">
      <c r="A589" s="6" t="s">
        <v>3221</v>
      </c>
      <c r="B589" s="8"/>
      <c r="C589" s="8"/>
      <c r="D589" s="8"/>
      <c r="E589" s="8"/>
      <c r="F589" s="8"/>
      <c r="G589" s="8"/>
      <c r="H589" s="8"/>
      <c r="I589" s="8"/>
      <c r="J589" s="8"/>
      <c r="K589" s="8"/>
      <c r="L589" s="8"/>
      <c r="M589" s="8"/>
      <c r="N589" s="8"/>
      <c r="O589" s="8"/>
      <c r="P589" s="8"/>
      <c r="Q589" s="8"/>
      <c r="R589" s="8"/>
      <c r="S589" s="8"/>
      <c r="T589" s="8"/>
      <c r="U589" s="8"/>
      <c r="V589" s="8"/>
      <c r="W589" s="8"/>
    </row>
    <row r="590" spans="1:23" ht="15.75" customHeight="1" x14ac:dyDescent="0.25">
      <c r="A590" s="6" t="s">
        <v>3221</v>
      </c>
      <c r="B590" s="8"/>
      <c r="C590" s="8"/>
      <c r="D590" s="8"/>
      <c r="E590" s="8"/>
      <c r="F590" s="8"/>
      <c r="G590" s="8"/>
      <c r="H590" s="8"/>
      <c r="I590" s="8"/>
      <c r="J590" s="8"/>
      <c r="K590" s="8"/>
      <c r="L590" s="8"/>
      <c r="M590" s="8"/>
      <c r="N590" s="8"/>
      <c r="O590" s="8"/>
      <c r="P590" s="8"/>
      <c r="Q590" s="8"/>
      <c r="R590" s="8"/>
      <c r="S590" s="8"/>
      <c r="T590" s="8"/>
      <c r="U590" s="8"/>
      <c r="V590" s="8"/>
      <c r="W590" s="8"/>
    </row>
    <row r="591" spans="1:23" ht="15.75" customHeight="1" x14ac:dyDescent="0.25">
      <c r="A591" s="6" t="s">
        <v>3221</v>
      </c>
      <c r="B591" s="8"/>
      <c r="C591" s="8"/>
      <c r="D591" s="8"/>
      <c r="E591" s="8"/>
      <c r="F591" s="8"/>
      <c r="G591" s="8"/>
      <c r="H591" s="8"/>
      <c r="I591" s="8"/>
      <c r="J591" s="8"/>
      <c r="K591" s="8"/>
      <c r="L591" s="8"/>
      <c r="M591" s="8"/>
      <c r="N591" s="8"/>
      <c r="O591" s="8"/>
      <c r="P591" s="8"/>
      <c r="Q591" s="8"/>
      <c r="R591" s="8"/>
      <c r="S591" s="8"/>
      <c r="T591" s="8"/>
      <c r="U591" s="8"/>
      <c r="V591" s="8"/>
      <c r="W591" s="8"/>
    </row>
    <row r="592" spans="1:23" ht="15.75" customHeight="1" x14ac:dyDescent="0.25">
      <c r="A592" s="6" t="s">
        <v>3221</v>
      </c>
      <c r="B592" s="8"/>
      <c r="C592" s="8"/>
      <c r="D592" s="8"/>
      <c r="E592" s="8"/>
      <c r="F592" s="8"/>
      <c r="G592" s="8"/>
      <c r="H592" s="8"/>
      <c r="I592" s="8"/>
      <c r="J592" s="8"/>
      <c r="K592" s="8"/>
      <c r="L592" s="8"/>
      <c r="M592" s="8"/>
      <c r="N592" s="8"/>
      <c r="O592" s="8"/>
      <c r="P592" s="8"/>
      <c r="Q592" s="8"/>
      <c r="R592" s="8"/>
      <c r="S592" s="8"/>
      <c r="T592" s="8"/>
      <c r="U592" s="8"/>
      <c r="V592" s="8"/>
      <c r="W592" s="8"/>
    </row>
    <row r="593" spans="1:23" ht="15.75" customHeight="1" x14ac:dyDescent="0.25">
      <c r="A593" s="6" t="s">
        <v>3221</v>
      </c>
      <c r="B593" s="8"/>
      <c r="C593" s="8"/>
      <c r="D593" s="8"/>
      <c r="E593" s="8"/>
      <c r="F593" s="8"/>
      <c r="G593" s="8"/>
      <c r="H593" s="8"/>
      <c r="I593" s="8"/>
      <c r="J593" s="8"/>
      <c r="K593" s="8"/>
      <c r="L593" s="8"/>
      <c r="M593" s="8"/>
      <c r="N593" s="8"/>
      <c r="O593" s="8"/>
      <c r="P593" s="8"/>
      <c r="Q593" s="8"/>
      <c r="R593" s="8"/>
      <c r="S593" s="8"/>
      <c r="T593" s="8"/>
      <c r="U593" s="8"/>
      <c r="V593" s="8"/>
      <c r="W593" s="8"/>
    </row>
    <row r="594" spans="1:23" ht="15.75" customHeight="1" x14ac:dyDescent="0.25">
      <c r="A594" s="6" t="s">
        <v>3221</v>
      </c>
      <c r="B594" s="8"/>
      <c r="C594" s="8"/>
      <c r="D594" s="8"/>
      <c r="E594" s="8"/>
      <c r="F594" s="8"/>
      <c r="G594" s="8"/>
      <c r="H594" s="8"/>
      <c r="I594" s="8"/>
      <c r="J594" s="8"/>
      <c r="K594" s="8"/>
      <c r="L594" s="8"/>
      <c r="M594" s="8"/>
      <c r="N594" s="8"/>
      <c r="O594" s="8"/>
      <c r="P594" s="8"/>
      <c r="Q594" s="8"/>
      <c r="R594" s="8"/>
      <c r="S594" s="8"/>
      <c r="T594" s="8"/>
      <c r="U594" s="8"/>
      <c r="V594" s="8"/>
      <c r="W594" s="8"/>
    </row>
    <row r="595" spans="1:23" ht="15.75" customHeight="1" x14ac:dyDescent="0.25">
      <c r="A595" s="6" t="s">
        <v>3221</v>
      </c>
      <c r="B595" s="8"/>
      <c r="C595" s="8"/>
      <c r="D595" s="8"/>
      <c r="E595" s="8"/>
      <c r="F595" s="8"/>
      <c r="G595" s="8"/>
      <c r="H595" s="8"/>
      <c r="I595" s="8"/>
      <c r="J595" s="8"/>
      <c r="K595" s="8"/>
      <c r="L595" s="8"/>
      <c r="M595" s="8"/>
      <c r="N595" s="8"/>
      <c r="O595" s="8"/>
      <c r="P595" s="8"/>
      <c r="Q595" s="8"/>
      <c r="R595" s="8"/>
      <c r="S595" s="8"/>
      <c r="T595" s="8"/>
      <c r="U595" s="8"/>
      <c r="V595" s="8"/>
      <c r="W595" s="8"/>
    </row>
    <row r="596" spans="1:23" ht="15.75" customHeight="1" x14ac:dyDescent="0.25">
      <c r="A596" s="6" t="s">
        <v>3221</v>
      </c>
      <c r="B596" s="8"/>
      <c r="C596" s="8"/>
      <c r="D596" s="8"/>
      <c r="E596" s="8"/>
      <c r="F596" s="8"/>
      <c r="G596" s="8"/>
      <c r="H596" s="8"/>
      <c r="I596" s="8"/>
      <c r="J596" s="8"/>
      <c r="K596" s="8"/>
      <c r="L596" s="8"/>
      <c r="M596" s="8"/>
      <c r="N596" s="8"/>
      <c r="O596" s="8"/>
      <c r="P596" s="8"/>
      <c r="Q596" s="8"/>
      <c r="R596" s="8"/>
      <c r="S596" s="8"/>
      <c r="T596" s="8"/>
      <c r="U596" s="8"/>
      <c r="V596" s="8"/>
      <c r="W596" s="8"/>
    </row>
    <row r="597" spans="1:23" ht="15.75" customHeight="1" x14ac:dyDescent="0.25">
      <c r="A597" s="6" t="s">
        <v>3221</v>
      </c>
      <c r="B597" s="8"/>
      <c r="C597" s="8"/>
      <c r="D597" s="8"/>
      <c r="E597" s="8"/>
      <c r="F597" s="8"/>
      <c r="G597" s="8"/>
      <c r="H597" s="8"/>
      <c r="I597" s="8"/>
      <c r="J597" s="8"/>
      <c r="K597" s="8"/>
      <c r="L597" s="8"/>
      <c r="M597" s="8"/>
      <c r="N597" s="8"/>
      <c r="O597" s="8"/>
      <c r="P597" s="8"/>
      <c r="Q597" s="8"/>
      <c r="R597" s="8"/>
      <c r="S597" s="8"/>
      <c r="T597" s="8"/>
      <c r="U597" s="8"/>
      <c r="V597" s="8"/>
      <c r="W597" s="8"/>
    </row>
    <row r="598" spans="1:23" ht="15.75" customHeight="1" x14ac:dyDescent="0.25">
      <c r="A598" s="6" t="s">
        <v>3221</v>
      </c>
      <c r="B598" s="8"/>
      <c r="C598" s="8"/>
      <c r="D598" s="8"/>
      <c r="E598" s="8"/>
      <c r="F598" s="8"/>
      <c r="G598" s="8"/>
      <c r="H598" s="8"/>
      <c r="I598" s="8"/>
      <c r="J598" s="8"/>
      <c r="K598" s="8"/>
      <c r="L598" s="8"/>
      <c r="M598" s="8"/>
      <c r="N598" s="8"/>
      <c r="O598" s="8"/>
      <c r="P598" s="8"/>
      <c r="Q598" s="8"/>
      <c r="R598" s="8"/>
      <c r="S598" s="8"/>
      <c r="T598" s="8"/>
      <c r="U598" s="8"/>
      <c r="V598" s="8"/>
      <c r="W598" s="8"/>
    </row>
    <row r="599" spans="1:23" ht="15.75" customHeight="1" x14ac:dyDescent="0.25">
      <c r="A599" s="6" t="s">
        <v>3221</v>
      </c>
      <c r="B599" s="8"/>
      <c r="C599" s="8"/>
      <c r="D599" s="8"/>
      <c r="E599" s="8"/>
      <c r="F599" s="8"/>
      <c r="G599" s="8"/>
      <c r="H599" s="8"/>
      <c r="I599" s="8"/>
      <c r="J599" s="8"/>
      <c r="K599" s="8"/>
      <c r="L599" s="8"/>
      <c r="M599" s="8"/>
      <c r="N599" s="8"/>
      <c r="O599" s="8"/>
      <c r="P599" s="8"/>
      <c r="Q599" s="8"/>
      <c r="R599" s="8"/>
      <c r="S599" s="8"/>
      <c r="T599" s="8"/>
      <c r="U599" s="8"/>
      <c r="V599" s="8"/>
      <c r="W599" s="8"/>
    </row>
    <row r="600" spans="1:23" ht="15.75" customHeight="1" x14ac:dyDescent="0.25">
      <c r="A600" s="6" t="s">
        <v>3221</v>
      </c>
      <c r="B600" s="8"/>
      <c r="C600" s="8"/>
      <c r="D600" s="8"/>
      <c r="E600" s="8"/>
      <c r="F600" s="8"/>
      <c r="G600" s="8"/>
      <c r="H600" s="8"/>
      <c r="I600" s="8"/>
      <c r="J600" s="8"/>
      <c r="K600" s="8"/>
      <c r="L600" s="8"/>
      <c r="M600" s="8"/>
      <c r="N600" s="8"/>
      <c r="O600" s="8"/>
      <c r="P600" s="8"/>
      <c r="Q600" s="8"/>
      <c r="R600" s="8"/>
      <c r="S600" s="8"/>
      <c r="T600" s="8"/>
      <c r="U600" s="8"/>
      <c r="V600" s="8"/>
      <c r="W600" s="8"/>
    </row>
    <row r="601" spans="1:23" ht="15.75" customHeight="1" x14ac:dyDescent="0.25">
      <c r="A601" s="6" t="s">
        <v>3221</v>
      </c>
      <c r="B601" s="8"/>
      <c r="C601" s="8"/>
      <c r="D601" s="8"/>
      <c r="E601" s="8"/>
      <c r="F601" s="8"/>
      <c r="G601" s="8"/>
      <c r="H601" s="8"/>
      <c r="I601" s="8"/>
      <c r="J601" s="8"/>
      <c r="K601" s="8"/>
      <c r="L601" s="8"/>
      <c r="M601" s="8"/>
      <c r="N601" s="8"/>
      <c r="O601" s="8"/>
      <c r="P601" s="8"/>
      <c r="Q601" s="8"/>
      <c r="R601" s="8"/>
      <c r="S601" s="8"/>
      <c r="T601" s="8"/>
      <c r="U601" s="8"/>
      <c r="V601" s="8"/>
      <c r="W601" s="8"/>
    </row>
    <row r="602" spans="1:23" ht="15.75" customHeight="1" x14ac:dyDescent="0.25">
      <c r="A602" s="6" t="s">
        <v>3221</v>
      </c>
      <c r="B602" s="8"/>
      <c r="C602" s="8"/>
      <c r="D602" s="8"/>
      <c r="E602" s="8"/>
      <c r="F602" s="8"/>
      <c r="G602" s="8"/>
      <c r="H602" s="8"/>
      <c r="I602" s="8"/>
      <c r="J602" s="8"/>
      <c r="K602" s="8"/>
      <c r="L602" s="8"/>
      <c r="M602" s="8"/>
      <c r="N602" s="8"/>
      <c r="O602" s="8"/>
      <c r="P602" s="8"/>
      <c r="Q602" s="8"/>
      <c r="R602" s="8"/>
      <c r="S602" s="8"/>
      <c r="T602" s="8"/>
      <c r="U602" s="8"/>
      <c r="V602" s="8"/>
      <c r="W602" s="8"/>
    </row>
    <row r="603" spans="1:23" ht="15.75" customHeight="1" x14ac:dyDescent="0.25">
      <c r="A603" s="6" t="s">
        <v>3221</v>
      </c>
      <c r="B603" s="8"/>
      <c r="C603" s="8"/>
      <c r="D603" s="8"/>
      <c r="E603" s="8"/>
      <c r="F603" s="8"/>
      <c r="G603" s="8"/>
      <c r="H603" s="8"/>
      <c r="I603" s="8"/>
      <c r="J603" s="8"/>
      <c r="K603" s="8"/>
      <c r="L603" s="8"/>
      <c r="M603" s="8"/>
      <c r="N603" s="8"/>
      <c r="O603" s="8"/>
      <c r="P603" s="8"/>
      <c r="Q603" s="8"/>
      <c r="R603" s="8"/>
      <c r="S603" s="8"/>
      <c r="T603" s="8"/>
      <c r="U603" s="8"/>
      <c r="V603" s="8"/>
      <c r="W603" s="8"/>
    </row>
    <row r="604" spans="1:23" ht="15.75" customHeight="1" x14ac:dyDescent="0.25">
      <c r="A604" s="6" t="s">
        <v>3221</v>
      </c>
      <c r="B604" s="8"/>
      <c r="C604" s="8"/>
      <c r="D604" s="8"/>
      <c r="E604" s="8"/>
      <c r="F604" s="8"/>
      <c r="G604" s="8"/>
      <c r="H604" s="8"/>
      <c r="I604" s="8"/>
      <c r="J604" s="8"/>
      <c r="K604" s="8"/>
      <c r="L604" s="8"/>
      <c r="M604" s="8"/>
      <c r="N604" s="8"/>
      <c r="O604" s="8"/>
      <c r="P604" s="8"/>
      <c r="Q604" s="8"/>
      <c r="R604" s="8"/>
      <c r="S604" s="8"/>
      <c r="T604" s="8"/>
      <c r="U604" s="8"/>
      <c r="V604" s="8"/>
      <c r="W604" s="8"/>
    </row>
    <row r="605" spans="1:23" ht="15.75" customHeight="1" x14ac:dyDescent="0.25">
      <c r="A605" s="6" t="s">
        <v>3221</v>
      </c>
      <c r="B605" s="8"/>
      <c r="C605" s="8"/>
      <c r="D605" s="8"/>
      <c r="E605" s="8"/>
      <c r="F605" s="8"/>
      <c r="G605" s="8"/>
      <c r="H605" s="8"/>
      <c r="I605" s="8"/>
      <c r="J605" s="8"/>
      <c r="K605" s="8"/>
      <c r="L605" s="8"/>
      <c r="M605" s="8"/>
      <c r="N605" s="8"/>
      <c r="O605" s="8"/>
      <c r="P605" s="8"/>
      <c r="Q605" s="8"/>
      <c r="R605" s="8"/>
      <c r="S605" s="8"/>
      <c r="T605" s="8"/>
      <c r="U605" s="8"/>
      <c r="V605" s="8"/>
      <c r="W605" s="8"/>
    </row>
    <row r="606" spans="1:23" ht="15.75" customHeight="1" x14ac:dyDescent="0.25">
      <c r="A606" s="8" t="s">
        <v>3221</v>
      </c>
      <c r="B606" s="8"/>
      <c r="C606" s="8"/>
      <c r="D606" s="8"/>
      <c r="E606" s="8"/>
      <c r="F606" s="8"/>
      <c r="G606" s="8"/>
      <c r="H606" s="8"/>
      <c r="I606" s="8"/>
      <c r="J606" s="8"/>
      <c r="K606" s="8"/>
      <c r="L606" s="8"/>
      <c r="M606" s="8"/>
      <c r="N606" s="8"/>
      <c r="O606" s="8"/>
      <c r="P606" s="8"/>
      <c r="Q606" s="8"/>
      <c r="R606" s="8"/>
      <c r="S606" s="8"/>
      <c r="T606" s="8"/>
      <c r="U606" s="8"/>
      <c r="V606" s="8"/>
      <c r="W606" s="8"/>
    </row>
    <row r="607" spans="1:23" ht="15.75" customHeight="1" x14ac:dyDescent="0.25">
      <c r="A607" s="6" t="s">
        <v>3221</v>
      </c>
      <c r="B607" s="8"/>
      <c r="C607" s="8"/>
      <c r="D607" s="8"/>
      <c r="E607" s="8"/>
      <c r="F607" s="8"/>
      <c r="G607" s="8"/>
      <c r="H607" s="8"/>
      <c r="I607" s="8"/>
      <c r="J607" s="8"/>
      <c r="K607" s="8"/>
      <c r="L607" s="8"/>
      <c r="M607" s="8"/>
      <c r="N607" s="8"/>
      <c r="O607" s="8"/>
      <c r="P607" s="8"/>
      <c r="Q607" s="8"/>
      <c r="R607" s="8"/>
      <c r="S607" s="8"/>
      <c r="T607" s="8"/>
      <c r="U607" s="8"/>
      <c r="V607" s="8"/>
      <c r="W607" s="8"/>
    </row>
    <row r="608" spans="1:23" ht="15.75" customHeight="1" x14ac:dyDescent="0.25">
      <c r="A608" s="6" t="s">
        <v>3221</v>
      </c>
      <c r="B608" s="8"/>
      <c r="C608" s="8"/>
      <c r="D608" s="8"/>
      <c r="E608" s="8"/>
      <c r="F608" s="8"/>
      <c r="G608" s="8"/>
      <c r="H608" s="8"/>
      <c r="I608" s="8"/>
      <c r="J608" s="8"/>
      <c r="K608" s="8"/>
      <c r="L608" s="8"/>
      <c r="M608" s="8"/>
      <c r="N608" s="8"/>
      <c r="O608" s="8"/>
      <c r="P608" s="8"/>
      <c r="Q608" s="8"/>
      <c r="R608" s="8"/>
      <c r="S608" s="8"/>
      <c r="T608" s="8"/>
      <c r="U608" s="8"/>
      <c r="V608" s="8"/>
      <c r="W608" s="8"/>
    </row>
    <row r="609" spans="1:23" ht="15.75" customHeight="1" x14ac:dyDescent="0.25">
      <c r="A609" s="6" t="s">
        <v>3221</v>
      </c>
      <c r="B609" s="8"/>
      <c r="C609" s="8"/>
      <c r="D609" s="8"/>
      <c r="E609" s="8"/>
      <c r="F609" s="8"/>
      <c r="G609" s="8"/>
      <c r="H609" s="8"/>
      <c r="I609" s="8"/>
      <c r="J609" s="8"/>
      <c r="K609" s="8"/>
      <c r="L609" s="8"/>
      <c r="M609" s="8"/>
      <c r="N609" s="8"/>
      <c r="O609" s="8"/>
      <c r="P609" s="8"/>
      <c r="Q609" s="8"/>
      <c r="R609" s="8"/>
      <c r="S609" s="8"/>
      <c r="T609" s="8"/>
      <c r="U609" s="8"/>
      <c r="V609" s="8"/>
      <c r="W609" s="8"/>
    </row>
    <row r="610" spans="1:23" ht="15.75" customHeight="1" x14ac:dyDescent="0.25">
      <c r="A610" s="6" t="s">
        <v>3221</v>
      </c>
      <c r="B610" s="8"/>
      <c r="C610" s="8"/>
      <c r="D610" s="8"/>
      <c r="E610" s="8"/>
      <c r="F610" s="8"/>
      <c r="G610" s="8"/>
      <c r="H610" s="8"/>
      <c r="I610" s="8"/>
      <c r="J610" s="8"/>
      <c r="K610" s="8"/>
      <c r="L610" s="8"/>
      <c r="M610" s="8"/>
      <c r="N610" s="8"/>
      <c r="O610" s="8"/>
      <c r="P610" s="8"/>
      <c r="Q610" s="8"/>
      <c r="R610" s="8"/>
      <c r="S610" s="8"/>
      <c r="T610" s="8"/>
      <c r="U610" s="8"/>
      <c r="V610" s="8"/>
      <c r="W610" s="8"/>
    </row>
    <row r="611" spans="1:23" ht="15.75" customHeight="1" x14ac:dyDescent="0.25">
      <c r="A611" s="6" t="s">
        <v>3221</v>
      </c>
      <c r="B611" s="8"/>
      <c r="C611" s="8"/>
      <c r="D611" s="8"/>
      <c r="E611" s="8"/>
      <c r="F611" s="8"/>
      <c r="G611" s="8"/>
      <c r="H611" s="8"/>
      <c r="I611" s="8"/>
      <c r="J611" s="8"/>
      <c r="K611" s="8"/>
      <c r="L611" s="8"/>
      <c r="M611" s="8"/>
      <c r="N611" s="8"/>
      <c r="O611" s="8"/>
      <c r="P611" s="8"/>
      <c r="Q611" s="8"/>
      <c r="R611" s="8"/>
      <c r="S611" s="8"/>
      <c r="T611" s="8"/>
      <c r="U611" s="8"/>
      <c r="V611" s="8"/>
      <c r="W611" s="8"/>
    </row>
    <row r="612" spans="1:23" ht="15.75" customHeight="1" x14ac:dyDescent="0.25">
      <c r="A612" s="6" t="s">
        <v>3221</v>
      </c>
      <c r="B612" s="8"/>
      <c r="C612" s="8"/>
      <c r="D612" s="8"/>
      <c r="E612" s="8"/>
      <c r="F612" s="8"/>
      <c r="G612" s="8"/>
      <c r="H612" s="8"/>
      <c r="I612" s="8"/>
      <c r="J612" s="8"/>
      <c r="K612" s="8"/>
      <c r="L612" s="8"/>
      <c r="M612" s="8"/>
      <c r="N612" s="8"/>
      <c r="O612" s="8"/>
      <c r="P612" s="8"/>
      <c r="Q612" s="8"/>
      <c r="R612" s="8"/>
      <c r="S612" s="8"/>
      <c r="T612" s="8"/>
      <c r="U612" s="8"/>
      <c r="V612" s="8"/>
      <c r="W612" s="8"/>
    </row>
    <row r="613" spans="1:23" ht="15.75" customHeight="1" x14ac:dyDescent="0.25">
      <c r="A613" s="6" t="s">
        <v>3221</v>
      </c>
      <c r="B613" s="8"/>
      <c r="C613" s="8"/>
      <c r="D613" s="8"/>
      <c r="E613" s="8"/>
      <c r="F613" s="8"/>
      <c r="G613" s="8"/>
      <c r="H613" s="8"/>
      <c r="I613" s="8"/>
      <c r="J613" s="8"/>
      <c r="K613" s="8"/>
      <c r="L613" s="8"/>
      <c r="M613" s="8"/>
      <c r="N613" s="8"/>
      <c r="O613" s="8"/>
      <c r="P613" s="8"/>
      <c r="Q613" s="8"/>
      <c r="R613" s="8"/>
      <c r="S613" s="8"/>
      <c r="T613" s="8"/>
      <c r="U613" s="8"/>
      <c r="V613" s="8"/>
      <c r="W613" s="8"/>
    </row>
    <row r="614" spans="1:23" ht="15.75" customHeight="1" x14ac:dyDescent="0.25">
      <c r="A614" s="6" t="s">
        <v>3221</v>
      </c>
      <c r="B614" s="8"/>
      <c r="C614" s="8"/>
      <c r="D614" s="8"/>
      <c r="E614" s="8"/>
      <c r="F614" s="8"/>
      <c r="G614" s="8"/>
      <c r="H614" s="8"/>
      <c r="I614" s="8"/>
      <c r="J614" s="8"/>
      <c r="K614" s="8"/>
      <c r="L614" s="8"/>
      <c r="M614" s="8"/>
      <c r="N614" s="8"/>
      <c r="O614" s="8"/>
      <c r="P614" s="8"/>
      <c r="Q614" s="8"/>
      <c r="R614" s="8"/>
      <c r="S614" s="8"/>
      <c r="T614" s="8"/>
      <c r="U614" s="8"/>
      <c r="V614" s="8"/>
      <c r="W614" s="8"/>
    </row>
    <row r="615" spans="1:23" ht="15.75" customHeight="1" x14ac:dyDescent="0.25">
      <c r="A615" s="6" t="s">
        <v>3221</v>
      </c>
      <c r="B615" s="8"/>
      <c r="C615" s="8"/>
      <c r="D615" s="8"/>
      <c r="E615" s="8"/>
      <c r="F615" s="8"/>
      <c r="G615" s="8"/>
      <c r="H615" s="8"/>
      <c r="I615" s="8"/>
      <c r="J615" s="8"/>
      <c r="K615" s="8"/>
      <c r="L615" s="8"/>
      <c r="M615" s="8"/>
      <c r="N615" s="8"/>
      <c r="O615" s="8"/>
      <c r="P615" s="8"/>
      <c r="Q615" s="8"/>
      <c r="R615" s="8"/>
      <c r="S615" s="8"/>
      <c r="T615" s="8"/>
      <c r="U615" s="8"/>
      <c r="V615" s="8"/>
      <c r="W615" s="8"/>
    </row>
    <row r="616" spans="1:23" ht="15.75" customHeight="1" x14ac:dyDescent="0.25">
      <c r="A616" s="8" t="s">
        <v>3221</v>
      </c>
      <c r="B616" s="8"/>
      <c r="C616" s="8"/>
      <c r="D616" s="8"/>
      <c r="E616" s="8"/>
      <c r="F616" s="8"/>
      <c r="G616" s="8"/>
      <c r="H616" s="8"/>
      <c r="I616" s="8"/>
      <c r="J616" s="8"/>
      <c r="K616" s="8"/>
      <c r="L616" s="8"/>
      <c r="M616" s="8"/>
      <c r="N616" s="8"/>
      <c r="O616" s="8"/>
      <c r="P616" s="8"/>
      <c r="Q616" s="8"/>
      <c r="R616" s="8"/>
      <c r="S616" s="8"/>
      <c r="T616" s="8"/>
      <c r="U616" s="8"/>
      <c r="V616" s="8"/>
      <c r="W616" s="8"/>
    </row>
    <row r="617" spans="1:23" ht="15.75" customHeight="1" x14ac:dyDescent="0.25">
      <c r="A617" s="6" t="s">
        <v>3221</v>
      </c>
      <c r="B617" s="8"/>
      <c r="C617" s="8"/>
      <c r="D617" s="8"/>
      <c r="E617" s="8"/>
      <c r="F617" s="8"/>
      <c r="G617" s="8"/>
      <c r="H617" s="8"/>
      <c r="I617" s="8"/>
      <c r="J617" s="8"/>
      <c r="K617" s="8"/>
      <c r="L617" s="8"/>
      <c r="M617" s="8"/>
      <c r="N617" s="8"/>
      <c r="O617" s="8"/>
      <c r="P617" s="8"/>
      <c r="Q617" s="8"/>
      <c r="R617" s="8"/>
      <c r="S617" s="8"/>
      <c r="T617" s="8"/>
      <c r="U617" s="8"/>
      <c r="V617" s="8"/>
      <c r="W617" s="8"/>
    </row>
    <row r="618" spans="1:23" ht="15.75" customHeight="1" x14ac:dyDescent="0.25">
      <c r="A618" s="6" t="s">
        <v>3221</v>
      </c>
      <c r="B618" s="8"/>
      <c r="C618" s="8"/>
      <c r="D618" s="8"/>
      <c r="E618" s="8"/>
      <c r="F618" s="8"/>
      <c r="G618" s="8"/>
      <c r="H618" s="8"/>
      <c r="I618" s="8"/>
      <c r="J618" s="8"/>
      <c r="K618" s="8"/>
      <c r="L618" s="8"/>
      <c r="M618" s="8"/>
      <c r="N618" s="8"/>
      <c r="O618" s="8"/>
      <c r="P618" s="8"/>
      <c r="Q618" s="8"/>
      <c r="R618" s="8"/>
      <c r="S618" s="8"/>
      <c r="T618" s="8"/>
      <c r="U618" s="8"/>
      <c r="V618" s="8"/>
      <c r="W618" s="8"/>
    </row>
    <row r="619" spans="1:23" ht="15.75" customHeight="1" x14ac:dyDescent="0.25">
      <c r="A619" s="8" t="s">
        <v>3221</v>
      </c>
      <c r="B619" s="8"/>
      <c r="C619" s="8"/>
      <c r="D619" s="8"/>
      <c r="E619" s="8"/>
      <c r="F619" s="8"/>
      <c r="G619" s="8"/>
      <c r="H619" s="8"/>
      <c r="I619" s="8"/>
      <c r="J619" s="8"/>
      <c r="K619" s="8"/>
      <c r="L619" s="8"/>
      <c r="M619" s="8"/>
      <c r="N619" s="8"/>
      <c r="O619" s="8"/>
      <c r="P619" s="8"/>
      <c r="Q619" s="8"/>
      <c r="R619" s="8"/>
      <c r="S619" s="8"/>
      <c r="T619" s="8"/>
      <c r="U619" s="8"/>
      <c r="V619" s="8"/>
      <c r="W619" s="8"/>
    </row>
    <row r="620" spans="1:23" ht="15.75" customHeight="1" x14ac:dyDescent="0.25">
      <c r="A620" s="6" t="s">
        <v>3221</v>
      </c>
      <c r="B620" s="8"/>
      <c r="C620" s="8"/>
      <c r="D620" s="8"/>
      <c r="E620" s="8"/>
      <c r="F620" s="8"/>
      <c r="G620" s="8"/>
      <c r="H620" s="8"/>
      <c r="I620" s="8"/>
      <c r="J620" s="8"/>
      <c r="K620" s="8"/>
      <c r="L620" s="8"/>
      <c r="M620" s="8"/>
      <c r="N620" s="8"/>
      <c r="O620" s="8"/>
      <c r="P620" s="8"/>
      <c r="Q620" s="8"/>
      <c r="R620" s="8"/>
      <c r="S620" s="8"/>
      <c r="T620" s="8"/>
      <c r="U620" s="8"/>
      <c r="V620" s="8"/>
      <c r="W620" s="8"/>
    </row>
    <row r="621" spans="1:23" ht="15.75" customHeight="1" x14ac:dyDescent="0.25">
      <c r="A621" s="6" t="s">
        <v>3221</v>
      </c>
      <c r="B621" s="8"/>
      <c r="C621" s="8"/>
      <c r="D621" s="8"/>
      <c r="E621" s="8"/>
      <c r="F621" s="8"/>
      <c r="G621" s="8"/>
      <c r="H621" s="8"/>
      <c r="I621" s="8"/>
      <c r="J621" s="8"/>
      <c r="K621" s="8"/>
      <c r="L621" s="8"/>
      <c r="M621" s="8"/>
      <c r="N621" s="8"/>
      <c r="O621" s="8"/>
      <c r="P621" s="8"/>
      <c r="Q621" s="8"/>
      <c r="R621" s="8"/>
      <c r="S621" s="8"/>
      <c r="T621" s="8"/>
      <c r="U621" s="8"/>
      <c r="V621" s="8"/>
      <c r="W621" s="8"/>
    </row>
    <row r="622" spans="1:23" ht="15.75" customHeight="1" x14ac:dyDescent="0.25">
      <c r="A622" s="6" t="s">
        <v>4162</v>
      </c>
      <c r="B622" s="8"/>
      <c r="C622" s="8"/>
      <c r="D622" s="8"/>
      <c r="E622" s="8"/>
      <c r="F622" s="8"/>
      <c r="G622" s="8"/>
      <c r="H622" s="8"/>
      <c r="I622" s="8"/>
      <c r="J622" s="8"/>
      <c r="K622" s="8"/>
      <c r="L622" s="8"/>
      <c r="M622" s="8"/>
      <c r="N622" s="8"/>
      <c r="O622" s="8"/>
      <c r="P622" s="8"/>
      <c r="Q622" s="8"/>
      <c r="R622" s="8"/>
      <c r="S622" s="8"/>
      <c r="T622" s="8"/>
      <c r="U622" s="8"/>
      <c r="V622" s="8"/>
      <c r="W622" s="8"/>
    </row>
    <row r="623" spans="1:23" ht="15.75" customHeight="1" x14ac:dyDescent="0.25">
      <c r="A623" s="6" t="s">
        <v>4163</v>
      </c>
      <c r="B623" s="8"/>
      <c r="C623" s="8"/>
      <c r="D623" s="8"/>
      <c r="E623" s="8"/>
      <c r="F623" s="8"/>
      <c r="G623" s="8"/>
      <c r="H623" s="8"/>
      <c r="I623" s="8"/>
      <c r="J623" s="8"/>
      <c r="K623" s="8"/>
      <c r="L623" s="8"/>
      <c r="M623" s="8"/>
      <c r="N623" s="8"/>
      <c r="O623" s="8"/>
      <c r="P623" s="8"/>
      <c r="Q623" s="8"/>
      <c r="R623" s="8"/>
      <c r="S623" s="8"/>
      <c r="T623" s="8"/>
      <c r="U623" s="8"/>
      <c r="V623" s="8"/>
      <c r="W623" s="8"/>
    </row>
    <row r="624" spans="1:23" ht="15.75" customHeight="1" x14ac:dyDescent="0.25">
      <c r="A624" s="6" t="s">
        <v>4164</v>
      </c>
      <c r="B624" s="8"/>
      <c r="C624" s="8"/>
      <c r="D624" s="8"/>
      <c r="E624" s="8"/>
      <c r="F624" s="8"/>
      <c r="G624" s="8"/>
      <c r="H624" s="8"/>
      <c r="I624" s="8"/>
      <c r="J624" s="8"/>
      <c r="K624" s="8"/>
      <c r="L624" s="8"/>
      <c r="M624" s="8"/>
      <c r="N624" s="8"/>
      <c r="O624" s="8"/>
      <c r="P624" s="8"/>
      <c r="Q624" s="8"/>
      <c r="R624" s="8"/>
      <c r="S624" s="8"/>
      <c r="T624" s="8"/>
      <c r="U624" s="8"/>
      <c r="V624" s="8"/>
      <c r="W624" s="8"/>
    </row>
    <row r="625" spans="1:23" ht="15.75" customHeight="1" x14ac:dyDescent="0.25">
      <c r="A625" s="6" t="s">
        <v>3235</v>
      </c>
      <c r="B625" s="8"/>
      <c r="C625" s="8"/>
      <c r="D625" s="8"/>
      <c r="E625" s="8"/>
      <c r="F625" s="8"/>
      <c r="G625" s="8"/>
      <c r="H625" s="8"/>
      <c r="I625" s="8"/>
      <c r="J625" s="8"/>
      <c r="K625" s="8"/>
      <c r="L625" s="8"/>
      <c r="M625" s="8"/>
      <c r="N625" s="8"/>
      <c r="O625" s="8"/>
      <c r="P625" s="8"/>
      <c r="Q625" s="8"/>
      <c r="R625" s="8"/>
      <c r="S625" s="8"/>
      <c r="T625" s="8"/>
      <c r="U625" s="8"/>
      <c r="V625" s="8"/>
      <c r="W625" s="8"/>
    </row>
    <row r="626" spans="1:23" ht="15.75" customHeight="1" x14ac:dyDescent="0.25">
      <c r="A626" s="6" t="s">
        <v>3235</v>
      </c>
      <c r="B626" s="8"/>
      <c r="C626" s="8"/>
      <c r="D626" s="8"/>
      <c r="E626" s="8"/>
      <c r="F626" s="8"/>
      <c r="G626" s="8"/>
      <c r="H626" s="8"/>
      <c r="I626" s="8"/>
      <c r="J626" s="8"/>
      <c r="K626" s="8"/>
      <c r="L626" s="8"/>
      <c r="M626" s="8"/>
      <c r="N626" s="8"/>
      <c r="O626" s="8"/>
      <c r="P626" s="8"/>
      <c r="Q626" s="8"/>
      <c r="R626" s="8"/>
      <c r="S626" s="8"/>
      <c r="T626" s="8"/>
      <c r="U626" s="8"/>
      <c r="V626" s="8"/>
      <c r="W626" s="8"/>
    </row>
    <row r="627" spans="1:23" ht="15.75" customHeight="1" x14ac:dyDescent="0.25">
      <c r="A627" s="6" t="s">
        <v>3235</v>
      </c>
      <c r="B627" s="8"/>
      <c r="C627" s="8"/>
      <c r="D627" s="8"/>
      <c r="E627" s="8"/>
      <c r="F627" s="8"/>
      <c r="G627" s="8"/>
      <c r="H627" s="8"/>
      <c r="I627" s="8"/>
      <c r="J627" s="8"/>
      <c r="K627" s="8"/>
      <c r="L627" s="8"/>
      <c r="M627" s="8"/>
      <c r="N627" s="8"/>
      <c r="O627" s="8"/>
      <c r="P627" s="8"/>
      <c r="Q627" s="8"/>
      <c r="R627" s="8"/>
      <c r="S627" s="8"/>
      <c r="T627" s="8"/>
      <c r="U627" s="8"/>
      <c r="V627" s="8"/>
      <c r="W627" s="8"/>
    </row>
    <row r="628" spans="1:23" ht="15.75" customHeight="1" x14ac:dyDescent="0.25">
      <c r="A628" s="6" t="s">
        <v>3235</v>
      </c>
      <c r="B628" s="8"/>
      <c r="C628" s="8"/>
      <c r="D628" s="8"/>
      <c r="E628" s="8"/>
      <c r="F628" s="8"/>
      <c r="G628" s="8"/>
      <c r="H628" s="8"/>
      <c r="I628" s="8"/>
      <c r="J628" s="8"/>
      <c r="K628" s="8"/>
      <c r="L628" s="8"/>
      <c r="M628" s="8"/>
      <c r="N628" s="8"/>
      <c r="O628" s="8"/>
      <c r="P628" s="8"/>
      <c r="Q628" s="8"/>
      <c r="R628" s="8"/>
      <c r="S628" s="8"/>
      <c r="T628" s="8"/>
      <c r="U628" s="8"/>
      <c r="V628" s="8"/>
      <c r="W628" s="8"/>
    </row>
    <row r="629" spans="1:23" ht="15.75" customHeight="1" x14ac:dyDescent="0.25">
      <c r="A629" s="6" t="s">
        <v>3235</v>
      </c>
      <c r="B629" s="8"/>
      <c r="C629" s="8"/>
      <c r="D629" s="8"/>
      <c r="E629" s="8"/>
      <c r="F629" s="8"/>
      <c r="G629" s="8"/>
      <c r="H629" s="8"/>
      <c r="I629" s="8"/>
      <c r="J629" s="8"/>
      <c r="K629" s="8"/>
      <c r="L629" s="8"/>
      <c r="M629" s="8"/>
      <c r="N629" s="8"/>
      <c r="O629" s="8"/>
      <c r="P629" s="8"/>
      <c r="Q629" s="8"/>
      <c r="R629" s="8"/>
      <c r="S629" s="8"/>
      <c r="T629" s="8"/>
      <c r="U629" s="8"/>
      <c r="V629" s="8"/>
      <c r="W629" s="8"/>
    </row>
    <row r="630" spans="1:23" ht="15.75" customHeight="1" x14ac:dyDescent="0.25">
      <c r="A630" s="6" t="s">
        <v>3235</v>
      </c>
      <c r="B630" s="8"/>
      <c r="C630" s="8"/>
      <c r="D630" s="8"/>
      <c r="E630" s="8"/>
      <c r="F630" s="8"/>
      <c r="G630" s="8"/>
      <c r="H630" s="8"/>
      <c r="I630" s="8"/>
      <c r="J630" s="8"/>
      <c r="K630" s="8"/>
      <c r="L630" s="8"/>
      <c r="M630" s="8"/>
      <c r="N630" s="8"/>
      <c r="O630" s="8"/>
      <c r="P630" s="8"/>
      <c r="Q630" s="8"/>
      <c r="R630" s="8"/>
      <c r="S630" s="8"/>
      <c r="T630" s="8"/>
      <c r="U630" s="8"/>
      <c r="V630" s="8"/>
      <c r="W630" s="8"/>
    </row>
    <row r="631" spans="1:23" ht="15.75" customHeight="1" x14ac:dyDescent="0.25">
      <c r="A631" s="6" t="s">
        <v>3235</v>
      </c>
      <c r="B631" s="8"/>
      <c r="C631" s="8"/>
      <c r="D631" s="8"/>
      <c r="E631" s="8"/>
      <c r="F631" s="8"/>
      <c r="G631" s="8"/>
      <c r="H631" s="8"/>
      <c r="I631" s="8"/>
      <c r="J631" s="8"/>
      <c r="K631" s="8"/>
      <c r="L631" s="8"/>
      <c r="M631" s="8"/>
      <c r="N631" s="8"/>
      <c r="O631" s="8"/>
      <c r="P631" s="8"/>
      <c r="Q631" s="8"/>
      <c r="R631" s="8"/>
      <c r="S631" s="8"/>
      <c r="T631" s="8"/>
      <c r="U631" s="8"/>
      <c r="V631" s="8"/>
      <c r="W631" s="8"/>
    </row>
    <row r="632" spans="1:23" ht="15.75" customHeight="1" x14ac:dyDescent="0.25">
      <c r="A632" s="6" t="s">
        <v>3235</v>
      </c>
      <c r="B632" s="8"/>
      <c r="C632" s="8"/>
      <c r="D632" s="8"/>
      <c r="E632" s="8"/>
      <c r="F632" s="8"/>
      <c r="G632" s="8"/>
      <c r="H632" s="8"/>
      <c r="I632" s="8"/>
      <c r="J632" s="8"/>
      <c r="K632" s="8"/>
      <c r="L632" s="8"/>
      <c r="M632" s="8"/>
      <c r="N632" s="8"/>
      <c r="O632" s="8"/>
      <c r="P632" s="8"/>
      <c r="Q632" s="8"/>
      <c r="R632" s="8"/>
      <c r="S632" s="8"/>
      <c r="T632" s="8"/>
      <c r="U632" s="8"/>
      <c r="V632" s="8"/>
      <c r="W632" s="8"/>
    </row>
    <row r="633" spans="1:23" ht="15.75" customHeight="1" x14ac:dyDescent="0.25">
      <c r="A633" s="6" t="s">
        <v>3235</v>
      </c>
      <c r="B633" s="8"/>
      <c r="C633" s="8"/>
      <c r="D633" s="8"/>
      <c r="E633" s="8"/>
      <c r="F633" s="8"/>
      <c r="G633" s="8"/>
      <c r="H633" s="8"/>
      <c r="I633" s="8"/>
      <c r="J633" s="8"/>
      <c r="K633" s="8"/>
      <c r="L633" s="8"/>
      <c r="M633" s="8"/>
      <c r="N633" s="8"/>
      <c r="O633" s="8"/>
      <c r="P633" s="8"/>
      <c r="Q633" s="8"/>
      <c r="R633" s="8"/>
      <c r="S633" s="8"/>
      <c r="T633" s="8"/>
      <c r="U633" s="8"/>
      <c r="V633" s="8"/>
      <c r="W633" s="8"/>
    </row>
    <row r="634" spans="1:23" ht="15.75" customHeight="1" x14ac:dyDescent="0.25">
      <c r="A634" s="6" t="s">
        <v>3235</v>
      </c>
      <c r="B634" s="8"/>
      <c r="C634" s="8"/>
      <c r="D634" s="8"/>
      <c r="E634" s="8"/>
      <c r="F634" s="8"/>
      <c r="G634" s="8"/>
      <c r="H634" s="8"/>
      <c r="I634" s="8"/>
      <c r="J634" s="8"/>
      <c r="K634" s="8"/>
      <c r="L634" s="8"/>
      <c r="M634" s="8"/>
      <c r="N634" s="8"/>
      <c r="O634" s="8"/>
      <c r="P634" s="8"/>
      <c r="Q634" s="8"/>
      <c r="R634" s="8"/>
      <c r="S634" s="8"/>
      <c r="T634" s="8"/>
      <c r="U634" s="8"/>
      <c r="V634" s="8"/>
      <c r="W634" s="8"/>
    </row>
    <row r="635" spans="1:23" ht="15.75" customHeight="1" x14ac:dyDescent="0.25">
      <c r="A635" s="6" t="s">
        <v>3235</v>
      </c>
      <c r="B635" s="8"/>
      <c r="C635" s="8"/>
      <c r="D635" s="8"/>
      <c r="E635" s="8"/>
      <c r="F635" s="8"/>
      <c r="G635" s="8"/>
      <c r="H635" s="8"/>
      <c r="I635" s="8"/>
      <c r="J635" s="8"/>
      <c r="K635" s="8"/>
      <c r="L635" s="8"/>
      <c r="M635" s="8"/>
      <c r="N635" s="8"/>
      <c r="O635" s="8"/>
      <c r="P635" s="8"/>
      <c r="Q635" s="8"/>
      <c r="R635" s="8"/>
      <c r="S635" s="8"/>
      <c r="T635" s="8"/>
      <c r="U635" s="8"/>
      <c r="V635" s="8"/>
      <c r="W635" s="8"/>
    </row>
    <row r="636" spans="1:23" ht="15.75" customHeight="1" x14ac:dyDescent="0.25">
      <c r="A636" s="6" t="s">
        <v>3235</v>
      </c>
      <c r="B636" s="8"/>
      <c r="C636" s="8"/>
      <c r="D636" s="8"/>
      <c r="E636" s="8"/>
      <c r="F636" s="8"/>
      <c r="G636" s="8"/>
      <c r="H636" s="8"/>
      <c r="I636" s="8"/>
      <c r="J636" s="8"/>
      <c r="K636" s="8"/>
      <c r="L636" s="8"/>
      <c r="M636" s="8"/>
      <c r="N636" s="8"/>
      <c r="O636" s="8"/>
      <c r="P636" s="8"/>
      <c r="Q636" s="8"/>
      <c r="R636" s="8"/>
      <c r="S636" s="8"/>
      <c r="T636" s="8"/>
      <c r="U636" s="8"/>
      <c r="V636" s="8"/>
      <c r="W636" s="8"/>
    </row>
    <row r="637" spans="1:23" ht="15.75" customHeight="1" x14ac:dyDescent="0.25">
      <c r="A637" s="6" t="s">
        <v>3235</v>
      </c>
      <c r="B637" s="8"/>
      <c r="C637" s="8"/>
      <c r="D637" s="8"/>
      <c r="E637" s="8"/>
      <c r="F637" s="8"/>
      <c r="G637" s="8"/>
      <c r="H637" s="8"/>
      <c r="I637" s="8"/>
      <c r="J637" s="8"/>
      <c r="K637" s="8"/>
      <c r="L637" s="8"/>
      <c r="M637" s="8"/>
      <c r="N637" s="8"/>
      <c r="O637" s="8"/>
      <c r="P637" s="8"/>
      <c r="Q637" s="8"/>
      <c r="R637" s="8"/>
      <c r="S637" s="8"/>
      <c r="T637" s="8"/>
      <c r="U637" s="8"/>
      <c r="V637" s="8"/>
      <c r="W637" s="8"/>
    </row>
    <row r="638" spans="1:23" ht="15.75" customHeight="1" x14ac:dyDescent="0.25">
      <c r="A638" s="6" t="s">
        <v>3235</v>
      </c>
      <c r="B638" s="8"/>
      <c r="C638" s="8"/>
      <c r="D638" s="8"/>
      <c r="E638" s="8"/>
      <c r="F638" s="8"/>
      <c r="G638" s="8"/>
      <c r="H638" s="8"/>
      <c r="I638" s="8"/>
      <c r="J638" s="8"/>
      <c r="K638" s="8"/>
      <c r="L638" s="8"/>
      <c r="M638" s="8"/>
      <c r="N638" s="8"/>
      <c r="O638" s="8"/>
      <c r="P638" s="8"/>
      <c r="Q638" s="8"/>
      <c r="R638" s="8"/>
      <c r="S638" s="8"/>
      <c r="T638" s="8"/>
      <c r="U638" s="8"/>
      <c r="V638" s="8"/>
      <c r="W638" s="8"/>
    </row>
    <row r="639" spans="1:23" ht="15.75" customHeight="1" x14ac:dyDescent="0.25">
      <c r="A639" s="6" t="s">
        <v>3235</v>
      </c>
      <c r="B639" s="8"/>
      <c r="C639" s="8"/>
      <c r="D639" s="8"/>
      <c r="E639" s="8"/>
      <c r="F639" s="8"/>
      <c r="G639" s="8"/>
      <c r="H639" s="8"/>
      <c r="I639" s="8"/>
      <c r="J639" s="8"/>
      <c r="K639" s="8"/>
      <c r="L639" s="8"/>
      <c r="M639" s="8"/>
      <c r="N639" s="8"/>
      <c r="O639" s="8"/>
      <c r="P639" s="8"/>
      <c r="Q639" s="8"/>
      <c r="R639" s="8"/>
      <c r="S639" s="8"/>
      <c r="T639" s="8"/>
      <c r="U639" s="8"/>
      <c r="V639" s="8"/>
      <c r="W639" s="8"/>
    </row>
    <row r="640" spans="1:23" ht="15.75" customHeight="1" x14ac:dyDescent="0.25">
      <c r="A640" s="6" t="s">
        <v>3235</v>
      </c>
      <c r="B640" s="8"/>
      <c r="C640" s="8"/>
      <c r="D640" s="8"/>
      <c r="E640" s="8"/>
      <c r="F640" s="8"/>
      <c r="G640" s="8"/>
      <c r="H640" s="8"/>
      <c r="I640" s="8"/>
      <c r="J640" s="8"/>
      <c r="K640" s="8"/>
      <c r="L640" s="8"/>
      <c r="M640" s="8"/>
      <c r="N640" s="8"/>
      <c r="O640" s="8"/>
      <c r="P640" s="8"/>
      <c r="Q640" s="8"/>
      <c r="R640" s="8"/>
      <c r="S640" s="8"/>
      <c r="T640" s="8"/>
      <c r="U640" s="8"/>
      <c r="V640" s="8"/>
      <c r="W640" s="8"/>
    </row>
    <row r="641" spans="1:23" ht="15.75" customHeight="1" x14ac:dyDescent="0.25">
      <c r="A641" s="6" t="s">
        <v>3235</v>
      </c>
      <c r="B641" s="8"/>
      <c r="C641" s="8"/>
      <c r="D641" s="8"/>
      <c r="E641" s="8"/>
      <c r="F641" s="8"/>
      <c r="G641" s="8"/>
      <c r="H641" s="8"/>
      <c r="I641" s="8"/>
      <c r="J641" s="8"/>
      <c r="K641" s="8"/>
      <c r="L641" s="8"/>
      <c r="M641" s="8"/>
      <c r="N641" s="8"/>
      <c r="O641" s="8"/>
      <c r="P641" s="8"/>
      <c r="Q641" s="8"/>
      <c r="R641" s="8"/>
      <c r="S641" s="8"/>
      <c r="T641" s="8"/>
      <c r="U641" s="8"/>
      <c r="V641" s="8"/>
      <c r="W641" s="8"/>
    </row>
    <row r="642" spans="1:23" ht="15.75" customHeight="1" x14ac:dyDescent="0.25">
      <c r="A642" s="6" t="s">
        <v>3235</v>
      </c>
      <c r="B642" s="8"/>
      <c r="C642" s="8"/>
      <c r="D642" s="8"/>
      <c r="E642" s="8"/>
      <c r="F642" s="8"/>
      <c r="G642" s="8"/>
      <c r="H642" s="8"/>
      <c r="I642" s="8"/>
      <c r="J642" s="8"/>
      <c r="K642" s="8"/>
      <c r="L642" s="8"/>
      <c r="M642" s="8"/>
      <c r="N642" s="8"/>
      <c r="O642" s="8"/>
      <c r="P642" s="8"/>
      <c r="Q642" s="8"/>
      <c r="R642" s="8"/>
      <c r="S642" s="8"/>
      <c r="T642" s="8"/>
      <c r="U642" s="8"/>
      <c r="V642" s="8"/>
      <c r="W642" s="8"/>
    </row>
    <row r="643" spans="1:23" ht="15.75" customHeight="1" x14ac:dyDescent="0.25">
      <c r="A643" s="6" t="s">
        <v>3235</v>
      </c>
      <c r="B643" s="8"/>
      <c r="C643" s="8"/>
      <c r="D643" s="8"/>
      <c r="E643" s="8"/>
      <c r="F643" s="8"/>
      <c r="G643" s="8"/>
      <c r="H643" s="8"/>
      <c r="I643" s="8"/>
      <c r="J643" s="8"/>
      <c r="K643" s="8"/>
      <c r="L643" s="8"/>
      <c r="M643" s="8"/>
      <c r="N643" s="8"/>
      <c r="O643" s="8"/>
      <c r="P643" s="8"/>
      <c r="Q643" s="8"/>
      <c r="R643" s="8"/>
      <c r="S643" s="8"/>
      <c r="T643" s="8"/>
      <c r="U643" s="8"/>
      <c r="V643" s="8"/>
      <c r="W643" s="8"/>
    </row>
    <row r="644" spans="1:23" ht="15.75" customHeight="1" x14ac:dyDescent="0.25">
      <c r="A644" s="6" t="s">
        <v>3235</v>
      </c>
      <c r="B644" s="8"/>
      <c r="C644" s="8"/>
      <c r="D644" s="8"/>
      <c r="E644" s="8"/>
      <c r="F644" s="8"/>
      <c r="G644" s="8"/>
      <c r="H644" s="8"/>
      <c r="I644" s="8"/>
      <c r="J644" s="8"/>
      <c r="K644" s="8"/>
      <c r="L644" s="8"/>
      <c r="M644" s="8"/>
      <c r="N644" s="8"/>
      <c r="O644" s="8"/>
      <c r="P644" s="8"/>
      <c r="Q644" s="8"/>
      <c r="R644" s="8"/>
      <c r="S644" s="8"/>
      <c r="T644" s="8"/>
      <c r="U644" s="8"/>
      <c r="V644" s="8"/>
      <c r="W644" s="8"/>
    </row>
    <row r="645" spans="1:23" ht="15.75" customHeight="1" x14ac:dyDescent="0.25">
      <c r="A645" s="6" t="s">
        <v>3235</v>
      </c>
      <c r="B645" s="8"/>
      <c r="C645" s="8"/>
      <c r="D645" s="8"/>
      <c r="E645" s="8"/>
      <c r="F645" s="8"/>
      <c r="G645" s="8"/>
      <c r="H645" s="8"/>
      <c r="I645" s="8"/>
      <c r="J645" s="8"/>
      <c r="K645" s="8"/>
      <c r="L645" s="8"/>
      <c r="M645" s="8"/>
      <c r="N645" s="8"/>
      <c r="O645" s="8"/>
      <c r="P645" s="8"/>
      <c r="Q645" s="8"/>
      <c r="R645" s="8"/>
      <c r="S645" s="8"/>
      <c r="T645" s="8"/>
      <c r="U645" s="8"/>
      <c r="V645" s="8"/>
      <c r="W645" s="8"/>
    </row>
    <row r="646" spans="1:23" ht="15.75" customHeight="1" x14ac:dyDescent="0.25">
      <c r="A646" s="6" t="s">
        <v>3235</v>
      </c>
      <c r="B646" s="8"/>
      <c r="C646" s="8"/>
      <c r="D646" s="8"/>
      <c r="E646" s="8"/>
      <c r="F646" s="8"/>
      <c r="G646" s="8"/>
      <c r="H646" s="8"/>
      <c r="I646" s="8"/>
      <c r="J646" s="8"/>
      <c r="K646" s="8"/>
      <c r="L646" s="8"/>
      <c r="M646" s="8"/>
      <c r="N646" s="8"/>
      <c r="O646" s="8"/>
      <c r="P646" s="8"/>
      <c r="Q646" s="8"/>
      <c r="R646" s="8"/>
      <c r="S646" s="8"/>
      <c r="T646" s="8"/>
      <c r="U646" s="8"/>
      <c r="V646" s="8"/>
      <c r="W646" s="8"/>
    </row>
    <row r="647" spans="1:23" ht="15.75" customHeight="1" x14ac:dyDescent="0.25">
      <c r="A647" s="6" t="s">
        <v>3235</v>
      </c>
      <c r="B647" s="8"/>
      <c r="C647" s="8"/>
      <c r="D647" s="8"/>
      <c r="E647" s="8"/>
      <c r="F647" s="8"/>
      <c r="G647" s="8"/>
      <c r="H647" s="8"/>
      <c r="I647" s="8"/>
      <c r="J647" s="8"/>
      <c r="K647" s="8"/>
      <c r="L647" s="8"/>
      <c r="M647" s="8"/>
      <c r="N647" s="8"/>
      <c r="O647" s="8"/>
      <c r="P647" s="8"/>
      <c r="Q647" s="8"/>
      <c r="R647" s="8"/>
      <c r="S647" s="8"/>
      <c r="T647" s="8"/>
      <c r="U647" s="8"/>
      <c r="V647" s="8"/>
      <c r="W647" s="8"/>
    </row>
    <row r="648" spans="1:23" ht="15.75" customHeight="1" x14ac:dyDescent="0.25">
      <c r="A648" s="6" t="s">
        <v>3235</v>
      </c>
      <c r="B648" s="8"/>
      <c r="C648" s="8"/>
      <c r="D648" s="8"/>
      <c r="E648" s="8"/>
      <c r="F648" s="8"/>
      <c r="G648" s="8"/>
      <c r="H648" s="8"/>
      <c r="I648" s="8"/>
      <c r="J648" s="8"/>
      <c r="K648" s="8"/>
      <c r="L648" s="8"/>
      <c r="M648" s="8"/>
      <c r="N648" s="8"/>
      <c r="O648" s="8"/>
      <c r="P648" s="8"/>
      <c r="Q648" s="8"/>
      <c r="R648" s="8"/>
      <c r="S648" s="8"/>
      <c r="T648" s="8"/>
      <c r="U648" s="8"/>
      <c r="V648" s="8"/>
      <c r="W648" s="8"/>
    </row>
    <row r="649" spans="1:23" ht="15.75" customHeight="1" x14ac:dyDescent="0.25">
      <c r="A649" s="6" t="s">
        <v>3235</v>
      </c>
      <c r="B649" s="8"/>
      <c r="C649" s="8"/>
      <c r="D649" s="8"/>
      <c r="E649" s="8"/>
      <c r="F649" s="8"/>
      <c r="G649" s="8"/>
      <c r="H649" s="8"/>
      <c r="I649" s="8"/>
      <c r="J649" s="8"/>
      <c r="K649" s="8"/>
      <c r="L649" s="8"/>
      <c r="M649" s="8"/>
      <c r="N649" s="8"/>
      <c r="O649" s="8"/>
      <c r="P649" s="8"/>
      <c r="Q649" s="8"/>
      <c r="R649" s="8"/>
      <c r="S649" s="8"/>
      <c r="T649" s="8"/>
      <c r="U649" s="8"/>
      <c r="V649" s="8"/>
      <c r="W649" s="8"/>
    </row>
    <row r="650" spans="1:23" ht="15.75" customHeight="1" x14ac:dyDescent="0.25">
      <c r="A650" s="6" t="s">
        <v>3235</v>
      </c>
      <c r="B650" s="8"/>
      <c r="C650" s="8"/>
      <c r="D650" s="8"/>
      <c r="E650" s="8"/>
      <c r="F650" s="8"/>
      <c r="G650" s="8"/>
      <c r="H650" s="8"/>
      <c r="I650" s="8"/>
      <c r="J650" s="8"/>
      <c r="K650" s="8"/>
      <c r="L650" s="8"/>
      <c r="M650" s="8"/>
      <c r="N650" s="8"/>
      <c r="O650" s="8"/>
      <c r="P650" s="8"/>
      <c r="Q650" s="8"/>
      <c r="R650" s="8"/>
      <c r="S650" s="8"/>
      <c r="T650" s="8"/>
      <c r="U650" s="8"/>
      <c r="V650" s="8"/>
      <c r="W650" s="8"/>
    </row>
    <row r="651" spans="1:23" ht="15.75" customHeight="1" x14ac:dyDescent="0.25">
      <c r="A651" s="6" t="s">
        <v>3235</v>
      </c>
      <c r="B651" s="8"/>
      <c r="C651" s="8"/>
      <c r="D651" s="8"/>
      <c r="E651" s="8"/>
      <c r="F651" s="8"/>
      <c r="G651" s="8"/>
      <c r="H651" s="8"/>
      <c r="I651" s="8"/>
      <c r="J651" s="8"/>
      <c r="K651" s="8"/>
      <c r="L651" s="8"/>
      <c r="M651" s="8"/>
      <c r="N651" s="8"/>
      <c r="O651" s="8"/>
      <c r="P651" s="8"/>
      <c r="Q651" s="8"/>
      <c r="R651" s="8"/>
      <c r="S651" s="8"/>
      <c r="T651" s="8"/>
      <c r="U651" s="8"/>
      <c r="V651" s="8"/>
      <c r="W651" s="8"/>
    </row>
    <row r="652" spans="1:23" ht="15.75" customHeight="1" x14ac:dyDescent="0.25">
      <c r="A652" s="6" t="s">
        <v>3235</v>
      </c>
      <c r="B652" s="8"/>
      <c r="C652" s="8"/>
      <c r="D652" s="8"/>
      <c r="E652" s="8"/>
      <c r="F652" s="8"/>
      <c r="G652" s="8"/>
      <c r="H652" s="8"/>
      <c r="I652" s="8"/>
      <c r="J652" s="8"/>
      <c r="K652" s="8"/>
      <c r="L652" s="8"/>
      <c r="M652" s="8"/>
      <c r="N652" s="8"/>
      <c r="O652" s="8"/>
      <c r="P652" s="8"/>
      <c r="Q652" s="8"/>
      <c r="R652" s="8"/>
      <c r="S652" s="8"/>
      <c r="T652" s="8"/>
      <c r="U652" s="8"/>
      <c r="V652" s="8"/>
      <c r="W652" s="8"/>
    </row>
    <row r="653" spans="1:23" ht="15.75" customHeight="1" x14ac:dyDescent="0.25">
      <c r="A653" s="6" t="s">
        <v>3235</v>
      </c>
      <c r="B653" s="8"/>
      <c r="C653" s="8"/>
      <c r="D653" s="8"/>
      <c r="E653" s="8"/>
      <c r="F653" s="8"/>
      <c r="G653" s="8"/>
      <c r="H653" s="8"/>
      <c r="I653" s="8"/>
      <c r="J653" s="8"/>
      <c r="K653" s="8"/>
      <c r="L653" s="8"/>
      <c r="M653" s="8"/>
      <c r="N653" s="8"/>
      <c r="O653" s="8"/>
      <c r="P653" s="8"/>
      <c r="Q653" s="8"/>
      <c r="R653" s="8"/>
      <c r="S653" s="8"/>
      <c r="T653" s="8"/>
      <c r="U653" s="8"/>
      <c r="V653" s="8"/>
      <c r="W653" s="8"/>
    </row>
    <row r="654" spans="1:23" ht="15.75" customHeight="1" x14ac:dyDescent="0.25">
      <c r="A654" s="6" t="s">
        <v>3235</v>
      </c>
      <c r="B654" s="8"/>
      <c r="C654" s="8"/>
      <c r="D654" s="8"/>
      <c r="E654" s="8"/>
      <c r="F654" s="8"/>
      <c r="G654" s="8"/>
      <c r="H654" s="8"/>
      <c r="I654" s="8"/>
      <c r="J654" s="8"/>
      <c r="K654" s="8"/>
      <c r="L654" s="8"/>
      <c r="M654" s="8"/>
      <c r="N654" s="8"/>
      <c r="O654" s="8"/>
      <c r="P654" s="8"/>
      <c r="Q654" s="8"/>
      <c r="R654" s="8"/>
      <c r="S654" s="8"/>
      <c r="T654" s="8"/>
      <c r="U654" s="8"/>
      <c r="V654" s="8"/>
      <c r="W654" s="8"/>
    </row>
    <row r="655" spans="1:23" ht="15.75" customHeight="1" x14ac:dyDescent="0.25">
      <c r="A655" s="6" t="s">
        <v>3235</v>
      </c>
      <c r="B655" s="8"/>
      <c r="C655" s="8"/>
      <c r="D655" s="8"/>
      <c r="E655" s="8"/>
      <c r="F655" s="8"/>
      <c r="G655" s="8"/>
      <c r="H655" s="8"/>
      <c r="I655" s="8"/>
      <c r="J655" s="8"/>
      <c r="K655" s="8"/>
      <c r="L655" s="8"/>
      <c r="M655" s="8"/>
      <c r="N655" s="8"/>
      <c r="O655" s="8"/>
      <c r="P655" s="8"/>
      <c r="Q655" s="8"/>
      <c r="R655" s="8"/>
      <c r="S655" s="8"/>
      <c r="T655" s="8"/>
      <c r="U655" s="8"/>
      <c r="V655" s="8"/>
      <c r="W655" s="8"/>
    </row>
    <row r="656" spans="1:23" ht="15.75" customHeight="1" x14ac:dyDescent="0.25">
      <c r="A656" s="6" t="s">
        <v>3235</v>
      </c>
      <c r="B656" s="8"/>
      <c r="C656" s="8"/>
      <c r="D656" s="8"/>
      <c r="E656" s="8"/>
      <c r="F656" s="8"/>
      <c r="G656" s="8"/>
      <c r="H656" s="8"/>
      <c r="I656" s="8"/>
      <c r="J656" s="8"/>
      <c r="K656" s="8"/>
      <c r="L656" s="8"/>
      <c r="M656" s="8"/>
      <c r="N656" s="8"/>
      <c r="O656" s="8"/>
      <c r="P656" s="8"/>
      <c r="Q656" s="8"/>
      <c r="R656" s="8"/>
      <c r="S656" s="8"/>
      <c r="T656" s="8"/>
      <c r="U656" s="8"/>
      <c r="V656" s="8"/>
      <c r="W656" s="8"/>
    </row>
    <row r="657" spans="1:23" ht="15.75" customHeight="1" x14ac:dyDescent="0.25">
      <c r="A657" s="6" t="s">
        <v>3235</v>
      </c>
      <c r="B657" s="8"/>
      <c r="C657" s="8"/>
      <c r="D657" s="8"/>
      <c r="E657" s="8"/>
      <c r="F657" s="8"/>
      <c r="G657" s="8"/>
      <c r="H657" s="8"/>
      <c r="I657" s="8"/>
      <c r="J657" s="8"/>
      <c r="K657" s="8"/>
      <c r="L657" s="8"/>
      <c r="M657" s="8"/>
      <c r="N657" s="8"/>
      <c r="O657" s="8"/>
      <c r="P657" s="8"/>
      <c r="Q657" s="8"/>
      <c r="R657" s="8"/>
      <c r="S657" s="8"/>
      <c r="T657" s="8"/>
      <c r="U657" s="8"/>
      <c r="V657" s="8"/>
      <c r="W657" s="8"/>
    </row>
    <row r="658" spans="1:23" ht="15.75" customHeight="1" x14ac:dyDescent="0.25">
      <c r="A658" s="6" t="s">
        <v>3235</v>
      </c>
      <c r="B658" s="8"/>
      <c r="C658" s="8"/>
      <c r="D658" s="8"/>
      <c r="E658" s="8"/>
      <c r="F658" s="8"/>
      <c r="G658" s="8"/>
      <c r="H658" s="8"/>
      <c r="I658" s="8"/>
      <c r="J658" s="8"/>
      <c r="K658" s="8"/>
      <c r="L658" s="8"/>
      <c r="M658" s="8"/>
      <c r="N658" s="8"/>
      <c r="O658" s="8"/>
      <c r="P658" s="8"/>
      <c r="Q658" s="8"/>
      <c r="R658" s="8"/>
      <c r="S658" s="8"/>
      <c r="T658" s="8"/>
      <c r="U658" s="8"/>
      <c r="V658" s="8"/>
      <c r="W658" s="8"/>
    </row>
    <row r="659" spans="1:23" ht="15.75" customHeight="1" x14ac:dyDescent="0.25">
      <c r="A659" s="6" t="s">
        <v>3235</v>
      </c>
      <c r="B659" s="8"/>
      <c r="C659" s="8"/>
      <c r="D659" s="8"/>
      <c r="E659" s="8"/>
      <c r="F659" s="8"/>
      <c r="G659" s="8"/>
      <c r="H659" s="8"/>
      <c r="I659" s="8"/>
      <c r="J659" s="8"/>
      <c r="K659" s="8"/>
      <c r="L659" s="8"/>
      <c r="M659" s="8"/>
      <c r="N659" s="8"/>
      <c r="O659" s="8"/>
      <c r="P659" s="8"/>
      <c r="Q659" s="8"/>
      <c r="R659" s="8"/>
      <c r="S659" s="8"/>
      <c r="T659" s="8"/>
      <c r="U659" s="8"/>
      <c r="V659" s="8"/>
      <c r="W659" s="8"/>
    </row>
    <row r="660" spans="1:23" ht="15.75" customHeight="1" x14ac:dyDescent="0.25">
      <c r="A660" s="6" t="s">
        <v>3235</v>
      </c>
      <c r="B660" s="8"/>
      <c r="C660" s="8"/>
      <c r="D660" s="8"/>
      <c r="E660" s="8"/>
      <c r="F660" s="8"/>
      <c r="G660" s="8"/>
      <c r="H660" s="8"/>
      <c r="I660" s="8"/>
      <c r="J660" s="8"/>
      <c r="K660" s="8"/>
      <c r="L660" s="8"/>
      <c r="M660" s="8"/>
      <c r="N660" s="8"/>
      <c r="O660" s="8"/>
      <c r="P660" s="8"/>
      <c r="Q660" s="8"/>
      <c r="R660" s="8"/>
      <c r="S660" s="8"/>
      <c r="T660" s="8"/>
      <c r="U660" s="8"/>
      <c r="V660" s="8"/>
      <c r="W660" s="8"/>
    </row>
    <row r="661" spans="1:23" ht="15.75" customHeight="1" x14ac:dyDescent="0.25">
      <c r="A661" s="6" t="s">
        <v>3235</v>
      </c>
      <c r="B661" s="8"/>
      <c r="C661" s="8"/>
      <c r="D661" s="8"/>
      <c r="E661" s="8"/>
      <c r="F661" s="8"/>
      <c r="G661" s="8"/>
      <c r="H661" s="8"/>
      <c r="I661" s="8"/>
      <c r="J661" s="8"/>
      <c r="K661" s="8"/>
      <c r="L661" s="8"/>
      <c r="M661" s="8"/>
      <c r="N661" s="8"/>
      <c r="O661" s="8"/>
      <c r="P661" s="8"/>
      <c r="Q661" s="8"/>
      <c r="R661" s="8"/>
      <c r="S661" s="8"/>
      <c r="T661" s="8"/>
      <c r="U661" s="8"/>
      <c r="V661" s="8"/>
      <c r="W661" s="8"/>
    </row>
    <row r="662" spans="1:23" ht="15.75" customHeight="1" x14ac:dyDescent="0.25">
      <c r="A662" s="6" t="s">
        <v>3235</v>
      </c>
      <c r="B662" s="8"/>
      <c r="C662" s="8"/>
      <c r="D662" s="8"/>
      <c r="E662" s="8"/>
      <c r="F662" s="8"/>
      <c r="G662" s="8"/>
      <c r="H662" s="8"/>
      <c r="I662" s="8"/>
      <c r="J662" s="8"/>
      <c r="K662" s="8"/>
      <c r="L662" s="8"/>
      <c r="M662" s="8"/>
      <c r="N662" s="8"/>
      <c r="O662" s="8"/>
      <c r="P662" s="8"/>
      <c r="Q662" s="8"/>
      <c r="R662" s="8"/>
      <c r="S662" s="8"/>
      <c r="T662" s="8"/>
      <c r="U662" s="8"/>
      <c r="V662" s="8"/>
      <c r="W662" s="8"/>
    </row>
    <row r="663" spans="1:23" ht="15.75" customHeight="1" x14ac:dyDescent="0.25">
      <c r="A663" s="6" t="s">
        <v>4165</v>
      </c>
      <c r="B663" s="8"/>
      <c r="C663" s="8"/>
      <c r="D663" s="8"/>
      <c r="E663" s="8"/>
      <c r="F663" s="8"/>
      <c r="G663" s="8"/>
      <c r="H663" s="8"/>
      <c r="I663" s="8"/>
      <c r="J663" s="8"/>
      <c r="K663" s="8"/>
      <c r="L663" s="8"/>
      <c r="M663" s="8"/>
      <c r="N663" s="8"/>
      <c r="O663" s="8"/>
      <c r="P663" s="8"/>
      <c r="Q663" s="8"/>
      <c r="R663" s="8"/>
      <c r="S663" s="8"/>
      <c r="T663" s="8"/>
      <c r="U663" s="8"/>
      <c r="V663" s="8"/>
      <c r="W663" s="8"/>
    </row>
    <row r="664" spans="1:23" ht="15.75" customHeight="1" x14ac:dyDescent="0.25">
      <c r="A664" s="6" t="s">
        <v>4166</v>
      </c>
      <c r="B664" s="8"/>
      <c r="C664" s="8"/>
      <c r="D664" s="8"/>
      <c r="E664" s="8"/>
      <c r="F664" s="8"/>
      <c r="G664" s="8"/>
      <c r="H664" s="8"/>
      <c r="I664" s="8"/>
      <c r="J664" s="8"/>
      <c r="K664" s="8"/>
      <c r="L664" s="8"/>
      <c r="M664" s="8"/>
      <c r="N664" s="8"/>
      <c r="O664" s="8"/>
      <c r="P664" s="8"/>
      <c r="Q664" s="8"/>
      <c r="R664" s="8"/>
      <c r="S664" s="8"/>
      <c r="T664" s="8"/>
      <c r="U664" s="8"/>
      <c r="V664" s="8"/>
      <c r="W664" s="8"/>
    </row>
    <row r="665" spans="1:23" ht="15.75" customHeight="1" x14ac:dyDescent="0.25">
      <c r="A665" s="6" t="s">
        <v>3694</v>
      </c>
      <c r="B665" s="8"/>
      <c r="C665" s="8"/>
      <c r="D665" s="8"/>
      <c r="E665" s="8"/>
      <c r="F665" s="8"/>
      <c r="G665" s="8"/>
      <c r="H665" s="8"/>
      <c r="I665" s="8"/>
      <c r="J665" s="8"/>
      <c r="K665" s="8"/>
      <c r="L665" s="8"/>
      <c r="M665" s="8"/>
      <c r="N665" s="8"/>
      <c r="O665" s="8"/>
      <c r="P665" s="8"/>
      <c r="Q665" s="8"/>
      <c r="R665" s="8"/>
      <c r="S665" s="8"/>
      <c r="T665" s="8"/>
      <c r="U665" s="8"/>
      <c r="V665" s="8"/>
      <c r="W665" s="8"/>
    </row>
    <row r="666" spans="1:23" ht="15.75" customHeight="1" x14ac:dyDescent="0.25">
      <c r="A666" s="6" t="s">
        <v>3694</v>
      </c>
      <c r="B666" s="8"/>
      <c r="C666" s="8"/>
      <c r="D666" s="8"/>
      <c r="E666" s="8"/>
      <c r="F666" s="8"/>
      <c r="G666" s="8"/>
      <c r="H666" s="8"/>
      <c r="I666" s="8"/>
      <c r="J666" s="8"/>
      <c r="K666" s="8"/>
      <c r="L666" s="8"/>
      <c r="M666" s="8"/>
      <c r="N666" s="8"/>
      <c r="O666" s="8"/>
      <c r="P666" s="8"/>
      <c r="Q666" s="8"/>
      <c r="R666" s="8"/>
      <c r="S666" s="8"/>
      <c r="T666" s="8"/>
      <c r="U666" s="8"/>
      <c r="V666" s="8"/>
      <c r="W666" s="8"/>
    </row>
    <row r="667" spans="1:23" ht="15.75" customHeight="1" x14ac:dyDescent="0.25">
      <c r="A667" s="6" t="s">
        <v>3694</v>
      </c>
      <c r="B667" s="8"/>
      <c r="C667" s="8"/>
      <c r="D667" s="8"/>
      <c r="E667" s="8"/>
      <c r="F667" s="8"/>
      <c r="G667" s="8"/>
      <c r="H667" s="8"/>
      <c r="I667" s="8"/>
      <c r="J667" s="8"/>
      <c r="K667" s="8"/>
      <c r="L667" s="8"/>
      <c r="M667" s="8"/>
      <c r="N667" s="8"/>
      <c r="O667" s="8"/>
      <c r="P667" s="8"/>
      <c r="Q667" s="8"/>
      <c r="R667" s="8"/>
      <c r="S667" s="8"/>
      <c r="T667" s="8"/>
      <c r="U667" s="8"/>
      <c r="V667" s="8"/>
      <c r="W667" s="8"/>
    </row>
    <row r="668" spans="1:23" ht="15.75" customHeight="1" x14ac:dyDescent="0.25">
      <c r="A668" s="6" t="s">
        <v>4167</v>
      </c>
      <c r="B668" s="8"/>
      <c r="C668" s="8"/>
      <c r="D668" s="8"/>
      <c r="E668" s="8"/>
      <c r="F668" s="8"/>
      <c r="G668" s="8"/>
      <c r="H668" s="8"/>
      <c r="I668" s="8"/>
      <c r="J668" s="8"/>
      <c r="K668" s="8"/>
      <c r="L668" s="8"/>
      <c r="M668" s="8"/>
      <c r="N668" s="8"/>
      <c r="O668" s="8"/>
      <c r="P668" s="8"/>
      <c r="Q668" s="8"/>
      <c r="R668" s="8"/>
      <c r="S668" s="8"/>
      <c r="T668" s="8"/>
      <c r="U668" s="8"/>
      <c r="V668" s="8"/>
      <c r="W668" s="8"/>
    </row>
    <row r="669" spans="1:23" ht="15.75" customHeight="1" x14ac:dyDescent="0.25">
      <c r="A669" s="6" t="s">
        <v>3341</v>
      </c>
      <c r="B669" s="8"/>
      <c r="C669" s="8"/>
      <c r="D669" s="8"/>
      <c r="E669" s="8"/>
      <c r="F669" s="8"/>
      <c r="G669" s="8"/>
      <c r="H669" s="8"/>
      <c r="I669" s="8"/>
      <c r="J669" s="8"/>
      <c r="K669" s="8"/>
      <c r="L669" s="8"/>
      <c r="M669" s="8"/>
      <c r="N669" s="8"/>
      <c r="O669" s="8"/>
      <c r="P669" s="8"/>
      <c r="Q669" s="8"/>
      <c r="R669" s="8"/>
      <c r="S669" s="8"/>
      <c r="T669" s="8"/>
      <c r="U669" s="8"/>
      <c r="V669" s="8"/>
      <c r="W669" s="8"/>
    </row>
    <row r="670" spans="1:23" ht="15.75" customHeight="1" x14ac:dyDescent="0.25">
      <c r="A670" s="6" t="s">
        <v>3341</v>
      </c>
      <c r="B670" s="8"/>
      <c r="C670" s="8"/>
      <c r="D670" s="8"/>
      <c r="E670" s="8"/>
      <c r="F670" s="8"/>
      <c r="G670" s="8"/>
      <c r="H670" s="8"/>
      <c r="I670" s="8"/>
      <c r="J670" s="8"/>
      <c r="K670" s="8"/>
      <c r="L670" s="8"/>
      <c r="M670" s="8"/>
      <c r="N670" s="8"/>
      <c r="O670" s="8"/>
      <c r="P670" s="8"/>
      <c r="Q670" s="8"/>
      <c r="R670" s="8"/>
      <c r="S670" s="8"/>
      <c r="T670" s="8"/>
      <c r="U670" s="8"/>
      <c r="V670" s="8"/>
      <c r="W670" s="8"/>
    </row>
    <row r="671" spans="1:23" ht="15.75" customHeight="1" x14ac:dyDescent="0.25">
      <c r="A671" s="6" t="s">
        <v>3341</v>
      </c>
      <c r="B671" s="8"/>
      <c r="C671" s="8"/>
      <c r="D671" s="8"/>
      <c r="E671" s="8"/>
      <c r="F671" s="8"/>
      <c r="G671" s="8"/>
      <c r="H671" s="8"/>
      <c r="I671" s="8"/>
      <c r="J671" s="8"/>
      <c r="K671" s="8"/>
      <c r="L671" s="8"/>
      <c r="M671" s="8"/>
      <c r="N671" s="8"/>
      <c r="O671" s="8"/>
      <c r="P671" s="8"/>
      <c r="Q671" s="8"/>
      <c r="R671" s="8"/>
      <c r="S671" s="8"/>
      <c r="T671" s="8"/>
      <c r="U671" s="8"/>
      <c r="V671" s="8"/>
      <c r="W671" s="8"/>
    </row>
    <row r="672" spans="1:23" ht="15.75" customHeight="1" x14ac:dyDescent="0.25">
      <c r="A672" s="6" t="s">
        <v>3341</v>
      </c>
      <c r="B672" s="8"/>
      <c r="C672" s="8"/>
      <c r="D672" s="8"/>
      <c r="E672" s="8"/>
      <c r="F672" s="8"/>
      <c r="G672" s="8"/>
      <c r="H672" s="8"/>
      <c r="I672" s="8"/>
      <c r="J672" s="8"/>
      <c r="K672" s="8"/>
      <c r="L672" s="8"/>
      <c r="M672" s="8"/>
      <c r="N672" s="8"/>
      <c r="O672" s="8"/>
      <c r="P672" s="8"/>
      <c r="Q672" s="8"/>
      <c r="R672" s="8"/>
      <c r="S672" s="8"/>
      <c r="T672" s="8"/>
      <c r="U672" s="8"/>
      <c r="V672" s="8"/>
      <c r="W672" s="8"/>
    </row>
    <row r="673" spans="1:23" ht="15.75" customHeight="1" x14ac:dyDescent="0.25">
      <c r="A673" s="6" t="s">
        <v>3341</v>
      </c>
      <c r="B673" s="8"/>
      <c r="C673" s="8"/>
      <c r="D673" s="8"/>
      <c r="E673" s="8"/>
      <c r="F673" s="8"/>
      <c r="G673" s="8"/>
      <c r="H673" s="8"/>
      <c r="I673" s="8"/>
      <c r="J673" s="8"/>
      <c r="K673" s="8"/>
      <c r="L673" s="8"/>
      <c r="M673" s="8"/>
      <c r="N673" s="8"/>
      <c r="O673" s="8"/>
      <c r="P673" s="8"/>
      <c r="Q673" s="8"/>
      <c r="R673" s="8"/>
      <c r="S673" s="8"/>
      <c r="T673" s="8"/>
      <c r="U673" s="8"/>
      <c r="V673" s="8"/>
      <c r="W673" s="8"/>
    </row>
    <row r="674" spans="1:23" ht="15.75" customHeight="1" x14ac:dyDescent="0.25">
      <c r="A674" s="6" t="s">
        <v>3341</v>
      </c>
      <c r="B674" s="8"/>
      <c r="C674" s="8"/>
      <c r="D674" s="8"/>
      <c r="E674" s="8"/>
      <c r="F674" s="8"/>
      <c r="G674" s="8"/>
      <c r="H674" s="8"/>
      <c r="I674" s="8"/>
      <c r="J674" s="8"/>
      <c r="K674" s="8"/>
      <c r="L674" s="8"/>
      <c r="M674" s="8"/>
      <c r="N674" s="8"/>
      <c r="O674" s="8"/>
      <c r="P674" s="8"/>
      <c r="Q674" s="8"/>
      <c r="R674" s="8"/>
      <c r="S674" s="8"/>
      <c r="T674" s="8"/>
      <c r="U674" s="8"/>
      <c r="V674" s="8"/>
      <c r="W674" s="8"/>
    </row>
    <row r="675" spans="1:23" ht="15.75" customHeight="1" x14ac:dyDescent="0.25">
      <c r="A675" s="6" t="s">
        <v>3341</v>
      </c>
      <c r="B675" s="8"/>
      <c r="C675" s="8"/>
      <c r="D675" s="8"/>
      <c r="E675" s="8"/>
      <c r="F675" s="8"/>
      <c r="G675" s="8"/>
      <c r="H675" s="8"/>
      <c r="I675" s="8"/>
      <c r="J675" s="8"/>
      <c r="K675" s="8"/>
      <c r="L675" s="8"/>
      <c r="M675" s="8"/>
      <c r="N675" s="8"/>
      <c r="O675" s="8"/>
      <c r="P675" s="8"/>
      <c r="Q675" s="8"/>
      <c r="R675" s="8"/>
      <c r="S675" s="8"/>
      <c r="T675" s="8"/>
      <c r="U675" s="8"/>
      <c r="V675" s="8"/>
      <c r="W675" s="8"/>
    </row>
    <row r="676" spans="1:23" ht="15.75" customHeight="1" x14ac:dyDescent="0.25">
      <c r="A676" s="6" t="s">
        <v>3341</v>
      </c>
      <c r="B676" s="8"/>
      <c r="C676" s="8"/>
      <c r="D676" s="8"/>
      <c r="E676" s="8"/>
      <c r="F676" s="8"/>
      <c r="G676" s="8"/>
      <c r="H676" s="8"/>
      <c r="I676" s="8"/>
      <c r="J676" s="8"/>
      <c r="K676" s="8"/>
      <c r="L676" s="8"/>
      <c r="M676" s="8"/>
      <c r="N676" s="8"/>
      <c r="O676" s="8"/>
      <c r="P676" s="8"/>
      <c r="Q676" s="8"/>
      <c r="R676" s="8"/>
      <c r="S676" s="8"/>
      <c r="T676" s="8"/>
      <c r="U676" s="8"/>
      <c r="V676" s="8"/>
      <c r="W676" s="8"/>
    </row>
    <row r="677" spans="1:23" ht="15.75" customHeight="1" x14ac:dyDescent="0.25">
      <c r="A677" s="6" t="s">
        <v>3341</v>
      </c>
      <c r="B677" s="8"/>
      <c r="C677" s="8"/>
      <c r="D677" s="8"/>
      <c r="E677" s="8"/>
      <c r="F677" s="8"/>
      <c r="G677" s="8"/>
      <c r="H677" s="8"/>
      <c r="I677" s="8"/>
      <c r="J677" s="8"/>
      <c r="K677" s="8"/>
      <c r="L677" s="8"/>
      <c r="M677" s="8"/>
      <c r="N677" s="8"/>
      <c r="O677" s="8"/>
      <c r="P677" s="8"/>
      <c r="Q677" s="8"/>
      <c r="R677" s="8"/>
      <c r="S677" s="8"/>
      <c r="T677" s="8"/>
      <c r="U677" s="8"/>
      <c r="V677" s="8"/>
      <c r="W677" s="8"/>
    </row>
    <row r="678" spans="1:23" ht="15.75" customHeight="1" x14ac:dyDescent="0.25">
      <c r="A678" s="6" t="s">
        <v>3341</v>
      </c>
      <c r="B678" s="8"/>
      <c r="C678" s="8"/>
      <c r="D678" s="8"/>
      <c r="E678" s="8"/>
      <c r="F678" s="8"/>
      <c r="G678" s="8"/>
      <c r="H678" s="8"/>
      <c r="I678" s="8"/>
      <c r="J678" s="8"/>
      <c r="K678" s="8"/>
      <c r="L678" s="8"/>
      <c r="M678" s="8"/>
      <c r="N678" s="8"/>
      <c r="O678" s="8"/>
      <c r="P678" s="8"/>
      <c r="Q678" s="8"/>
      <c r="R678" s="8"/>
      <c r="S678" s="8"/>
      <c r="T678" s="8"/>
      <c r="U678" s="8"/>
      <c r="V678" s="8"/>
      <c r="W678" s="8"/>
    </row>
    <row r="679" spans="1:23" ht="15.75" customHeight="1" x14ac:dyDescent="0.25">
      <c r="A679" s="6" t="s">
        <v>3341</v>
      </c>
      <c r="B679" s="8"/>
      <c r="C679" s="8"/>
      <c r="D679" s="8"/>
      <c r="E679" s="8"/>
      <c r="F679" s="8"/>
      <c r="G679" s="8"/>
      <c r="H679" s="8"/>
      <c r="I679" s="8"/>
      <c r="J679" s="8"/>
      <c r="K679" s="8"/>
      <c r="L679" s="8"/>
      <c r="M679" s="8"/>
      <c r="N679" s="8"/>
      <c r="O679" s="8"/>
      <c r="P679" s="8"/>
      <c r="Q679" s="8"/>
      <c r="R679" s="8"/>
      <c r="S679" s="8"/>
      <c r="T679" s="8"/>
      <c r="U679" s="8"/>
      <c r="V679" s="8"/>
      <c r="W679" s="8"/>
    </row>
    <row r="680" spans="1:23" ht="15.75" customHeight="1" x14ac:dyDescent="0.25">
      <c r="A680" s="6" t="s">
        <v>3341</v>
      </c>
      <c r="B680" s="8"/>
      <c r="C680" s="8"/>
      <c r="D680" s="8"/>
      <c r="E680" s="8"/>
      <c r="F680" s="8"/>
      <c r="G680" s="8"/>
      <c r="H680" s="8"/>
      <c r="I680" s="8"/>
      <c r="J680" s="8"/>
      <c r="K680" s="8"/>
      <c r="L680" s="8"/>
      <c r="M680" s="8"/>
      <c r="N680" s="8"/>
      <c r="O680" s="8"/>
      <c r="P680" s="8"/>
      <c r="Q680" s="8"/>
      <c r="R680" s="8"/>
      <c r="S680" s="8"/>
      <c r="T680" s="8"/>
      <c r="U680" s="8"/>
      <c r="V680" s="8"/>
      <c r="W680" s="8"/>
    </row>
    <row r="681" spans="1:23" ht="15.75" customHeight="1" x14ac:dyDescent="0.25">
      <c r="A681" s="6" t="s">
        <v>3341</v>
      </c>
      <c r="B681" s="8"/>
      <c r="C681" s="8"/>
      <c r="D681" s="8"/>
      <c r="E681" s="8"/>
      <c r="F681" s="8"/>
      <c r="G681" s="8"/>
      <c r="H681" s="8"/>
      <c r="I681" s="8"/>
      <c r="J681" s="8"/>
      <c r="K681" s="8"/>
      <c r="L681" s="8"/>
      <c r="M681" s="8"/>
      <c r="N681" s="8"/>
      <c r="O681" s="8"/>
      <c r="P681" s="8"/>
      <c r="Q681" s="8"/>
      <c r="R681" s="8"/>
      <c r="S681" s="8"/>
      <c r="T681" s="8"/>
      <c r="U681" s="8"/>
      <c r="V681" s="8"/>
      <c r="W681" s="8"/>
    </row>
    <row r="682" spans="1:23" ht="15.75" customHeight="1" x14ac:dyDescent="0.25">
      <c r="A682" s="6" t="s">
        <v>3848</v>
      </c>
      <c r="B682" s="8"/>
      <c r="C682" s="8"/>
      <c r="D682" s="8"/>
      <c r="E682" s="8"/>
      <c r="F682" s="8"/>
      <c r="G682" s="8"/>
      <c r="H682" s="8"/>
      <c r="I682" s="8"/>
      <c r="J682" s="8"/>
      <c r="K682" s="8"/>
      <c r="L682" s="8"/>
      <c r="M682" s="8"/>
      <c r="N682" s="8"/>
      <c r="O682" s="8"/>
      <c r="P682" s="8"/>
      <c r="Q682" s="8"/>
      <c r="R682" s="8"/>
      <c r="S682" s="8"/>
      <c r="T682" s="8"/>
      <c r="U682" s="8"/>
      <c r="V682" s="8"/>
      <c r="W682" s="8"/>
    </row>
    <row r="683" spans="1:23" ht="15.75" customHeight="1" x14ac:dyDescent="0.25">
      <c r="A683" s="6" t="s">
        <v>3848</v>
      </c>
      <c r="B683" s="8"/>
      <c r="C683" s="8"/>
      <c r="D683" s="8"/>
      <c r="E683" s="8"/>
      <c r="F683" s="8"/>
      <c r="G683" s="8"/>
      <c r="H683" s="8"/>
      <c r="I683" s="8"/>
      <c r="J683" s="8"/>
      <c r="K683" s="8"/>
      <c r="L683" s="8"/>
      <c r="M683" s="8"/>
      <c r="N683" s="8"/>
      <c r="O683" s="8"/>
      <c r="P683" s="8"/>
      <c r="Q683" s="8"/>
      <c r="R683" s="8"/>
      <c r="S683" s="8"/>
      <c r="T683" s="8"/>
      <c r="U683" s="8"/>
      <c r="V683" s="8"/>
      <c r="W683" s="8"/>
    </row>
    <row r="684" spans="1:23" ht="15.75" customHeight="1" x14ac:dyDescent="0.25">
      <c r="A684" s="6" t="s">
        <v>4168</v>
      </c>
      <c r="B684" s="8"/>
      <c r="C684" s="8"/>
      <c r="D684" s="8"/>
      <c r="E684" s="8"/>
      <c r="F684" s="8"/>
      <c r="G684" s="8"/>
      <c r="H684" s="8"/>
      <c r="I684" s="8"/>
      <c r="J684" s="8"/>
      <c r="K684" s="8"/>
      <c r="L684" s="8"/>
      <c r="M684" s="8"/>
      <c r="N684" s="8"/>
      <c r="O684" s="8"/>
      <c r="P684" s="8"/>
      <c r="Q684" s="8"/>
      <c r="R684" s="8"/>
      <c r="S684" s="8"/>
      <c r="T684" s="8"/>
      <c r="U684" s="8"/>
      <c r="V684" s="8"/>
      <c r="W684" s="8"/>
    </row>
    <row r="685" spans="1:23" ht="15.75" customHeight="1" x14ac:dyDescent="0.25">
      <c r="A685" s="6" t="s">
        <v>3411</v>
      </c>
      <c r="B685" s="8"/>
      <c r="C685" s="8"/>
      <c r="D685" s="8"/>
      <c r="E685" s="8"/>
      <c r="F685" s="8"/>
      <c r="G685" s="8"/>
      <c r="H685" s="8"/>
      <c r="I685" s="8"/>
      <c r="J685" s="8"/>
      <c r="K685" s="8"/>
      <c r="L685" s="8"/>
      <c r="M685" s="8"/>
      <c r="N685" s="8"/>
      <c r="O685" s="8"/>
      <c r="P685" s="8"/>
      <c r="Q685" s="8"/>
      <c r="R685" s="8"/>
      <c r="S685" s="8"/>
      <c r="T685" s="8"/>
      <c r="U685" s="8"/>
      <c r="V685" s="8"/>
      <c r="W685" s="8"/>
    </row>
    <row r="686" spans="1:23" ht="15.75" customHeight="1" x14ac:dyDescent="0.25">
      <c r="A686" s="6" t="s">
        <v>3411</v>
      </c>
      <c r="B686" s="8"/>
      <c r="C686" s="8"/>
      <c r="D686" s="8"/>
      <c r="E686" s="8"/>
      <c r="F686" s="8"/>
      <c r="G686" s="8"/>
      <c r="H686" s="8"/>
      <c r="I686" s="8"/>
      <c r="J686" s="8"/>
      <c r="K686" s="8"/>
      <c r="L686" s="8"/>
      <c r="M686" s="8"/>
      <c r="N686" s="8"/>
      <c r="O686" s="8"/>
      <c r="P686" s="8"/>
      <c r="Q686" s="8"/>
      <c r="R686" s="8"/>
      <c r="S686" s="8"/>
      <c r="T686" s="8"/>
      <c r="U686" s="8"/>
      <c r="V686" s="8"/>
      <c r="W686" s="8"/>
    </row>
    <row r="687" spans="1:23" ht="15.75" customHeight="1" x14ac:dyDescent="0.25">
      <c r="A687" s="6" t="s">
        <v>3411</v>
      </c>
      <c r="B687" s="8"/>
      <c r="C687" s="8"/>
      <c r="D687" s="8"/>
      <c r="E687" s="8"/>
      <c r="F687" s="8"/>
      <c r="G687" s="8"/>
      <c r="H687" s="8"/>
      <c r="I687" s="8"/>
      <c r="J687" s="8"/>
      <c r="K687" s="8"/>
      <c r="L687" s="8"/>
      <c r="M687" s="8"/>
      <c r="N687" s="8"/>
      <c r="O687" s="8"/>
      <c r="P687" s="8"/>
      <c r="Q687" s="8"/>
      <c r="R687" s="8"/>
      <c r="S687" s="8"/>
      <c r="T687" s="8"/>
      <c r="U687" s="8"/>
      <c r="V687" s="8"/>
      <c r="W687" s="8"/>
    </row>
    <row r="688" spans="1:23" ht="15.75" customHeight="1" x14ac:dyDescent="0.25">
      <c r="A688" s="6" t="s">
        <v>3411</v>
      </c>
      <c r="B688" s="8"/>
      <c r="C688" s="8"/>
      <c r="D688" s="8"/>
      <c r="E688" s="8"/>
      <c r="F688" s="8"/>
      <c r="G688" s="8"/>
      <c r="H688" s="8"/>
      <c r="I688" s="8"/>
      <c r="J688" s="8"/>
      <c r="K688" s="8"/>
      <c r="L688" s="8"/>
      <c r="M688" s="8"/>
      <c r="N688" s="8"/>
      <c r="O688" s="8"/>
      <c r="P688" s="8"/>
      <c r="Q688" s="8"/>
      <c r="R688" s="8"/>
      <c r="S688" s="8"/>
      <c r="T688" s="8"/>
      <c r="U688" s="8"/>
      <c r="V688" s="8"/>
      <c r="W688" s="8"/>
    </row>
    <row r="689" spans="1:23" ht="15.75" customHeight="1" x14ac:dyDescent="0.25">
      <c r="A689" s="6" t="s">
        <v>3411</v>
      </c>
      <c r="B689" s="8"/>
      <c r="C689" s="8"/>
      <c r="D689" s="8"/>
      <c r="E689" s="8"/>
      <c r="F689" s="8"/>
      <c r="G689" s="8"/>
      <c r="H689" s="8"/>
      <c r="I689" s="8"/>
      <c r="J689" s="8"/>
      <c r="K689" s="8"/>
      <c r="L689" s="8"/>
      <c r="M689" s="8"/>
      <c r="N689" s="8"/>
      <c r="O689" s="8"/>
      <c r="P689" s="8"/>
      <c r="Q689" s="8"/>
      <c r="R689" s="8"/>
      <c r="S689" s="8"/>
      <c r="T689" s="8"/>
      <c r="U689" s="8"/>
      <c r="V689" s="8"/>
      <c r="W689" s="8"/>
    </row>
    <row r="690" spans="1:23" ht="15.75" customHeight="1" x14ac:dyDescent="0.25">
      <c r="A690" s="6" t="s">
        <v>3411</v>
      </c>
      <c r="B690" s="8"/>
      <c r="C690" s="8"/>
      <c r="D690" s="8"/>
      <c r="E690" s="8"/>
      <c r="F690" s="8"/>
      <c r="G690" s="8"/>
      <c r="H690" s="8"/>
      <c r="I690" s="8"/>
      <c r="J690" s="8"/>
      <c r="K690" s="8"/>
      <c r="L690" s="8"/>
      <c r="M690" s="8"/>
      <c r="N690" s="8"/>
      <c r="O690" s="8"/>
      <c r="P690" s="8"/>
      <c r="Q690" s="8"/>
      <c r="R690" s="8"/>
      <c r="S690" s="8"/>
      <c r="T690" s="8"/>
      <c r="U690" s="8"/>
      <c r="V690" s="8"/>
      <c r="W690" s="8"/>
    </row>
    <row r="691" spans="1:23" ht="15.75" customHeight="1" x14ac:dyDescent="0.25">
      <c r="A691" s="8" t="s">
        <v>3411</v>
      </c>
      <c r="B691" s="8"/>
      <c r="C691" s="8"/>
      <c r="D691" s="8"/>
      <c r="E691" s="8"/>
      <c r="F691" s="8"/>
      <c r="G691" s="8"/>
      <c r="H691" s="8"/>
      <c r="I691" s="8"/>
      <c r="J691" s="8"/>
      <c r="K691" s="8"/>
      <c r="L691" s="8"/>
      <c r="M691" s="8"/>
      <c r="N691" s="8"/>
      <c r="O691" s="8"/>
      <c r="P691" s="8"/>
      <c r="Q691" s="8"/>
      <c r="R691" s="8"/>
      <c r="S691" s="8"/>
      <c r="T691" s="8"/>
      <c r="U691" s="8"/>
      <c r="V691" s="8"/>
      <c r="W691" s="8"/>
    </row>
    <row r="692" spans="1:23" ht="15.75" customHeight="1" x14ac:dyDescent="0.25">
      <c r="A692" s="6" t="s">
        <v>3411</v>
      </c>
      <c r="B692" s="8"/>
      <c r="C692" s="8"/>
      <c r="D692" s="8"/>
      <c r="E692" s="8"/>
      <c r="F692" s="8"/>
      <c r="G692" s="8"/>
      <c r="H692" s="8"/>
      <c r="I692" s="8"/>
      <c r="J692" s="8"/>
      <c r="K692" s="8"/>
      <c r="L692" s="8"/>
      <c r="M692" s="8"/>
      <c r="N692" s="8"/>
      <c r="O692" s="8"/>
      <c r="P692" s="8"/>
      <c r="Q692" s="8"/>
      <c r="R692" s="8"/>
      <c r="S692" s="8"/>
      <c r="T692" s="8"/>
      <c r="U692" s="8"/>
      <c r="V692" s="8"/>
      <c r="W692" s="8"/>
    </row>
    <row r="693" spans="1:23" ht="15.75" customHeight="1" x14ac:dyDescent="0.25">
      <c r="A693" s="6" t="s">
        <v>3411</v>
      </c>
      <c r="B693" s="8"/>
      <c r="C693" s="8"/>
      <c r="D693" s="8"/>
      <c r="E693" s="8"/>
      <c r="F693" s="8"/>
      <c r="G693" s="8"/>
      <c r="H693" s="8"/>
      <c r="I693" s="8"/>
      <c r="J693" s="8"/>
      <c r="K693" s="8"/>
      <c r="L693" s="8"/>
      <c r="M693" s="8"/>
      <c r="N693" s="8"/>
      <c r="O693" s="8"/>
      <c r="P693" s="8"/>
      <c r="Q693" s="8"/>
      <c r="R693" s="8"/>
      <c r="S693" s="8"/>
      <c r="T693" s="8"/>
      <c r="U693" s="8"/>
      <c r="V693" s="8"/>
      <c r="W693" s="8"/>
    </row>
    <row r="694" spans="1:23" ht="15.75" customHeight="1" x14ac:dyDescent="0.25">
      <c r="A694" s="6" t="s">
        <v>3605</v>
      </c>
      <c r="B694" s="8"/>
      <c r="C694" s="8"/>
      <c r="D694" s="8"/>
      <c r="E694" s="8"/>
      <c r="F694" s="8"/>
      <c r="G694" s="8"/>
      <c r="H694" s="8"/>
      <c r="I694" s="8"/>
      <c r="J694" s="8"/>
      <c r="K694" s="8"/>
      <c r="L694" s="8"/>
      <c r="M694" s="8"/>
      <c r="N694" s="8"/>
      <c r="O694" s="8"/>
      <c r="P694" s="8"/>
      <c r="Q694" s="8"/>
      <c r="R694" s="8"/>
      <c r="S694" s="8"/>
      <c r="T694" s="8"/>
      <c r="U694" s="8"/>
      <c r="V694" s="8"/>
      <c r="W694" s="8"/>
    </row>
    <row r="695" spans="1:23" ht="15.75" customHeight="1" x14ac:dyDescent="0.25">
      <c r="A695" s="6" t="s">
        <v>3605</v>
      </c>
      <c r="B695" s="8"/>
      <c r="C695" s="8"/>
      <c r="D695" s="8"/>
      <c r="E695" s="8"/>
      <c r="F695" s="8"/>
      <c r="G695" s="8"/>
      <c r="H695" s="8"/>
      <c r="I695" s="8"/>
      <c r="J695" s="8"/>
      <c r="K695" s="8"/>
      <c r="L695" s="8"/>
      <c r="M695" s="8"/>
      <c r="N695" s="8"/>
      <c r="O695" s="8"/>
      <c r="P695" s="8"/>
      <c r="Q695" s="8"/>
      <c r="R695" s="8"/>
      <c r="S695" s="8"/>
      <c r="T695" s="8"/>
      <c r="U695" s="8"/>
      <c r="V695" s="8"/>
      <c r="W695" s="8"/>
    </row>
    <row r="696" spans="1:23" ht="15.75" customHeight="1" x14ac:dyDescent="0.25">
      <c r="A696" s="6" t="s">
        <v>3605</v>
      </c>
      <c r="B696" s="8"/>
      <c r="C696" s="8"/>
      <c r="D696" s="8"/>
      <c r="E696" s="8"/>
      <c r="F696" s="8"/>
      <c r="G696" s="8"/>
      <c r="H696" s="8"/>
      <c r="I696" s="8"/>
      <c r="J696" s="8"/>
      <c r="K696" s="8"/>
      <c r="L696" s="8"/>
      <c r="M696" s="8"/>
      <c r="N696" s="8"/>
      <c r="O696" s="8"/>
      <c r="P696" s="8"/>
      <c r="Q696" s="8"/>
      <c r="R696" s="8"/>
      <c r="S696" s="8"/>
      <c r="T696" s="8"/>
      <c r="U696" s="8"/>
      <c r="V696" s="8"/>
      <c r="W696" s="8"/>
    </row>
    <row r="697" spans="1:23" ht="15.75" customHeight="1" x14ac:dyDescent="0.25">
      <c r="A697" s="6" t="s">
        <v>3605</v>
      </c>
      <c r="B697" s="8"/>
      <c r="C697" s="8"/>
      <c r="D697" s="8"/>
      <c r="E697" s="8"/>
      <c r="F697" s="8"/>
      <c r="G697" s="8"/>
      <c r="H697" s="8"/>
      <c r="I697" s="8"/>
      <c r="J697" s="8"/>
      <c r="K697" s="8"/>
      <c r="L697" s="8"/>
      <c r="M697" s="8"/>
      <c r="N697" s="8"/>
      <c r="O697" s="8"/>
      <c r="P697" s="8"/>
      <c r="Q697" s="8"/>
      <c r="R697" s="8"/>
      <c r="S697" s="8"/>
      <c r="T697" s="8"/>
      <c r="U697" s="8"/>
      <c r="V697" s="8"/>
      <c r="W697" s="8"/>
    </row>
    <row r="698" spans="1:23" ht="15.75" customHeight="1" x14ac:dyDescent="0.25">
      <c r="A698" s="6" t="s">
        <v>4169</v>
      </c>
      <c r="B698" s="8"/>
      <c r="C698" s="8"/>
      <c r="D698" s="8"/>
      <c r="E698" s="8"/>
      <c r="F698" s="8"/>
      <c r="G698" s="8"/>
      <c r="H698" s="8"/>
      <c r="I698" s="8"/>
      <c r="J698" s="8"/>
      <c r="K698" s="8"/>
      <c r="L698" s="8"/>
      <c r="M698" s="8"/>
      <c r="N698" s="8"/>
      <c r="O698" s="8"/>
      <c r="P698" s="8"/>
      <c r="Q698" s="8"/>
      <c r="R698" s="8"/>
      <c r="S698" s="8"/>
      <c r="T698" s="8"/>
      <c r="U698" s="8"/>
      <c r="V698" s="8"/>
      <c r="W698" s="8"/>
    </row>
    <row r="699" spans="1:23" ht="15.75" customHeight="1" x14ac:dyDescent="0.25">
      <c r="A699" s="6" t="s">
        <v>3219</v>
      </c>
      <c r="B699" s="8"/>
      <c r="C699" s="8"/>
      <c r="D699" s="8"/>
      <c r="E699" s="8"/>
      <c r="F699" s="8"/>
      <c r="G699" s="8"/>
      <c r="H699" s="8"/>
      <c r="I699" s="8"/>
      <c r="J699" s="8"/>
      <c r="K699" s="8"/>
      <c r="L699" s="8"/>
      <c r="M699" s="8"/>
      <c r="N699" s="8"/>
      <c r="O699" s="8"/>
      <c r="P699" s="8"/>
      <c r="Q699" s="8"/>
      <c r="R699" s="8"/>
      <c r="S699" s="8"/>
      <c r="T699" s="8"/>
      <c r="U699" s="8"/>
      <c r="V699" s="8"/>
      <c r="W699" s="8"/>
    </row>
    <row r="700" spans="1:23" ht="15.75" customHeight="1" x14ac:dyDescent="0.25">
      <c r="A700" s="6" t="s">
        <v>3219</v>
      </c>
      <c r="B700" s="8"/>
      <c r="C700" s="8"/>
      <c r="D700" s="8"/>
      <c r="E700" s="8"/>
      <c r="F700" s="8"/>
      <c r="G700" s="8"/>
      <c r="H700" s="8"/>
      <c r="I700" s="8"/>
      <c r="J700" s="8"/>
      <c r="K700" s="8"/>
      <c r="L700" s="8"/>
      <c r="M700" s="8"/>
      <c r="N700" s="8"/>
      <c r="O700" s="8"/>
      <c r="P700" s="8"/>
      <c r="Q700" s="8"/>
      <c r="R700" s="8"/>
      <c r="S700" s="8"/>
      <c r="T700" s="8"/>
      <c r="U700" s="8"/>
      <c r="V700" s="8"/>
      <c r="W700" s="8"/>
    </row>
    <row r="701" spans="1:23" ht="15.75" customHeight="1" x14ac:dyDescent="0.25">
      <c r="A701" s="6" t="s">
        <v>3219</v>
      </c>
      <c r="B701" s="8"/>
      <c r="C701" s="8"/>
      <c r="D701" s="8"/>
      <c r="E701" s="8"/>
      <c r="F701" s="8"/>
      <c r="G701" s="8"/>
      <c r="H701" s="8"/>
      <c r="I701" s="8"/>
      <c r="J701" s="8"/>
      <c r="K701" s="8"/>
      <c r="L701" s="8"/>
      <c r="M701" s="8"/>
      <c r="N701" s="8"/>
      <c r="O701" s="8"/>
      <c r="P701" s="8"/>
      <c r="Q701" s="8"/>
      <c r="R701" s="8"/>
      <c r="S701" s="8"/>
      <c r="T701" s="8"/>
      <c r="U701" s="8"/>
      <c r="V701" s="8"/>
      <c r="W701" s="8"/>
    </row>
    <row r="702" spans="1:23" ht="15.75" customHeight="1" x14ac:dyDescent="0.25">
      <c r="A702" s="6" t="s">
        <v>3219</v>
      </c>
      <c r="B702" s="8"/>
      <c r="C702" s="8"/>
      <c r="D702" s="8"/>
      <c r="E702" s="8"/>
      <c r="F702" s="8"/>
      <c r="G702" s="8"/>
      <c r="H702" s="8"/>
      <c r="I702" s="8"/>
      <c r="J702" s="8"/>
      <c r="K702" s="8"/>
      <c r="L702" s="8"/>
      <c r="M702" s="8"/>
      <c r="N702" s="8"/>
      <c r="O702" s="8"/>
      <c r="P702" s="8"/>
      <c r="Q702" s="8"/>
      <c r="R702" s="8"/>
      <c r="S702" s="8"/>
      <c r="T702" s="8"/>
      <c r="U702" s="8"/>
      <c r="V702" s="8"/>
      <c r="W702" s="8"/>
    </row>
    <row r="703" spans="1:23" ht="15.75" customHeight="1" x14ac:dyDescent="0.25">
      <c r="A703" s="6" t="s">
        <v>3219</v>
      </c>
      <c r="B703" s="8"/>
      <c r="C703" s="8"/>
      <c r="D703" s="8"/>
      <c r="E703" s="8"/>
      <c r="F703" s="8"/>
      <c r="G703" s="8"/>
      <c r="H703" s="8"/>
      <c r="I703" s="8"/>
      <c r="J703" s="8"/>
      <c r="K703" s="8"/>
      <c r="L703" s="8"/>
      <c r="M703" s="8"/>
      <c r="N703" s="8"/>
      <c r="O703" s="8"/>
      <c r="P703" s="8"/>
      <c r="Q703" s="8"/>
      <c r="R703" s="8"/>
      <c r="S703" s="8"/>
      <c r="T703" s="8"/>
      <c r="U703" s="8"/>
      <c r="V703" s="8"/>
      <c r="W703" s="8"/>
    </row>
    <row r="704" spans="1:23" ht="15.75" customHeight="1" x14ac:dyDescent="0.25">
      <c r="A704" s="6" t="s">
        <v>3219</v>
      </c>
      <c r="B704" s="8"/>
      <c r="C704" s="8"/>
      <c r="D704" s="8"/>
      <c r="E704" s="8"/>
      <c r="F704" s="8"/>
      <c r="G704" s="8"/>
      <c r="H704" s="8"/>
      <c r="I704" s="8"/>
      <c r="J704" s="8"/>
      <c r="K704" s="8"/>
      <c r="L704" s="8"/>
      <c r="M704" s="8"/>
      <c r="N704" s="8"/>
      <c r="O704" s="8"/>
      <c r="P704" s="8"/>
      <c r="Q704" s="8"/>
      <c r="R704" s="8"/>
      <c r="S704" s="8"/>
      <c r="T704" s="8"/>
      <c r="U704" s="8"/>
      <c r="V704" s="8"/>
      <c r="W704" s="8"/>
    </row>
    <row r="705" spans="1:23" ht="15.75" customHeight="1" x14ac:dyDescent="0.25">
      <c r="A705" s="8" t="s">
        <v>3219</v>
      </c>
      <c r="B705" s="8"/>
      <c r="C705" s="8"/>
      <c r="D705" s="8"/>
      <c r="E705" s="8"/>
      <c r="F705" s="8"/>
      <c r="G705" s="8"/>
      <c r="H705" s="8"/>
      <c r="I705" s="8"/>
      <c r="J705" s="8"/>
      <c r="K705" s="8"/>
      <c r="L705" s="8"/>
      <c r="M705" s="8"/>
      <c r="N705" s="8"/>
      <c r="O705" s="8"/>
      <c r="P705" s="8"/>
      <c r="Q705" s="8"/>
      <c r="R705" s="8"/>
      <c r="S705" s="8"/>
      <c r="T705" s="8"/>
      <c r="U705" s="8"/>
      <c r="V705" s="8"/>
      <c r="W705" s="8"/>
    </row>
    <row r="706" spans="1:23" ht="15.75" customHeight="1" x14ac:dyDescent="0.25">
      <c r="A706" s="6" t="s">
        <v>3219</v>
      </c>
      <c r="B706" s="8"/>
      <c r="C706" s="8"/>
      <c r="D706" s="8"/>
      <c r="E706" s="8"/>
      <c r="F706" s="8"/>
      <c r="G706" s="8"/>
      <c r="H706" s="8"/>
      <c r="I706" s="8"/>
      <c r="J706" s="8"/>
      <c r="K706" s="8"/>
      <c r="L706" s="8"/>
      <c r="M706" s="8"/>
      <c r="N706" s="8"/>
      <c r="O706" s="8"/>
      <c r="P706" s="8"/>
      <c r="Q706" s="8"/>
      <c r="R706" s="8"/>
      <c r="S706" s="8"/>
      <c r="T706" s="8"/>
      <c r="U706" s="8"/>
      <c r="V706" s="8"/>
      <c r="W706" s="8"/>
    </row>
    <row r="707" spans="1:23" ht="15.75" customHeight="1" x14ac:dyDescent="0.25">
      <c r="A707" s="6" t="s">
        <v>3219</v>
      </c>
      <c r="B707" s="8"/>
      <c r="C707" s="8"/>
      <c r="D707" s="8"/>
      <c r="E707" s="8"/>
      <c r="F707" s="8"/>
      <c r="G707" s="8"/>
      <c r="H707" s="8"/>
      <c r="I707" s="8"/>
      <c r="J707" s="8"/>
      <c r="K707" s="8"/>
      <c r="L707" s="8"/>
      <c r="M707" s="8"/>
      <c r="N707" s="8"/>
      <c r="O707" s="8"/>
      <c r="P707" s="8"/>
      <c r="Q707" s="8"/>
      <c r="R707" s="8"/>
      <c r="S707" s="8"/>
      <c r="T707" s="8"/>
      <c r="U707" s="8"/>
      <c r="V707" s="8"/>
      <c r="W707" s="8"/>
    </row>
    <row r="708" spans="1:23" ht="15.75" customHeight="1" x14ac:dyDescent="0.25">
      <c r="A708" s="6" t="s">
        <v>3219</v>
      </c>
      <c r="B708" s="8"/>
      <c r="C708" s="8"/>
      <c r="D708" s="8"/>
      <c r="E708" s="8"/>
      <c r="F708" s="8"/>
      <c r="G708" s="8"/>
      <c r="H708" s="8"/>
      <c r="I708" s="8"/>
      <c r="J708" s="8"/>
      <c r="K708" s="8"/>
      <c r="L708" s="8"/>
      <c r="M708" s="8"/>
      <c r="N708" s="8"/>
      <c r="O708" s="8"/>
      <c r="P708" s="8"/>
      <c r="Q708" s="8"/>
      <c r="R708" s="8"/>
      <c r="S708" s="8"/>
      <c r="T708" s="8"/>
      <c r="U708" s="8"/>
      <c r="V708" s="8"/>
      <c r="W708" s="8"/>
    </row>
    <row r="709" spans="1:23" ht="15.75" customHeight="1" x14ac:dyDescent="0.25">
      <c r="A709" s="6" t="s">
        <v>3219</v>
      </c>
      <c r="B709" s="8"/>
      <c r="C709" s="8"/>
      <c r="D709" s="8"/>
      <c r="E709" s="8"/>
      <c r="F709" s="8"/>
      <c r="G709" s="8"/>
      <c r="H709" s="8"/>
      <c r="I709" s="8"/>
      <c r="J709" s="8"/>
      <c r="K709" s="8"/>
      <c r="L709" s="8"/>
      <c r="M709" s="8"/>
      <c r="N709" s="8"/>
      <c r="O709" s="8"/>
      <c r="P709" s="8"/>
      <c r="Q709" s="8"/>
      <c r="R709" s="8"/>
      <c r="S709" s="8"/>
      <c r="T709" s="8"/>
      <c r="U709" s="8"/>
      <c r="V709" s="8"/>
      <c r="W709" s="8"/>
    </row>
    <row r="710" spans="1:23" ht="15.75" customHeight="1" x14ac:dyDescent="0.25">
      <c r="A710" s="6" t="s">
        <v>3219</v>
      </c>
      <c r="B710" s="8"/>
      <c r="C710" s="8"/>
      <c r="D710" s="8"/>
      <c r="E710" s="8"/>
      <c r="F710" s="8"/>
      <c r="G710" s="8"/>
      <c r="H710" s="8"/>
      <c r="I710" s="8"/>
      <c r="J710" s="8"/>
      <c r="K710" s="8"/>
      <c r="L710" s="8"/>
      <c r="M710" s="8"/>
      <c r="N710" s="8"/>
      <c r="O710" s="8"/>
      <c r="P710" s="8"/>
      <c r="Q710" s="8"/>
      <c r="R710" s="8"/>
      <c r="S710" s="8"/>
      <c r="T710" s="8"/>
      <c r="U710" s="8"/>
      <c r="V710" s="8"/>
      <c r="W710" s="8"/>
    </row>
    <row r="711" spans="1:23" ht="15.75" customHeight="1" x14ac:dyDescent="0.25">
      <c r="A711" s="6" t="s">
        <v>3219</v>
      </c>
      <c r="B711" s="8"/>
      <c r="C711" s="8"/>
      <c r="D711" s="8"/>
      <c r="E711" s="8"/>
      <c r="F711" s="8"/>
      <c r="G711" s="8"/>
      <c r="H711" s="8"/>
      <c r="I711" s="8"/>
      <c r="J711" s="8"/>
      <c r="K711" s="8"/>
      <c r="L711" s="8"/>
      <c r="M711" s="8"/>
      <c r="N711" s="8"/>
      <c r="O711" s="8"/>
      <c r="P711" s="8"/>
      <c r="Q711" s="8"/>
      <c r="R711" s="8"/>
      <c r="S711" s="8"/>
      <c r="T711" s="8"/>
      <c r="U711" s="8"/>
      <c r="V711" s="8"/>
      <c r="W711" s="8"/>
    </row>
    <row r="712" spans="1:23" ht="15.75" customHeight="1" x14ac:dyDescent="0.25">
      <c r="A712" s="6" t="s">
        <v>3219</v>
      </c>
      <c r="B712" s="8"/>
      <c r="C712" s="8"/>
      <c r="D712" s="8"/>
      <c r="E712" s="8"/>
      <c r="F712" s="8"/>
      <c r="G712" s="8"/>
      <c r="H712" s="8"/>
      <c r="I712" s="8"/>
      <c r="J712" s="8"/>
      <c r="K712" s="8"/>
      <c r="L712" s="8"/>
      <c r="M712" s="8"/>
      <c r="N712" s="8"/>
      <c r="O712" s="8"/>
      <c r="P712" s="8"/>
      <c r="Q712" s="8"/>
      <c r="R712" s="8"/>
      <c r="S712" s="8"/>
      <c r="T712" s="8"/>
      <c r="U712" s="8"/>
      <c r="V712" s="8"/>
      <c r="W712" s="8"/>
    </row>
    <row r="713" spans="1:23" ht="15.75" customHeight="1" x14ac:dyDescent="0.25">
      <c r="A713" s="6" t="s">
        <v>3219</v>
      </c>
      <c r="B713" s="8"/>
      <c r="C713" s="8"/>
      <c r="D713" s="8"/>
      <c r="E713" s="8"/>
      <c r="F713" s="8"/>
      <c r="G713" s="8"/>
      <c r="H713" s="8"/>
      <c r="I713" s="8"/>
      <c r="J713" s="8"/>
      <c r="K713" s="8"/>
      <c r="L713" s="8"/>
      <c r="M713" s="8"/>
      <c r="N713" s="8"/>
      <c r="O713" s="8"/>
      <c r="P713" s="8"/>
      <c r="Q713" s="8"/>
      <c r="R713" s="8"/>
      <c r="S713" s="8"/>
      <c r="T713" s="8"/>
      <c r="U713" s="8"/>
      <c r="V713" s="8"/>
      <c r="W713" s="8"/>
    </row>
    <row r="714" spans="1:23" ht="15.75" customHeight="1" x14ac:dyDescent="0.25">
      <c r="A714" s="6" t="s">
        <v>3219</v>
      </c>
      <c r="B714" s="8"/>
      <c r="C714" s="8"/>
      <c r="D714" s="8"/>
      <c r="E714" s="8"/>
      <c r="F714" s="8"/>
      <c r="G714" s="8"/>
      <c r="H714" s="8"/>
      <c r="I714" s="8"/>
      <c r="J714" s="8"/>
      <c r="K714" s="8"/>
      <c r="L714" s="8"/>
      <c r="M714" s="8"/>
      <c r="N714" s="8"/>
      <c r="O714" s="8"/>
      <c r="P714" s="8"/>
      <c r="Q714" s="8"/>
      <c r="R714" s="8"/>
      <c r="S714" s="8"/>
      <c r="T714" s="8"/>
      <c r="U714" s="8"/>
      <c r="V714" s="8"/>
      <c r="W714" s="8"/>
    </row>
    <row r="715" spans="1:23" ht="15.75" customHeight="1" x14ac:dyDescent="0.25">
      <c r="A715" s="6" t="s">
        <v>3219</v>
      </c>
      <c r="B715" s="8"/>
      <c r="C715" s="8"/>
      <c r="D715" s="8"/>
      <c r="E715" s="8"/>
      <c r="F715" s="8"/>
      <c r="G715" s="8"/>
      <c r="H715" s="8"/>
      <c r="I715" s="8"/>
      <c r="J715" s="8"/>
      <c r="K715" s="8"/>
      <c r="L715" s="8"/>
      <c r="M715" s="8"/>
      <c r="N715" s="8"/>
      <c r="O715" s="8"/>
      <c r="P715" s="8"/>
      <c r="Q715" s="8"/>
      <c r="R715" s="8"/>
      <c r="S715" s="8"/>
      <c r="T715" s="8"/>
      <c r="U715" s="8"/>
      <c r="V715" s="8"/>
      <c r="W715" s="8"/>
    </row>
    <row r="716" spans="1:23" ht="15.75" customHeight="1" x14ac:dyDescent="0.25">
      <c r="A716" s="6" t="s">
        <v>3219</v>
      </c>
      <c r="B716" s="8"/>
      <c r="C716" s="8"/>
      <c r="D716" s="8"/>
      <c r="E716" s="8"/>
      <c r="F716" s="8"/>
      <c r="G716" s="8"/>
      <c r="H716" s="8"/>
      <c r="I716" s="8"/>
      <c r="J716" s="8"/>
      <c r="K716" s="8"/>
      <c r="L716" s="8"/>
      <c r="M716" s="8"/>
      <c r="N716" s="8"/>
      <c r="O716" s="8"/>
      <c r="P716" s="8"/>
      <c r="Q716" s="8"/>
      <c r="R716" s="8"/>
      <c r="S716" s="8"/>
      <c r="T716" s="8"/>
      <c r="U716" s="8"/>
      <c r="V716" s="8"/>
      <c r="W716" s="8"/>
    </row>
    <row r="717" spans="1:23" ht="15.75" customHeight="1" x14ac:dyDescent="0.25">
      <c r="A717" s="6" t="s">
        <v>3219</v>
      </c>
      <c r="B717" s="8"/>
      <c r="C717" s="8"/>
      <c r="D717" s="8"/>
      <c r="E717" s="8"/>
      <c r="F717" s="8"/>
      <c r="G717" s="8"/>
      <c r="H717" s="8"/>
      <c r="I717" s="8"/>
      <c r="J717" s="8"/>
      <c r="K717" s="8"/>
      <c r="L717" s="8"/>
      <c r="M717" s="8"/>
      <c r="N717" s="8"/>
      <c r="O717" s="8"/>
      <c r="P717" s="8"/>
      <c r="Q717" s="8"/>
      <c r="R717" s="8"/>
      <c r="S717" s="8"/>
      <c r="T717" s="8"/>
      <c r="U717" s="8"/>
      <c r="V717" s="8"/>
      <c r="W717" s="8"/>
    </row>
    <row r="718" spans="1:23" ht="15.75" customHeight="1" x14ac:dyDescent="0.25">
      <c r="A718" s="6" t="s">
        <v>3219</v>
      </c>
      <c r="B718" s="8"/>
      <c r="C718" s="8"/>
      <c r="D718" s="8"/>
      <c r="E718" s="8"/>
      <c r="F718" s="8"/>
      <c r="G718" s="8"/>
      <c r="H718" s="8"/>
      <c r="I718" s="8"/>
      <c r="J718" s="8"/>
      <c r="K718" s="8"/>
      <c r="L718" s="8"/>
      <c r="M718" s="8"/>
      <c r="N718" s="8"/>
      <c r="O718" s="8"/>
      <c r="P718" s="8"/>
      <c r="Q718" s="8"/>
      <c r="R718" s="8"/>
      <c r="S718" s="8"/>
      <c r="T718" s="8"/>
      <c r="U718" s="8"/>
      <c r="V718" s="8"/>
      <c r="W718" s="8"/>
    </row>
    <row r="719" spans="1:23" ht="15.75" customHeight="1" x14ac:dyDescent="0.25">
      <c r="A719" s="6" t="s">
        <v>3219</v>
      </c>
      <c r="B719" s="8"/>
      <c r="C719" s="8"/>
      <c r="D719" s="8"/>
      <c r="E719" s="8"/>
      <c r="F719" s="8"/>
      <c r="G719" s="8"/>
      <c r="H719" s="8"/>
      <c r="I719" s="8"/>
      <c r="J719" s="8"/>
      <c r="K719" s="8"/>
      <c r="L719" s="8"/>
      <c r="M719" s="8"/>
      <c r="N719" s="8"/>
      <c r="O719" s="8"/>
      <c r="P719" s="8"/>
      <c r="Q719" s="8"/>
      <c r="R719" s="8"/>
      <c r="S719" s="8"/>
      <c r="T719" s="8"/>
      <c r="U719" s="8"/>
      <c r="V719" s="8"/>
      <c r="W719" s="8"/>
    </row>
    <row r="720" spans="1:23" ht="15.75" customHeight="1" x14ac:dyDescent="0.25">
      <c r="A720" s="6" t="s">
        <v>3219</v>
      </c>
      <c r="B720" s="8"/>
      <c r="C720" s="8"/>
      <c r="D720" s="8"/>
      <c r="E720" s="8"/>
      <c r="F720" s="8"/>
      <c r="G720" s="8"/>
      <c r="H720" s="8"/>
      <c r="I720" s="8"/>
      <c r="J720" s="8"/>
      <c r="K720" s="8"/>
      <c r="L720" s="8"/>
      <c r="M720" s="8"/>
      <c r="N720" s="8"/>
      <c r="O720" s="8"/>
      <c r="P720" s="8"/>
      <c r="Q720" s="8"/>
      <c r="R720" s="8"/>
      <c r="S720" s="8"/>
      <c r="T720" s="8"/>
      <c r="U720" s="8"/>
      <c r="V720" s="8"/>
      <c r="W720" s="8"/>
    </row>
    <row r="721" spans="1:23" ht="15.75" customHeight="1" x14ac:dyDescent="0.25">
      <c r="A721" s="6" t="s">
        <v>3219</v>
      </c>
      <c r="B721" s="8"/>
      <c r="C721" s="8"/>
      <c r="D721" s="8"/>
      <c r="E721" s="8"/>
      <c r="F721" s="8"/>
      <c r="G721" s="8"/>
      <c r="H721" s="8"/>
      <c r="I721" s="8"/>
      <c r="J721" s="8"/>
      <c r="K721" s="8"/>
      <c r="L721" s="8"/>
      <c r="M721" s="8"/>
      <c r="N721" s="8"/>
      <c r="O721" s="8"/>
      <c r="P721" s="8"/>
      <c r="Q721" s="8"/>
      <c r="R721" s="8"/>
      <c r="S721" s="8"/>
      <c r="T721" s="8"/>
      <c r="U721" s="8"/>
      <c r="V721" s="8"/>
      <c r="W721" s="8"/>
    </row>
    <row r="722" spans="1:23" ht="15.75" customHeight="1" x14ac:dyDescent="0.25">
      <c r="A722" s="6" t="s">
        <v>3219</v>
      </c>
      <c r="B722" s="8"/>
      <c r="C722" s="8"/>
      <c r="D722" s="8"/>
      <c r="E722" s="8"/>
      <c r="F722" s="8"/>
      <c r="G722" s="8"/>
      <c r="H722" s="8"/>
      <c r="I722" s="8"/>
      <c r="J722" s="8"/>
      <c r="K722" s="8"/>
      <c r="L722" s="8"/>
      <c r="M722" s="8"/>
      <c r="N722" s="8"/>
      <c r="O722" s="8"/>
      <c r="P722" s="8"/>
      <c r="Q722" s="8"/>
      <c r="R722" s="8"/>
      <c r="S722" s="8"/>
      <c r="T722" s="8"/>
      <c r="U722" s="8"/>
      <c r="V722" s="8"/>
      <c r="W722" s="8"/>
    </row>
    <row r="723" spans="1:23" ht="15.75" customHeight="1" x14ac:dyDescent="0.25">
      <c r="A723" s="6" t="s">
        <v>3219</v>
      </c>
      <c r="B723" s="8"/>
      <c r="C723" s="8"/>
      <c r="D723" s="8"/>
      <c r="E723" s="8"/>
      <c r="F723" s="8"/>
      <c r="G723" s="8"/>
      <c r="H723" s="8"/>
      <c r="I723" s="8"/>
      <c r="J723" s="8"/>
      <c r="K723" s="8"/>
      <c r="L723" s="8"/>
      <c r="M723" s="8"/>
      <c r="N723" s="8"/>
      <c r="O723" s="8"/>
      <c r="P723" s="8"/>
      <c r="Q723" s="8"/>
      <c r="R723" s="8"/>
      <c r="S723" s="8"/>
      <c r="T723" s="8"/>
      <c r="U723" s="8"/>
      <c r="V723" s="8"/>
      <c r="W723" s="8"/>
    </row>
    <row r="724" spans="1:23" ht="15.75" customHeight="1" x14ac:dyDescent="0.25">
      <c r="A724" s="6" t="s">
        <v>3219</v>
      </c>
      <c r="B724" s="8"/>
      <c r="C724" s="8"/>
      <c r="D724" s="8"/>
      <c r="E724" s="8"/>
      <c r="F724" s="8"/>
      <c r="G724" s="8"/>
      <c r="H724" s="8"/>
      <c r="I724" s="8"/>
      <c r="J724" s="8"/>
      <c r="K724" s="8"/>
      <c r="L724" s="8"/>
      <c r="M724" s="8"/>
      <c r="N724" s="8"/>
      <c r="O724" s="8"/>
      <c r="P724" s="8"/>
      <c r="Q724" s="8"/>
      <c r="R724" s="8"/>
      <c r="S724" s="8"/>
      <c r="T724" s="8"/>
      <c r="U724" s="8"/>
      <c r="V724" s="8"/>
      <c r="W724" s="8"/>
    </row>
    <row r="725" spans="1:23" ht="15.75" customHeight="1" x14ac:dyDescent="0.25">
      <c r="A725" s="6" t="s">
        <v>3219</v>
      </c>
      <c r="B725" s="8"/>
      <c r="C725" s="8"/>
      <c r="D725" s="8"/>
      <c r="E725" s="8"/>
      <c r="F725" s="8"/>
      <c r="G725" s="8"/>
      <c r="H725" s="8"/>
      <c r="I725" s="8"/>
      <c r="J725" s="8"/>
      <c r="K725" s="8"/>
      <c r="L725" s="8"/>
      <c r="M725" s="8"/>
      <c r="N725" s="8"/>
      <c r="O725" s="8"/>
      <c r="P725" s="8"/>
      <c r="Q725" s="8"/>
      <c r="R725" s="8"/>
      <c r="S725" s="8"/>
      <c r="T725" s="8"/>
      <c r="U725" s="8"/>
      <c r="V725" s="8"/>
      <c r="W725" s="8"/>
    </row>
    <row r="726" spans="1:23" ht="15.75" customHeight="1" x14ac:dyDescent="0.25">
      <c r="A726" s="6" t="s">
        <v>3219</v>
      </c>
      <c r="B726" s="8"/>
      <c r="C726" s="8"/>
      <c r="D726" s="8"/>
      <c r="E726" s="8"/>
      <c r="F726" s="8"/>
      <c r="G726" s="8"/>
      <c r="H726" s="8"/>
      <c r="I726" s="8"/>
      <c r="J726" s="8"/>
      <c r="K726" s="8"/>
      <c r="L726" s="8"/>
      <c r="M726" s="8"/>
      <c r="N726" s="8"/>
      <c r="O726" s="8"/>
      <c r="P726" s="8"/>
      <c r="Q726" s="8"/>
      <c r="R726" s="8"/>
      <c r="S726" s="8"/>
      <c r="T726" s="8"/>
      <c r="U726" s="8"/>
      <c r="V726" s="8"/>
      <c r="W726" s="8"/>
    </row>
    <row r="727" spans="1:23" ht="15.75" customHeight="1" x14ac:dyDescent="0.25">
      <c r="A727" s="6" t="s">
        <v>3219</v>
      </c>
      <c r="B727" s="8"/>
      <c r="C727" s="8"/>
      <c r="D727" s="8"/>
      <c r="E727" s="8"/>
      <c r="F727" s="8"/>
      <c r="G727" s="8"/>
      <c r="H727" s="8"/>
      <c r="I727" s="8"/>
      <c r="J727" s="8"/>
      <c r="K727" s="8"/>
      <c r="L727" s="8"/>
      <c r="M727" s="8"/>
      <c r="N727" s="8"/>
      <c r="O727" s="8"/>
      <c r="P727" s="8"/>
      <c r="Q727" s="8"/>
      <c r="R727" s="8"/>
      <c r="S727" s="8"/>
      <c r="T727" s="8"/>
      <c r="U727" s="8"/>
      <c r="V727" s="8"/>
      <c r="W727" s="8"/>
    </row>
    <row r="728" spans="1:23" ht="15.75" customHeight="1" x14ac:dyDescent="0.25">
      <c r="A728" s="6" t="s">
        <v>3219</v>
      </c>
      <c r="B728" s="8"/>
      <c r="C728" s="8"/>
      <c r="D728" s="8"/>
      <c r="E728" s="8"/>
      <c r="F728" s="8"/>
      <c r="G728" s="8"/>
      <c r="H728" s="8"/>
      <c r="I728" s="8"/>
      <c r="J728" s="8"/>
      <c r="K728" s="8"/>
      <c r="L728" s="8"/>
      <c r="M728" s="8"/>
      <c r="N728" s="8"/>
      <c r="O728" s="8"/>
      <c r="P728" s="8"/>
      <c r="Q728" s="8"/>
      <c r="R728" s="8"/>
      <c r="S728" s="8"/>
      <c r="T728" s="8"/>
      <c r="U728" s="8"/>
      <c r="V728" s="8"/>
      <c r="W728" s="8"/>
    </row>
    <row r="729" spans="1:23" ht="15.75" customHeight="1" x14ac:dyDescent="0.25">
      <c r="A729" s="6" t="s">
        <v>3219</v>
      </c>
      <c r="B729" s="8"/>
      <c r="C729" s="8"/>
      <c r="D729" s="8"/>
      <c r="E729" s="8"/>
      <c r="F729" s="8"/>
      <c r="G729" s="8"/>
      <c r="H729" s="8"/>
      <c r="I729" s="8"/>
      <c r="J729" s="8"/>
      <c r="K729" s="8"/>
      <c r="L729" s="8"/>
      <c r="M729" s="8"/>
      <c r="N729" s="8"/>
      <c r="O729" s="8"/>
      <c r="P729" s="8"/>
      <c r="Q729" s="8"/>
      <c r="R729" s="8"/>
      <c r="S729" s="8"/>
      <c r="T729" s="8"/>
      <c r="U729" s="8"/>
      <c r="V729" s="8"/>
      <c r="W729" s="8"/>
    </row>
    <row r="730" spans="1:23" ht="15.75" customHeight="1" x14ac:dyDescent="0.25">
      <c r="A730" s="6" t="s">
        <v>3219</v>
      </c>
      <c r="B730" s="8"/>
      <c r="C730" s="8"/>
      <c r="D730" s="8"/>
      <c r="E730" s="8"/>
      <c r="F730" s="8"/>
      <c r="G730" s="8"/>
      <c r="H730" s="8"/>
      <c r="I730" s="8"/>
      <c r="J730" s="8"/>
      <c r="K730" s="8"/>
      <c r="L730" s="8"/>
      <c r="M730" s="8"/>
      <c r="N730" s="8"/>
      <c r="O730" s="8"/>
      <c r="P730" s="8"/>
      <c r="Q730" s="8"/>
      <c r="R730" s="8"/>
      <c r="S730" s="8"/>
      <c r="T730" s="8"/>
      <c r="U730" s="8"/>
      <c r="V730" s="8"/>
      <c r="W730" s="8"/>
    </row>
    <row r="731" spans="1:23" ht="15.75" customHeight="1" x14ac:dyDescent="0.25">
      <c r="A731" s="6" t="s">
        <v>3219</v>
      </c>
      <c r="B731" s="8"/>
      <c r="C731" s="8"/>
      <c r="D731" s="8"/>
      <c r="E731" s="8"/>
      <c r="F731" s="8"/>
      <c r="G731" s="8"/>
      <c r="H731" s="8"/>
      <c r="I731" s="8"/>
      <c r="J731" s="8"/>
      <c r="K731" s="8"/>
      <c r="L731" s="8"/>
      <c r="M731" s="8"/>
      <c r="N731" s="8"/>
      <c r="O731" s="8"/>
      <c r="P731" s="8"/>
      <c r="Q731" s="8"/>
      <c r="R731" s="8"/>
      <c r="S731" s="8"/>
      <c r="T731" s="8"/>
      <c r="U731" s="8"/>
      <c r="V731" s="8"/>
      <c r="W731" s="8"/>
    </row>
    <row r="732" spans="1:23" ht="15.75" customHeight="1" x14ac:dyDescent="0.25">
      <c r="A732" s="6" t="s">
        <v>3219</v>
      </c>
      <c r="B732" s="8"/>
      <c r="C732" s="8"/>
      <c r="D732" s="8"/>
      <c r="E732" s="8"/>
      <c r="F732" s="8"/>
      <c r="G732" s="8"/>
      <c r="H732" s="8"/>
      <c r="I732" s="8"/>
      <c r="J732" s="8"/>
      <c r="K732" s="8"/>
      <c r="L732" s="8"/>
      <c r="M732" s="8"/>
      <c r="N732" s="8"/>
      <c r="O732" s="8"/>
      <c r="P732" s="8"/>
      <c r="Q732" s="8"/>
      <c r="R732" s="8"/>
      <c r="S732" s="8"/>
      <c r="T732" s="8"/>
      <c r="U732" s="8"/>
      <c r="V732" s="8"/>
      <c r="W732" s="8"/>
    </row>
    <row r="733" spans="1:23" ht="15.75" customHeight="1" x14ac:dyDescent="0.25">
      <c r="A733" s="6" t="s">
        <v>3219</v>
      </c>
      <c r="B733" s="8"/>
      <c r="C733" s="8"/>
      <c r="D733" s="8"/>
      <c r="E733" s="8"/>
      <c r="F733" s="8"/>
      <c r="G733" s="8"/>
      <c r="H733" s="8"/>
      <c r="I733" s="8"/>
      <c r="J733" s="8"/>
      <c r="K733" s="8"/>
      <c r="L733" s="8"/>
      <c r="M733" s="8"/>
      <c r="N733" s="8"/>
      <c r="O733" s="8"/>
      <c r="P733" s="8"/>
      <c r="Q733" s="8"/>
      <c r="R733" s="8"/>
      <c r="S733" s="8"/>
      <c r="T733" s="8"/>
      <c r="U733" s="8"/>
      <c r="V733" s="8"/>
      <c r="W733" s="8"/>
    </row>
    <row r="734" spans="1:23" ht="15.75" customHeight="1" x14ac:dyDescent="0.25">
      <c r="A734" s="6" t="s">
        <v>3219</v>
      </c>
      <c r="B734" s="8"/>
      <c r="C734" s="8"/>
      <c r="D734" s="8"/>
      <c r="E734" s="8"/>
      <c r="F734" s="8"/>
      <c r="G734" s="8"/>
      <c r="H734" s="8"/>
      <c r="I734" s="8"/>
      <c r="J734" s="8"/>
      <c r="K734" s="8"/>
      <c r="L734" s="8"/>
      <c r="M734" s="8"/>
      <c r="N734" s="8"/>
      <c r="O734" s="8"/>
      <c r="P734" s="8"/>
      <c r="Q734" s="8"/>
      <c r="R734" s="8"/>
      <c r="S734" s="8"/>
      <c r="T734" s="8"/>
      <c r="U734" s="8"/>
      <c r="V734" s="8"/>
      <c r="W734" s="8"/>
    </row>
    <row r="735" spans="1:23" ht="15.75" customHeight="1" x14ac:dyDescent="0.25">
      <c r="A735" s="6" t="s">
        <v>3219</v>
      </c>
      <c r="B735" s="8"/>
      <c r="C735" s="8"/>
      <c r="D735" s="8"/>
      <c r="E735" s="8"/>
      <c r="F735" s="8"/>
      <c r="G735" s="8"/>
      <c r="H735" s="8"/>
      <c r="I735" s="8"/>
      <c r="J735" s="8"/>
      <c r="K735" s="8"/>
      <c r="L735" s="8"/>
      <c r="M735" s="8"/>
      <c r="N735" s="8"/>
      <c r="O735" s="8"/>
      <c r="P735" s="8"/>
      <c r="Q735" s="8"/>
      <c r="R735" s="8"/>
      <c r="S735" s="8"/>
      <c r="T735" s="8"/>
      <c r="U735" s="8"/>
      <c r="V735" s="8"/>
      <c r="W735" s="8"/>
    </row>
    <row r="736" spans="1:23" ht="15.75" customHeight="1" x14ac:dyDescent="0.25">
      <c r="A736" s="6" t="s">
        <v>3219</v>
      </c>
      <c r="B736" s="8"/>
      <c r="C736" s="8"/>
      <c r="D736" s="8"/>
      <c r="E736" s="8"/>
      <c r="F736" s="8"/>
      <c r="G736" s="8"/>
      <c r="H736" s="8"/>
      <c r="I736" s="8"/>
      <c r="J736" s="8"/>
      <c r="K736" s="8"/>
      <c r="L736" s="8"/>
      <c r="M736" s="8"/>
      <c r="N736" s="8"/>
      <c r="O736" s="8"/>
      <c r="P736" s="8"/>
      <c r="Q736" s="8"/>
      <c r="R736" s="8"/>
      <c r="S736" s="8"/>
      <c r="T736" s="8"/>
      <c r="U736" s="8"/>
      <c r="V736" s="8"/>
      <c r="W736" s="8"/>
    </row>
    <row r="737" spans="1:23" ht="15.75" customHeight="1" x14ac:dyDescent="0.25">
      <c r="A737" s="6" t="s">
        <v>3219</v>
      </c>
      <c r="B737" s="8"/>
      <c r="C737" s="8"/>
      <c r="D737" s="8"/>
      <c r="E737" s="8"/>
      <c r="F737" s="8"/>
      <c r="G737" s="8"/>
      <c r="H737" s="8"/>
      <c r="I737" s="8"/>
      <c r="J737" s="8"/>
      <c r="K737" s="8"/>
      <c r="L737" s="8"/>
      <c r="M737" s="8"/>
      <c r="N737" s="8"/>
      <c r="O737" s="8"/>
      <c r="P737" s="8"/>
      <c r="Q737" s="8"/>
      <c r="R737" s="8"/>
      <c r="S737" s="8"/>
      <c r="T737" s="8"/>
      <c r="U737" s="8"/>
      <c r="V737" s="8"/>
      <c r="W737" s="8"/>
    </row>
    <row r="738" spans="1:23" ht="15.75" customHeight="1" x14ac:dyDescent="0.25">
      <c r="A738" s="6" t="s">
        <v>3219</v>
      </c>
      <c r="B738" s="8"/>
      <c r="C738" s="8"/>
      <c r="D738" s="8"/>
      <c r="E738" s="8"/>
      <c r="F738" s="8"/>
      <c r="G738" s="8"/>
      <c r="H738" s="8"/>
      <c r="I738" s="8"/>
      <c r="J738" s="8"/>
      <c r="K738" s="8"/>
      <c r="L738" s="8"/>
      <c r="M738" s="8"/>
      <c r="N738" s="8"/>
      <c r="O738" s="8"/>
      <c r="P738" s="8"/>
      <c r="Q738" s="8"/>
      <c r="R738" s="8"/>
      <c r="S738" s="8"/>
      <c r="T738" s="8"/>
      <c r="U738" s="8"/>
      <c r="V738" s="8"/>
      <c r="W738" s="8"/>
    </row>
    <row r="739" spans="1:23" ht="15.75" customHeight="1" x14ac:dyDescent="0.25">
      <c r="A739" s="6" t="s">
        <v>3219</v>
      </c>
      <c r="B739" s="8"/>
      <c r="C739" s="8"/>
      <c r="D739" s="8"/>
      <c r="E739" s="8"/>
      <c r="F739" s="8"/>
      <c r="G739" s="8"/>
      <c r="H739" s="8"/>
      <c r="I739" s="8"/>
      <c r="J739" s="8"/>
      <c r="K739" s="8"/>
      <c r="L739" s="8"/>
      <c r="M739" s="8"/>
      <c r="N739" s="8"/>
      <c r="O739" s="8"/>
      <c r="P739" s="8"/>
      <c r="Q739" s="8"/>
      <c r="R739" s="8"/>
      <c r="S739" s="8"/>
      <c r="T739" s="8"/>
      <c r="U739" s="8"/>
      <c r="V739" s="8"/>
      <c r="W739" s="8"/>
    </row>
    <row r="740" spans="1:23" ht="15.75" customHeight="1" x14ac:dyDescent="0.25">
      <c r="A740" s="6" t="s">
        <v>3219</v>
      </c>
      <c r="B740" s="8"/>
      <c r="C740" s="8"/>
      <c r="D740" s="8"/>
      <c r="E740" s="8"/>
      <c r="F740" s="8"/>
      <c r="G740" s="8"/>
      <c r="H740" s="8"/>
      <c r="I740" s="8"/>
      <c r="J740" s="8"/>
      <c r="K740" s="8"/>
      <c r="L740" s="8"/>
      <c r="M740" s="8"/>
      <c r="N740" s="8"/>
      <c r="O740" s="8"/>
      <c r="P740" s="8"/>
      <c r="Q740" s="8"/>
      <c r="R740" s="8"/>
      <c r="S740" s="8"/>
      <c r="T740" s="8"/>
      <c r="U740" s="8"/>
      <c r="V740" s="8"/>
      <c r="W740" s="8"/>
    </row>
    <row r="741" spans="1:23" ht="15.75" customHeight="1" x14ac:dyDescent="0.25">
      <c r="A741" s="6" t="s">
        <v>3219</v>
      </c>
      <c r="B741" s="8"/>
      <c r="C741" s="8"/>
      <c r="D741" s="8"/>
      <c r="E741" s="8"/>
      <c r="F741" s="8"/>
      <c r="G741" s="8"/>
      <c r="H741" s="8"/>
      <c r="I741" s="8"/>
      <c r="J741" s="8"/>
      <c r="K741" s="8"/>
      <c r="L741" s="8"/>
      <c r="M741" s="8"/>
      <c r="N741" s="8"/>
      <c r="O741" s="8"/>
      <c r="P741" s="8"/>
      <c r="Q741" s="8"/>
      <c r="R741" s="8"/>
      <c r="S741" s="8"/>
      <c r="T741" s="8"/>
      <c r="U741" s="8"/>
      <c r="V741" s="8"/>
      <c r="W741" s="8"/>
    </row>
    <row r="742" spans="1:23" ht="15.75" customHeight="1" x14ac:dyDescent="0.25">
      <c r="A742" s="6" t="s">
        <v>3219</v>
      </c>
      <c r="B742" s="8"/>
      <c r="C742" s="8"/>
      <c r="D742" s="8"/>
      <c r="E742" s="8"/>
      <c r="F742" s="8"/>
      <c r="G742" s="8"/>
      <c r="H742" s="8"/>
      <c r="I742" s="8"/>
      <c r="J742" s="8"/>
      <c r="K742" s="8"/>
      <c r="L742" s="8"/>
      <c r="M742" s="8"/>
      <c r="N742" s="8"/>
      <c r="O742" s="8"/>
      <c r="P742" s="8"/>
      <c r="Q742" s="8"/>
      <c r="R742" s="8"/>
      <c r="S742" s="8"/>
      <c r="T742" s="8"/>
      <c r="U742" s="8"/>
      <c r="V742" s="8"/>
      <c r="W742" s="8"/>
    </row>
    <row r="743" spans="1:23" ht="15.75" customHeight="1" x14ac:dyDescent="0.25">
      <c r="A743" s="6" t="s">
        <v>3219</v>
      </c>
      <c r="B743" s="8"/>
      <c r="C743" s="8"/>
      <c r="D743" s="8"/>
      <c r="E743" s="8"/>
      <c r="F743" s="8"/>
      <c r="G743" s="8"/>
      <c r="H743" s="8"/>
      <c r="I743" s="8"/>
      <c r="J743" s="8"/>
      <c r="K743" s="8"/>
      <c r="L743" s="8"/>
      <c r="M743" s="8"/>
      <c r="N743" s="8"/>
      <c r="O743" s="8"/>
      <c r="P743" s="8"/>
      <c r="Q743" s="8"/>
      <c r="R743" s="8"/>
      <c r="S743" s="8"/>
      <c r="T743" s="8"/>
      <c r="U743" s="8"/>
      <c r="V743" s="8"/>
      <c r="W743" s="8"/>
    </row>
    <row r="744" spans="1:23" ht="15.75" customHeight="1" x14ac:dyDescent="0.25">
      <c r="A744" s="6" t="s">
        <v>3219</v>
      </c>
      <c r="B744" s="8"/>
      <c r="C744" s="8"/>
      <c r="D744" s="8"/>
      <c r="E744" s="8"/>
      <c r="F744" s="8"/>
      <c r="G744" s="8"/>
      <c r="H744" s="8"/>
      <c r="I744" s="8"/>
      <c r="J744" s="8"/>
      <c r="K744" s="8"/>
      <c r="L744" s="8"/>
      <c r="M744" s="8"/>
      <c r="N744" s="8"/>
      <c r="O744" s="8"/>
      <c r="P744" s="8"/>
      <c r="Q744" s="8"/>
      <c r="R744" s="8"/>
      <c r="S744" s="8"/>
      <c r="T744" s="8"/>
      <c r="U744" s="8"/>
      <c r="V744" s="8"/>
      <c r="W744" s="8"/>
    </row>
    <row r="745" spans="1:23" ht="15.75" customHeight="1" x14ac:dyDescent="0.25">
      <c r="A745" s="6" t="s">
        <v>3219</v>
      </c>
      <c r="B745" s="8"/>
      <c r="C745" s="8"/>
      <c r="D745" s="8"/>
      <c r="E745" s="8"/>
      <c r="F745" s="8"/>
      <c r="G745" s="8"/>
      <c r="H745" s="8"/>
      <c r="I745" s="8"/>
      <c r="J745" s="8"/>
      <c r="K745" s="8"/>
      <c r="L745" s="8"/>
      <c r="M745" s="8"/>
      <c r="N745" s="8"/>
      <c r="O745" s="8"/>
      <c r="P745" s="8"/>
      <c r="Q745" s="8"/>
      <c r="R745" s="8"/>
      <c r="S745" s="8"/>
      <c r="T745" s="8"/>
      <c r="U745" s="8"/>
      <c r="V745" s="8"/>
      <c r="W745" s="8"/>
    </row>
    <row r="746" spans="1:23" ht="15.75" customHeight="1" x14ac:dyDescent="0.25">
      <c r="A746" s="6" t="s">
        <v>3219</v>
      </c>
      <c r="B746" s="8"/>
      <c r="C746" s="8"/>
      <c r="D746" s="8"/>
      <c r="E746" s="8"/>
      <c r="F746" s="8"/>
      <c r="G746" s="8"/>
      <c r="H746" s="8"/>
      <c r="I746" s="8"/>
      <c r="J746" s="8"/>
      <c r="K746" s="8"/>
      <c r="L746" s="8"/>
      <c r="M746" s="8"/>
      <c r="N746" s="8"/>
      <c r="O746" s="8"/>
      <c r="P746" s="8"/>
      <c r="Q746" s="8"/>
      <c r="R746" s="8"/>
      <c r="S746" s="8"/>
      <c r="T746" s="8"/>
      <c r="U746" s="8"/>
      <c r="V746" s="8"/>
      <c r="W746" s="8"/>
    </row>
    <row r="747" spans="1:23" ht="15.75" customHeight="1" x14ac:dyDescent="0.25">
      <c r="A747" s="6" t="s">
        <v>3851</v>
      </c>
      <c r="B747" s="8"/>
      <c r="C747" s="8"/>
      <c r="D747" s="8"/>
      <c r="E747" s="8"/>
      <c r="F747" s="8"/>
      <c r="G747" s="8"/>
      <c r="H747" s="8"/>
      <c r="I747" s="8"/>
      <c r="J747" s="8"/>
      <c r="K747" s="8"/>
      <c r="L747" s="8"/>
      <c r="M747" s="8"/>
      <c r="N747" s="8"/>
      <c r="O747" s="8"/>
      <c r="P747" s="8"/>
      <c r="Q747" s="8"/>
      <c r="R747" s="8"/>
      <c r="S747" s="8"/>
      <c r="T747" s="8"/>
      <c r="U747" s="8"/>
      <c r="V747" s="8"/>
      <c r="W747" s="8"/>
    </row>
    <row r="748" spans="1:23" ht="15.75" customHeight="1" x14ac:dyDescent="0.25">
      <c r="A748" s="6" t="s">
        <v>3851</v>
      </c>
      <c r="B748" s="8"/>
      <c r="C748" s="8"/>
      <c r="D748" s="8"/>
      <c r="E748" s="8"/>
      <c r="F748" s="8"/>
      <c r="G748" s="8"/>
      <c r="H748" s="8"/>
      <c r="I748" s="8"/>
      <c r="J748" s="8"/>
      <c r="K748" s="8"/>
      <c r="L748" s="8"/>
      <c r="M748" s="8"/>
      <c r="N748" s="8"/>
      <c r="O748" s="8"/>
      <c r="P748" s="8"/>
      <c r="Q748" s="8"/>
      <c r="R748" s="8"/>
      <c r="S748" s="8"/>
      <c r="T748" s="8"/>
      <c r="U748" s="8"/>
      <c r="V748" s="8"/>
      <c r="W748" s="8"/>
    </row>
    <row r="749" spans="1:23" ht="15.75" customHeight="1" x14ac:dyDescent="0.25">
      <c r="A749" s="6" t="s">
        <v>3697</v>
      </c>
      <c r="B749" s="8"/>
      <c r="C749" s="8"/>
      <c r="D749" s="8"/>
      <c r="E749" s="8"/>
      <c r="F749" s="8"/>
      <c r="G749" s="8"/>
      <c r="H749" s="8"/>
      <c r="I749" s="8"/>
      <c r="J749" s="8"/>
      <c r="K749" s="8"/>
      <c r="L749" s="8"/>
      <c r="M749" s="8"/>
      <c r="N749" s="8"/>
      <c r="O749" s="8"/>
      <c r="P749" s="8"/>
      <c r="Q749" s="8"/>
      <c r="R749" s="8"/>
      <c r="S749" s="8"/>
      <c r="T749" s="8"/>
      <c r="U749" s="8"/>
      <c r="V749" s="8"/>
      <c r="W749" s="8"/>
    </row>
    <row r="750" spans="1:23" ht="15.75" customHeight="1" x14ac:dyDescent="0.25">
      <c r="A750" s="6" t="s">
        <v>3697</v>
      </c>
      <c r="B750" s="8"/>
      <c r="C750" s="8"/>
      <c r="D750" s="8"/>
      <c r="E750" s="8"/>
      <c r="F750" s="8"/>
      <c r="G750" s="8"/>
      <c r="H750" s="8"/>
      <c r="I750" s="8"/>
      <c r="J750" s="8"/>
      <c r="K750" s="8"/>
      <c r="L750" s="8"/>
      <c r="M750" s="8"/>
      <c r="N750" s="8"/>
      <c r="O750" s="8"/>
      <c r="P750" s="8"/>
      <c r="Q750" s="8"/>
      <c r="R750" s="8"/>
      <c r="S750" s="8"/>
      <c r="T750" s="8"/>
      <c r="U750" s="8"/>
      <c r="V750" s="8"/>
      <c r="W750" s="8"/>
    </row>
    <row r="751" spans="1:23" ht="15.75" customHeight="1" x14ac:dyDescent="0.25">
      <c r="A751" s="6" t="s">
        <v>3697</v>
      </c>
      <c r="B751" s="8"/>
      <c r="C751" s="8"/>
      <c r="D751" s="8"/>
      <c r="E751" s="8"/>
      <c r="F751" s="8"/>
      <c r="G751" s="8"/>
      <c r="H751" s="8"/>
      <c r="I751" s="8"/>
      <c r="J751" s="8"/>
      <c r="K751" s="8"/>
      <c r="L751" s="8"/>
      <c r="M751" s="8"/>
      <c r="N751" s="8"/>
      <c r="O751" s="8"/>
      <c r="P751" s="8"/>
      <c r="Q751" s="8"/>
      <c r="R751" s="8"/>
      <c r="S751" s="8"/>
      <c r="T751" s="8"/>
      <c r="U751" s="8"/>
      <c r="V751" s="8"/>
      <c r="W751" s="8"/>
    </row>
    <row r="752" spans="1:23" ht="15.75" customHeight="1" x14ac:dyDescent="0.25">
      <c r="A752" s="6" t="s">
        <v>3703</v>
      </c>
      <c r="B752" s="8"/>
      <c r="C752" s="8"/>
      <c r="D752" s="8"/>
      <c r="E752" s="8"/>
      <c r="F752" s="8"/>
      <c r="G752" s="8"/>
      <c r="H752" s="8"/>
      <c r="I752" s="8"/>
      <c r="J752" s="8"/>
      <c r="K752" s="8"/>
      <c r="L752" s="8"/>
      <c r="M752" s="8"/>
      <c r="N752" s="8"/>
      <c r="O752" s="8"/>
      <c r="P752" s="8"/>
      <c r="Q752" s="8"/>
      <c r="R752" s="8"/>
      <c r="S752" s="8"/>
      <c r="T752" s="8"/>
      <c r="U752" s="8"/>
      <c r="V752" s="8"/>
      <c r="W752" s="8"/>
    </row>
    <row r="753" spans="1:23" ht="15.75" customHeight="1" x14ac:dyDescent="0.25">
      <c r="A753" s="6" t="s">
        <v>3703</v>
      </c>
      <c r="B753" s="8"/>
      <c r="C753" s="8"/>
      <c r="D753" s="8"/>
      <c r="E753" s="8"/>
      <c r="F753" s="8"/>
      <c r="G753" s="8"/>
      <c r="H753" s="8"/>
      <c r="I753" s="8"/>
      <c r="J753" s="8"/>
      <c r="K753" s="8"/>
      <c r="L753" s="8"/>
      <c r="M753" s="8"/>
      <c r="N753" s="8"/>
      <c r="O753" s="8"/>
      <c r="P753" s="8"/>
      <c r="Q753" s="8"/>
      <c r="R753" s="8"/>
      <c r="S753" s="8"/>
      <c r="T753" s="8"/>
      <c r="U753" s="8"/>
      <c r="V753" s="8"/>
      <c r="W753" s="8"/>
    </row>
    <row r="754" spans="1:23" ht="15.75" customHeight="1" x14ac:dyDescent="0.25">
      <c r="A754" s="6" t="s">
        <v>3703</v>
      </c>
      <c r="B754" s="8"/>
      <c r="C754" s="8"/>
      <c r="D754" s="8"/>
      <c r="E754" s="8"/>
      <c r="F754" s="8"/>
      <c r="G754" s="8"/>
      <c r="H754" s="8"/>
      <c r="I754" s="8"/>
      <c r="J754" s="8"/>
      <c r="K754" s="8"/>
      <c r="L754" s="8"/>
      <c r="M754" s="8"/>
      <c r="N754" s="8"/>
      <c r="O754" s="8"/>
      <c r="P754" s="8"/>
      <c r="Q754" s="8"/>
      <c r="R754" s="8"/>
      <c r="S754" s="8"/>
      <c r="T754" s="8"/>
      <c r="U754" s="8"/>
      <c r="V754" s="8"/>
      <c r="W754" s="8"/>
    </row>
    <row r="755" spans="1:23" ht="15.75" customHeight="1" x14ac:dyDescent="0.25">
      <c r="A755" s="6" t="s">
        <v>4170</v>
      </c>
      <c r="B755" s="8"/>
      <c r="C755" s="8"/>
      <c r="D755" s="8"/>
      <c r="E755" s="8"/>
      <c r="F755" s="8"/>
      <c r="G755" s="8"/>
      <c r="H755" s="8"/>
      <c r="I755" s="8"/>
      <c r="J755" s="8"/>
      <c r="K755" s="8"/>
      <c r="L755" s="8"/>
      <c r="M755" s="8"/>
      <c r="N755" s="8"/>
      <c r="O755" s="8"/>
      <c r="P755" s="8"/>
      <c r="Q755" s="8"/>
      <c r="R755" s="8"/>
      <c r="S755" s="8"/>
      <c r="T755" s="8"/>
      <c r="U755" s="8"/>
      <c r="V755" s="8"/>
      <c r="W755" s="8"/>
    </row>
    <row r="756" spans="1:23" ht="15.75" customHeight="1" x14ac:dyDescent="0.25">
      <c r="A756" s="6" t="s">
        <v>2153</v>
      </c>
      <c r="B756" s="8"/>
      <c r="C756" s="8"/>
      <c r="D756" s="8"/>
      <c r="E756" s="8"/>
      <c r="F756" s="8"/>
      <c r="G756" s="8"/>
      <c r="H756" s="8"/>
      <c r="I756" s="8"/>
      <c r="J756" s="8"/>
      <c r="K756" s="8"/>
      <c r="L756" s="8"/>
      <c r="M756" s="8"/>
      <c r="N756" s="8"/>
      <c r="O756" s="8"/>
      <c r="P756" s="8"/>
      <c r="Q756" s="8"/>
      <c r="R756" s="8"/>
      <c r="S756" s="8"/>
      <c r="T756" s="8"/>
      <c r="U756" s="8"/>
      <c r="V756" s="8"/>
      <c r="W756" s="8"/>
    </row>
    <row r="757" spans="1:23" ht="15.75" customHeight="1" x14ac:dyDescent="0.25">
      <c r="A757" s="6" t="s">
        <v>3855</v>
      </c>
      <c r="B757" s="8"/>
      <c r="C757" s="8"/>
      <c r="D757" s="8"/>
      <c r="E757" s="8"/>
      <c r="F757" s="8"/>
      <c r="G757" s="8"/>
      <c r="H757" s="8"/>
      <c r="I757" s="8"/>
      <c r="J757" s="8"/>
      <c r="K757" s="8"/>
      <c r="L757" s="8"/>
      <c r="M757" s="8"/>
      <c r="N757" s="8"/>
      <c r="O757" s="8"/>
      <c r="P757" s="8"/>
      <c r="Q757" s="8"/>
      <c r="R757" s="8"/>
      <c r="S757" s="8"/>
      <c r="T757" s="8"/>
      <c r="U757" s="8"/>
      <c r="V757" s="8"/>
      <c r="W757" s="8"/>
    </row>
    <row r="758" spans="1:23" ht="15.75" customHeight="1" x14ac:dyDescent="0.25">
      <c r="A758" s="6" t="s">
        <v>3855</v>
      </c>
      <c r="B758" s="8"/>
      <c r="C758" s="8"/>
      <c r="D758" s="8"/>
      <c r="E758" s="8"/>
      <c r="F758" s="8"/>
      <c r="G758" s="8"/>
      <c r="H758" s="8"/>
      <c r="I758" s="8"/>
      <c r="J758" s="8"/>
      <c r="K758" s="8"/>
      <c r="L758" s="8"/>
      <c r="M758" s="8"/>
      <c r="N758" s="8"/>
      <c r="O758" s="8"/>
      <c r="P758" s="8"/>
      <c r="Q758" s="8"/>
      <c r="R758" s="8"/>
      <c r="S758" s="8"/>
      <c r="T758" s="8"/>
      <c r="U758" s="8"/>
      <c r="V758" s="8"/>
      <c r="W758" s="8"/>
    </row>
    <row r="759" spans="1:23" ht="15.75" customHeight="1" x14ac:dyDescent="0.25">
      <c r="A759" s="6" t="s">
        <v>4171</v>
      </c>
      <c r="B759" s="8"/>
      <c r="C759" s="8"/>
      <c r="D759" s="8"/>
      <c r="E759" s="8"/>
      <c r="F759" s="8"/>
      <c r="G759" s="8"/>
      <c r="H759" s="8"/>
      <c r="I759" s="8"/>
      <c r="J759" s="8"/>
      <c r="K759" s="8"/>
      <c r="L759" s="8"/>
      <c r="M759" s="8"/>
      <c r="N759" s="8"/>
      <c r="O759" s="8"/>
      <c r="P759" s="8"/>
      <c r="Q759" s="8"/>
      <c r="R759" s="8"/>
      <c r="S759" s="8"/>
      <c r="T759" s="8"/>
      <c r="U759" s="8"/>
      <c r="V759" s="8"/>
      <c r="W759" s="8"/>
    </row>
    <row r="760" spans="1:23" ht="15.75" customHeight="1" x14ac:dyDescent="0.25">
      <c r="A760" s="6" t="s">
        <v>4172</v>
      </c>
      <c r="B760" s="8"/>
      <c r="C760" s="8"/>
      <c r="D760" s="8"/>
      <c r="E760" s="8"/>
      <c r="F760" s="8"/>
      <c r="G760" s="8"/>
      <c r="H760" s="8"/>
      <c r="I760" s="8"/>
      <c r="J760" s="8"/>
      <c r="K760" s="8"/>
      <c r="L760" s="8"/>
      <c r="M760" s="8"/>
      <c r="N760" s="8"/>
      <c r="O760" s="8"/>
      <c r="P760" s="8"/>
      <c r="Q760" s="8"/>
      <c r="R760" s="8"/>
      <c r="S760" s="8"/>
      <c r="T760" s="8"/>
      <c r="U760" s="8"/>
      <c r="V760" s="8"/>
      <c r="W760" s="8"/>
    </row>
    <row r="761" spans="1:23" ht="15.75" customHeight="1" x14ac:dyDescent="0.25">
      <c r="A761" s="6" t="s">
        <v>4173</v>
      </c>
      <c r="B761" s="8"/>
      <c r="C761" s="8"/>
      <c r="D761" s="8"/>
      <c r="E761" s="8"/>
      <c r="F761" s="8"/>
      <c r="G761" s="8"/>
      <c r="H761" s="8"/>
      <c r="I761" s="8"/>
      <c r="J761" s="8"/>
      <c r="K761" s="8"/>
      <c r="L761" s="8"/>
      <c r="M761" s="8"/>
      <c r="N761" s="8"/>
      <c r="O761" s="8"/>
      <c r="P761" s="8"/>
      <c r="Q761" s="8"/>
      <c r="R761" s="8"/>
      <c r="S761" s="8"/>
      <c r="T761" s="8"/>
      <c r="U761" s="8"/>
      <c r="V761" s="8"/>
      <c r="W761" s="8"/>
    </row>
    <row r="762" spans="1:23" ht="15.75" customHeight="1" x14ac:dyDescent="0.25">
      <c r="A762" s="6" t="s">
        <v>4174</v>
      </c>
      <c r="B762" s="8"/>
      <c r="C762" s="8"/>
      <c r="D762" s="8"/>
      <c r="E762" s="8"/>
      <c r="F762" s="8"/>
      <c r="G762" s="8"/>
      <c r="H762" s="8"/>
      <c r="I762" s="8"/>
      <c r="J762" s="8"/>
      <c r="K762" s="8"/>
      <c r="L762" s="8"/>
      <c r="M762" s="8"/>
      <c r="N762" s="8"/>
      <c r="O762" s="8"/>
      <c r="P762" s="8"/>
      <c r="Q762" s="8"/>
      <c r="R762" s="8"/>
      <c r="S762" s="8"/>
      <c r="T762" s="8"/>
      <c r="U762" s="8"/>
      <c r="V762" s="8"/>
      <c r="W762" s="8"/>
    </row>
    <row r="763" spans="1:23" ht="15.75" customHeight="1" x14ac:dyDescent="0.25">
      <c r="A763" s="6" t="s">
        <v>4175</v>
      </c>
      <c r="B763" s="8"/>
      <c r="C763" s="8"/>
      <c r="D763" s="8"/>
      <c r="E763" s="8"/>
      <c r="F763" s="8"/>
      <c r="G763" s="8"/>
      <c r="H763" s="8"/>
      <c r="I763" s="8"/>
      <c r="J763" s="8"/>
      <c r="K763" s="8"/>
      <c r="L763" s="8"/>
      <c r="M763" s="8"/>
      <c r="N763" s="8"/>
      <c r="O763" s="8"/>
      <c r="P763" s="8"/>
      <c r="Q763" s="8"/>
      <c r="R763" s="8"/>
      <c r="S763" s="8"/>
      <c r="T763" s="8"/>
      <c r="U763" s="8"/>
      <c r="V763" s="8"/>
      <c r="W763" s="8"/>
    </row>
    <row r="764" spans="1:23" ht="15.75" customHeight="1" x14ac:dyDescent="0.25">
      <c r="A764" s="6" t="s">
        <v>4176</v>
      </c>
      <c r="B764" s="8"/>
      <c r="C764" s="8"/>
      <c r="D764" s="8"/>
      <c r="E764" s="8"/>
      <c r="F764" s="8"/>
      <c r="G764" s="8"/>
      <c r="H764" s="8"/>
      <c r="I764" s="8"/>
      <c r="J764" s="8"/>
      <c r="K764" s="8"/>
      <c r="L764" s="8"/>
      <c r="M764" s="8"/>
      <c r="N764" s="8"/>
      <c r="O764" s="8"/>
      <c r="P764" s="8"/>
      <c r="Q764" s="8"/>
      <c r="R764" s="8"/>
      <c r="S764" s="8"/>
      <c r="T764" s="8"/>
      <c r="U764" s="8"/>
      <c r="V764" s="8"/>
      <c r="W764" s="8"/>
    </row>
    <row r="765" spans="1:23" ht="15.75" customHeight="1" x14ac:dyDescent="0.25">
      <c r="A765" s="6" t="s">
        <v>4177</v>
      </c>
      <c r="B765" s="8"/>
      <c r="C765" s="8"/>
      <c r="D765" s="8"/>
      <c r="E765" s="8"/>
      <c r="F765" s="8"/>
      <c r="G765" s="8"/>
      <c r="H765" s="8"/>
      <c r="I765" s="8"/>
      <c r="J765" s="8"/>
      <c r="K765" s="8"/>
      <c r="L765" s="8"/>
      <c r="M765" s="8"/>
      <c r="N765" s="8"/>
      <c r="O765" s="8"/>
      <c r="P765" s="8"/>
      <c r="Q765" s="8"/>
      <c r="R765" s="8"/>
      <c r="S765" s="8"/>
      <c r="T765" s="8"/>
      <c r="U765" s="8"/>
      <c r="V765" s="8"/>
      <c r="W765" s="8"/>
    </row>
    <row r="766" spans="1:23" ht="15.75" customHeight="1" x14ac:dyDescent="0.25">
      <c r="A766" s="6" t="s">
        <v>3460</v>
      </c>
      <c r="B766" s="8"/>
      <c r="C766" s="8"/>
      <c r="D766" s="8"/>
      <c r="E766" s="8"/>
      <c r="F766" s="8"/>
      <c r="G766" s="8"/>
      <c r="H766" s="8"/>
      <c r="I766" s="8"/>
      <c r="J766" s="8"/>
      <c r="K766" s="8"/>
      <c r="L766" s="8"/>
      <c r="M766" s="8"/>
      <c r="N766" s="8"/>
      <c r="O766" s="8"/>
      <c r="P766" s="8"/>
      <c r="Q766" s="8"/>
      <c r="R766" s="8"/>
      <c r="S766" s="8"/>
      <c r="T766" s="8"/>
      <c r="U766" s="8"/>
      <c r="V766" s="8"/>
      <c r="W766" s="8"/>
    </row>
    <row r="767" spans="1:23" ht="15.75" customHeight="1" x14ac:dyDescent="0.25">
      <c r="A767" s="6" t="s">
        <v>3460</v>
      </c>
      <c r="B767" s="8"/>
      <c r="C767" s="8"/>
      <c r="D767" s="8"/>
      <c r="E767" s="8"/>
      <c r="F767" s="8"/>
      <c r="G767" s="8"/>
      <c r="H767" s="8"/>
      <c r="I767" s="8"/>
      <c r="J767" s="8"/>
      <c r="K767" s="8"/>
      <c r="L767" s="8"/>
      <c r="M767" s="8"/>
      <c r="N767" s="8"/>
      <c r="O767" s="8"/>
      <c r="P767" s="8"/>
      <c r="Q767" s="8"/>
      <c r="R767" s="8"/>
      <c r="S767" s="8"/>
      <c r="T767" s="8"/>
      <c r="U767" s="8"/>
      <c r="V767" s="8"/>
      <c r="W767" s="8"/>
    </row>
    <row r="768" spans="1:23" ht="15.75" customHeight="1" x14ac:dyDescent="0.25">
      <c r="A768" s="6" t="s">
        <v>3460</v>
      </c>
      <c r="B768" s="8"/>
      <c r="C768" s="8"/>
      <c r="D768" s="8"/>
      <c r="E768" s="8"/>
      <c r="F768" s="8"/>
      <c r="G768" s="8"/>
      <c r="H768" s="8"/>
      <c r="I768" s="8"/>
      <c r="J768" s="8"/>
      <c r="K768" s="8"/>
      <c r="L768" s="8"/>
      <c r="M768" s="8"/>
      <c r="N768" s="8"/>
      <c r="O768" s="8"/>
      <c r="P768" s="8"/>
      <c r="Q768" s="8"/>
      <c r="R768" s="8"/>
      <c r="S768" s="8"/>
      <c r="T768" s="8"/>
      <c r="U768" s="8"/>
      <c r="V768" s="8"/>
      <c r="W768" s="8"/>
    </row>
    <row r="769" spans="1:23" ht="15.75" customHeight="1" x14ac:dyDescent="0.25">
      <c r="A769" s="6" t="s">
        <v>3460</v>
      </c>
      <c r="B769" s="8"/>
      <c r="C769" s="8"/>
      <c r="D769" s="8"/>
      <c r="E769" s="8"/>
      <c r="F769" s="8"/>
      <c r="G769" s="8"/>
      <c r="H769" s="8"/>
      <c r="I769" s="8"/>
      <c r="J769" s="8"/>
      <c r="K769" s="8"/>
      <c r="L769" s="8"/>
      <c r="M769" s="8"/>
      <c r="N769" s="8"/>
      <c r="O769" s="8"/>
      <c r="P769" s="8"/>
      <c r="Q769" s="8"/>
      <c r="R769" s="8"/>
      <c r="S769" s="8"/>
      <c r="T769" s="8"/>
      <c r="U769" s="8"/>
      <c r="V769" s="8"/>
      <c r="W769" s="8"/>
    </row>
    <row r="770" spans="1:23" ht="15.75" customHeight="1" x14ac:dyDescent="0.25">
      <c r="A770" s="6" t="s">
        <v>3460</v>
      </c>
      <c r="B770" s="8"/>
      <c r="C770" s="8"/>
      <c r="D770" s="8"/>
      <c r="E770" s="8"/>
      <c r="F770" s="8"/>
      <c r="G770" s="8"/>
      <c r="H770" s="8"/>
      <c r="I770" s="8"/>
      <c r="J770" s="8"/>
      <c r="K770" s="8"/>
      <c r="L770" s="8"/>
      <c r="M770" s="8"/>
      <c r="N770" s="8"/>
      <c r="O770" s="8"/>
      <c r="P770" s="8"/>
      <c r="Q770" s="8"/>
      <c r="R770" s="8"/>
      <c r="S770" s="8"/>
      <c r="T770" s="8"/>
      <c r="U770" s="8"/>
      <c r="V770" s="8"/>
      <c r="W770" s="8"/>
    </row>
    <row r="771" spans="1:23" ht="15.75" customHeight="1" x14ac:dyDescent="0.25">
      <c r="A771" s="6" t="s">
        <v>3460</v>
      </c>
      <c r="B771" s="8"/>
      <c r="C771" s="8"/>
      <c r="D771" s="8"/>
      <c r="E771" s="8"/>
      <c r="F771" s="8"/>
      <c r="G771" s="8"/>
      <c r="H771" s="8"/>
      <c r="I771" s="8"/>
      <c r="J771" s="8"/>
      <c r="K771" s="8"/>
      <c r="L771" s="8"/>
      <c r="M771" s="8"/>
      <c r="N771" s="8"/>
      <c r="O771" s="8"/>
      <c r="P771" s="8"/>
      <c r="Q771" s="8"/>
      <c r="R771" s="8"/>
      <c r="S771" s="8"/>
      <c r="T771" s="8"/>
      <c r="U771" s="8"/>
      <c r="V771" s="8"/>
      <c r="W771" s="8"/>
    </row>
    <row r="772" spans="1:23" ht="15.75" customHeight="1" x14ac:dyDescent="0.25">
      <c r="A772" s="6" t="s">
        <v>3460</v>
      </c>
      <c r="B772" s="8"/>
      <c r="C772" s="8"/>
      <c r="D772" s="8"/>
      <c r="E772" s="8"/>
      <c r="F772" s="8"/>
      <c r="G772" s="8"/>
      <c r="H772" s="8"/>
      <c r="I772" s="8"/>
      <c r="J772" s="8"/>
      <c r="K772" s="8"/>
      <c r="L772" s="8"/>
      <c r="M772" s="8"/>
      <c r="N772" s="8"/>
      <c r="O772" s="8"/>
      <c r="P772" s="8"/>
      <c r="Q772" s="8"/>
      <c r="R772" s="8"/>
      <c r="S772" s="8"/>
      <c r="T772" s="8"/>
      <c r="U772" s="8"/>
      <c r="V772" s="8"/>
      <c r="W772" s="8"/>
    </row>
    <row r="773" spans="1:23" ht="15.75" customHeight="1" x14ac:dyDescent="0.25">
      <c r="A773" s="6" t="s">
        <v>3609</v>
      </c>
      <c r="B773" s="8"/>
      <c r="C773" s="8"/>
      <c r="D773" s="8"/>
      <c r="E773" s="8"/>
      <c r="F773" s="8"/>
      <c r="G773" s="8"/>
      <c r="H773" s="8"/>
      <c r="I773" s="8"/>
      <c r="J773" s="8"/>
      <c r="K773" s="8"/>
      <c r="L773" s="8"/>
      <c r="M773" s="8"/>
      <c r="N773" s="8"/>
      <c r="O773" s="8"/>
      <c r="P773" s="8"/>
      <c r="Q773" s="8"/>
      <c r="R773" s="8"/>
      <c r="S773" s="8"/>
      <c r="T773" s="8"/>
      <c r="U773" s="8"/>
      <c r="V773" s="8"/>
      <c r="W773" s="8"/>
    </row>
    <row r="774" spans="1:23" ht="15.75" customHeight="1" x14ac:dyDescent="0.25">
      <c r="A774" s="6" t="s">
        <v>3609</v>
      </c>
      <c r="B774" s="8"/>
      <c r="C774" s="8"/>
      <c r="D774" s="8"/>
      <c r="E774" s="8"/>
      <c r="F774" s="8"/>
      <c r="G774" s="8"/>
      <c r="H774" s="8"/>
      <c r="I774" s="8"/>
      <c r="J774" s="8"/>
      <c r="K774" s="8"/>
      <c r="L774" s="8"/>
      <c r="M774" s="8"/>
      <c r="N774" s="8"/>
      <c r="O774" s="8"/>
      <c r="P774" s="8"/>
      <c r="Q774" s="8"/>
      <c r="R774" s="8"/>
      <c r="S774" s="8"/>
      <c r="T774" s="8"/>
      <c r="U774" s="8"/>
      <c r="V774" s="8"/>
      <c r="W774" s="8"/>
    </row>
    <row r="775" spans="1:23" ht="15.75" customHeight="1" x14ac:dyDescent="0.25">
      <c r="A775" s="6" t="s">
        <v>3609</v>
      </c>
      <c r="B775" s="8"/>
      <c r="C775" s="8"/>
      <c r="D775" s="8"/>
      <c r="E775" s="8"/>
      <c r="F775" s="8"/>
      <c r="G775" s="8"/>
      <c r="H775" s="8"/>
      <c r="I775" s="8"/>
      <c r="J775" s="8"/>
      <c r="K775" s="8"/>
      <c r="L775" s="8"/>
      <c r="M775" s="8"/>
      <c r="N775" s="8"/>
      <c r="O775" s="8"/>
      <c r="P775" s="8"/>
      <c r="Q775" s="8"/>
      <c r="R775" s="8"/>
      <c r="S775" s="8"/>
      <c r="T775" s="8"/>
      <c r="U775" s="8"/>
      <c r="V775" s="8"/>
      <c r="W775" s="8"/>
    </row>
    <row r="776" spans="1:23" ht="15.75" customHeight="1" x14ac:dyDescent="0.25">
      <c r="A776" s="6" t="s">
        <v>3609</v>
      </c>
      <c r="B776" s="8"/>
      <c r="C776" s="8"/>
      <c r="D776" s="8"/>
      <c r="E776" s="8"/>
      <c r="F776" s="8"/>
      <c r="G776" s="8"/>
      <c r="H776" s="8"/>
      <c r="I776" s="8"/>
      <c r="J776" s="8"/>
      <c r="K776" s="8"/>
      <c r="L776" s="8"/>
      <c r="M776" s="8"/>
      <c r="N776" s="8"/>
      <c r="O776" s="8"/>
      <c r="P776" s="8"/>
      <c r="Q776" s="8"/>
      <c r="R776" s="8"/>
      <c r="S776" s="8"/>
      <c r="T776" s="8"/>
      <c r="U776" s="8"/>
      <c r="V776" s="8"/>
      <c r="W776" s="8"/>
    </row>
    <row r="777" spans="1:23" ht="15.75" customHeight="1" x14ac:dyDescent="0.25">
      <c r="A777" s="8" t="s">
        <v>3857</v>
      </c>
      <c r="B777" s="8"/>
      <c r="C777" s="8"/>
      <c r="D777" s="8"/>
      <c r="E777" s="8"/>
      <c r="F777" s="8"/>
      <c r="G777" s="8"/>
      <c r="H777" s="8"/>
      <c r="I777" s="8"/>
      <c r="J777" s="8"/>
      <c r="K777" s="8"/>
      <c r="L777" s="8"/>
      <c r="M777" s="8"/>
      <c r="N777" s="8"/>
      <c r="O777" s="8"/>
      <c r="P777" s="8"/>
      <c r="Q777" s="8"/>
      <c r="R777" s="8"/>
      <c r="S777" s="8"/>
      <c r="T777" s="8"/>
      <c r="U777" s="8"/>
      <c r="V777" s="8"/>
      <c r="W777" s="8"/>
    </row>
    <row r="778" spans="1:23" ht="15.75" customHeight="1" x14ac:dyDescent="0.25">
      <c r="A778" s="8" t="s">
        <v>3857</v>
      </c>
      <c r="B778" s="8"/>
      <c r="C778" s="8"/>
      <c r="D778" s="8"/>
      <c r="E778" s="8"/>
      <c r="F778" s="8"/>
      <c r="G778" s="8"/>
      <c r="H778" s="8"/>
      <c r="I778" s="8"/>
      <c r="J778" s="8"/>
      <c r="K778" s="8"/>
      <c r="L778" s="8"/>
      <c r="M778" s="8"/>
      <c r="N778" s="8"/>
      <c r="O778" s="8"/>
      <c r="P778" s="8"/>
      <c r="Q778" s="8"/>
      <c r="R778" s="8"/>
      <c r="S778" s="8"/>
      <c r="T778" s="8"/>
      <c r="U778" s="8"/>
      <c r="V778" s="8"/>
      <c r="W778" s="8"/>
    </row>
    <row r="779" spans="1:23" ht="15.75" customHeight="1" x14ac:dyDescent="0.25">
      <c r="A779" s="6" t="s">
        <v>3861</v>
      </c>
      <c r="B779" s="8"/>
      <c r="C779" s="8"/>
      <c r="D779" s="8"/>
      <c r="E779" s="8"/>
      <c r="F779" s="8"/>
      <c r="G779" s="8"/>
      <c r="H779" s="8"/>
      <c r="I779" s="8"/>
      <c r="J779" s="8"/>
      <c r="K779" s="8"/>
      <c r="L779" s="8"/>
      <c r="M779" s="8"/>
      <c r="N779" s="8"/>
      <c r="O779" s="8"/>
      <c r="P779" s="8"/>
      <c r="Q779" s="8"/>
      <c r="R779" s="8"/>
      <c r="S779" s="8"/>
      <c r="T779" s="8"/>
      <c r="U779" s="8"/>
      <c r="V779" s="8"/>
      <c r="W779" s="8"/>
    </row>
    <row r="780" spans="1:23" ht="15.75" customHeight="1" x14ac:dyDescent="0.25">
      <c r="A780" s="6" t="s">
        <v>3861</v>
      </c>
      <c r="B780" s="8"/>
      <c r="C780" s="8"/>
      <c r="D780" s="8"/>
      <c r="E780" s="8"/>
      <c r="F780" s="8"/>
      <c r="G780" s="8"/>
      <c r="H780" s="8"/>
      <c r="I780" s="8"/>
      <c r="J780" s="8"/>
      <c r="K780" s="8"/>
      <c r="L780" s="8"/>
      <c r="M780" s="8"/>
      <c r="N780" s="8"/>
      <c r="O780" s="8"/>
      <c r="P780" s="8"/>
      <c r="Q780" s="8"/>
      <c r="R780" s="8"/>
      <c r="S780" s="8"/>
      <c r="T780" s="8"/>
      <c r="U780" s="8"/>
      <c r="V780" s="8"/>
      <c r="W780" s="8"/>
    </row>
    <row r="781" spans="1:23" ht="15.75" customHeight="1" x14ac:dyDescent="0.25">
      <c r="A781" s="6" t="s">
        <v>4178</v>
      </c>
      <c r="B781" s="8"/>
      <c r="C781" s="8"/>
      <c r="D781" s="8"/>
      <c r="E781" s="8"/>
      <c r="F781" s="8"/>
      <c r="G781" s="8"/>
      <c r="H781" s="8"/>
      <c r="I781" s="8"/>
      <c r="J781" s="8"/>
      <c r="K781" s="8"/>
      <c r="L781" s="8"/>
      <c r="M781" s="8"/>
      <c r="N781" s="8"/>
      <c r="O781" s="8"/>
      <c r="P781" s="8"/>
      <c r="Q781" s="8"/>
      <c r="R781" s="8"/>
      <c r="S781" s="8"/>
      <c r="T781" s="8"/>
      <c r="U781" s="8"/>
      <c r="V781" s="8"/>
      <c r="W781" s="8"/>
    </row>
    <row r="782" spans="1:23" ht="15.75" customHeight="1" x14ac:dyDescent="0.25">
      <c r="A782" s="6" t="s">
        <v>4179</v>
      </c>
      <c r="B782" s="8"/>
      <c r="C782" s="8"/>
      <c r="D782" s="8"/>
      <c r="E782" s="8"/>
      <c r="F782" s="8"/>
      <c r="G782" s="8"/>
      <c r="H782" s="8"/>
      <c r="I782" s="8"/>
      <c r="J782" s="8"/>
      <c r="K782" s="8"/>
      <c r="L782" s="8"/>
      <c r="M782" s="8"/>
      <c r="N782" s="8"/>
      <c r="O782" s="8"/>
      <c r="P782" s="8"/>
      <c r="Q782" s="8"/>
      <c r="R782" s="8"/>
      <c r="S782" s="8"/>
      <c r="T782" s="8"/>
      <c r="U782" s="8"/>
      <c r="V782" s="8"/>
      <c r="W782" s="8"/>
    </row>
    <row r="783" spans="1:23" ht="15.75" customHeight="1" x14ac:dyDescent="0.25">
      <c r="A783" s="6" t="s">
        <v>4180</v>
      </c>
      <c r="B783" s="8"/>
      <c r="C783" s="8"/>
      <c r="D783" s="8"/>
      <c r="E783" s="8"/>
      <c r="F783" s="8"/>
      <c r="G783" s="8"/>
      <c r="H783" s="8"/>
      <c r="I783" s="8"/>
      <c r="J783" s="8"/>
      <c r="K783" s="8"/>
      <c r="L783" s="8"/>
      <c r="M783" s="8"/>
      <c r="N783" s="8"/>
      <c r="O783" s="8"/>
      <c r="P783" s="8"/>
      <c r="Q783" s="8"/>
      <c r="R783" s="8"/>
      <c r="S783" s="8"/>
      <c r="T783" s="8"/>
      <c r="U783" s="8"/>
      <c r="V783" s="8"/>
      <c r="W783" s="8"/>
    </row>
    <row r="784" spans="1:23" ht="15.75" customHeight="1" x14ac:dyDescent="0.25">
      <c r="A784" s="6" t="s">
        <v>4181</v>
      </c>
      <c r="B784" s="8"/>
      <c r="C784" s="8"/>
      <c r="D784" s="8"/>
      <c r="E784" s="8"/>
      <c r="F784" s="8"/>
      <c r="G784" s="8"/>
      <c r="H784" s="8"/>
      <c r="I784" s="8"/>
      <c r="J784" s="8"/>
      <c r="K784" s="8"/>
      <c r="L784" s="8"/>
      <c r="M784" s="8"/>
      <c r="N784" s="8"/>
      <c r="O784" s="8"/>
      <c r="P784" s="8"/>
      <c r="Q784" s="8"/>
      <c r="R784" s="8"/>
      <c r="S784" s="8"/>
      <c r="T784" s="8"/>
      <c r="U784" s="8"/>
      <c r="V784" s="8"/>
      <c r="W784" s="8"/>
    </row>
    <row r="785" spans="1:23" ht="15.75" customHeight="1" x14ac:dyDescent="0.25">
      <c r="A785" s="6" t="s">
        <v>4182</v>
      </c>
      <c r="B785" s="8"/>
      <c r="C785" s="8"/>
      <c r="D785" s="8"/>
      <c r="E785" s="8"/>
      <c r="F785" s="8"/>
      <c r="G785" s="8"/>
      <c r="H785" s="8"/>
      <c r="I785" s="8"/>
      <c r="J785" s="8"/>
      <c r="K785" s="8"/>
      <c r="L785" s="8"/>
      <c r="M785" s="8"/>
      <c r="N785" s="8"/>
      <c r="O785" s="8"/>
      <c r="P785" s="8"/>
      <c r="Q785" s="8"/>
      <c r="R785" s="8"/>
      <c r="S785" s="8"/>
      <c r="T785" s="8"/>
      <c r="U785" s="8"/>
      <c r="V785" s="8"/>
      <c r="W785" s="8"/>
    </row>
    <row r="786" spans="1:23" ht="15.75" customHeight="1" x14ac:dyDescent="0.25">
      <c r="A786" s="6" t="s">
        <v>3865</v>
      </c>
      <c r="B786" s="8"/>
      <c r="C786" s="8"/>
      <c r="D786" s="8"/>
      <c r="E786" s="8"/>
      <c r="F786" s="8"/>
      <c r="G786" s="8"/>
      <c r="H786" s="8"/>
      <c r="I786" s="8"/>
      <c r="J786" s="8"/>
      <c r="K786" s="8"/>
      <c r="L786" s="8"/>
      <c r="M786" s="8"/>
      <c r="N786" s="8"/>
      <c r="O786" s="8"/>
      <c r="P786" s="8"/>
      <c r="Q786" s="8"/>
      <c r="R786" s="8"/>
      <c r="S786" s="8"/>
      <c r="T786" s="8"/>
      <c r="U786" s="8"/>
      <c r="V786" s="8"/>
      <c r="W786" s="8"/>
    </row>
    <row r="787" spans="1:23" ht="15.75" customHeight="1" x14ac:dyDescent="0.25">
      <c r="A787" s="6" t="s">
        <v>3865</v>
      </c>
      <c r="B787" s="8"/>
      <c r="C787" s="8"/>
      <c r="D787" s="8"/>
      <c r="E787" s="8"/>
      <c r="F787" s="8"/>
      <c r="G787" s="8"/>
      <c r="H787" s="8"/>
      <c r="I787" s="8"/>
      <c r="J787" s="8"/>
      <c r="K787" s="8"/>
      <c r="L787" s="8"/>
      <c r="M787" s="8"/>
      <c r="N787" s="8"/>
      <c r="O787" s="8"/>
      <c r="P787" s="8"/>
      <c r="Q787" s="8"/>
      <c r="R787" s="8"/>
      <c r="S787" s="8"/>
      <c r="T787" s="8"/>
      <c r="U787" s="8"/>
      <c r="V787" s="8"/>
      <c r="W787" s="8"/>
    </row>
    <row r="788" spans="1:23" ht="15.75" customHeight="1" x14ac:dyDescent="0.25">
      <c r="A788" s="6" t="s">
        <v>4183</v>
      </c>
      <c r="B788" s="8"/>
      <c r="C788" s="8"/>
      <c r="D788" s="8"/>
      <c r="E788" s="8"/>
      <c r="F788" s="8"/>
      <c r="G788" s="8"/>
      <c r="H788" s="8"/>
      <c r="I788" s="8"/>
      <c r="J788" s="8"/>
      <c r="K788" s="8"/>
      <c r="L788" s="8"/>
      <c r="M788" s="8"/>
      <c r="N788" s="8"/>
      <c r="O788" s="8"/>
      <c r="P788" s="8"/>
      <c r="Q788" s="8"/>
      <c r="R788" s="8"/>
      <c r="S788" s="8"/>
      <c r="T788" s="8"/>
      <c r="U788" s="8"/>
      <c r="V788" s="8"/>
      <c r="W788" s="8"/>
    </row>
    <row r="789" spans="1:23" ht="15.75" customHeight="1" x14ac:dyDescent="0.25">
      <c r="A789" s="6" t="s">
        <v>4184</v>
      </c>
      <c r="B789" s="8"/>
      <c r="C789" s="8"/>
      <c r="D789" s="8"/>
      <c r="E789" s="8"/>
      <c r="F789" s="8"/>
      <c r="G789" s="8"/>
      <c r="H789" s="8"/>
      <c r="I789" s="8"/>
      <c r="J789" s="8"/>
      <c r="K789" s="8"/>
      <c r="L789" s="8"/>
      <c r="M789" s="8"/>
      <c r="N789" s="8"/>
      <c r="O789" s="8"/>
      <c r="P789" s="8"/>
      <c r="Q789" s="8"/>
      <c r="R789" s="8"/>
      <c r="S789" s="8"/>
      <c r="T789" s="8"/>
      <c r="U789" s="8"/>
      <c r="V789" s="8"/>
      <c r="W789" s="8"/>
    </row>
    <row r="790" spans="1:23" ht="15.75" customHeight="1" x14ac:dyDescent="0.25">
      <c r="A790" s="6" t="s">
        <v>4185</v>
      </c>
      <c r="B790" s="8"/>
      <c r="C790" s="8"/>
      <c r="D790" s="8"/>
      <c r="E790" s="8"/>
      <c r="F790" s="8"/>
      <c r="G790" s="8"/>
      <c r="H790" s="8"/>
      <c r="I790" s="8"/>
      <c r="J790" s="8"/>
      <c r="K790" s="8"/>
      <c r="L790" s="8"/>
      <c r="M790" s="8"/>
      <c r="N790" s="8"/>
      <c r="O790" s="8"/>
      <c r="P790" s="8"/>
      <c r="Q790" s="8"/>
      <c r="R790" s="8"/>
      <c r="S790" s="8"/>
      <c r="T790" s="8"/>
      <c r="U790" s="8"/>
      <c r="V790" s="8"/>
      <c r="W790" s="8"/>
    </row>
    <row r="791" spans="1:23" ht="15.75" customHeight="1" x14ac:dyDescent="0.25">
      <c r="A791" s="6" t="s">
        <v>3869</v>
      </c>
      <c r="B791" s="8"/>
      <c r="C791" s="8"/>
      <c r="D791" s="8"/>
      <c r="E791" s="8"/>
      <c r="F791" s="8"/>
      <c r="G791" s="8"/>
      <c r="H791" s="8"/>
      <c r="I791" s="8"/>
      <c r="J791" s="8"/>
      <c r="K791" s="8"/>
      <c r="L791" s="8"/>
      <c r="M791" s="8"/>
      <c r="N791" s="8"/>
      <c r="O791" s="8"/>
      <c r="P791" s="8"/>
      <c r="Q791" s="8"/>
      <c r="R791" s="8"/>
      <c r="S791" s="8"/>
      <c r="T791" s="8"/>
      <c r="U791" s="8"/>
      <c r="V791" s="8"/>
      <c r="W791" s="8"/>
    </row>
    <row r="792" spans="1:23" ht="15.75" customHeight="1" x14ac:dyDescent="0.25">
      <c r="A792" s="6" t="s">
        <v>3869</v>
      </c>
      <c r="B792" s="8"/>
      <c r="C792" s="8"/>
      <c r="D792" s="8"/>
      <c r="E792" s="8"/>
      <c r="F792" s="8"/>
      <c r="G792" s="8"/>
      <c r="H792" s="8"/>
      <c r="I792" s="8"/>
      <c r="J792" s="8"/>
      <c r="K792" s="8"/>
      <c r="L792" s="8"/>
      <c r="M792" s="8"/>
      <c r="N792" s="8"/>
      <c r="O792" s="8"/>
      <c r="P792" s="8"/>
      <c r="Q792" s="8"/>
      <c r="R792" s="8"/>
      <c r="S792" s="8"/>
      <c r="T792" s="8"/>
      <c r="U792" s="8"/>
      <c r="V792" s="8"/>
      <c r="W792" s="8"/>
    </row>
    <row r="793" spans="1:23" ht="15.75" customHeight="1" x14ac:dyDescent="0.25">
      <c r="A793" s="6" t="s">
        <v>4186</v>
      </c>
      <c r="B793" s="8"/>
      <c r="C793" s="8"/>
      <c r="D793" s="8"/>
      <c r="E793" s="8"/>
      <c r="F793" s="8"/>
      <c r="G793" s="8"/>
      <c r="H793" s="8"/>
      <c r="I793" s="8"/>
      <c r="J793" s="8"/>
      <c r="K793" s="8"/>
      <c r="L793" s="8"/>
      <c r="M793" s="8"/>
      <c r="N793" s="8"/>
      <c r="O793" s="8"/>
      <c r="P793" s="8"/>
      <c r="Q793" s="8"/>
      <c r="R793" s="8"/>
      <c r="S793" s="8"/>
      <c r="T793" s="8"/>
      <c r="U793" s="8"/>
      <c r="V793" s="8"/>
      <c r="W793" s="8"/>
    </row>
    <row r="794" spans="1:23" ht="15.75" customHeight="1" x14ac:dyDescent="0.25">
      <c r="A794" s="6" t="s">
        <v>3495</v>
      </c>
      <c r="B794" s="8"/>
      <c r="C794" s="8"/>
      <c r="D794" s="8"/>
      <c r="E794" s="8"/>
      <c r="F794" s="8"/>
      <c r="G794" s="8"/>
      <c r="H794" s="8"/>
      <c r="I794" s="8"/>
      <c r="J794" s="8"/>
      <c r="K794" s="8"/>
      <c r="L794" s="8"/>
      <c r="M794" s="8"/>
      <c r="N794" s="8"/>
      <c r="O794" s="8"/>
      <c r="P794" s="8"/>
      <c r="Q794" s="8"/>
      <c r="R794" s="8"/>
      <c r="S794" s="8"/>
      <c r="T794" s="8"/>
      <c r="U794" s="8"/>
      <c r="V794" s="8"/>
      <c r="W794" s="8"/>
    </row>
    <row r="795" spans="1:23" ht="15.75" customHeight="1" x14ac:dyDescent="0.25">
      <c r="A795" s="6" t="s">
        <v>3495</v>
      </c>
      <c r="B795" s="8"/>
      <c r="C795" s="8"/>
      <c r="D795" s="8"/>
      <c r="E795" s="8"/>
      <c r="F795" s="8"/>
      <c r="G795" s="8"/>
      <c r="H795" s="8"/>
      <c r="I795" s="8"/>
      <c r="J795" s="8"/>
      <c r="K795" s="8"/>
      <c r="L795" s="8"/>
      <c r="M795" s="8"/>
      <c r="N795" s="8"/>
      <c r="O795" s="8"/>
      <c r="P795" s="8"/>
      <c r="Q795" s="8"/>
      <c r="R795" s="8"/>
      <c r="S795" s="8"/>
      <c r="T795" s="8"/>
      <c r="U795" s="8"/>
      <c r="V795" s="8"/>
      <c r="W795" s="8"/>
    </row>
    <row r="796" spans="1:23" ht="15.75" customHeight="1" x14ac:dyDescent="0.25">
      <c r="A796" s="6" t="s">
        <v>3495</v>
      </c>
      <c r="B796" s="8"/>
      <c r="C796" s="8"/>
      <c r="D796" s="8"/>
      <c r="E796" s="8"/>
      <c r="F796" s="8"/>
      <c r="G796" s="8"/>
      <c r="H796" s="8"/>
      <c r="I796" s="8"/>
      <c r="J796" s="8"/>
      <c r="K796" s="8"/>
      <c r="L796" s="8"/>
      <c r="M796" s="8"/>
      <c r="N796" s="8"/>
      <c r="O796" s="8"/>
      <c r="P796" s="8"/>
      <c r="Q796" s="8"/>
      <c r="R796" s="8"/>
      <c r="S796" s="8"/>
      <c r="T796" s="8"/>
      <c r="U796" s="8"/>
      <c r="V796" s="8"/>
      <c r="W796" s="8"/>
    </row>
    <row r="797" spans="1:23" ht="15.75" customHeight="1" x14ac:dyDescent="0.25">
      <c r="A797" s="6" t="s">
        <v>3495</v>
      </c>
      <c r="B797" s="8"/>
      <c r="C797" s="8"/>
      <c r="D797" s="8"/>
      <c r="E797" s="8"/>
      <c r="F797" s="8"/>
      <c r="G797" s="8"/>
      <c r="H797" s="8"/>
      <c r="I797" s="8"/>
      <c r="J797" s="8"/>
      <c r="K797" s="8"/>
      <c r="L797" s="8"/>
      <c r="M797" s="8"/>
      <c r="N797" s="8"/>
      <c r="O797" s="8"/>
      <c r="P797" s="8"/>
      <c r="Q797" s="8"/>
      <c r="R797" s="8"/>
      <c r="S797" s="8"/>
      <c r="T797" s="8"/>
      <c r="U797" s="8"/>
      <c r="V797" s="8"/>
      <c r="W797" s="8"/>
    </row>
    <row r="798" spans="1:23" ht="15.75" customHeight="1" x14ac:dyDescent="0.25">
      <c r="A798" s="6" t="s">
        <v>3495</v>
      </c>
      <c r="B798" s="8"/>
      <c r="C798" s="8"/>
      <c r="D798" s="8"/>
      <c r="E798" s="8"/>
      <c r="F798" s="8"/>
      <c r="G798" s="8"/>
      <c r="H798" s="8"/>
      <c r="I798" s="8"/>
      <c r="J798" s="8"/>
      <c r="K798" s="8"/>
      <c r="L798" s="8"/>
      <c r="M798" s="8"/>
      <c r="N798" s="8"/>
      <c r="O798" s="8"/>
      <c r="P798" s="8"/>
      <c r="Q798" s="8"/>
      <c r="R798" s="8"/>
      <c r="S798" s="8"/>
      <c r="T798" s="8"/>
      <c r="U798" s="8"/>
      <c r="V798" s="8"/>
      <c r="W798" s="8"/>
    </row>
    <row r="799" spans="1:23" ht="15.75" customHeight="1" x14ac:dyDescent="0.25">
      <c r="A799" s="6" t="s">
        <v>3495</v>
      </c>
      <c r="B799" s="8"/>
      <c r="C799" s="8"/>
      <c r="D799" s="8"/>
      <c r="E799" s="8"/>
      <c r="F799" s="8"/>
      <c r="G799" s="8"/>
      <c r="H799" s="8"/>
      <c r="I799" s="8"/>
      <c r="J799" s="8"/>
      <c r="K799" s="8"/>
      <c r="L799" s="8"/>
      <c r="M799" s="8"/>
      <c r="N799" s="8"/>
      <c r="O799" s="8"/>
      <c r="P799" s="8"/>
      <c r="Q799" s="8"/>
      <c r="R799" s="8"/>
      <c r="S799" s="8"/>
      <c r="T799" s="8"/>
      <c r="U799" s="8"/>
      <c r="V799" s="8"/>
      <c r="W799" s="8"/>
    </row>
    <row r="800" spans="1:23" ht="15.75" customHeight="1" x14ac:dyDescent="0.25">
      <c r="A800" s="6" t="s">
        <v>2660</v>
      </c>
      <c r="B800" s="8"/>
      <c r="C800" s="8"/>
      <c r="D800" s="8"/>
      <c r="E800" s="8"/>
      <c r="F800" s="8"/>
      <c r="G800" s="8"/>
      <c r="H800" s="8"/>
      <c r="I800" s="8"/>
      <c r="J800" s="8"/>
      <c r="K800" s="8"/>
      <c r="L800" s="8"/>
      <c r="M800" s="8"/>
      <c r="N800" s="8"/>
      <c r="O800" s="8"/>
      <c r="P800" s="8"/>
      <c r="Q800" s="8"/>
      <c r="R800" s="8"/>
      <c r="S800" s="8"/>
      <c r="T800" s="8"/>
      <c r="U800" s="8"/>
      <c r="V800" s="8"/>
      <c r="W800" s="8"/>
    </row>
    <row r="801" spans="1:23" ht="15.75" customHeight="1" x14ac:dyDescent="0.25">
      <c r="A801" s="6" t="s">
        <v>3614</v>
      </c>
      <c r="B801" s="8"/>
      <c r="C801" s="8"/>
      <c r="D801" s="8"/>
      <c r="E801" s="8"/>
      <c r="F801" s="8"/>
      <c r="G801" s="8"/>
      <c r="H801" s="8"/>
      <c r="I801" s="8"/>
      <c r="J801" s="8"/>
      <c r="K801" s="8"/>
      <c r="L801" s="8"/>
      <c r="M801" s="8"/>
      <c r="N801" s="8"/>
      <c r="O801" s="8"/>
      <c r="P801" s="8"/>
      <c r="Q801" s="8"/>
      <c r="R801" s="8"/>
      <c r="S801" s="8"/>
      <c r="T801" s="8"/>
      <c r="U801" s="8"/>
      <c r="V801" s="8"/>
      <c r="W801" s="8"/>
    </row>
    <row r="802" spans="1:23" ht="15.75" customHeight="1" x14ac:dyDescent="0.25">
      <c r="A802" s="6" t="s">
        <v>3614</v>
      </c>
      <c r="B802" s="8"/>
      <c r="C802" s="8"/>
      <c r="D802" s="8"/>
      <c r="E802" s="8"/>
      <c r="F802" s="8"/>
      <c r="G802" s="8"/>
      <c r="H802" s="8"/>
      <c r="I802" s="8"/>
      <c r="J802" s="8"/>
      <c r="K802" s="8"/>
      <c r="L802" s="8"/>
      <c r="M802" s="8"/>
      <c r="N802" s="8"/>
      <c r="O802" s="8"/>
      <c r="P802" s="8"/>
      <c r="Q802" s="8"/>
      <c r="R802" s="8"/>
      <c r="S802" s="8"/>
      <c r="T802" s="8"/>
      <c r="U802" s="8"/>
      <c r="V802" s="8"/>
      <c r="W802" s="8"/>
    </row>
    <row r="803" spans="1:23" ht="15.75" customHeight="1" x14ac:dyDescent="0.25">
      <c r="A803" s="6" t="s">
        <v>3614</v>
      </c>
      <c r="B803" s="8"/>
      <c r="C803" s="8"/>
      <c r="D803" s="8"/>
      <c r="E803" s="8"/>
      <c r="F803" s="8"/>
      <c r="G803" s="8"/>
      <c r="H803" s="8"/>
      <c r="I803" s="8"/>
      <c r="J803" s="8"/>
      <c r="K803" s="8"/>
      <c r="L803" s="8"/>
      <c r="M803" s="8"/>
      <c r="N803" s="8"/>
      <c r="O803" s="8"/>
      <c r="P803" s="8"/>
      <c r="Q803" s="8"/>
      <c r="R803" s="8"/>
      <c r="S803" s="8"/>
      <c r="T803" s="8"/>
      <c r="U803" s="8"/>
      <c r="V803" s="8"/>
      <c r="W803" s="8"/>
    </row>
    <row r="804" spans="1:23" ht="15.75" customHeight="1" x14ac:dyDescent="0.25">
      <c r="A804" s="6" t="s">
        <v>3614</v>
      </c>
      <c r="B804" s="8"/>
      <c r="C804" s="8"/>
      <c r="D804" s="8"/>
      <c r="E804" s="8"/>
      <c r="F804" s="8"/>
      <c r="G804" s="8"/>
      <c r="H804" s="8"/>
      <c r="I804" s="8"/>
      <c r="J804" s="8"/>
      <c r="K804" s="8"/>
      <c r="L804" s="8"/>
      <c r="M804" s="8"/>
      <c r="N804" s="8"/>
      <c r="O804" s="8"/>
      <c r="P804" s="8"/>
      <c r="Q804" s="8"/>
      <c r="R804" s="8"/>
      <c r="S804" s="8"/>
      <c r="T804" s="8"/>
      <c r="U804" s="8"/>
      <c r="V804" s="8"/>
      <c r="W804" s="8"/>
    </row>
    <row r="805" spans="1:23" ht="15.75" customHeight="1" x14ac:dyDescent="0.25">
      <c r="A805" s="6" t="s">
        <v>3372</v>
      </c>
      <c r="B805" s="8"/>
      <c r="C805" s="8"/>
      <c r="D805" s="8"/>
      <c r="E805" s="8"/>
      <c r="F805" s="8"/>
      <c r="G805" s="8"/>
      <c r="H805" s="8"/>
      <c r="I805" s="8"/>
      <c r="J805" s="8"/>
      <c r="K805" s="8"/>
      <c r="L805" s="8"/>
      <c r="M805" s="8"/>
      <c r="N805" s="8"/>
      <c r="O805" s="8"/>
      <c r="P805" s="8"/>
      <c r="Q805" s="8"/>
      <c r="R805" s="8"/>
      <c r="S805" s="8"/>
      <c r="T805" s="8"/>
      <c r="U805" s="8"/>
      <c r="V805" s="8"/>
      <c r="W805" s="8"/>
    </row>
    <row r="806" spans="1:23" ht="15.75" customHeight="1" x14ac:dyDescent="0.25">
      <c r="A806" s="6" t="s">
        <v>3372</v>
      </c>
      <c r="B806" s="8"/>
      <c r="C806" s="8"/>
      <c r="D806" s="8"/>
      <c r="E806" s="8"/>
      <c r="F806" s="8"/>
      <c r="G806" s="8"/>
      <c r="H806" s="8"/>
      <c r="I806" s="8"/>
      <c r="J806" s="8"/>
      <c r="K806" s="8"/>
      <c r="L806" s="8"/>
      <c r="M806" s="8"/>
      <c r="N806" s="8"/>
      <c r="O806" s="8"/>
      <c r="P806" s="8"/>
      <c r="Q806" s="8"/>
      <c r="R806" s="8"/>
      <c r="S806" s="8"/>
      <c r="T806" s="8"/>
      <c r="U806" s="8"/>
      <c r="V806" s="8"/>
      <c r="W806" s="8"/>
    </row>
    <row r="807" spans="1:23" ht="15.75" customHeight="1" x14ac:dyDescent="0.25">
      <c r="A807" s="6" t="s">
        <v>3372</v>
      </c>
      <c r="B807" s="8"/>
      <c r="C807" s="8"/>
      <c r="D807" s="8"/>
      <c r="E807" s="8"/>
      <c r="F807" s="8"/>
      <c r="G807" s="8"/>
      <c r="H807" s="8"/>
      <c r="I807" s="8"/>
      <c r="J807" s="8"/>
      <c r="K807" s="8"/>
      <c r="L807" s="8"/>
      <c r="M807" s="8"/>
      <c r="N807" s="8"/>
      <c r="O807" s="8"/>
      <c r="P807" s="8"/>
      <c r="Q807" s="8"/>
      <c r="R807" s="8"/>
      <c r="S807" s="8"/>
      <c r="T807" s="8"/>
      <c r="U807" s="8"/>
      <c r="V807" s="8"/>
      <c r="W807" s="8"/>
    </row>
    <row r="808" spans="1:23" ht="15.75" customHeight="1" x14ac:dyDescent="0.25">
      <c r="A808" s="6" t="s">
        <v>3372</v>
      </c>
      <c r="B808" s="8"/>
      <c r="C808" s="8"/>
      <c r="D808" s="8"/>
      <c r="E808" s="8"/>
      <c r="F808" s="8"/>
      <c r="G808" s="8"/>
      <c r="H808" s="8"/>
      <c r="I808" s="8"/>
      <c r="J808" s="8"/>
      <c r="K808" s="8"/>
      <c r="L808" s="8"/>
      <c r="M808" s="8"/>
      <c r="N808" s="8"/>
      <c r="O808" s="8"/>
      <c r="P808" s="8"/>
      <c r="Q808" s="8"/>
      <c r="R808" s="8"/>
      <c r="S808" s="8"/>
      <c r="T808" s="8"/>
      <c r="U808" s="8"/>
      <c r="V808" s="8"/>
      <c r="W808" s="8"/>
    </row>
    <row r="809" spans="1:23" ht="15.75" customHeight="1" x14ac:dyDescent="0.25">
      <c r="A809" s="6" t="s">
        <v>3372</v>
      </c>
      <c r="B809" s="8"/>
      <c r="C809" s="8"/>
      <c r="D809" s="8"/>
      <c r="E809" s="8"/>
      <c r="F809" s="8"/>
      <c r="G809" s="8"/>
      <c r="H809" s="8"/>
      <c r="I809" s="8"/>
      <c r="J809" s="8"/>
      <c r="K809" s="8"/>
      <c r="L809" s="8"/>
      <c r="M809" s="8"/>
      <c r="N809" s="8"/>
      <c r="O809" s="8"/>
      <c r="P809" s="8"/>
      <c r="Q809" s="8"/>
      <c r="R809" s="8"/>
      <c r="S809" s="8"/>
      <c r="T809" s="8"/>
      <c r="U809" s="8"/>
      <c r="V809" s="8"/>
      <c r="W809" s="8"/>
    </row>
    <row r="810" spans="1:23" ht="15.75" customHeight="1" x14ac:dyDescent="0.25">
      <c r="A810" s="6" t="s">
        <v>3372</v>
      </c>
      <c r="B810" s="8"/>
      <c r="C810" s="8"/>
      <c r="D810" s="8"/>
      <c r="E810" s="8"/>
      <c r="F810" s="8"/>
      <c r="G810" s="8"/>
      <c r="H810" s="8"/>
      <c r="I810" s="8"/>
      <c r="J810" s="8"/>
      <c r="K810" s="8"/>
      <c r="L810" s="8"/>
      <c r="M810" s="8"/>
      <c r="N810" s="8"/>
      <c r="O810" s="8"/>
      <c r="P810" s="8"/>
      <c r="Q810" s="8"/>
      <c r="R810" s="8"/>
      <c r="S810" s="8"/>
      <c r="T810" s="8"/>
      <c r="U810" s="8"/>
      <c r="V810" s="8"/>
      <c r="W810" s="8"/>
    </row>
    <row r="811" spans="1:23" ht="15.75" customHeight="1" x14ac:dyDescent="0.25">
      <c r="A811" s="6" t="s">
        <v>3372</v>
      </c>
      <c r="B811" s="8"/>
      <c r="C811" s="8"/>
      <c r="D811" s="8"/>
      <c r="E811" s="8"/>
      <c r="F811" s="8"/>
      <c r="G811" s="8"/>
      <c r="H811" s="8"/>
      <c r="I811" s="8"/>
      <c r="J811" s="8"/>
      <c r="K811" s="8"/>
      <c r="L811" s="8"/>
      <c r="M811" s="8"/>
      <c r="N811" s="8"/>
      <c r="O811" s="8"/>
      <c r="P811" s="8"/>
      <c r="Q811" s="8"/>
      <c r="R811" s="8"/>
      <c r="S811" s="8"/>
      <c r="T811" s="8"/>
      <c r="U811" s="8"/>
      <c r="V811" s="8"/>
      <c r="W811" s="8"/>
    </row>
    <row r="812" spans="1:23" ht="15.75" customHeight="1" x14ac:dyDescent="0.25">
      <c r="A812" s="6" t="s">
        <v>3372</v>
      </c>
      <c r="B812" s="8"/>
      <c r="C812" s="8"/>
      <c r="D812" s="8"/>
      <c r="E812" s="8"/>
      <c r="F812" s="8"/>
      <c r="G812" s="8"/>
      <c r="H812" s="8"/>
      <c r="I812" s="8"/>
      <c r="J812" s="8"/>
      <c r="K812" s="8"/>
      <c r="L812" s="8"/>
      <c r="M812" s="8"/>
      <c r="N812" s="8"/>
      <c r="O812" s="8"/>
      <c r="P812" s="8"/>
      <c r="Q812" s="8"/>
      <c r="R812" s="8"/>
      <c r="S812" s="8"/>
      <c r="T812" s="8"/>
      <c r="U812" s="8"/>
      <c r="V812" s="8"/>
      <c r="W812" s="8"/>
    </row>
    <row r="813" spans="1:23" ht="15.75" customHeight="1" x14ac:dyDescent="0.25">
      <c r="A813" s="6" t="s">
        <v>3372</v>
      </c>
      <c r="B813" s="8"/>
      <c r="C813" s="8"/>
      <c r="D813" s="8"/>
      <c r="E813" s="8"/>
      <c r="F813" s="8"/>
      <c r="G813" s="8"/>
      <c r="H813" s="8"/>
      <c r="I813" s="8"/>
      <c r="J813" s="8"/>
      <c r="K813" s="8"/>
      <c r="L813" s="8"/>
      <c r="M813" s="8"/>
      <c r="N813" s="8"/>
      <c r="O813" s="8"/>
      <c r="P813" s="8"/>
      <c r="Q813" s="8"/>
      <c r="R813" s="8"/>
      <c r="S813" s="8"/>
      <c r="T813" s="8"/>
      <c r="U813" s="8"/>
      <c r="V813" s="8"/>
      <c r="W813" s="8"/>
    </row>
    <row r="814" spans="1:23" ht="15.75" customHeight="1" x14ac:dyDescent="0.25">
      <c r="A814" s="6" t="s">
        <v>3372</v>
      </c>
      <c r="B814" s="8"/>
      <c r="C814" s="8"/>
      <c r="D814" s="8"/>
      <c r="E814" s="8"/>
      <c r="F814" s="8"/>
      <c r="G814" s="8"/>
      <c r="H814" s="8"/>
      <c r="I814" s="8"/>
      <c r="J814" s="8"/>
      <c r="K814" s="8"/>
      <c r="L814" s="8"/>
      <c r="M814" s="8"/>
      <c r="N814" s="8"/>
      <c r="O814" s="8"/>
      <c r="P814" s="8"/>
      <c r="Q814" s="8"/>
      <c r="R814" s="8"/>
      <c r="S814" s="8"/>
      <c r="T814" s="8"/>
      <c r="U814" s="8"/>
      <c r="V814" s="8"/>
      <c r="W814" s="8"/>
    </row>
    <row r="815" spans="1:23" ht="15.75" customHeight="1" x14ac:dyDescent="0.25">
      <c r="A815" s="6" t="s">
        <v>3706</v>
      </c>
      <c r="B815" s="8"/>
      <c r="C815" s="8"/>
      <c r="D815" s="8"/>
      <c r="E815" s="8"/>
      <c r="F815" s="8"/>
      <c r="G815" s="8"/>
      <c r="H815" s="8"/>
      <c r="I815" s="8"/>
      <c r="J815" s="8"/>
      <c r="K815" s="8"/>
      <c r="L815" s="8"/>
      <c r="M815" s="8"/>
      <c r="N815" s="8"/>
      <c r="O815" s="8"/>
      <c r="P815" s="8"/>
      <c r="Q815" s="8"/>
      <c r="R815" s="8"/>
      <c r="S815" s="8"/>
      <c r="T815" s="8"/>
      <c r="U815" s="8"/>
      <c r="V815" s="8"/>
      <c r="W815" s="8"/>
    </row>
    <row r="816" spans="1:23" ht="15.75" customHeight="1" x14ac:dyDescent="0.25">
      <c r="A816" s="6" t="s">
        <v>3706</v>
      </c>
      <c r="B816" s="8"/>
      <c r="C816" s="8"/>
      <c r="D816" s="8"/>
      <c r="E816" s="8"/>
      <c r="F816" s="8"/>
      <c r="G816" s="8"/>
      <c r="H816" s="8"/>
      <c r="I816" s="8"/>
      <c r="J816" s="8"/>
      <c r="K816" s="8"/>
      <c r="L816" s="8"/>
      <c r="M816" s="8"/>
      <c r="N816" s="8"/>
      <c r="O816" s="8"/>
      <c r="P816" s="8"/>
      <c r="Q816" s="8"/>
      <c r="R816" s="8"/>
      <c r="S816" s="8"/>
      <c r="T816" s="8"/>
      <c r="U816" s="8"/>
      <c r="V816" s="8"/>
      <c r="W816" s="8"/>
    </row>
    <row r="817" spans="1:23" ht="15.75" customHeight="1" x14ac:dyDescent="0.25">
      <c r="A817" s="6" t="s">
        <v>3706</v>
      </c>
      <c r="B817" s="8"/>
      <c r="C817" s="8"/>
      <c r="D817" s="8"/>
      <c r="E817" s="8"/>
      <c r="F817" s="8"/>
      <c r="G817" s="8"/>
      <c r="H817" s="8"/>
      <c r="I817" s="8"/>
      <c r="J817" s="8"/>
      <c r="K817" s="8"/>
      <c r="L817" s="8"/>
      <c r="M817" s="8"/>
      <c r="N817" s="8"/>
      <c r="O817" s="8"/>
      <c r="P817" s="8"/>
      <c r="Q817" s="8"/>
      <c r="R817" s="8"/>
      <c r="S817" s="8"/>
      <c r="T817" s="8"/>
      <c r="U817" s="8"/>
      <c r="V817" s="8"/>
      <c r="W817" s="8"/>
    </row>
    <row r="818" spans="1:23" ht="15.75" customHeight="1" x14ac:dyDescent="0.25">
      <c r="A818" s="6" t="s">
        <v>3422</v>
      </c>
      <c r="B818" s="8"/>
      <c r="C818" s="8"/>
      <c r="D818" s="8"/>
      <c r="E818" s="8"/>
      <c r="F818" s="8"/>
      <c r="G818" s="8"/>
      <c r="H818" s="8"/>
      <c r="I818" s="8"/>
      <c r="J818" s="8"/>
      <c r="K818" s="8"/>
      <c r="L818" s="8"/>
      <c r="M818" s="8"/>
      <c r="N818" s="8"/>
      <c r="O818" s="8"/>
      <c r="P818" s="8"/>
      <c r="Q818" s="8"/>
      <c r="R818" s="8"/>
      <c r="S818" s="8"/>
      <c r="T818" s="8"/>
      <c r="U818" s="8"/>
      <c r="V818" s="8"/>
      <c r="W818" s="8"/>
    </row>
    <row r="819" spans="1:23" ht="15.75" customHeight="1" x14ac:dyDescent="0.25">
      <c r="A819" s="6" t="s">
        <v>3422</v>
      </c>
      <c r="B819" s="8"/>
      <c r="C819" s="8"/>
      <c r="D819" s="8"/>
      <c r="E819" s="8"/>
      <c r="F819" s="8"/>
      <c r="G819" s="8"/>
      <c r="H819" s="8"/>
      <c r="I819" s="8"/>
      <c r="J819" s="8"/>
      <c r="K819" s="8"/>
      <c r="L819" s="8"/>
      <c r="M819" s="8"/>
      <c r="N819" s="8"/>
      <c r="O819" s="8"/>
      <c r="P819" s="8"/>
      <c r="Q819" s="8"/>
      <c r="R819" s="8"/>
      <c r="S819" s="8"/>
      <c r="T819" s="8"/>
      <c r="U819" s="8"/>
      <c r="V819" s="8"/>
      <c r="W819" s="8"/>
    </row>
    <row r="820" spans="1:23" ht="15.75" customHeight="1" x14ac:dyDescent="0.25">
      <c r="A820" s="6" t="s">
        <v>3422</v>
      </c>
      <c r="B820" s="8"/>
      <c r="C820" s="8"/>
      <c r="D820" s="8"/>
      <c r="E820" s="8"/>
      <c r="F820" s="8"/>
      <c r="G820" s="8"/>
      <c r="H820" s="8"/>
      <c r="I820" s="8"/>
      <c r="J820" s="8"/>
      <c r="K820" s="8"/>
      <c r="L820" s="8"/>
      <c r="M820" s="8"/>
      <c r="N820" s="8"/>
      <c r="O820" s="8"/>
      <c r="P820" s="8"/>
      <c r="Q820" s="8"/>
      <c r="R820" s="8"/>
      <c r="S820" s="8"/>
      <c r="T820" s="8"/>
      <c r="U820" s="8"/>
      <c r="V820" s="8"/>
      <c r="W820" s="8"/>
    </row>
    <row r="821" spans="1:23" ht="15.75" customHeight="1" x14ac:dyDescent="0.25">
      <c r="A821" s="6" t="s">
        <v>3422</v>
      </c>
      <c r="B821" s="8"/>
      <c r="C821" s="8"/>
      <c r="D821" s="8"/>
      <c r="E821" s="8"/>
      <c r="F821" s="8"/>
      <c r="G821" s="8"/>
      <c r="H821" s="8"/>
      <c r="I821" s="8"/>
      <c r="J821" s="8"/>
      <c r="K821" s="8"/>
      <c r="L821" s="8"/>
      <c r="M821" s="8"/>
      <c r="N821" s="8"/>
      <c r="O821" s="8"/>
      <c r="P821" s="8"/>
      <c r="Q821" s="8"/>
      <c r="R821" s="8"/>
      <c r="S821" s="8"/>
      <c r="T821" s="8"/>
      <c r="U821" s="8"/>
      <c r="V821" s="8"/>
      <c r="W821" s="8"/>
    </row>
    <row r="822" spans="1:23" ht="15.75" customHeight="1" x14ac:dyDescent="0.25">
      <c r="A822" s="6" t="s">
        <v>3422</v>
      </c>
      <c r="B822" s="8"/>
      <c r="C822" s="8"/>
      <c r="D822" s="8"/>
      <c r="E822" s="8"/>
      <c r="F822" s="8"/>
      <c r="G822" s="8"/>
      <c r="H822" s="8"/>
      <c r="I822" s="8"/>
      <c r="J822" s="8"/>
      <c r="K822" s="8"/>
      <c r="L822" s="8"/>
      <c r="M822" s="8"/>
      <c r="N822" s="8"/>
      <c r="O822" s="8"/>
      <c r="P822" s="8"/>
      <c r="Q822" s="8"/>
      <c r="R822" s="8"/>
      <c r="S822" s="8"/>
      <c r="T822" s="8"/>
      <c r="U822" s="8"/>
      <c r="V822" s="8"/>
      <c r="W822" s="8"/>
    </row>
    <row r="823" spans="1:23" ht="15.75" customHeight="1" x14ac:dyDescent="0.25">
      <c r="A823" s="6" t="s">
        <v>3422</v>
      </c>
      <c r="B823" s="8"/>
      <c r="C823" s="8"/>
      <c r="D823" s="8"/>
      <c r="E823" s="8"/>
      <c r="F823" s="8"/>
      <c r="G823" s="8"/>
      <c r="H823" s="8"/>
      <c r="I823" s="8"/>
      <c r="J823" s="8"/>
      <c r="K823" s="8"/>
      <c r="L823" s="8"/>
      <c r="M823" s="8"/>
      <c r="N823" s="8"/>
      <c r="O823" s="8"/>
      <c r="P823" s="8"/>
      <c r="Q823" s="8"/>
      <c r="R823" s="8"/>
      <c r="S823" s="8"/>
      <c r="T823" s="8"/>
      <c r="U823" s="8"/>
      <c r="V823" s="8"/>
      <c r="W823" s="8"/>
    </row>
    <row r="824" spans="1:23" ht="15.75" customHeight="1" x14ac:dyDescent="0.25">
      <c r="A824" s="6" t="s">
        <v>3422</v>
      </c>
      <c r="B824" s="8"/>
      <c r="C824" s="8"/>
      <c r="D824" s="8"/>
      <c r="E824" s="8"/>
      <c r="F824" s="8"/>
      <c r="G824" s="8"/>
      <c r="H824" s="8"/>
      <c r="I824" s="8"/>
      <c r="J824" s="8"/>
      <c r="K824" s="8"/>
      <c r="L824" s="8"/>
      <c r="M824" s="8"/>
      <c r="N824" s="8"/>
      <c r="O824" s="8"/>
      <c r="P824" s="8"/>
      <c r="Q824" s="8"/>
      <c r="R824" s="8"/>
      <c r="S824" s="8"/>
      <c r="T824" s="8"/>
      <c r="U824" s="8"/>
      <c r="V824" s="8"/>
      <c r="W824" s="8"/>
    </row>
    <row r="825" spans="1:23" ht="15.75" customHeight="1" x14ac:dyDescent="0.25">
      <c r="A825" s="6" t="s">
        <v>3422</v>
      </c>
      <c r="B825" s="8"/>
      <c r="C825" s="8"/>
      <c r="D825" s="8"/>
      <c r="E825" s="8"/>
      <c r="F825" s="8"/>
      <c r="G825" s="8"/>
      <c r="H825" s="8"/>
      <c r="I825" s="8"/>
      <c r="J825" s="8"/>
      <c r="K825" s="8"/>
      <c r="L825" s="8"/>
      <c r="M825" s="8"/>
      <c r="N825" s="8"/>
      <c r="O825" s="8"/>
      <c r="P825" s="8"/>
      <c r="Q825" s="8"/>
      <c r="R825" s="8"/>
      <c r="S825" s="8"/>
      <c r="T825" s="8"/>
      <c r="U825" s="8"/>
      <c r="V825" s="8"/>
      <c r="W825" s="8"/>
    </row>
    <row r="826" spans="1:23" ht="15.75" customHeight="1" x14ac:dyDescent="0.25">
      <c r="A826" s="6" t="s">
        <v>3710</v>
      </c>
      <c r="B826" s="8"/>
      <c r="C826" s="8"/>
      <c r="D826" s="8"/>
      <c r="E826" s="8"/>
      <c r="F826" s="8"/>
      <c r="G826" s="8"/>
      <c r="H826" s="8"/>
      <c r="I826" s="8"/>
      <c r="J826" s="8"/>
      <c r="K826" s="8"/>
      <c r="L826" s="8"/>
      <c r="M826" s="8"/>
      <c r="N826" s="8"/>
      <c r="O826" s="8"/>
      <c r="P826" s="8"/>
      <c r="Q826" s="8"/>
      <c r="R826" s="8"/>
      <c r="S826" s="8"/>
      <c r="T826" s="8"/>
      <c r="U826" s="8"/>
      <c r="V826" s="8"/>
      <c r="W826" s="8"/>
    </row>
    <row r="827" spans="1:23" ht="15.75" customHeight="1" x14ac:dyDescent="0.25">
      <c r="A827" s="6" t="s">
        <v>3710</v>
      </c>
      <c r="B827" s="8"/>
      <c r="C827" s="8"/>
      <c r="D827" s="8"/>
      <c r="E827" s="8"/>
      <c r="F827" s="8"/>
      <c r="G827" s="8"/>
      <c r="H827" s="8"/>
      <c r="I827" s="8"/>
      <c r="J827" s="8"/>
      <c r="K827" s="8"/>
      <c r="L827" s="8"/>
      <c r="M827" s="8"/>
      <c r="N827" s="8"/>
      <c r="O827" s="8"/>
      <c r="P827" s="8"/>
      <c r="Q827" s="8"/>
      <c r="R827" s="8"/>
      <c r="S827" s="8"/>
      <c r="T827" s="8"/>
      <c r="U827" s="8"/>
      <c r="V827" s="8"/>
      <c r="W827" s="8"/>
    </row>
    <row r="828" spans="1:23" ht="15.75" customHeight="1" x14ac:dyDescent="0.25">
      <c r="A828" s="6" t="s">
        <v>3710</v>
      </c>
      <c r="B828" s="8"/>
      <c r="C828" s="8"/>
      <c r="D828" s="8"/>
      <c r="E828" s="8"/>
      <c r="F828" s="8"/>
      <c r="G828" s="8"/>
      <c r="H828" s="8"/>
      <c r="I828" s="8"/>
      <c r="J828" s="8"/>
      <c r="K828" s="8"/>
      <c r="L828" s="8"/>
      <c r="M828" s="8"/>
      <c r="N828" s="8"/>
      <c r="O828" s="8"/>
      <c r="P828" s="8"/>
      <c r="Q828" s="8"/>
      <c r="R828" s="8"/>
      <c r="S828" s="8"/>
      <c r="T828" s="8"/>
      <c r="U828" s="8"/>
      <c r="V828" s="8"/>
      <c r="W828" s="8"/>
    </row>
    <row r="829" spans="1:23" ht="15.75" customHeight="1" x14ac:dyDescent="0.25">
      <c r="A829" s="6" t="s">
        <v>3213</v>
      </c>
      <c r="B829" s="8"/>
      <c r="C829" s="8"/>
      <c r="D829" s="8"/>
      <c r="E829" s="8"/>
      <c r="F829" s="8"/>
      <c r="G829" s="8"/>
      <c r="H829" s="8"/>
      <c r="I829" s="8"/>
      <c r="J829" s="8"/>
      <c r="K829" s="8"/>
      <c r="L829" s="8"/>
      <c r="M829" s="8"/>
      <c r="N829" s="8"/>
      <c r="O829" s="8"/>
      <c r="P829" s="8"/>
      <c r="Q829" s="8"/>
      <c r="R829" s="8"/>
      <c r="S829" s="8"/>
      <c r="T829" s="8"/>
      <c r="U829" s="8"/>
      <c r="V829" s="8"/>
      <c r="W829" s="8"/>
    </row>
    <row r="830" spans="1:23" ht="15.75" customHeight="1" x14ac:dyDescent="0.25">
      <c r="A830" s="6" t="s">
        <v>3213</v>
      </c>
      <c r="B830" s="8"/>
      <c r="C830" s="8"/>
      <c r="D830" s="8"/>
      <c r="E830" s="8"/>
      <c r="F830" s="8"/>
      <c r="G830" s="8"/>
      <c r="H830" s="8"/>
      <c r="I830" s="8"/>
      <c r="J830" s="8"/>
      <c r="K830" s="8"/>
      <c r="L830" s="8"/>
      <c r="M830" s="8"/>
      <c r="N830" s="8"/>
      <c r="O830" s="8"/>
      <c r="P830" s="8"/>
      <c r="Q830" s="8"/>
      <c r="R830" s="8"/>
      <c r="S830" s="8"/>
      <c r="T830" s="8"/>
      <c r="U830" s="8"/>
      <c r="V830" s="8"/>
      <c r="W830" s="8"/>
    </row>
    <row r="831" spans="1:23" ht="15.75" customHeight="1" x14ac:dyDescent="0.25">
      <c r="A831" s="6" t="s">
        <v>3213</v>
      </c>
      <c r="B831" s="8"/>
      <c r="C831" s="8"/>
      <c r="D831" s="8"/>
      <c r="E831" s="8"/>
      <c r="F831" s="8"/>
      <c r="G831" s="8"/>
      <c r="H831" s="8"/>
      <c r="I831" s="8"/>
      <c r="J831" s="8"/>
      <c r="K831" s="8"/>
      <c r="L831" s="8"/>
      <c r="M831" s="8"/>
      <c r="N831" s="8"/>
      <c r="O831" s="8"/>
      <c r="P831" s="8"/>
      <c r="Q831" s="8"/>
      <c r="R831" s="8"/>
      <c r="S831" s="8"/>
      <c r="T831" s="8"/>
      <c r="U831" s="8"/>
      <c r="V831" s="8"/>
      <c r="W831" s="8"/>
    </row>
    <row r="832" spans="1:23" ht="15.75" customHeight="1" x14ac:dyDescent="0.25">
      <c r="A832" s="6" t="s">
        <v>3213</v>
      </c>
      <c r="B832" s="8"/>
      <c r="C832" s="8"/>
      <c r="D832" s="8"/>
      <c r="E832" s="8"/>
      <c r="F832" s="8"/>
      <c r="G832" s="8"/>
      <c r="H832" s="8"/>
      <c r="I832" s="8"/>
      <c r="J832" s="8"/>
      <c r="K832" s="8"/>
      <c r="L832" s="8"/>
      <c r="M832" s="8"/>
      <c r="N832" s="8"/>
      <c r="O832" s="8"/>
      <c r="P832" s="8"/>
      <c r="Q832" s="8"/>
      <c r="R832" s="8"/>
      <c r="S832" s="8"/>
      <c r="T832" s="8"/>
      <c r="U832" s="8"/>
      <c r="V832" s="8"/>
      <c r="W832" s="8"/>
    </row>
    <row r="833" spans="1:23" ht="15.75" customHeight="1" x14ac:dyDescent="0.25">
      <c r="A833" s="6" t="s">
        <v>3213</v>
      </c>
      <c r="B833" s="8"/>
      <c r="C833" s="8"/>
      <c r="D833" s="8"/>
      <c r="E833" s="8"/>
      <c r="F833" s="8"/>
      <c r="G833" s="8"/>
      <c r="H833" s="8"/>
      <c r="I833" s="8"/>
      <c r="J833" s="8"/>
      <c r="K833" s="8"/>
      <c r="L833" s="8"/>
      <c r="M833" s="8"/>
      <c r="N833" s="8"/>
      <c r="O833" s="8"/>
      <c r="P833" s="8"/>
      <c r="Q833" s="8"/>
      <c r="R833" s="8"/>
      <c r="S833" s="8"/>
      <c r="T833" s="8"/>
      <c r="U833" s="8"/>
      <c r="V833" s="8"/>
      <c r="W833" s="8"/>
    </row>
    <row r="834" spans="1:23" ht="15.75" customHeight="1" x14ac:dyDescent="0.25">
      <c r="A834" s="6" t="s">
        <v>3213</v>
      </c>
      <c r="B834" s="8"/>
      <c r="C834" s="8"/>
      <c r="D834" s="8"/>
      <c r="E834" s="8"/>
      <c r="F834" s="8"/>
      <c r="G834" s="8"/>
      <c r="H834" s="8"/>
      <c r="I834" s="8"/>
      <c r="J834" s="8"/>
      <c r="K834" s="8"/>
      <c r="L834" s="8"/>
      <c r="M834" s="8"/>
      <c r="N834" s="8"/>
      <c r="O834" s="8"/>
      <c r="P834" s="8"/>
      <c r="Q834" s="8"/>
      <c r="R834" s="8"/>
      <c r="S834" s="8"/>
      <c r="T834" s="8"/>
      <c r="U834" s="8"/>
      <c r="V834" s="8"/>
      <c r="W834" s="8"/>
    </row>
    <row r="835" spans="1:23" ht="15.75" customHeight="1" x14ac:dyDescent="0.25">
      <c r="A835" s="6" t="s">
        <v>3213</v>
      </c>
      <c r="B835" s="8"/>
      <c r="C835" s="8"/>
      <c r="D835" s="8"/>
      <c r="E835" s="8"/>
      <c r="F835" s="8"/>
      <c r="G835" s="8"/>
      <c r="H835" s="8"/>
      <c r="I835" s="8"/>
      <c r="J835" s="8"/>
      <c r="K835" s="8"/>
      <c r="L835" s="8"/>
      <c r="M835" s="8"/>
      <c r="N835" s="8"/>
      <c r="O835" s="8"/>
      <c r="P835" s="8"/>
      <c r="Q835" s="8"/>
      <c r="R835" s="8"/>
      <c r="S835" s="8"/>
      <c r="T835" s="8"/>
      <c r="U835" s="8"/>
      <c r="V835" s="8"/>
      <c r="W835" s="8"/>
    </row>
    <row r="836" spans="1:23" ht="15.75" customHeight="1" x14ac:dyDescent="0.25">
      <c r="A836" s="6" t="s">
        <v>3213</v>
      </c>
      <c r="B836" s="8"/>
      <c r="C836" s="8"/>
      <c r="D836" s="8"/>
      <c r="E836" s="8"/>
      <c r="F836" s="8"/>
      <c r="G836" s="8"/>
      <c r="H836" s="8"/>
      <c r="I836" s="8"/>
      <c r="J836" s="8"/>
      <c r="K836" s="8"/>
      <c r="L836" s="8"/>
      <c r="M836" s="8"/>
      <c r="N836" s="8"/>
      <c r="O836" s="8"/>
      <c r="P836" s="8"/>
      <c r="Q836" s="8"/>
      <c r="R836" s="8"/>
      <c r="S836" s="8"/>
      <c r="T836" s="8"/>
      <c r="U836" s="8"/>
      <c r="V836" s="8"/>
      <c r="W836" s="8"/>
    </row>
    <row r="837" spans="1:23" ht="15.75" customHeight="1" x14ac:dyDescent="0.25">
      <c r="A837" s="6" t="s">
        <v>3213</v>
      </c>
      <c r="B837" s="8"/>
      <c r="C837" s="8"/>
      <c r="D837" s="8"/>
      <c r="E837" s="8"/>
      <c r="F837" s="8"/>
      <c r="G837" s="8"/>
      <c r="H837" s="8"/>
      <c r="I837" s="8"/>
      <c r="J837" s="8"/>
      <c r="K837" s="8"/>
      <c r="L837" s="8"/>
      <c r="M837" s="8"/>
      <c r="N837" s="8"/>
      <c r="O837" s="8"/>
      <c r="P837" s="8"/>
      <c r="Q837" s="8"/>
      <c r="R837" s="8"/>
      <c r="S837" s="8"/>
      <c r="T837" s="8"/>
      <c r="U837" s="8"/>
      <c r="V837" s="8"/>
      <c r="W837" s="8"/>
    </row>
    <row r="838" spans="1:23" ht="15.75" customHeight="1" x14ac:dyDescent="0.25">
      <c r="A838" s="6" t="s">
        <v>3213</v>
      </c>
      <c r="B838" s="8"/>
      <c r="C838" s="8"/>
      <c r="D838" s="8"/>
      <c r="E838" s="8"/>
      <c r="F838" s="8"/>
      <c r="G838" s="8"/>
      <c r="H838" s="8"/>
      <c r="I838" s="8"/>
      <c r="J838" s="8"/>
      <c r="K838" s="8"/>
      <c r="L838" s="8"/>
      <c r="M838" s="8"/>
      <c r="N838" s="8"/>
      <c r="O838" s="8"/>
      <c r="P838" s="8"/>
      <c r="Q838" s="8"/>
      <c r="R838" s="8"/>
      <c r="S838" s="8"/>
      <c r="T838" s="8"/>
      <c r="U838" s="8"/>
      <c r="V838" s="8"/>
      <c r="W838" s="8"/>
    </row>
    <row r="839" spans="1:23" ht="15.75" customHeight="1" x14ac:dyDescent="0.25">
      <c r="A839" s="6" t="s">
        <v>3213</v>
      </c>
      <c r="B839" s="8"/>
      <c r="C839" s="8"/>
      <c r="D839" s="8"/>
      <c r="E839" s="8"/>
      <c r="F839" s="8"/>
      <c r="G839" s="8"/>
      <c r="H839" s="8"/>
      <c r="I839" s="8"/>
      <c r="J839" s="8"/>
      <c r="K839" s="8"/>
      <c r="L839" s="8"/>
      <c r="M839" s="8"/>
      <c r="N839" s="8"/>
      <c r="O839" s="8"/>
      <c r="P839" s="8"/>
      <c r="Q839" s="8"/>
      <c r="R839" s="8"/>
      <c r="S839" s="8"/>
      <c r="T839" s="8"/>
      <c r="U839" s="8"/>
      <c r="V839" s="8"/>
      <c r="W839" s="8"/>
    </row>
    <row r="840" spans="1:23" ht="15.75" customHeight="1" x14ac:dyDescent="0.25">
      <c r="A840" s="6" t="s">
        <v>3213</v>
      </c>
      <c r="B840" s="8"/>
      <c r="C840" s="8"/>
      <c r="D840" s="8"/>
      <c r="E840" s="8"/>
      <c r="F840" s="8"/>
      <c r="G840" s="8"/>
      <c r="H840" s="8"/>
      <c r="I840" s="8"/>
      <c r="J840" s="8"/>
      <c r="K840" s="8"/>
      <c r="L840" s="8"/>
      <c r="M840" s="8"/>
      <c r="N840" s="8"/>
      <c r="O840" s="8"/>
      <c r="P840" s="8"/>
      <c r="Q840" s="8"/>
      <c r="R840" s="8"/>
      <c r="S840" s="8"/>
      <c r="T840" s="8"/>
      <c r="U840" s="8"/>
      <c r="V840" s="8"/>
      <c r="W840" s="8"/>
    </row>
    <row r="841" spans="1:23" ht="15.75" customHeight="1" x14ac:dyDescent="0.25">
      <c r="A841" s="6" t="s">
        <v>3213</v>
      </c>
      <c r="B841" s="8"/>
      <c r="C841" s="8"/>
      <c r="D841" s="8"/>
      <c r="E841" s="8"/>
      <c r="F841" s="8"/>
      <c r="G841" s="8"/>
      <c r="H841" s="8"/>
      <c r="I841" s="8"/>
      <c r="J841" s="8"/>
      <c r="K841" s="8"/>
      <c r="L841" s="8"/>
      <c r="M841" s="8"/>
      <c r="N841" s="8"/>
      <c r="O841" s="8"/>
      <c r="P841" s="8"/>
      <c r="Q841" s="8"/>
      <c r="R841" s="8"/>
      <c r="S841" s="8"/>
      <c r="T841" s="8"/>
      <c r="U841" s="8"/>
      <c r="V841" s="8"/>
      <c r="W841" s="8"/>
    </row>
    <row r="842" spans="1:23" ht="15.75" customHeight="1" x14ac:dyDescent="0.25">
      <c r="A842" s="6" t="s">
        <v>3213</v>
      </c>
      <c r="B842" s="8"/>
      <c r="C842" s="8"/>
      <c r="D842" s="8"/>
      <c r="E842" s="8"/>
      <c r="F842" s="8"/>
      <c r="G842" s="8"/>
      <c r="H842" s="8"/>
      <c r="I842" s="8"/>
      <c r="J842" s="8"/>
      <c r="K842" s="8"/>
      <c r="L842" s="8"/>
      <c r="M842" s="8"/>
      <c r="N842" s="8"/>
      <c r="O842" s="8"/>
      <c r="P842" s="8"/>
      <c r="Q842" s="8"/>
      <c r="R842" s="8"/>
      <c r="S842" s="8"/>
      <c r="T842" s="8"/>
      <c r="U842" s="8"/>
      <c r="V842" s="8"/>
      <c r="W842" s="8"/>
    </row>
    <row r="843" spans="1:23" ht="15.75" customHeight="1" x14ac:dyDescent="0.25">
      <c r="A843" s="6" t="s">
        <v>3213</v>
      </c>
      <c r="B843" s="8"/>
      <c r="C843" s="8"/>
      <c r="D843" s="8"/>
      <c r="E843" s="8"/>
      <c r="F843" s="8"/>
      <c r="G843" s="8"/>
      <c r="H843" s="8"/>
      <c r="I843" s="8"/>
      <c r="J843" s="8"/>
      <c r="K843" s="8"/>
      <c r="L843" s="8"/>
      <c r="M843" s="8"/>
      <c r="N843" s="8"/>
      <c r="O843" s="8"/>
      <c r="P843" s="8"/>
      <c r="Q843" s="8"/>
      <c r="R843" s="8"/>
      <c r="S843" s="8"/>
      <c r="T843" s="8"/>
      <c r="U843" s="8"/>
      <c r="V843" s="8"/>
      <c r="W843" s="8"/>
    </row>
    <row r="844" spans="1:23" ht="15.75" customHeight="1" x14ac:dyDescent="0.25">
      <c r="A844" s="6" t="s">
        <v>3213</v>
      </c>
      <c r="B844" s="8"/>
      <c r="C844" s="8"/>
      <c r="D844" s="8"/>
      <c r="E844" s="8"/>
      <c r="F844" s="8"/>
      <c r="G844" s="8"/>
      <c r="H844" s="8"/>
      <c r="I844" s="8"/>
      <c r="J844" s="8"/>
      <c r="K844" s="8"/>
      <c r="L844" s="8"/>
      <c r="M844" s="8"/>
      <c r="N844" s="8"/>
      <c r="O844" s="8"/>
      <c r="P844" s="8"/>
      <c r="Q844" s="8"/>
      <c r="R844" s="8"/>
      <c r="S844" s="8"/>
      <c r="T844" s="8"/>
      <c r="U844" s="8"/>
      <c r="V844" s="8"/>
      <c r="W844" s="8"/>
    </row>
    <row r="845" spans="1:23" ht="15.75" customHeight="1" x14ac:dyDescent="0.25">
      <c r="A845" s="6" t="s">
        <v>3213</v>
      </c>
      <c r="B845" s="8"/>
      <c r="C845" s="8"/>
      <c r="D845" s="8"/>
      <c r="E845" s="8"/>
      <c r="F845" s="8"/>
      <c r="G845" s="8"/>
      <c r="H845" s="8"/>
      <c r="I845" s="8"/>
      <c r="J845" s="8"/>
      <c r="K845" s="8"/>
      <c r="L845" s="8"/>
      <c r="M845" s="8"/>
      <c r="N845" s="8"/>
      <c r="O845" s="8"/>
      <c r="P845" s="8"/>
      <c r="Q845" s="8"/>
      <c r="R845" s="8"/>
      <c r="S845" s="8"/>
      <c r="T845" s="8"/>
      <c r="U845" s="8"/>
      <c r="V845" s="8"/>
      <c r="W845" s="8"/>
    </row>
    <row r="846" spans="1:23" ht="15.75" customHeight="1" x14ac:dyDescent="0.25">
      <c r="A846" s="6" t="s">
        <v>3213</v>
      </c>
      <c r="B846" s="8"/>
      <c r="C846" s="8"/>
      <c r="D846" s="8"/>
      <c r="E846" s="8"/>
      <c r="F846" s="8"/>
      <c r="G846" s="8"/>
      <c r="H846" s="8"/>
      <c r="I846" s="8"/>
      <c r="J846" s="8"/>
      <c r="K846" s="8"/>
      <c r="L846" s="8"/>
      <c r="M846" s="8"/>
      <c r="N846" s="8"/>
      <c r="O846" s="8"/>
      <c r="P846" s="8"/>
      <c r="Q846" s="8"/>
      <c r="R846" s="8"/>
      <c r="S846" s="8"/>
      <c r="T846" s="8"/>
      <c r="U846" s="8"/>
      <c r="V846" s="8"/>
      <c r="W846" s="8"/>
    </row>
    <row r="847" spans="1:23" ht="15.75" customHeight="1" x14ac:dyDescent="0.25">
      <c r="A847" s="6" t="s">
        <v>3213</v>
      </c>
      <c r="B847" s="8"/>
      <c r="C847" s="8"/>
      <c r="D847" s="8"/>
      <c r="E847" s="8"/>
      <c r="F847" s="8"/>
      <c r="G847" s="8"/>
      <c r="H847" s="8"/>
      <c r="I847" s="8"/>
      <c r="J847" s="8"/>
      <c r="K847" s="8"/>
      <c r="L847" s="8"/>
      <c r="M847" s="8"/>
      <c r="N847" s="8"/>
      <c r="O847" s="8"/>
      <c r="P847" s="8"/>
      <c r="Q847" s="8"/>
      <c r="R847" s="8"/>
      <c r="S847" s="8"/>
      <c r="T847" s="8"/>
      <c r="U847" s="8"/>
      <c r="V847" s="8"/>
      <c r="W847" s="8"/>
    </row>
    <row r="848" spans="1:23" ht="15.75" customHeight="1" x14ac:dyDescent="0.25">
      <c r="A848" s="6" t="s">
        <v>3213</v>
      </c>
      <c r="B848" s="8"/>
      <c r="C848" s="8"/>
      <c r="D848" s="8"/>
      <c r="E848" s="8"/>
      <c r="F848" s="8"/>
      <c r="G848" s="8"/>
      <c r="H848" s="8"/>
      <c r="I848" s="8"/>
      <c r="J848" s="8"/>
      <c r="K848" s="8"/>
      <c r="L848" s="8"/>
      <c r="M848" s="8"/>
      <c r="N848" s="8"/>
      <c r="O848" s="8"/>
      <c r="P848" s="8"/>
      <c r="Q848" s="8"/>
      <c r="R848" s="8"/>
      <c r="S848" s="8"/>
      <c r="T848" s="8"/>
      <c r="U848" s="8"/>
      <c r="V848" s="8"/>
      <c r="W848" s="8"/>
    </row>
    <row r="849" spans="1:23" ht="15.75" customHeight="1" x14ac:dyDescent="0.25">
      <c r="A849" s="6" t="s">
        <v>3213</v>
      </c>
      <c r="B849" s="8"/>
      <c r="C849" s="8"/>
      <c r="D849" s="8"/>
      <c r="E849" s="8"/>
      <c r="F849" s="8"/>
      <c r="G849" s="8"/>
      <c r="H849" s="8"/>
      <c r="I849" s="8"/>
      <c r="J849" s="8"/>
      <c r="K849" s="8"/>
      <c r="L849" s="8"/>
      <c r="M849" s="8"/>
      <c r="N849" s="8"/>
      <c r="O849" s="8"/>
      <c r="P849" s="8"/>
      <c r="Q849" s="8"/>
      <c r="R849" s="8"/>
      <c r="S849" s="8"/>
      <c r="T849" s="8"/>
      <c r="U849" s="8"/>
      <c r="V849" s="8"/>
      <c r="W849" s="8"/>
    </row>
    <row r="850" spans="1:23" ht="15.75" customHeight="1" x14ac:dyDescent="0.25">
      <c r="A850" s="6" t="s">
        <v>3213</v>
      </c>
      <c r="B850" s="8"/>
      <c r="C850" s="8"/>
      <c r="D850" s="8"/>
      <c r="E850" s="8"/>
      <c r="F850" s="8"/>
      <c r="G850" s="8"/>
      <c r="H850" s="8"/>
      <c r="I850" s="8"/>
      <c r="J850" s="8"/>
      <c r="K850" s="8"/>
      <c r="L850" s="8"/>
      <c r="M850" s="8"/>
      <c r="N850" s="8"/>
      <c r="O850" s="8"/>
      <c r="P850" s="8"/>
      <c r="Q850" s="8"/>
      <c r="R850" s="8"/>
      <c r="S850" s="8"/>
      <c r="T850" s="8"/>
      <c r="U850" s="8"/>
      <c r="V850" s="8"/>
      <c r="W850" s="8"/>
    </row>
    <row r="851" spans="1:23" ht="15.75" customHeight="1" x14ac:dyDescent="0.25">
      <c r="A851" s="6" t="s">
        <v>3213</v>
      </c>
      <c r="B851" s="8"/>
      <c r="C851" s="8"/>
      <c r="D851" s="8"/>
      <c r="E851" s="8"/>
      <c r="F851" s="8"/>
      <c r="G851" s="8"/>
      <c r="H851" s="8"/>
      <c r="I851" s="8"/>
      <c r="J851" s="8"/>
      <c r="K851" s="8"/>
      <c r="L851" s="8"/>
      <c r="M851" s="8"/>
      <c r="N851" s="8"/>
      <c r="O851" s="8"/>
      <c r="P851" s="8"/>
      <c r="Q851" s="8"/>
      <c r="R851" s="8"/>
      <c r="S851" s="8"/>
      <c r="T851" s="8"/>
      <c r="U851" s="8"/>
      <c r="V851" s="8"/>
      <c r="W851" s="8"/>
    </row>
    <row r="852" spans="1:23" ht="15.75" customHeight="1" x14ac:dyDescent="0.25">
      <c r="A852" s="6" t="s">
        <v>3213</v>
      </c>
      <c r="B852" s="8"/>
      <c r="C852" s="8"/>
      <c r="D852" s="8"/>
      <c r="E852" s="8"/>
      <c r="F852" s="8"/>
      <c r="G852" s="8"/>
      <c r="H852" s="8"/>
      <c r="I852" s="8"/>
      <c r="J852" s="8"/>
      <c r="K852" s="8"/>
      <c r="L852" s="8"/>
      <c r="M852" s="8"/>
      <c r="N852" s="8"/>
      <c r="O852" s="8"/>
      <c r="P852" s="8"/>
      <c r="Q852" s="8"/>
      <c r="R852" s="8"/>
      <c r="S852" s="8"/>
      <c r="T852" s="8"/>
      <c r="U852" s="8"/>
      <c r="V852" s="8"/>
      <c r="W852" s="8"/>
    </row>
    <row r="853" spans="1:23" ht="15.75" customHeight="1" x14ac:dyDescent="0.25">
      <c r="A853" s="6" t="s">
        <v>3213</v>
      </c>
      <c r="B853" s="8"/>
      <c r="C853" s="8"/>
      <c r="D853" s="8"/>
      <c r="E853" s="8"/>
      <c r="F853" s="8"/>
      <c r="G853" s="8"/>
      <c r="H853" s="8"/>
      <c r="I853" s="8"/>
      <c r="J853" s="8"/>
      <c r="K853" s="8"/>
      <c r="L853" s="8"/>
      <c r="M853" s="8"/>
      <c r="N853" s="8"/>
      <c r="O853" s="8"/>
      <c r="P853" s="8"/>
      <c r="Q853" s="8"/>
      <c r="R853" s="8"/>
      <c r="S853" s="8"/>
      <c r="T853" s="8"/>
      <c r="U853" s="8"/>
      <c r="V853" s="8"/>
      <c r="W853" s="8"/>
    </row>
    <row r="854" spans="1:23" ht="15.75" customHeight="1" x14ac:dyDescent="0.25">
      <c r="A854" s="6" t="s">
        <v>3213</v>
      </c>
      <c r="B854" s="8"/>
      <c r="C854" s="8"/>
      <c r="D854" s="8"/>
      <c r="E854" s="8"/>
      <c r="F854" s="8"/>
      <c r="G854" s="8"/>
      <c r="H854" s="8"/>
      <c r="I854" s="8"/>
      <c r="J854" s="8"/>
      <c r="K854" s="8"/>
      <c r="L854" s="8"/>
      <c r="M854" s="8"/>
      <c r="N854" s="8"/>
      <c r="O854" s="8"/>
      <c r="P854" s="8"/>
      <c r="Q854" s="8"/>
      <c r="R854" s="8"/>
      <c r="S854" s="8"/>
      <c r="T854" s="8"/>
      <c r="U854" s="8"/>
      <c r="V854" s="8"/>
      <c r="W854" s="8"/>
    </row>
    <row r="855" spans="1:23" ht="15.75" customHeight="1" x14ac:dyDescent="0.25">
      <c r="A855" s="6" t="s">
        <v>3213</v>
      </c>
      <c r="B855" s="8"/>
      <c r="C855" s="8"/>
      <c r="D855" s="8"/>
      <c r="E855" s="8"/>
      <c r="F855" s="8"/>
      <c r="G855" s="8"/>
      <c r="H855" s="8"/>
      <c r="I855" s="8"/>
      <c r="J855" s="8"/>
      <c r="K855" s="8"/>
      <c r="L855" s="8"/>
      <c r="M855" s="8"/>
      <c r="N855" s="8"/>
      <c r="O855" s="8"/>
      <c r="P855" s="8"/>
      <c r="Q855" s="8"/>
      <c r="R855" s="8"/>
      <c r="S855" s="8"/>
      <c r="T855" s="8"/>
      <c r="U855" s="8"/>
      <c r="V855" s="8"/>
      <c r="W855" s="8"/>
    </row>
    <row r="856" spans="1:23" ht="15.75" customHeight="1" x14ac:dyDescent="0.25">
      <c r="A856" s="6" t="s">
        <v>3213</v>
      </c>
      <c r="B856" s="8"/>
      <c r="C856" s="8"/>
      <c r="D856" s="8"/>
      <c r="E856" s="8"/>
      <c r="F856" s="8"/>
      <c r="G856" s="8"/>
      <c r="H856" s="8"/>
      <c r="I856" s="8"/>
      <c r="J856" s="8"/>
      <c r="K856" s="8"/>
      <c r="L856" s="8"/>
      <c r="M856" s="8"/>
      <c r="N856" s="8"/>
      <c r="O856" s="8"/>
      <c r="P856" s="8"/>
      <c r="Q856" s="8"/>
      <c r="R856" s="8"/>
      <c r="S856" s="8"/>
      <c r="T856" s="8"/>
      <c r="U856" s="8"/>
      <c r="V856" s="8"/>
      <c r="W856" s="8"/>
    </row>
    <row r="857" spans="1:23" ht="15.75" customHeight="1" x14ac:dyDescent="0.25">
      <c r="A857" s="6" t="s">
        <v>3213</v>
      </c>
      <c r="B857" s="8"/>
      <c r="C857" s="8"/>
      <c r="D857" s="8"/>
      <c r="E857" s="8"/>
      <c r="F857" s="8"/>
      <c r="G857" s="8"/>
      <c r="H857" s="8"/>
      <c r="I857" s="8"/>
      <c r="J857" s="8"/>
      <c r="K857" s="8"/>
      <c r="L857" s="8"/>
      <c r="M857" s="8"/>
      <c r="N857" s="8"/>
      <c r="O857" s="8"/>
      <c r="P857" s="8"/>
      <c r="Q857" s="8"/>
      <c r="R857" s="8"/>
      <c r="S857" s="8"/>
      <c r="T857" s="8"/>
      <c r="U857" s="8"/>
      <c r="V857" s="8"/>
      <c r="W857" s="8"/>
    </row>
    <row r="858" spans="1:23" ht="15.75" customHeight="1" x14ac:dyDescent="0.25">
      <c r="A858" s="6" t="s">
        <v>3213</v>
      </c>
      <c r="B858" s="8"/>
      <c r="C858" s="8"/>
      <c r="D858" s="8"/>
      <c r="E858" s="8"/>
      <c r="F858" s="8"/>
      <c r="G858" s="8"/>
      <c r="H858" s="8"/>
      <c r="I858" s="8"/>
      <c r="J858" s="8"/>
      <c r="K858" s="8"/>
      <c r="L858" s="8"/>
      <c r="M858" s="8"/>
      <c r="N858" s="8"/>
      <c r="O858" s="8"/>
      <c r="P858" s="8"/>
      <c r="Q858" s="8"/>
      <c r="R858" s="8"/>
      <c r="S858" s="8"/>
      <c r="T858" s="8"/>
      <c r="U858" s="8"/>
      <c r="V858" s="8"/>
      <c r="W858" s="8"/>
    </row>
    <row r="859" spans="1:23" ht="15.75" customHeight="1" x14ac:dyDescent="0.25">
      <c r="A859" s="6" t="s">
        <v>3213</v>
      </c>
      <c r="B859" s="8"/>
      <c r="C859" s="8"/>
      <c r="D859" s="8"/>
      <c r="E859" s="8"/>
      <c r="F859" s="8"/>
      <c r="G859" s="8"/>
      <c r="H859" s="8"/>
      <c r="I859" s="8"/>
      <c r="J859" s="8"/>
      <c r="K859" s="8"/>
      <c r="L859" s="8"/>
      <c r="M859" s="8"/>
      <c r="N859" s="8"/>
      <c r="O859" s="8"/>
      <c r="P859" s="8"/>
      <c r="Q859" s="8"/>
      <c r="R859" s="8"/>
      <c r="S859" s="8"/>
      <c r="T859" s="8"/>
      <c r="U859" s="8"/>
      <c r="V859" s="8"/>
      <c r="W859" s="8"/>
    </row>
    <row r="860" spans="1:23" ht="15.75" customHeight="1" x14ac:dyDescent="0.25">
      <c r="A860" s="6" t="s">
        <v>3213</v>
      </c>
      <c r="B860" s="8"/>
      <c r="C860" s="8"/>
      <c r="D860" s="8"/>
      <c r="E860" s="8"/>
      <c r="F860" s="8"/>
      <c r="G860" s="8"/>
      <c r="H860" s="8"/>
      <c r="I860" s="8"/>
      <c r="J860" s="8"/>
      <c r="K860" s="8"/>
      <c r="L860" s="8"/>
      <c r="M860" s="8"/>
      <c r="N860" s="8"/>
      <c r="O860" s="8"/>
      <c r="P860" s="8"/>
      <c r="Q860" s="8"/>
      <c r="R860" s="8"/>
      <c r="S860" s="8"/>
      <c r="T860" s="8"/>
      <c r="U860" s="8"/>
      <c r="V860" s="8"/>
      <c r="W860" s="8"/>
    </row>
    <row r="861" spans="1:23" ht="15.75" customHeight="1" x14ac:dyDescent="0.25">
      <c r="A861" s="6" t="s">
        <v>3213</v>
      </c>
      <c r="B861" s="8"/>
      <c r="C861" s="8"/>
      <c r="D861" s="8"/>
      <c r="E861" s="8"/>
      <c r="F861" s="8"/>
      <c r="G861" s="8"/>
      <c r="H861" s="8"/>
      <c r="I861" s="8"/>
      <c r="J861" s="8"/>
      <c r="K861" s="8"/>
      <c r="L861" s="8"/>
      <c r="M861" s="8"/>
      <c r="N861" s="8"/>
      <c r="O861" s="8"/>
      <c r="P861" s="8"/>
      <c r="Q861" s="8"/>
      <c r="R861" s="8"/>
      <c r="S861" s="8"/>
      <c r="T861" s="8"/>
      <c r="U861" s="8"/>
      <c r="V861" s="8"/>
      <c r="W861" s="8"/>
    </row>
    <row r="862" spans="1:23" ht="15.75" customHeight="1" x14ac:dyDescent="0.25">
      <c r="A862" s="6" t="s">
        <v>3213</v>
      </c>
      <c r="B862" s="8"/>
      <c r="C862" s="8"/>
      <c r="D862" s="8"/>
      <c r="E862" s="8"/>
      <c r="F862" s="8"/>
      <c r="G862" s="8"/>
      <c r="H862" s="8"/>
      <c r="I862" s="8"/>
      <c r="J862" s="8"/>
      <c r="K862" s="8"/>
      <c r="L862" s="8"/>
      <c r="M862" s="8"/>
      <c r="N862" s="8"/>
      <c r="O862" s="8"/>
      <c r="P862" s="8"/>
      <c r="Q862" s="8"/>
      <c r="R862" s="8"/>
      <c r="S862" s="8"/>
      <c r="T862" s="8"/>
      <c r="U862" s="8"/>
      <c r="V862" s="8"/>
      <c r="W862" s="8"/>
    </row>
    <row r="863" spans="1:23" ht="15.75" customHeight="1" x14ac:dyDescent="0.25">
      <c r="A863" s="6" t="s">
        <v>3213</v>
      </c>
      <c r="B863" s="8"/>
      <c r="C863" s="8"/>
      <c r="D863" s="8"/>
      <c r="E863" s="8"/>
      <c r="F863" s="8"/>
      <c r="G863" s="8"/>
      <c r="H863" s="8"/>
      <c r="I863" s="8"/>
      <c r="J863" s="8"/>
      <c r="K863" s="8"/>
      <c r="L863" s="8"/>
      <c r="M863" s="8"/>
      <c r="N863" s="8"/>
      <c r="O863" s="8"/>
      <c r="P863" s="8"/>
      <c r="Q863" s="8"/>
      <c r="R863" s="8"/>
      <c r="S863" s="8"/>
      <c r="T863" s="8"/>
      <c r="U863" s="8"/>
      <c r="V863" s="8"/>
      <c r="W863" s="8"/>
    </row>
    <row r="864" spans="1:23" ht="15.75" customHeight="1" x14ac:dyDescent="0.25">
      <c r="A864" s="6" t="s">
        <v>3213</v>
      </c>
      <c r="B864" s="8"/>
      <c r="C864" s="8"/>
      <c r="D864" s="8"/>
      <c r="E864" s="8"/>
      <c r="F864" s="8"/>
      <c r="G864" s="8"/>
      <c r="H864" s="8"/>
      <c r="I864" s="8"/>
      <c r="J864" s="8"/>
      <c r="K864" s="8"/>
      <c r="L864" s="8"/>
      <c r="M864" s="8"/>
      <c r="N864" s="8"/>
      <c r="O864" s="8"/>
      <c r="P864" s="8"/>
      <c r="Q864" s="8"/>
      <c r="R864" s="8"/>
      <c r="S864" s="8"/>
      <c r="T864" s="8"/>
      <c r="U864" s="8"/>
      <c r="V864" s="8"/>
      <c r="W864" s="8"/>
    </row>
    <row r="865" spans="1:23" ht="15.75" customHeight="1" x14ac:dyDescent="0.25">
      <c r="A865" s="6" t="s">
        <v>3213</v>
      </c>
      <c r="B865" s="8"/>
      <c r="C865" s="8"/>
      <c r="D865" s="8"/>
      <c r="E865" s="8"/>
      <c r="F865" s="8"/>
      <c r="G865" s="8"/>
      <c r="H865" s="8"/>
      <c r="I865" s="8"/>
      <c r="J865" s="8"/>
      <c r="K865" s="8"/>
      <c r="L865" s="8"/>
      <c r="M865" s="8"/>
      <c r="N865" s="8"/>
      <c r="O865" s="8"/>
      <c r="P865" s="8"/>
      <c r="Q865" s="8"/>
      <c r="R865" s="8"/>
      <c r="S865" s="8"/>
      <c r="T865" s="8"/>
      <c r="U865" s="8"/>
      <c r="V865" s="8"/>
      <c r="W865" s="8"/>
    </row>
    <row r="866" spans="1:23" ht="15.75" customHeight="1" x14ac:dyDescent="0.25">
      <c r="A866" s="6" t="s">
        <v>3213</v>
      </c>
      <c r="B866" s="8"/>
      <c r="C866" s="8"/>
      <c r="D866" s="8"/>
      <c r="E866" s="8"/>
      <c r="F866" s="8"/>
      <c r="G866" s="8"/>
      <c r="H866" s="8"/>
      <c r="I866" s="8"/>
      <c r="J866" s="8"/>
      <c r="K866" s="8"/>
      <c r="L866" s="8"/>
      <c r="M866" s="8"/>
      <c r="N866" s="8"/>
      <c r="O866" s="8"/>
      <c r="P866" s="8"/>
      <c r="Q866" s="8"/>
      <c r="R866" s="8"/>
      <c r="S866" s="8"/>
      <c r="T866" s="8"/>
      <c r="U866" s="8"/>
      <c r="V866" s="8"/>
      <c r="W866" s="8"/>
    </row>
    <row r="867" spans="1:23" ht="15.75" customHeight="1" x14ac:dyDescent="0.25">
      <c r="A867" s="6" t="s">
        <v>3213</v>
      </c>
      <c r="B867" s="8"/>
      <c r="C867" s="8"/>
      <c r="D867" s="8"/>
      <c r="E867" s="8"/>
      <c r="F867" s="8"/>
      <c r="G867" s="8"/>
      <c r="H867" s="8"/>
      <c r="I867" s="8"/>
      <c r="J867" s="8"/>
      <c r="K867" s="8"/>
      <c r="L867" s="8"/>
      <c r="M867" s="8"/>
      <c r="N867" s="8"/>
      <c r="O867" s="8"/>
      <c r="P867" s="8"/>
      <c r="Q867" s="8"/>
      <c r="R867" s="8"/>
      <c r="S867" s="8"/>
      <c r="T867" s="8"/>
      <c r="U867" s="8"/>
      <c r="V867" s="8"/>
      <c r="W867" s="8"/>
    </row>
    <row r="868" spans="1:23" ht="15.75" customHeight="1" x14ac:dyDescent="0.25">
      <c r="A868" s="6" t="s">
        <v>3213</v>
      </c>
      <c r="B868" s="8"/>
      <c r="C868" s="8"/>
      <c r="D868" s="8"/>
      <c r="E868" s="8"/>
      <c r="F868" s="8"/>
      <c r="G868" s="8"/>
      <c r="H868" s="8"/>
      <c r="I868" s="8"/>
      <c r="J868" s="8"/>
      <c r="K868" s="8"/>
      <c r="L868" s="8"/>
      <c r="M868" s="8"/>
      <c r="N868" s="8"/>
      <c r="O868" s="8"/>
      <c r="P868" s="8"/>
      <c r="Q868" s="8"/>
      <c r="R868" s="8"/>
      <c r="S868" s="8"/>
      <c r="T868" s="8"/>
      <c r="U868" s="8"/>
      <c r="V868" s="8"/>
      <c r="W868" s="8"/>
    </row>
    <row r="869" spans="1:23" ht="15.75" customHeight="1" x14ac:dyDescent="0.25">
      <c r="A869" s="6" t="s">
        <v>3213</v>
      </c>
      <c r="B869" s="8"/>
      <c r="C869" s="8"/>
      <c r="D869" s="8"/>
      <c r="E869" s="8"/>
      <c r="F869" s="8"/>
      <c r="G869" s="8"/>
      <c r="H869" s="8"/>
      <c r="I869" s="8"/>
      <c r="J869" s="8"/>
      <c r="K869" s="8"/>
      <c r="L869" s="8"/>
      <c r="M869" s="8"/>
      <c r="N869" s="8"/>
      <c r="O869" s="8"/>
      <c r="P869" s="8"/>
      <c r="Q869" s="8"/>
      <c r="R869" s="8"/>
      <c r="S869" s="8"/>
      <c r="T869" s="8"/>
      <c r="U869" s="8"/>
      <c r="V869" s="8"/>
      <c r="W869" s="8"/>
    </row>
    <row r="870" spans="1:23" ht="15.75" customHeight="1" x14ac:dyDescent="0.25">
      <c r="A870" s="6" t="s">
        <v>3213</v>
      </c>
      <c r="B870" s="8"/>
      <c r="C870" s="8"/>
      <c r="D870" s="8"/>
      <c r="E870" s="8"/>
      <c r="F870" s="8"/>
      <c r="G870" s="8"/>
      <c r="H870" s="8"/>
      <c r="I870" s="8"/>
      <c r="J870" s="8"/>
      <c r="K870" s="8"/>
      <c r="L870" s="8"/>
      <c r="M870" s="8"/>
      <c r="N870" s="8"/>
      <c r="O870" s="8"/>
      <c r="P870" s="8"/>
      <c r="Q870" s="8"/>
      <c r="R870" s="8"/>
      <c r="S870" s="8"/>
      <c r="T870" s="8"/>
      <c r="U870" s="8"/>
      <c r="V870" s="8"/>
      <c r="W870" s="8"/>
    </row>
    <row r="871" spans="1:23" ht="15.75" customHeight="1" x14ac:dyDescent="0.25">
      <c r="A871" s="6" t="s">
        <v>3213</v>
      </c>
      <c r="B871" s="8"/>
      <c r="C871" s="8"/>
      <c r="D871" s="8"/>
      <c r="E871" s="8"/>
      <c r="F871" s="8"/>
      <c r="G871" s="8"/>
      <c r="H871" s="8"/>
      <c r="I871" s="8"/>
      <c r="J871" s="8"/>
      <c r="K871" s="8"/>
      <c r="L871" s="8"/>
      <c r="M871" s="8"/>
      <c r="N871" s="8"/>
      <c r="O871" s="8"/>
      <c r="P871" s="8"/>
      <c r="Q871" s="8"/>
      <c r="R871" s="8"/>
      <c r="S871" s="8"/>
      <c r="T871" s="8"/>
      <c r="U871" s="8"/>
      <c r="V871" s="8"/>
      <c r="W871" s="8"/>
    </row>
    <row r="872" spans="1:23" ht="15.75" customHeight="1" x14ac:dyDescent="0.25">
      <c r="A872" s="6" t="s">
        <v>3213</v>
      </c>
      <c r="B872" s="8"/>
      <c r="C872" s="8"/>
      <c r="D872" s="8"/>
      <c r="E872" s="8"/>
      <c r="F872" s="8"/>
      <c r="G872" s="8"/>
      <c r="H872" s="8"/>
      <c r="I872" s="8"/>
      <c r="J872" s="8"/>
      <c r="K872" s="8"/>
      <c r="L872" s="8"/>
      <c r="M872" s="8"/>
      <c r="N872" s="8"/>
      <c r="O872" s="8"/>
      <c r="P872" s="8"/>
      <c r="Q872" s="8"/>
      <c r="R872" s="8"/>
      <c r="S872" s="8"/>
      <c r="T872" s="8"/>
      <c r="U872" s="8"/>
      <c r="V872" s="8"/>
      <c r="W872" s="8"/>
    </row>
    <row r="873" spans="1:23" ht="15.75" customHeight="1" x14ac:dyDescent="0.25">
      <c r="A873" s="6" t="s">
        <v>3213</v>
      </c>
      <c r="B873" s="8"/>
      <c r="C873" s="8"/>
      <c r="D873" s="8"/>
      <c r="E873" s="8"/>
      <c r="F873" s="8"/>
      <c r="G873" s="8"/>
      <c r="H873" s="8"/>
      <c r="I873" s="8"/>
      <c r="J873" s="8"/>
      <c r="K873" s="8"/>
      <c r="L873" s="8"/>
      <c r="M873" s="8"/>
      <c r="N873" s="8"/>
      <c r="O873" s="8"/>
      <c r="P873" s="8"/>
      <c r="Q873" s="8"/>
      <c r="R873" s="8"/>
      <c r="S873" s="8"/>
      <c r="T873" s="8"/>
      <c r="U873" s="8"/>
      <c r="V873" s="8"/>
      <c r="W873" s="8"/>
    </row>
    <row r="874" spans="1:23" ht="15.75" customHeight="1" x14ac:dyDescent="0.25">
      <c r="A874" s="6" t="s">
        <v>3213</v>
      </c>
      <c r="B874" s="8"/>
      <c r="C874" s="8"/>
      <c r="D874" s="8"/>
      <c r="E874" s="8"/>
      <c r="F874" s="8"/>
      <c r="G874" s="8"/>
      <c r="H874" s="8"/>
      <c r="I874" s="8"/>
      <c r="J874" s="8"/>
      <c r="K874" s="8"/>
      <c r="L874" s="8"/>
      <c r="M874" s="8"/>
      <c r="N874" s="8"/>
      <c r="O874" s="8"/>
      <c r="P874" s="8"/>
      <c r="Q874" s="8"/>
      <c r="R874" s="8"/>
      <c r="S874" s="8"/>
      <c r="T874" s="8"/>
      <c r="U874" s="8"/>
      <c r="V874" s="8"/>
      <c r="W874" s="8"/>
    </row>
    <row r="875" spans="1:23" ht="15.75" customHeight="1" x14ac:dyDescent="0.25">
      <c r="A875" s="6" t="s">
        <v>3213</v>
      </c>
      <c r="B875" s="8"/>
      <c r="C875" s="8"/>
      <c r="D875" s="8"/>
      <c r="E875" s="8"/>
      <c r="F875" s="8"/>
      <c r="G875" s="8"/>
      <c r="H875" s="8"/>
      <c r="I875" s="8"/>
      <c r="J875" s="8"/>
      <c r="K875" s="8"/>
      <c r="L875" s="8"/>
      <c r="M875" s="8"/>
      <c r="N875" s="8"/>
      <c r="O875" s="8"/>
      <c r="P875" s="8"/>
      <c r="Q875" s="8"/>
      <c r="R875" s="8"/>
      <c r="S875" s="8"/>
      <c r="T875" s="8"/>
      <c r="U875" s="8"/>
      <c r="V875" s="8"/>
      <c r="W875" s="8"/>
    </row>
    <row r="876" spans="1:23" ht="15.75" customHeight="1" x14ac:dyDescent="0.25">
      <c r="A876" s="6" t="s">
        <v>3213</v>
      </c>
      <c r="B876" s="8"/>
      <c r="C876" s="8"/>
      <c r="D876" s="8"/>
      <c r="E876" s="8"/>
      <c r="F876" s="8"/>
      <c r="G876" s="8"/>
      <c r="H876" s="8"/>
      <c r="I876" s="8"/>
      <c r="J876" s="8"/>
      <c r="K876" s="8"/>
      <c r="L876" s="8"/>
      <c r="M876" s="8"/>
      <c r="N876" s="8"/>
      <c r="O876" s="8"/>
      <c r="P876" s="8"/>
      <c r="Q876" s="8"/>
      <c r="R876" s="8"/>
      <c r="S876" s="8"/>
      <c r="T876" s="8"/>
      <c r="U876" s="8"/>
      <c r="V876" s="8"/>
      <c r="W876" s="8"/>
    </row>
    <row r="877" spans="1:23" ht="15.75" customHeight="1" x14ac:dyDescent="0.25">
      <c r="A877" s="6" t="s">
        <v>3213</v>
      </c>
      <c r="B877" s="8"/>
      <c r="C877" s="8"/>
      <c r="D877" s="8"/>
      <c r="E877" s="8"/>
      <c r="F877" s="8"/>
      <c r="G877" s="8"/>
      <c r="H877" s="8"/>
      <c r="I877" s="8"/>
      <c r="J877" s="8"/>
      <c r="K877" s="8"/>
      <c r="L877" s="8"/>
      <c r="M877" s="8"/>
      <c r="N877" s="8"/>
      <c r="O877" s="8"/>
      <c r="P877" s="8"/>
      <c r="Q877" s="8"/>
      <c r="R877" s="8"/>
      <c r="S877" s="8"/>
      <c r="T877" s="8"/>
      <c r="U877" s="8"/>
      <c r="V877" s="8"/>
      <c r="W877" s="8"/>
    </row>
    <row r="878" spans="1:23" ht="15.75" customHeight="1" x14ac:dyDescent="0.25">
      <c r="A878" s="6" t="s">
        <v>3213</v>
      </c>
      <c r="B878" s="8"/>
      <c r="C878" s="8"/>
      <c r="D878" s="8"/>
      <c r="E878" s="8"/>
      <c r="F878" s="8"/>
      <c r="G878" s="8"/>
      <c r="H878" s="8"/>
      <c r="I878" s="8"/>
      <c r="J878" s="8"/>
      <c r="K878" s="8"/>
      <c r="L878" s="8"/>
      <c r="M878" s="8"/>
      <c r="N878" s="8"/>
      <c r="O878" s="8"/>
      <c r="P878" s="8"/>
      <c r="Q878" s="8"/>
      <c r="R878" s="8"/>
      <c r="S878" s="8"/>
      <c r="T878" s="8"/>
      <c r="U878" s="8"/>
      <c r="V878" s="8"/>
      <c r="W878" s="8"/>
    </row>
    <row r="879" spans="1:23" ht="15.75" customHeight="1" x14ac:dyDescent="0.25">
      <c r="A879" s="6" t="s">
        <v>3213</v>
      </c>
      <c r="B879" s="8"/>
      <c r="C879" s="8"/>
      <c r="D879" s="8"/>
      <c r="E879" s="8"/>
      <c r="F879" s="8"/>
      <c r="G879" s="8"/>
      <c r="H879" s="8"/>
      <c r="I879" s="8"/>
      <c r="J879" s="8"/>
      <c r="K879" s="8"/>
      <c r="L879" s="8"/>
      <c r="M879" s="8"/>
      <c r="N879" s="8"/>
      <c r="O879" s="8"/>
      <c r="P879" s="8"/>
      <c r="Q879" s="8"/>
      <c r="R879" s="8"/>
      <c r="S879" s="8"/>
      <c r="T879" s="8"/>
      <c r="U879" s="8"/>
      <c r="V879" s="8"/>
      <c r="W879" s="8"/>
    </row>
    <row r="880" spans="1:23" ht="15.75" customHeight="1" x14ac:dyDescent="0.25">
      <c r="A880" s="6" t="s">
        <v>4187</v>
      </c>
      <c r="B880" s="8"/>
      <c r="C880" s="8"/>
      <c r="D880" s="8"/>
      <c r="E880" s="8"/>
      <c r="F880" s="8"/>
      <c r="G880" s="8"/>
      <c r="H880" s="8"/>
      <c r="I880" s="8"/>
      <c r="J880" s="8"/>
      <c r="K880" s="8"/>
      <c r="L880" s="8"/>
      <c r="M880" s="8"/>
      <c r="N880" s="8"/>
      <c r="O880" s="8"/>
      <c r="P880" s="8"/>
      <c r="Q880" s="8"/>
      <c r="R880" s="8"/>
      <c r="S880" s="8"/>
      <c r="T880" s="8"/>
      <c r="U880" s="8"/>
      <c r="V880" s="8"/>
      <c r="W880" s="8"/>
    </row>
    <row r="881" spans="1:23" ht="15.75" customHeight="1" x14ac:dyDescent="0.25">
      <c r="A881" s="6" t="s">
        <v>4188</v>
      </c>
      <c r="B881" s="8"/>
      <c r="C881" s="8"/>
      <c r="D881" s="8"/>
      <c r="E881" s="8"/>
      <c r="F881" s="8"/>
      <c r="G881" s="8"/>
      <c r="H881" s="8"/>
      <c r="I881" s="8"/>
      <c r="J881" s="8"/>
      <c r="K881" s="8"/>
      <c r="L881" s="8"/>
      <c r="M881" s="8"/>
      <c r="N881" s="8"/>
      <c r="O881" s="8"/>
      <c r="P881" s="8"/>
      <c r="Q881" s="8"/>
      <c r="R881" s="8"/>
      <c r="S881" s="8"/>
      <c r="T881" s="8"/>
      <c r="U881" s="8"/>
      <c r="V881" s="8"/>
      <c r="W881" s="8"/>
    </row>
    <row r="882" spans="1:23" ht="15.75" customHeight="1" x14ac:dyDescent="0.25">
      <c r="A882" s="8" t="s">
        <v>4189</v>
      </c>
      <c r="B882" s="8"/>
      <c r="C882" s="8"/>
      <c r="D882" s="8"/>
      <c r="E882" s="8"/>
      <c r="F882" s="8"/>
      <c r="G882" s="8"/>
      <c r="H882" s="8"/>
      <c r="I882" s="8"/>
      <c r="J882" s="8"/>
      <c r="K882" s="8"/>
      <c r="L882" s="8"/>
      <c r="M882" s="8"/>
      <c r="N882" s="8"/>
      <c r="O882" s="8"/>
      <c r="P882" s="8"/>
      <c r="Q882" s="8"/>
      <c r="R882" s="8"/>
      <c r="S882" s="8"/>
      <c r="T882" s="8"/>
      <c r="U882" s="8"/>
      <c r="V882" s="8"/>
      <c r="W882" s="8"/>
    </row>
    <row r="883" spans="1:23" ht="15.75" customHeight="1" x14ac:dyDescent="0.25">
      <c r="A883" s="6" t="s">
        <v>4190</v>
      </c>
      <c r="B883" s="8"/>
      <c r="C883" s="8"/>
      <c r="D883" s="8"/>
      <c r="E883" s="8"/>
      <c r="F883" s="8"/>
      <c r="G883" s="8"/>
      <c r="H883" s="8"/>
      <c r="I883" s="8"/>
      <c r="J883" s="8"/>
      <c r="K883" s="8"/>
      <c r="L883" s="8"/>
      <c r="M883" s="8"/>
      <c r="N883" s="8"/>
      <c r="O883" s="8"/>
      <c r="P883" s="8"/>
      <c r="Q883" s="8"/>
      <c r="R883" s="8"/>
      <c r="S883" s="8"/>
      <c r="T883" s="8"/>
      <c r="U883" s="8"/>
      <c r="V883" s="8"/>
      <c r="W883" s="8"/>
    </row>
    <row r="884" spans="1:23" ht="15.75" customHeight="1" x14ac:dyDescent="0.25">
      <c r="A884" s="6" t="s">
        <v>3712</v>
      </c>
      <c r="B884" s="8"/>
      <c r="C884" s="8"/>
      <c r="D884" s="8"/>
      <c r="E884" s="8"/>
      <c r="F884" s="8"/>
      <c r="G884" s="8"/>
      <c r="H884" s="8"/>
      <c r="I884" s="8"/>
      <c r="J884" s="8"/>
      <c r="K884" s="8"/>
      <c r="L884" s="8"/>
      <c r="M884" s="8"/>
      <c r="N884" s="8"/>
      <c r="O884" s="8"/>
      <c r="P884" s="8"/>
      <c r="Q884" s="8"/>
      <c r="R884" s="8"/>
      <c r="S884" s="8"/>
      <c r="T884" s="8"/>
      <c r="U884" s="8"/>
      <c r="V884" s="8"/>
      <c r="W884" s="8"/>
    </row>
    <row r="885" spans="1:23" ht="15.75" customHeight="1" x14ac:dyDescent="0.25">
      <c r="A885" s="6" t="s">
        <v>3712</v>
      </c>
      <c r="B885" s="8"/>
      <c r="C885" s="8"/>
      <c r="D885" s="8"/>
      <c r="E885" s="8"/>
      <c r="F885" s="8"/>
      <c r="G885" s="8"/>
      <c r="H885" s="8"/>
      <c r="I885" s="8"/>
      <c r="J885" s="8"/>
      <c r="K885" s="8"/>
      <c r="L885" s="8"/>
      <c r="M885" s="8"/>
      <c r="N885" s="8"/>
      <c r="O885" s="8"/>
      <c r="P885" s="8"/>
      <c r="Q885" s="8"/>
      <c r="R885" s="8"/>
      <c r="S885" s="8"/>
      <c r="T885" s="8"/>
      <c r="U885" s="8"/>
      <c r="V885" s="8"/>
      <c r="W885" s="8"/>
    </row>
    <row r="886" spans="1:23" ht="15.75" customHeight="1" x14ac:dyDescent="0.25">
      <c r="A886" s="6" t="s">
        <v>3712</v>
      </c>
      <c r="B886" s="8"/>
      <c r="C886" s="8"/>
      <c r="D886" s="8"/>
      <c r="E886" s="8"/>
      <c r="F886" s="8"/>
      <c r="G886" s="8"/>
      <c r="H886" s="8"/>
      <c r="I886" s="8"/>
      <c r="J886" s="8"/>
      <c r="K886" s="8"/>
      <c r="L886" s="8"/>
      <c r="M886" s="8"/>
      <c r="N886" s="8"/>
      <c r="O886" s="8"/>
      <c r="P886" s="8"/>
      <c r="Q886" s="8"/>
      <c r="R886" s="8"/>
      <c r="S886" s="8"/>
      <c r="T886" s="8"/>
      <c r="U886" s="8"/>
      <c r="V886" s="8"/>
      <c r="W886" s="8"/>
    </row>
    <row r="887" spans="1:23" ht="15.75" customHeight="1" x14ac:dyDescent="0.25">
      <c r="A887" s="6" t="s">
        <v>3366</v>
      </c>
      <c r="B887" s="8"/>
      <c r="C887" s="8"/>
      <c r="D887" s="8"/>
      <c r="E887" s="8"/>
      <c r="F887" s="8"/>
      <c r="G887" s="8"/>
      <c r="H887" s="8"/>
      <c r="I887" s="8"/>
      <c r="J887" s="8"/>
      <c r="K887" s="8"/>
      <c r="L887" s="8"/>
      <c r="M887" s="8"/>
      <c r="N887" s="8"/>
      <c r="O887" s="8"/>
      <c r="P887" s="8"/>
      <c r="Q887" s="8"/>
      <c r="R887" s="8"/>
      <c r="S887" s="8"/>
      <c r="T887" s="8"/>
      <c r="U887" s="8"/>
      <c r="V887" s="8"/>
      <c r="W887" s="8"/>
    </row>
    <row r="888" spans="1:23" ht="15.75" customHeight="1" x14ac:dyDescent="0.25">
      <c r="A888" s="6" t="s">
        <v>3366</v>
      </c>
      <c r="B888" s="8"/>
      <c r="C888" s="8"/>
      <c r="D888" s="8"/>
      <c r="E888" s="8"/>
      <c r="F888" s="8"/>
      <c r="G888" s="8"/>
      <c r="H888" s="8"/>
      <c r="I888" s="8"/>
      <c r="J888" s="8"/>
      <c r="K888" s="8"/>
      <c r="L888" s="8"/>
      <c r="M888" s="8"/>
      <c r="N888" s="8"/>
      <c r="O888" s="8"/>
      <c r="P888" s="8"/>
      <c r="Q888" s="8"/>
      <c r="R888" s="8"/>
      <c r="S888" s="8"/>
      <c r="T888" s="8"/>
      <c r="U888" s="8"/>
      <c r="V888" s="8"/>
      <c r="W888" s="8"/>
    </row>
    <row r="889" spans="1:23" ht="15.75" customHeight="1" x14ac:dyDescent="0.25">
      <c r="A889" s="6" t="s">
        <v>3366</v>
      </c>
      <c r="B889" s="8"/>
      <c r="C889" s="8"/>
      <c r="D889" s="8"/>
      <c r="E889" s="8"/>
      <c r="F889" s="8"/>
      <c r="G889" s="8"/>
      <c r="H889" s="8"/>
      <c r="I889" s="8"/>
      <c r="J889" s="8"/>
      <c r="K889" s="8"/>
      <c r="L889" s="8"/>
      <c r="M889" s="8"/>
      <c r="N889" s="8"/>
      <c r="O889" s="8"/>
      <c r="P889" s="8"/>
      <c r="Q889" s="8"/>
      <c r="R889" s="8"/>
      <c r="S889" s="8"/>
      <c r="T889" s="8"/>
      <c r="U889" s="8"/>
      <c r="V889" s="8"/>
      <c r="W889" s="8"/>
    </row>
    <row r="890" spans="1:23" ht="15.75" customHeight="1" x14ac:dyDescent="0.25">
      <c r="A890" s="6" t="s">
        <v>3366</v>
      </c>
      <c r="B890" s="8"/>
      <c r="C890" s="8"/>
      <c r="D890" s="8"/>
      <c r="E890" s="8"/>
      <c r="F890" s="8"/>
      <c r="G890" s="8"/>
      <c r="H890" s="8"/>
      <c r="I890" s="8"/>
      <c r="J890" s="8"/>
      <c r="K890" s="8"/>
      <c r="L890" s="8"/>
      <c r="M890" s="8"/>
      <c r="N890" s="8"/>
      <c r="O890" s="8"/>
      <c r="P890" s="8"/>
      <c r="Q890" s="8"/>
      <c r="R890" s="8"/>
      <c r="S890" s="8"/>
      <c r="T890" s="8"/>
      <c r="U890" s="8"/>
      <c r="V890" s="8"/>
      <c r="W890" s="8"/>
    </row>
    <row r="891" spans="1:23" ht="15.75" customHeight="1" x14ac:dyDescent="0.25">
      <c r="A891" s="6" t="s">
        <v>3366</v>
      </c>
      <c r="B891" s="8"/>
      <c r="C891" s="8"/>
      <c r="D891" s="8"/>
      <c r="E891" s="8"/>
      <c r="F891" s="8"/>
      <c r="G891" s="8"/>
      <c r="H891" s="8"/>
      <c r="I891" s="8"/>
      <c r="J891" s="8"/>
      <c r="K891" s="8"/>
      <c r="L891" s="8"/>
      <c r="M891" s="8"/>
      <c r="N891" s="8"/>
      <c r="O891" s="8"/>
      <c r="P891" s="8"/>
      <c r="Q891" s="8"/>
      <c r="R891" s="8"/>
      <c r="S891" s="8"/>
      <c r="T891" s="8"/>
      <c r="U891" s="8"/>
      <c r="V891" s="8"/>
      <c r="W891" s="8"/>
    </row>
    <row r="892" spans="1:23" ht="15.75" customHeight="1" x14ac:dyDescent="0.25">
      <c r="A892" s="6" t="s">
        <v>3366</v>
      </c>
      <c r="B892" s="8"/>
      <c r="C892" s="8"/>
      <c r="D892" s="8"/>
      <c r="E892" s="8"/>
      <c r="F892" s="8"/>
      <c r="G892" s="8"/>
      <c r="H892" s="8"/>
      <c r="I892" s="8"/>
      <c r="J892" s="8"/>
      <c r="K892" s="8"/>
      <c r="L892" s="8"/>
      <c r="M892" s="8"/>
      <c r="N892" s="8"/>
      <c r="O892" s="8"/>
      <c r="P892" s="8"/>
      <c r="Q892" s="8"/>
      <c r="R892" s="8"/>
      <c r="S892" s="8"/>
      <c r="T892" s="8"/>
      <c r="U892" s="8"/>
      <c r="V892" s="8"/>
      <c r="W892" s="8"/>
    </row>
    <row r="893" spans="1:23" ht="15.75" customHeight="1" x14ac:dyDescent="0.25">
      <c r="A893" s="6" t="s">
        <v>3366</v>
      </c>
      <c r="B893" s="8"/>
      <c r="C893" s="8"/>
      <c r="D893" s="8"/>
      <c r="E893" s="8"/>
      <c r="F893" s="8"/>
      <c r="G893" s="8"/>
      <c r="H893" s="8"/>
      <c r="I893" s="8"/>
      <c r="J893" s="8"/>
      <c r="K893" s="8"/>
      <c r="L893" s="8"/>
      <c r="M893" s="8"/>
      <c r="N893" s="8"/>
      <c r="O893" s="8"/>
      <c r="P893" s="8"/>
      <c r="Q893" s="8"/>
      <c r="R893" s="8"/>
      <c r="S893" s="8"/>
      <c r="T893" s="8"/>
      <c r="U893" s="8"/>
      <c r="V893" s="8"/>
      <c r="W893" s="8"/>
    </row>
    <row r="894" spans="1:23" ht="15.75" customHeight="1" x14ac:dyDescent="0.25">
      <c r="A894" s="6" t="s">
        <v>3366</v>
      </c>
      <c r="B894" s="8"/>
      <c r="C894" s="8"/>
      <c r="D894" s="8"/>
      <c r="E894" s="8"/>
      <c r="F894" s="8"/>
      <c r="G894" s="8"/>
      <c r="H894" s="8"/>
      <c r="I894" s="8"/>
      <c r="J894" s="8"/>
      <c r="K894" s="8"/>
      <c r="L894" s="8"/>
      <c r="M894" s="8"/>
      <c r="N894" s="8"/>
      <c r="O894" s="8"/>
      <c r="P894" s="8"/>
      <c r="Q894" s="8"/>
      <c r="R894" s="8"/>
      <c r="S894" s="8"/>
      <c r="T894" s="8"/>
      <c r="U894" s="8"/>
      <c r="V894" s="8"/>
      <c r="W894" s="8"/>
    </row>
    <row r="895" spans="1:23" ht="15.75" customHeight="1" x14ac:dyDescent="0.25">
      <c r="A895" s="6" t="s">
        <v>3366</v>
      </c>
      <c r="B895" s="8"/>
      <c r="C895" s="8"/>
      <c r="D895" s="8"/>
      <c r="E895" s="8"/>
      <c r="F895" s="8"/>
      <c r="G895" s="8"/>
      <c r="H895" s="8"/>
      <c r="I895" s="8"/>
      <c r="J895" s="8"/>
      <c r="K895" s="8"/>
      <c r="L895" s="8"/>
      <c r="M895" s="8"/>
      <c r="N895" s="8"/>
      <c r="O895" s="8"/>
      <c r="P895" s="8"/>
      <c r="Q895" s="8"/>
      <c r="R895" s="8"/>
      <c r="S895" s="8"/>
      <c r="T895" s="8"/>
      <c r="U895" s="8"/>
      <c r="V895" s="8"/>
      <c r="W895" s="8"/>
    </row>
    <row r="896" spans="1:23" ht="15.75" customHeight="1" x14ac:dyDescent="0.25">
      <c r="A896" s="6" t="s">
        <v>3366</v>
      </c>
      <c r="B896" s="8"/>
      <c r="C896" s="8"/>
      <c r="D896" s="8"/>
      <c r="E896" s="8"/>
      <c r="F896" s="8"/>
      <c r="G896" s="8"/>
      <c r="H896" s="8"/>
      <c r="I896" s="8"/>
      <c r="J896" s="8"/>
      <c r="K896" s="8"/>
      <c r="L896" s="8"/>
      <c r="M896" s="8"/>
      <c r="N896" s="8"/>
      <c r="O896" s="8"/>
      <c r="P896" s="8"/>
      <c r="Q896" s="8"/>
      <c r="R896" s="8"/>
      <c r="S896" s="8"/>
      <c r="T896" s="8"/>
      <c r="U896" s="8"/>
      <c r="V896" s="8"/>
      <c r="W896" s="8"/>
    </row>
    <row r="897" spans="1:23" ht="15.75" customHeight="1" x14ac:dyDescent="0.25">
      <c r="A897" s="6" t="s">
        <v>3366</v>
      </c>
      <c r="B897" s="8"/>
      <c r="C897" s="8"/>
      <c r="D897" s="8"/>
      <c r="E897" s="8"/>
      <c r="F897" s="8"/>
      <c r="G897" s="8"/>
      <c r="H897" s="8"/>
      <c r="I897" s="8"/>
      <c r="J897" s="8"/>
      <c r="K897" s="8"/>
      <c r="L897" s="8"/>
      <c r="M897" s="8"/>
      <c r="N897" s="8"/>
      <c r="O897" s="8"/>
      <c r="P897" s="8"/>
      <c r="Q897" s="8"/>
      <c r="R897" s="8"/>
      <c r="S897" s="8"/>
      <c r="T897" s="8"/>
      <c r="U897" s="8"/>
      <c r="V897" s="8"/>
      <c r="W897" s="8"/>
    </row>
    <row r="898" spans="1:23" ht="15.75" customHeight="1" x14ac:dyDescent="0.25">
      <c r="A898" s="6" t="s">
        <v>3551</v>
      </c>
      <c r="B898" s="8"/>
      <c r="C898" s="8"/>
      <c r="D898" s="8"/>
      <c r="E898" s="8"/>
      <c r="F898" s="8"/>
      <c r="G898" s="8"/>
      <c r="H898" s="8"/>
      <c r="I898" s="8"/>
      <c r="J898" s="8"/>
      <c r="K898" s="8"/>
      <c r="L898" s="8"/>
      <c r="M898" s="8"/>
      <c r="N898" s="8"/>
      <c r="O898" s="8"/>
      <c r="P898" s="8"/>
      <c r="Q898" s="8"/>
      <c r="R898" s="8"/>
      <c r="S898" s="8"/>
      <c r="T898" s="8"/>
      <c r="U898" s="8"/>
      <c r="V898" s="8"/>
      <c r="W898" s="8"/>
    </row>
    <row r="899" spans="1:23" ht="15.75" customHeight="1" x14ac:dyDescent="0.25">
      <c r="A899" s="6" t="s">
        <v>3551</v>
      </c>
      <c r="B899" s="8"/>
      <c r="C899" s="8"/>
      <c r="D899" s="8"/>
      <c r="E899" s="8"/>
      <c r="F899" s="8"/>
      <c r="G899" s="8"/>
      <c r="H899" s="8"/>
      <c r="I899" s="8"/>
      <c r="J899" s="8"/>
      <c r="K899" s="8"/>
      <c r="L899" s="8"/>
      <c r="M899" s="8"/>
      <c r="N899" s="8"/>
      <c r="O899" s="8"/>
      <c r="P899" s="8"/>
      <c r="Q899" s="8"/>
      <c r="R899" s="8"/>
      <c r="S899" s="8"/>
      <c r="T899" s="8"/>
      <c r="U899" s="8"/>
      <c r="V899" s="8"/>
      <c r="W899" s="8"/>
    </row>
    <row r="900" spans="1:23" ht="15.75" customHeight="1" x14ac:dyDescent="0.25">
      <c r="A900" s="6" t="s">
        <v>3551</v>
      </c>
      <c r="B900" s="8"/>
      <c r="C900" s="8"/>
      <c r="D900" s="8"/>
      <c r="E900" s="8"/>
      <c r="F900" s="8"/>
      <c r="G900" s="8"/>
      <c r="H900" s="8"/>
      <c r="I900" s="8"/>
      <c r="J900" s="8"/>
      <c r="K900" s="8"/>
      <c r="L900" s="8"/>
      <c r="M900" s="8"/>
      <c r="N900" s="8"/>
      <c r="O900" s="8"/>
      <c r="P900" s="8"/>
      <c r="Q900" s="8"/>
      <c r="R900" s="8"/>
      <c r="S900" s="8"/>
      <c r="T900" s="8"/>
      <c r="U900" s="8"/>
      <c r="V900" s="8"/>
      <c r="W900" s="8"/>
    </row>
    <row r="901" spans="1:23" ht="15.75" customHeight="1" x14ac:dyDescent="0.25">
      <c r="A901" s="6" t="s">
        <v>3551</v>
      </c>
      <c r="B901" s="8"/>
      <c r="C901" s="8"/>
      <c r="D901" s="8"/>
      <c r="E901" s="8"/>
      <c r="F901" s="8"/>
      <c r="G901" s="8"/>
      <c r="H901" s="8"/>
      <c r="I901" s="8"/>
      <c r="J901" s="8"/>
      <c r="K901" s="8"/>
      <c r="L901" s="8"/>
      <c r="M901" s="8"/>
      <c r="N901" s="8"/>
      <c r="O901" s="8"/>
      <c r="P901" s="8"/>
      <c r="Q901" s="8"/>
      <c r="R901" s="8"/>
      <c r="S901" s="8"/>
      <c r="T901" s="8"/>
      <c r="U901" s="8"/>
      <c r="V901" s="8"/>
      <c r="W901" s="8"/>
    </row>
    <row r="902" spans="1:23" ht="15.75" customHeight="1" x14ac:dyDescent="0.25">
      <c r="A902" s="6" t="s">
        <v>3551</v>
      </c>
      <c r="B902" s="8"/>
      <c r="C902" s="8"/>
      <c r="D902" s="8"/>
      <c r="E902" s="8"/>
      <c r="F902" s="8"/>
      <c r="G902" s="8"/>
      <c r="H902" s="8"/>
      <c r="I902" s="8"/>
      <c r="J902" s="8"/>
      <c r="K902" s="8"/>
      <c r="L902" s="8"/>
      <c r="M902" s="8"/>
      <c r="N902" s="8"/>
      <c r="O902" s="8"/>
      <c r="P902" s="8"/>
      <c r="Q902" s="8"/>
      <c r="R902" s="8"/>
      <c r="S902" s="8"/>
      <c r="T902" s="8"/>
      <c r="U902" s="8"/>
      <c r="V902" s="8"/>
      <c r="W902" s="8"/>
    </row>
    <row r="903" spans="1:23" ht="15.75" customHeight="1" x14ac:dyDescent="0.25">
      <c r="A903" s="6" t="s">
        <v>3254</v>
      </c>
      <c r="B903" s="8"/>
      <c r="C903" s="8"/>
      <c r="D903" s="8"/>
      <c r="E903" s="8"/>
      <c r="F903" s="8"/>
      <c r="G903" s="8"/>
      <c r="H903" s="8"/>
      <c r="I903" s="8"/>
      <c r="J903" s="8"/>
      <c r="K903" s="8"/>
      <c r="L903" s="8"/>
      <c r="M903" s="8"/>
      <c r="N903" s="8"/>
      <c r="O903" s="8"/>
      <c r="P903" s="8"/>
      <c r="Q903" s="8"/>
      <c r="R903" s="8"/>
      <c r="S903" s="8"/>
      <c r="T903" s="8"/>
      <c r="U903" s="8"/>
      <c r="V903" s="8"/>
      <c r="W903" s="8"/>
    </row>
    <row r="904" spans="1:23" ht="15.75" customHeight="1" x14ac:dyDescent="0.25">
      <c r="A904" s="6" t="s">
        <v>3254</v>
      </c>
      <c r="B904" s="8"/>
      <c r="C904" s="8"/>
      <c r="D904" s="8"/>
      <c r="E904" s="8"/>
      <c r="F904" s="8"/>
      <c r="G904" s="8"/>
      <c r="H904" s="8"/>
      <c r="I904" s="8"/>
      <c r="J904" s="8"/>
      <c r="K904" s="8"/>
      <c r="L904" s="8"/>
      <c r="M904" s="8"/>
      <c r="N904" s="8"/>
      <c r="O904" s="8"/>
      <c r="P904" s="8"/>
      <c r="Q904" s="8"/>
      <c r="R904" s="8"/>
      <c r="S904" s="8"/>
      <c r="T904" s="8"/>
      <c r="U904" s="8"/>
      <c r="V904" s="8"/>
      <c r="W904" s="8"/>
    </row>
    <row r="905" spans="1:23" ht="15.75" customHeight="1" x14ac:dyDescent="0.25">
      <c r="A905" s="6" t="s">
        <v>3254</v>
      </c>
      <c r="B905" s="8"/>
      <c r="C905" s="8"/>
      <c r="D905" s="8"/>
      <c r="E905" s="8"/>
      <c r="F905" s="8"/>
      <c r="G905" s="8"/>
      <c r="H905" s="8"/>
      <c r="I905" s="8"/>
      <c r="J905" s="8"/>
      <c r="K905" s="8"/>
      <c r="L905" s="8"/>
      <c r="M905" s="8"/>
      <c r="N905" s="8"/>
      <c r="O905" s="8"/>
      <c r="P905" s="8"/>
      <c r="Q905" s="8"/>
      <c r="R905" s="8"/>
      <c r="S905" s="8"/>
      <c r="T905" s="8"/>
      <c r="U905" s="8"/>
      <c r="V905" s="8"/>
      <c r="W905" s="8"/>
    </row>
    <row r="906" spans="1:23" ht="15.75" customHeight="1" x14ac:dyDescent="0.25">
      <c r="A906" s="6" t="s">
        <v>3254</v>
      </c>
      <c r="B906" s="8"/>
      <c r="C906" s="8"/>
      <c r="D906" s="8"/>
      <c r="E906" s="8"/>
      <c r="F906" s="8"/>
      <c r="G906" s="8"/>
      <c r="H906" s="8"/>
      <c r="I906" s="8"/>
      <c r="J906" s="8"/>
      <c r="K906" s="8"/>
      <c r="L906" s="8"/>
      <c r="M906" s="8"/>
      <c r="N906" s="8"/>
      <c r="O906" s="8"/>
      <c r="P906" s="8"/>
      <c r="Q906" s="8"/>
      <c r="R906" s="8"/>
      <c r="S906" s="8"/>
      <c r="T906" s="8"/>
      <c r="U906" s="8"/>
      <c r="V906" s="8"/>
      <c r="W906" s="8"/>
    </row>
    <row r="907" spans="1:23" ht="15.75" customHeight="1" x14ac:dyDescent="0.25">
      <c r="A907" s="6" t="s">
        <v>3254</v>
      </c>
      <c r="B907" s="8"/>
      <c r="C907" s="8"/>
      <c r="D907" s="8"/>
      <c r="E907" s="8"/>
      <c r="F907" s="8"/>
      <c r="G907" s="8"/>
      <c r="H907" s="8"/>
      <c r="I907" s="8"/>
      <c r="J907" s="8"/>
      <c r="K907" s="8"/>
      <c r="L907" s="8"/>
      <c r="M907" s="8"/>
      <c r="N907" s="8"/>
      <c r="O907" s="8"/>
      <c r="P907" s="8"/>
      <c r="Q907" s="8"/>
      <c r="R907" s="8"/>
      <c r="S907" s="8"/>
      <c r="T907" s="8"/>
      <c r="U907" s="8"/>
      <c r="V907" s="8"/>
      <c r="W907" s="8"/>
    </row>
    <row r="908" spans="1:23" ht="15.75" customHeight="1" x14ac:dyDescent="0.25">
      <c r="A908" s="6" t="s">
        <v>3254</v>
      </c>
      <c r="B908" s="8"/>
      <c r="C908" s="8"/>
      <c r="D908" s="8"/>
      <c r="E908" s="8"/>
      <c r="F908" s="8"/>
      <c r="G908" s="8"/>
      <c r="H908" s="8"/>
      <c r="I908" s="8"/>
      <c r="J908" s="8"/>
      <c r="K908" s="8"/>
      <c r="L908" s="8"/>
      <c r="M908" s="8"/>
      <c r="N908" s="8"/>
      <c r="O908" s="8"/>
      <c r="P908" s="8"/>
      <c r="Q908" s="8"/>
      <c r="R908" s="8"/>
      <c r="S908" s="8"/>
      <c r="T908" s="8"/>
      <c r="U908" s="8"/>
      <c r="V908" s="8"/>
      <c r="W908" s="8"/>
    </row>
    <row r="909" spans="1:23" ht="15.75" customHeight="1" x14ac:dyDescent="0.25">
      <c r="A909" s="6" t="s">
        <v>3254</v>
      </c>
      <c r="B909" s="8"/>
      <c r="C909" s="8"/>
      <c r="D909" s="8"/>
      <c r="E909" s="8"/>
      <c r="F909" s="8"/>
      <c r="G909" s="8"/>
      <c r="H909" s="8"/>
      <c r="I909" s="8"/>
      <c r="J909" s="8"/>
      <c r="K909" s="8"/>
      <c r="L909" s="8"/>
      <c r="M909" s="8"/>
      <c r="N909" s="8"/>
      <c r="O909" s="8"/>
      <c r="P909" s="8"/>
      <c r="Q909" s="8"/>
      <c r="R909" s="8"/>
      <c r="S909" s="8"/>
      <c r="T909" s="8"/>
      <c r="U909" s="8"/>
      <c r="V909" s="8"/>
      <c r="W909" s="8"/>
    </row>
    <row r="910" spans="1:23" ht="15.75" customHeight="1" x14ac:dyDescent="0.25">
      <c r="A910" s="6" t="s">
        <v>3254</v>
      </c>
      <c r="B910" s="8"/>
      <c r="C910" s="8"/>
      <c r="D910" s="8"/>
      <c r="E910" s="8"/>
      <c r="F910" s="8"/>
      <c r="G910" s="8"/>
      <c r="H910" s="8"/>
      <c r="I910" s="8"/>
      <c r="J910" s="8"/>
      <c r="K910" s="8"/>
      <c r="L910" s="8"/>
      <c r="M910" s="8"/>
      <c r="N910" s="8"/>
      <c r="O910" s="8"/>
      <c r="P910" s="8"/>
      <c r="Q910" s="8"/>
      <c r="R910" s="8"/>
      <c r="S910" s="8"/>
      <c r="T910" s="8"/>
      <c r="U910" s="8"/>
      <c r="V910" s="8"/>
      <c r="W910" s="8"/>
    </row>
    <row r="911" spans="1:23" ht="15.75" customHeight="1" x14ac:dyDescent="0.25">
      <c r="A911" s="6" t="s">
        <v>3254</v>
      </c>
      <c r="B911" s="8"/>
      <c r="C911" s="8"/>
      <c r="D911" s="8"/>
      <c r="E911" s="8"/>
      <c r="F911" s="8"/>
      <c r="G911" s="8"/>
      <c r="H911" s="8"/>
      <c r="I911" s="8"/>
      <c r="J911" s="8"/>
      <c r="K911" s="8"/>
      <c r="L911" s="8"/>
      <c r="M911" s="8"/>
      <c r="N911" s="8"/>
      <c r="O911" s="8"/>
      <c r="P911" s="8"/>
      <c r="Q911" s="8"/>
      <c r="R911" s="8"/>
      <c r="S911" s="8"/>
      <c r="T911" s="8"/>
      <c r="U911" s="8"/>
      <c r="V911" s="8"/>
      <c r="W911" s="8"/>
    </row>
    <row r="912" spans="1:23" ht="15.75" customHeight="1" x14ac:dyDescent="0.25">
      <c r="A912" s="6" t="s">
        <v>3254</v>
      </c>
      <c r="B912" s="8"/>
      <c r="C912" s="8"/>
      <c r="D912" s="8"/>
      <c r="E912" s="8"/>
      <c r="F912" s="8"/>
      <c r="G912" s="8"/>
      <c r="H912" s="8"/>
      <c r="I912" s="8"/>
      <c r="J912" s="8"/>
      <c r="K912" s="8"/>
      <c r="L912" s="8"/>
      <c r="M912" s="8"/>
      <c r="N912" s="8"/>
      <c r="O912" s="8"/>
      <c r="P912" s="8"/>
      <c r="Q912" s="8"/>
      <c r="R912" s="8"/>
      <c r="S912" s="8"/>
      <c r="T912" s="8"/>
      <c r="U912" s="8"/>
      <c r="V912" s="8"/>
      <c r="W912" s="8"/>
    </row>
    <row r="913" spans="1:23" ht="15.75" customHeight="1" x14ac:dyDescent="0.25">
      <c r="A913" s="6" t="s">
        <v>3254</v>
      </c>
      <c r="B913" s="8"/>
      <c r="C913" s="8"/>
      <c r="D913" s="8"/>
      <c r="E913" s="8"/>
      <c r="F913" s="8"/>
      <c r="G913" s="8"/>
      <c r="H913" s="8"/>
      <c r="I913" s="8"/>
      <c r="J913" s="8"/>
      <c r="K913" s="8"/>
      <c r="L913" s="8"/>
      <c r="M913" s="8"/>
      <c r="N913" s="8"/>
      <c r="O913" s="8"/>
      <c r="P913" s="8"/>
      <c r="Q913" s="8"/>
      <c r="R913" s="8"/>
      <c r="S913" s="8"/>
      <c r="T913" s="8"/>
      <c r="U913" s="8"/>
      <c r="V913" s="8"/>
      <c r="W913" s="8"/>
    </row>
    <row r="914" spans="1:23" ht="15.75" customHeight="1" x14ac:dyDescent="0.25">
      <c r="A914" s="6" t="s">
        <v>3254</v>
      </c>
      <c r="B914" s="8"/>
      <c r="C914" s="8"/>
      <c r="D914" s="8"/>
      <c r="E914" s="8"/>
      <c r="F914" s="8"/>
      <c r="G914" s="8"/>
      <c r="H914" s="8"/>
      <c r="I914" s="8"/>
      <c r="J914" s="8"/>
      <c r="K914" s="8"/>
      <c r="L914" s="8"/>
      <c r="M914" s="8"/>
      <c r="N914" s="8"/>
      <c r="O914" s="8"/>
      <c r="P914" s="8"/>
      <c r="Q914" s="8"/>
      <c r="R914" s="8"/>
      <c r="S914" s="8"/>
      <c r="T914" s="8"/>
      <c r="U914" s="8"/>
      <c r="V914" s="8"/>
      <c r="W914" s="8"/>
    </row>
    <row r="915" spans="1:23" ht="15.75" customHeight="1" x14ac:dyDescent="0.25">
      <c r="A915" s="6" t="s">
        <v>3254</v>
      </c>
      <c r="B915" s="8"/>
      <c r="C915" s="8"/>
      <c r="D915" s="8"/>
      <c r="E915" s="8"/>
      <c r="F915" s="8"/>
      <c r="G915" s="8"/>
      <c r="H915" s="8"/>
      <c r="I915" s="8"/>
      <c r="J915" s="8"/>
      <c r="K915" s="8"/>
      <c r="L915" s="8"/>
      <c r="M915" s="8"/>
      <c r="N915" s="8"/>
      <c r="O915" s="8"/>
      <c r="P915" s="8"/>
      <c r="Q915" s="8"/>
      <c r="R915" s="8"/>
      <c r="S915" s="8"/>
      <c r="T915" s="8"/>
      <c r="U915" s="8"/>
      <c r="V915" s="8"/>
      <c r="W915" s="8"/>
    </row>
    <row r="916" spans="1:23" ht="15.75" customHeight="1" x14ac:dyDescent="0.25">
      <c r="A916" s="6" t="s">
        <v>3254</v>
      </c>
      <c r="B916" s="8"/>
      <c r="C916" s="8"/>
      <c r="D916" s="8"/>
      <c r="E916" s="8"/>
      <c r="F916" s="8"/>
      <c r="G916" s="8"/>
      <c r="H916" s="8"/>
      <c r="I916" s="8"/>
      <c r="J916" s="8"/>
      <c r="K916" s="8"/>
      <c r="L916" s="8"/>
      <c r="M916" s="8"/>
      <c r="N916" s="8"/>
      <c r="O916" s="8"/>
      <c r="P916" s="8"/>
      <c r="Q916" s="8"/>
      <c r="R916" s="8"/>
      <c r="S916" s="8"/>
      <c r="T916" s="8"/>
      <c r="U916" s="8"/>
      <c r="V916" s="8"/>
      <c r="W916" s="8"/>
    </row>
    <row r="917" spans="1:23" ht="15.75" customHeight="1" x14ac:dyDescent="0.25">
      <c r="A917" s="6" t="s">
        <v>3254</v>
      </c>
      <c r="B917" s="8"/>
      <c r="C917" s="8"/>
      <c r="D917" s="8"/>
      <c r="E917" s="8"/>
      <c r="F917" s="8"/>
      <c r="G917" s="8"/>
      <c r="H917" s="8"/>
      <c r="I917" s="8"/>
      <c r="J917" s="8"/>
      <c r="K917" s="8"/>
      <c r="L917" s="8"/>
      <c r="M917" s="8"/>
      <c r="N917" s="8"/>
      <c r="O917" s="8"/>
      <c r="P917" s="8"/>
      <c r="Q917" s="8"/>
      <c r="R917" s="8"/>
      <c r="S917" s="8"/>
      <c r="T917" s="8"/>
      <c r="U917" s="8"/>
      <c r="V917" s="8"/>
      <c r="W917" s="8"/>
    </row>
    <row r="918" spans="1:23" ht="15.75" customHeight="1" x14ac:dyDescent="0.25">
      <c r="A918" s="6" t="s">
        <v>3254</v>
      </c>
      <c r="B918" s="8"/>
      <c r="C918" s="8"/>
      <c r="D918" s="8"/>
      <c r="E918" s="8"/>
      <c r="F918" s="8"/>
      <c r="G918" s="8"/>
      <c r="H918" s="8"/>
      <c r="I918" s="8"/>
      <c r="J918" s="8"/>
      <c r="K918" s="8"/>
      <c r="L918" s="8"/>
      <c r="M918" s="8"/>
      <c r="N918" s="8"/>
      <c r="O918" s="8"/>
      <c r="P918" s="8"/>
      <c r="Q918" s="8"/>
      <c r="R918" s="8"/>
      <c r="S918" s="8"/>
      <c r="T918" s="8"/>
      <c r="U918" s="8"/>
      <c r="V918" s="8"/>
      <c r="W918" s="8"/>
    </row>
    <row r="919" spans="1:23" ht="15.75" customHeight="1" x14ac:dyDescent="0.25">
      <c r="A919" s="6" t="s">
        <v>3254</v>
      </c>
      <c r="B919" s="8"/>
      <c r="C919" s="8"/>
      <c r="D919" s="8"/>
      <c r="E919" s="8"/>
      <c r="F919" s="8"/>
      <c r="G919" s="8"/>
      <c r="H919" s="8"/>
      <c r="I919" s="8"/>
      <c r="J919" s="8"/>
      <c r="K919" s="8"/>
      <c r="L919" s="8"/>
      <c r="M919" s="8"/>
      <c r="N919" s="8"/>
      <c r="O919" s="8"/>
      <c r="P919" s="8"/>
      <c r="Q919" s="8"/>
      <c r="R919" s="8"/>
      <c r="S919" s="8"/>
      <c r="T919" s="8"/>
      <c r="U919" s="8"/>
      <c r="V919" s="8"/>
      <c r="W919" s="8"/>
    </row>
    <row r="920" spans="1:23" ht="15.75" customHeight="1" x14ac:dyDescent="0.25">
      <c r="A920" s="6" t="s">
        <v>3254</v>
      </c>
      <c r="B920" s="8"/>
      <c r="C920" s="8"/>
      <c r="D920" s="8"/>
      <c r="E920" s="8"/>
      <c r="F920" s="8"/>
      <c r="G920" s="8"/>
      <c r="H920" s="8"/>
      <c r="I920" s="8"/>
      <c r="J920" s="8"/>
      <c r="K920" s="8"/>
      <c r="L920" s="8"/>
      <c r="M920" s="8"/>
      <c r="N920" s="8"/>
      <c r="O920" s="8"/>
      <c r="P920" s="8"/>
      <c r="Q920" s="8"/>
      <c r="R920" s="8"/>
      <c r="S920" s="8"/>
      <c r="T920" s="8"/>
      <c r="U920" s="8"/>
      <c r="V920" s="8"/>
      <c r="W920" s="8"/>
    </row>
    <row r="921" spans="1:23" ht="15.75" customHeight="1" x14ac:dyDescent="0.25">
      <c r="A921" s="6" t="s">
        <v>3254</v>
      </c>
      <c r="B921" s="8"/>
      <c r="C921" s="8"/>
      <c r="D921" s="8"/>
      <c r="E921" s="8"/>
      <c r="F921" s="8"/>
      <c r="G921" s="8"/>
      <c r="H921" s="8"/>
      <c r="I921" s="8"/>
      <c r="J921" s="8"/>
      <c r="K921" s="8"/>
      <c r="L921" s="8"/>
      <c r="M921" s="8"/>
      <c r="N921" s="8"/>
      <c r="O921" s="8"/>
      <c r="P921" s="8"/>
      <c r="Q921" s="8"/>
      <c r="R921" s="8"/>
      <c r="S921" s="8"/>
      <c r="T921" s="8"/>
      <c r="U921" s="8"/>
      <c r="V921" s="8"/>
      <c r="W921" s="8"/>
    </row>
    <row r="922" spans="1:23" ht="15.75" customHeight="1" x14ac:dyDescent="0.25">
      <c r="A922" s="6" t="s">
        <v>3254</v>
      </c>
      <c r="B922" s="8"/>
      <c r="C922" s="8"/>
      <c r="D922" s="8"/>
      <c r="E922" s="8"/>
      <c r="F922" s="8"/>
      <c r="G922" s="8"/>
      <c r="H922" s="8"/>
      <c r="I922" s="8"/>
      <c r="J922" s="8"/>
      <c r="K922" s="8"/>
      <c r="L922" s="8"/>
      <c r="M922" s="8"/>
      <c r="N922" s="8"/>
      <c r="O922" s="8"/>
      <c r="P922" s="8"/>
      <c r="Q922" s="8"/>
      <c r="R922" s="8"/>
      <c r="S922" s="8"/>
      <c r="T922" s="8"/>
      <c r="U922" s="8"/>
      <c r="V922" s="8"/>
      <c r="W922" s="8"/>
    </row>
    <row r="923" spans="1:23" ht="15.75" customHeight="1" x14ac:dyDescent="0.25">
      <c r="A923" s="6" t="s">
        <v>3254</v>
      </c>
      <c r="B923" s="8"/>
      <c r="C923" s="8"/>
      <c r="D923" s="8"/>
      <c r="E923" s="8"/>
      <c r="F923" s="8"/>
      <c r="G923" s="8"/>
      <c r="H923" s="8"/>
      <c r="I923" s="8"/>
      <c r="J923" s="8"/>
      <c r="K923" s="8"/>
      <c r="L923" s="8"/>
      <c r="M923" s="8"/>
      <c r="N923" s="8"/>
      <c r="O923" s="8"/>
      <c r="P923" s="8"/>
      <c r="Q923" s="8"/>
      <c r="R923" s="8"/>
      <c r="S923" s="8"/>
      <c r="T923" s="8"/>
      <c r="U923" s="8"/>
      <c r="V923" s="8"/>
      <c r="W923" s="8"/>
    </row>
    <row r="924" spans="1:23" ht="15.75" customHeight="1" x14ac:dyDescent="0.25">
      <c r="A924" s="6" t="s">
        <v>3254</v>
      </c>
      <c r="B924" s="8"/>
      <c r="C924" s="8"/>
      <c r="D924" s="8"/>
      <c r="E924" s="8"/>
      <c r="F924" s="8"/>
      <c r="G924" s="8"/>
      <c r="H924" s="8"/>
      <c r="I924" s="8"/>
      <c r="J924" s="8"/>
      <c r="K924" s="8"/>
      <c r="L924" s="8"/>
      <c r="M924" s="8"/>
      <c r="N924" s="8"/>
      <c r="O924" s="8"/>
      <c r="P924" s="8"/>
      <c r="Q924" s="8"/>
      <c r="R924" s="8"/>
      <c r="S924" s="8"/>
      <c r="T924" s="8"/>
      <c r="U924" s="8"/>
      <c r="V924" s="8"/>
      <c r="W924" s="8"/>
    </row>
    <row r="925" spans="1:23" ht="15.75" customHeight="1" x14ac:dyDescent="0.25">
      <c r="A925" s="6" t="s">
        <v>3254</v>
      </c>
      <c r="B925" s="8"/>
      <c r="C925" s="8"/>
      <c r="D925" s="8"/>
      <c r="E925" s="8"/>
      <c r="F925" s="8"/>
      <c r="G925" s="8"/>
      <c r="H925" s="8"/>
      <c r="I925" s="8"/>
      <c r="J925" s="8"/>
      <c r="K925" s="8"/>
      <c r="L925" s="8"/>
      <c r="M925" s="8"/>
      <c r="N925" s="8"/>
      <c r="O925" s="8"/>
      <c r="P925" s="8"/>
      <c r="Q925" s="8"/>
      <c r="R925" s="8"/>
      <c r="S925" s="8"/>
      <c r="T925" s="8"/>
      <c r="U925" s="8"/>
      <c r="V925" s="8"/>
      <c r="W925" s="8"/>
    </row>
    <row r="926" spans="1:23" ht="15.75" customHeight="1" x14ac:dyDescent="0.25">
      <c r="A926" s="6" t="s">
        <v>3254</v>
      </c>
      <c r="B926" s="8"/>
      <c r="C926" s="8"/>
      <c r="D926" s="8"/>
      <c r="E926" s="8"/>
      <c r="F926" s="8"/>
      <c r="G926" s="8"/>
      <c r="H926" s="8"/>
      <c r="I926" s="8"/>
      <c r="J926" s="8"/>
      <c r="K926" s="8"/>
      <c r="L926" s="8"/>
      <c r="M926" s="8"/>
      <c r="N926" s="8"/>
      <c r="O926" s="8"/>
      <c r="P926" s="8"/>
      <c r="Q926" s="8"/>
      <c r="R926" s="8"/>
      <c r="S926" s="8"/>
      <c r="T926" s="8"/>
      <c r="U926" s="8"/>
      <c r="V926" s="8"/>
      <c r="W926" s="8"/>
    </row>
    <row r="927" spans="1:23" ht="15.75" customHeight="1" x14ac:dyDescent="0.25">
      <c r="A927" s="6" t="s">
        <v>3254</v>
      </c>
      <c r="B927" s="8"/>
      <c r="C927" s="8"/>
      <c r="D927" s="8"/>
      <c r="E927" s="8"/>
      <c r="F927" s="8"/>
      <c r="G927" s="8"/>
      <c r="H927" s="8"/>
      <c r="I927" s="8"/>
      <c r="J927" s="8"/>
      <c r="K927" s="8"/>
      <c r="L927" s="8"/>
      <c r="M927" s="8"/>
      <c r="N927" s="8"/>
      <c r="O927" s="8"/>
      <c r="P927" s="8"/>
      <c r="Q927" s="8"/>
      <c r="R927" s="8"/>
      <c r="S927" s="8"/>
      <c r="T927" s="8"/>
      <c r="U927" s="8"/>
      <c r="V927" s="8"/>
      <c r="W927" s="8"/>
    </row>
    <row r="928" spans="1:23" ht="15.75" customHeight="1" x14ac:dyDescent="0.25">
      <c r="A928" s="6" t="s">
        <v>3254</v>
      </c>
      <c r="B928" s="8"/>
      <c r="C928" s="8"/>
      <c r="D928" s="8"/>
      <c r="E928" s="8"/>
      <c r="F928" s="8"/>
      <c r="G928" s="8"/>
      <c r="H928" s="8"/>
      <c r="I928" s="8"/>
      <c r="J928" s="8"/>
      <c r="K928" s="8"/>
      <c r="L928" s="8"/>
      <c r="M928" s="8"/>
      <c r="N928" s="8"/>
      <c r="O928" s="8"/>
      <c r="P928" s="8"/>
      <c r="Q928" s="8"/>
      <c r="R928" s="8"/>
      <c r="S928" s="8"/>
      <c r="T928" s="8"/>
      <c r="U928" s="8"/>
      <c r="V928" s="8"/>
      <c r="W928" s="8"/>
    </row>
    <row r="929" spans="1:23" ht="15.75" customHeight="1" x14ac:dyDescent="0.25">
      <c r="A929" s="6" t="s">
        <v>3345</v>
      </c>
      <c r="B929" s="8"/>
      <c r="C929" s="8"/>
      <c r="D929" s="8"/>
      <c r="E929" s="8"/>
      <c r="F929" s="8"/>
      <c r="G929" s="8"/>
      <c r="H929" s="8"/>
      <c r="I929" s="8"/>
      <c r="J929" s="8"/>
      <c r="K929" s="8"/>
      <c r="L929" s="8"/>
      <c r="M929" s="8"/>
      <c r="N929" s="8"/>
      <c r="O929" s="8"/>
      <c r="P929" s="8"/>
      <c r="Q929" s="8"/>
      <c r="R929" s="8"/>
      <c r="S929" s="8"/>
      <c r="T929" s="8"/>
      <c r="U929" s="8"/>
      <c r="V929" s="8"/>
      <c r="W929" s="8"/>
    </row>
    <row r="930" spans="1:23" ht="15.75" customHeight="1" x14ac:dyDescent="0.25">
      <c r="A930" s="6" t="s">
        <v>3345</v>
      </c>
      <c r="B930" s="8"/>
      <c r="C930" s="8"/>
      <c r="D930" s="8"/>
      <c r="E930" s="8"/>
      <c r="F930" s="8"/>
      <c r="G930" s="8"/>
      <c r="H930" s="8"/>
      <c r="I930" s="8"/>
      <c r="J930" s="8"/>
      <c r="K930" s="8"/>
      <c r="L930" s="8"/>
      <c r="M930" s="8"/>
      <c r="N930" s="8"/>
      <c r="O930" s="8"/>
      <c r="P930" s="8"/>
      <c r="Q930" s="8"/>
      <c r="R930" s="8"/>
      <c r="S930" s="8"/>
      <c r="T930" s="8"/>
      <c r="U930" s="8"/>
      <c r="V930" s="8"/>
      <c r="W930" s="8"/>
    </row>
    <row r="931" spans="1:23" ht="15.75" customHeight="1" x14ac:dyDescent="0.25">
      <c r="A931" s="6" t="s">
        <v>3345</v>
      </c>
      <c r="B931" s="8"/>
      <c r="C931" s="8"/>
      <c r="D931" s="8"/>
      <c r="E931" s="8"/>
      <c r="F931" s="8"/>
      <c r="G931" s="8"/>
      <c r="H931" s="8"/>
      <c r="I931" s="8"/>
      <c r="J931" s="8"/>
      <c r="K931" s="8"/>
      <c r="L931" s="8"/>
      <c r="M931" s="8"/>
      <c r="N931" s="8"/>
      <c r="O931" s="8"/>
      <c r="P931" s="8"/>
      <c r="Q931" s="8"/>
      <c r="R931" s="8"/>
      <c r="S931" s="8"/>
      <c r="T931" s="8"/>
      <c r="U931" s="8"/>
      <c r="V931" s="8"/>
      <c r="W931" s="8"/>
    </row>
    <row r="932" spans="1:23" ht="15.75" customHeight="1" x14ac:dyDescent="0.25">
      <c r="A932" s="6" t="s">
        <v>3345</v>
      </c>
      <c r="B932" s="8"/>
      <c r="C932" s="8"/>
      <c r="D932" s="8"/>
      <c r="E932" s="8"/>
      <c r="F932" s="8"/>
      <c r="G932" s="8"/>
      <c r="H932" s="8"/>
      <c r="I932" s="8"/>
      <c r="J932" s="8"/>
      <c r="K932" s="8"/>
      <c r="L932" s="8"/>
      <c r="M932" s="8"/>
      <c r="N932" s="8"/>
      <c r="O932" s="8"/>
      <c r="P932" s="8"/>
      <c r="Q932" s="8"/>
      <c r="R932" s="8"/>
      <c r="S932" s="8"/>
      <c r="T932" s="8"/>
      <c r="U932" s="8"/>
      <c r="V932" s="8"/>
      <c r="W932" s="8"/>
    </row>
    <row r="933" spans="1:23" ht="15.75" customHeight="1" x14ac:dyDescent="0.25">
      <c r="A933" s="6" t="s">
        <v>3345</v>
      </c>
      <c r="B933" s="8"/>
      <c r="C933" s="8"/>
      <c r="D933" s="8"/>
      <c r="E933" s="8"/>
      <c r="F933" s="8"/>
      <c r="G933" s="8"/>
      <c r="H933" s="8"/>
      <c r="I933" s="8"/>
      <c r="J933" s="8"/>
      <c r="K933" s="8"/>
      <c r="L933" s="8"/>
      <c r="M933" s="8"/>
      <c r="N933" s="8"/>
      <c r="O933" s="8"/>
      <c r="P933" s="8"/>
      <c r="Q933" s="8"/>
      <c r="R933" s="8"/>
      <c r="S933" s="8"/>
      <c r="T933" s="8"/>
      <c r="U933" s="8"/>
      <c r="V933" s="8"/>
      <c r="W933" s="8"/>
    </row>
    <row r="934" spans="1:23" ht="15.75" customHeight="1" x14ac:dyDescent="0.25">
      <c r="A934" s="6" t="s">
        <v>3345</v>
      </c>
      <c r="B934" s="8"/>
      <c r="C934" s="8"/>
      <c r="D934" s="8"/>
      <c r="E934" s="8"/>
      <c r="F934" s="8"/>
      <c r="G934" s="8"/>
      <c r="H934" s="8"/>
      <c r="I934" s="8"/>
      <c r="J934" s="8"/>
      <c r="K934" s="8"/>
      <c r="L934" s="8"/>
      <c r="M934" s="8"/>
      <c r="N934" s="8"/>
      <c r="O934" s="8"/>
      <c r="P934" s="8"/>
      <c r="Q934" s="8"/>
      <c r="R934" s="8"/>
      <c r="S934" s="8"/>
      <c r="T934" s="8"/>
      <c r="U934" s="8"/>
      <c r="V934" s="8"/>
      <c r="W934" s="8"/>
    </row>
    <row r="935" spans="1:23" ht="15.75" customHeight="1" x14ac:dyDescent="0.25">
      <c r="A935" s="6" t="s">
        <v>3345</v>
      </c>
      <c r="B935" s="8"/>
      <c r="C935" s="8"/>
      <c r="D935" s="8"/>
      <c r="E935" s="8"/>
      <c r="F935" s="8"/>
      <c r="G935" s="8"/>
      <c r="H935" s="8"/>
      <c r="I935" s="8"/>
      <c r="J935" s="8"/>
      <c r="K935" s="8"/>
      <c r="L935" s="8"/>
      <c r="M935" s="8"/>
      <c r="N935" s="8"/>
      <c r="O935" s="8"/>
      <c r="P935" s="8"/>
      <c r="Q935" s="8"/>
      <c r="R935" s="8"/>
      <c r="S935" s="8"/>
      <c r="T935" s="8"/>
      <c r="U935" s="8"/>
      <c r="V935" s="8"/>
      <c r="W935" s="8"/>
    </row>
    <row r="936" spans="1:23" ht="15.75" customHeight="1" x14ac:dyDescent="0.25">
      <c r="A936" s="6" t="s">
        <v>3345</v>
      </c>
      <c r="B936" s="8"/>
      <c r="C936" s="8"/>
      <c r="D936" s="8"/>
      <c r="E936" s="8"/>
      <c r="F936" s="8"/>
      <c r="G936" s="8"/>
      <c r="H936" s="8"/>
      <c r="I936" s="8"/>
      <c r="J936" s="8"/>
      <c r="K936" s="8"/>
      <c r="L936" s="8"/>
      <c r="M936" s="8"/>
      <c r="N936" s="8"/>
      <c r="O936" s="8"/>
      <c r="P936" s="8"/>
      <c r="Q936" s="8"/>
      <c r="R936" s="8"/>
      <c r="S936" s="8"/>
      <c r="T936" s="8"/>
      <c r="U936" s="8"/>
      <c r="V936" s="8"/>
      <c r="W936" s="8"/>
    </row>
    <row r="937" spans="1:23" ht="15.75" customHeight="1" x14ac:dyDescent="0.25">
      <c r="A937" s="8" t="s">
        <v>3345</v>
      </c>
      <c r="B937" s="8"/>
      <c r="C937" s="8"/>
      <c r="D937" s="8"/>
      <c r="E937" s="8"/>
      <c r="F937" s="8"/>
      <c r="G937" s="8"/>
      <c r="H937" s="8"/>
      <c r="I937" s="8"/>
      <c r="J937" s="8"/>
      <c r="K937" s="8"/>
      <c r="L937" s="8"/>
      <c r="M937" s="8"/>
      <c r="N937" s="8"/>
      <c r="O937" s="8"/>
      <c r="P937" s="8"/>
      <c r="Q937" s="8"/>
      <c r="R937" s="8"/>
      <c r="S937" s="8"/>
      <c r="T937" s="8"/>
      <c r="U937" s="8"/>
      <c r="V937" s="8"/>
      <c r="W937" s="8"/>
    </row>
    <row r="938" spans="1:23" ht="15.75" customHeight="1" x14ac:dyDescent="0.25">
      <c r="A938" s="6" t="s">
        <v>3345</v>
      </c>
      <c r="B938" s="8"/>
      <c r="C938" s="8"/>
      <c r="D938" s="8"/>
      <c r="E938" s="8"/>
      <c r="F938" s="8"/>
      <c r="G938" s="8"/>
      <c r="H938" s="8"/>
      <c r="I938" s="8"/>
      <c r="J938" s="8"/>
      <c r="K938" s="8"/>
      <c r="L938" s="8"/>
      <c r="M938" s="8"/>
      <c r="N938" s="8"/>
      <c r="O938" s="8"/>
      <c r="P938" s="8"/>
      <c r="Q938" s="8"/>
      <c r="R938" s="8"/>
      <c r="S938" s="8"/>
      <c r="T938" s="8"/>
      <c r="U938" s="8"/>
      <c r="V938" s="8"/>
      <c r="W938" s="8"/>
    </row>
    <row r="939" spans="1:23" ht="15.75" customHeight="1" x14ac:dyDescent="0.25">
      <c r="A939" s="6" t="s">
        <v>3345</v>
      </c>
      <c r="B939" s="8"/>
      <c r="C939" s="8"/>
      <c r="D939" s="8"/>
      <c r="E939" s="8"/>
      <c r="F939" s="8"/>
      <c r="G939" s="8"/>
      <c r="H939" s="8"/>
      <c r="I939" s="8"/>
      <c r="J939" s="8"/>
      <c r="K939" s="8"/>
      <c r="L939" s="8"/>
      <c r="M939" s="8"/>
      <c r="N939" s="8"/>
      <c r="O939" s="8"/>
      <c r="P939" s="8"/>
      <c r="Q939" s="8"/>
      <c r="R939" s="8"/>
      <c r="S939" s="8"/>
      <c r="T939" s="8"/>
      <c r="U939" s="8"/>
      <c r="V939" s="8"/>
      <c r="W939" s="8"/>
    </row>
    <row r="940" spans="1:23" ht="15.75" customHeight="1" x14ac:dyDescent="0.25">
      <c r="A940" s="6" t="s">
        <v>3345</v>
      </c>
      <c r="B940" s="8"/>
      <c r="C940" s="8"/>
      <c r="D940" s="8"/>
      <c r="E940" s="8"/>
      <c r="F940" s="8"/>
      <c r="G940" s="8"/>
      <c r="H940" s="8"/>
      <c r="I940" s="8"/>
      <c r="J940" s="8"/>
      <c r="K940" s="8"/>
      <c r="L940" s="8"/>
      <c r="M940" s="8"/>
      <c r="N940" s="8"/>
      <c r="O940" s="8"/>
      <c r="P940" s="8"/>
      <c r="Q940" s="8"/>
      <c r="R940" s="8"/>
      <c r="S940" s="8"/>
      <c r="T940" s="8"/>
      <c r="U940" s="8"/>
      <c r="V940" s="8"/>
      <c r="W940" s="8"/>
    </row>
    <row r="941" spans="1:23" ht="15.75" customHeight="1" x14ac:dyDescent="0.25">
      <c r="A941" s="6" t="s">
        <v>3345</v>
      </c>
      <c r="B941" s="8"/>
      <c r="C941" s="8"/>
      <c r="D941" s="8"/>
      <c r="E941" s="8"/>
      <c r="F941" s="8"/>
      <c r="G941" s="8"/>
      <c r="H941" s="8"/>
      <c r="I941" s="8"/>
      <c r="J941" s="8"/>
      <c r="K941" s="8"/>
      <c r="L941" s="8"/>
      <c r="M941" s="8"/>
      <c r="N941" s="8"/>
      <c r="O941" s="8"/>
      <c r="P941" s="8"/>
      <c r="Q941" s="8"/>
      <c r="R941" s="8"/>
      <c r="S941" s="8"/>
      <c r="T941" s="8"/>
      <c r="U941" s="8"/>
      <c r="V941" s="8"/>
      <c r="W941" s="8"/>
    </row>
    <row r="942" spans="1:23" ht="15.75" customHeight="1" x14ac:dyDescent="0.25">
      <c r="A942" s="6" t="s">
        <v>4191</v>
      </c>
      <c r="B942" s="8"/>
      <c r="C942" s="8"/>
      <c r="D942" s="8"/>
      <c r="E942" s="8"/>
      <c r="F942" s="8"/>
      <c r="G942" s="8"/>
      <c r="H942" s="8"/>
      <c r="I942" s="8"/>
      <c r="J942" s="8"/>
      <c r="K942" s="8"/>
      <c r="L942" s="8"/>
      <c r="M942" s="8"/>
      <c r="N942" s="8"/>
      <c r="O942" s="8"/>
      <c r="P942" s="8"/>
      <c r="Q942" s="8"/>
      <c r="R942" s="8"/>
      <c r="S942" s="8"/>
      <c r="T942" s="8"/>
      <c r="U942" s="8"/>
      <c r="V942" s="8"/>
      <c r="W942" s="8"/>
    </row>
    <row r="943" spans="1:23" ht="15.75" customHeight="1" x14ac:dyDescent="0.25">
      <c r="A943" s="6" t="s">
        <v>4083</v>
      </c>
      <c r="B943" s="8"/>
      <c r="C943" s="8"/>
      <c r="D943" s="8"/>
      <c r="E943" s="8"/>
      <c r="F943" s="8"/>
      <c r="G943" s="8"/>
      <c r="H943" s="8"/>
      <c r="I943" s="8"/>
      <c r="J943" s="8"/>
      <c r="K943" s="8"/>
      <c r="L943" s="8"/>
      <c r="M943" s="8"/>
      <c r="N943" s="8"/>
      <c r="O943" s="8"/>
      <c r="P943" s="8"/>
      <c r="Q943" s="8"/>
      <c r="R943" s="8"/>
      <c r="S943" s="8"/>
      <c r="T943" s="8"/>
      <c r="U943" s="8"/>
      <c r="V943" s="8"/>
      <c r="W943" s="8"/>
    </row>
    <row r="944" spans="1:23" ht="15.75" customHeight="1" x14ac:dyDescent="0.25">
      <c r="A944" s="6" t="s">
        <v>3409</v>
      </c>
      <c r="B944" s="8"/>
      <c r="C944" s="8"/>
      <c r="D944" s="8"/>
      <c r="E944" s="8"/>
      <c r="F944" s="8"/>
      <c r="G944" s="8"/>
      <c r="H944" s="8"/>
      <c r="I944" s="8"/>
      <c r="J944" s="8"/>
      <c r="K944" s="8"/>
      <c r="L944" s="8"/>
      <c r="M944" s="8"/>
      <c r="N944" s="8"/>
      <c r="O944" s="8"/>
      <c r="P944" s="8"/>
      <c r="Q944" s="8"/>
      <c r="R944" s="8"/>
      <c r="S944" s="8"/>
      <c r="T944" s="8"/>
      <c r="U944" s="8"/>
      <c r="V944" s="8"/>
      <c r="W944" s="8"/>
    </row>
    <row r="945" spans="1:23" ht="15.75" customHeight="1" x14ac:dyDescent="0.25">
      <c r="A945" s="6" t="s">
        <v>4192</v>
      </c>
      <c r="B945" s="8"/>
      <c r="C945" s="8"/>
      <c r="D945" s="8"/>
      <c r="E945" s="8"/>
      <c r="F945" s="8"/>
      <c r="G945" s="8"/>
      <c r="H945" s="8"/>
      <c r="I945" s="8"/>
      <c r="J945" s="8"/>
      <c r="K945" s="8"/>
      <c r="L945" s="8"/>
      <c r="M945" s="8"/>
      <c r="N945" s="8"/>
      <c r="O945" s="8"/>
      <c r="P945" s="8"/>
      <c r="Q945" s="8"/>
      <c r="R945" s="8"/>
      <c r="S945" s="8"/>
      <c r="T945" s="8"/>
      <c r="U945" s="8"/>
      <c r="V945" s="8"/>
      <c r="W945" s="8"/>
    </row>
    <row r="946" spans="1:23" ht="15.75" customHeight="1" x14ac:dyDescent="0.25">
      <c r="A946" s="6" t="s">
        <v>3463</v>
      </c>
      <c r="B946" s="8"/>
      <c r="C946" s="8"/>
      <c r="D946" s="8"/>
      <c r="E946" s="8"/>
      <c r="F946" s="8"/>
      <c r="G946" s="8"/>
      <c r="H946" s="8"/>
      <c r="I946" s="8"/>
      <c r="J946" s="8"/>
      <c r="K946" s="8"/>
      <c r="L946" s="8"/>
      <c r="M946" s="8"/>
      <c r="N946" s="8"/>
      <c r="O946" s="8"/>
      <c r="P946" s="8"/>
      <c r="Q946" s="8"/>
      <c r="R946" s="8"/>
      <c r="S946" s="8"/>
      <c r="T946" s="8"/>
      <c r="U946" s="8"/>
      <c r="V946" s="8"/>
      <c r="W946" s="8"/>
    </row>
    <row r="947" spans="1:23" ht="15.75" customHeight="1" x14ac:dyDescent="0.25">
      <c r="A947" s="6" t="s">
        <v>3463</v>
      </c>
      <c r="B947" s="8"/>
      <c r="C947" s="8"/>
      <c r="D947" s="8"/>
      <c r="E947" s="8"/>
      <c r="F947" s="8"/>
      <c r="G947" s="8"/>
      <c r="H947" s="8"/>
      <c r="I947" s="8"/>
      <c r="J947" s="8"/>
      <c r="K947" s="8"/>
      <c r="L947" s="8"/>
      <c r="M947" s="8"/>
      <c r="N947" s="8"/>
      <c r="O947" s="8"/>
      <c r="P947" s="8"/>
      <c r="Q947" s="8"/>
      <c r="R947" s="8"/>
      <c r="S947" s="8"/>
      <c r="T947" s="8"/>
      <c r="U947" s="8"/>
      <c r="V947" s="8"/>
      <c r="W947" s="8"/>
    </row>
    <row r="948" spans="1:23" ht="15.75" customHeight="1" x14ac:dyDescent="0.25">
      <c r="A948" s="6" t="s">
        <v>3463</v>
      </c>
      <c r="B948" s="8"/>
      <c r="C948" s="8"/>
      <c r="D948" s="8"/>
      <c r="E948" s="8"/>
      <c r="F948" s="8"/>
      <c r="G948" s="8"/>
      <c r="H948" s="8"/>
      <c r="I948" s="8"/>
      <c r="J948" s="8"/>
      <c r="K948" s="8"/>
      <c r="L948" s="8"/>
      <c r="M948" s="8"/>
      <c r="N948" s="8"/>
      <c r="O948" s="8"/>
      <c r="P948" s="8"/>
      <c r="Q948" s="8"/>
      <c r="R948" s="8"/>
      <c r="S948" s="8"/>
      <c r="T948" s="8"/>
      <c r="U948" s="8"/>
      <c r="V948" s="8"/>
      <c r="W948" s="8"/>
    </row>
    <row r="949" spans="1:23" ht="15.75" customHeight="1" x14ac:dyDescent="0.25">
      <c r="A949" s="6" t="s">
        <v>3463</v>
      </c>
      <c r="B949" s="8"/>
      <c r="C949" s="8"/>
      <c r="D949" s="8"/>
      <c r="E949" s="8"/>
      <c r="F949" s="8"/>
      <c r="G949" s="8"/>
      <c r="H949" s="8"/>
      <c r="I949" s="8"/>
      <c r="J949" s="8"/>
      <c r="K949" s="8"/>
      <c r="L949" s="8"/>
      <c r="M949" s="8"/>
      <c r="N949" s="8"/>
      <c r="O949" s="8"/>
      <c r="P949" s="8"/>
      <c r="Q949" s="8"/>
      <c r="R949" s="8"/>
      <c r="S949" s="8"/>
      <c r="T949" s="8"/>
      <c r="U949" s="8"/>
      <c r="V949" s="8"/>
      <c r="W949" s="8"/>
    </row>
    <row r="950" spans="1:23" ht="15.75" customHeight="1" x14ac:dyDescent="0.25">
      <c r="A950" s="6" t="s">
        <v>3463</v>
      </c>
      <c r="B950" s="8"/>
      <c r="C950" s="8"/>
      <c r="D950" s="8"/>
      <c r="E950" s="8"/>
      <c r="F950" s="8"/>
      <c r="G950" s="8"/>
      <c r="H950" s="8"/>
      <c r="I950" s="8"/>
      <c r="J950" s="8"/>
      <c r="K950" s="8"/>
      <c r="L950" s="8"/>
      <c r="M950" s="8"/>
      <c r="N950" s="8"/>
      <c r="O950" s="8"/>
      <c r="P950" s="8"/>
      <c r="Q950" s="8"/>
      <c r="R950" s="8"/>
      <c r="S950" s="8"/>
      <c r="T950" s="8"/>
      <c r="U950" s="8"/>
      <c r="V950" s="8"/>
      <c r="W950" s="8"/>
    </row>
    <row r="951" spans="1:23" ht="15.75" customHeight="1" x14ac:dyDescent="0.25">
      <c r="A951" s="6" t="s">
        <v>3463</v>
      </c>
      <c r="B951" s="8"/>
      <c r="C951" s="8"/>
      <c r="D951" s="8"/>
      <c r="E951" s="8"/>
      <c r="F951" s="8"/>
      <c r="G951" s="8"/>
      <c r="H951" s="8"/>
      <c r="I951" s="8"/>
      <c r="J951" s="8"/>
      <c r="K951" s="8"/>
      <c r="L951" s="8"/>
      <c r="M951" s="8"/>
      <c r="N951" s="8"/>
      <c r="O951" s="8"/>
      <c r="P951" s="8"/>
      <c r="Q951" s="8"/>
      <c r="R951" s="8"/>
      <c r="S951" s="8"/>
      <c r="T951" s="8"/>
      <c r="U951" s="8"/>
      <c r="V951" s="8"/>
      <c r="W951" s="8"/>
    </row>
    <row r="952" spans="1:23" ht="15.75" customHeight="1" x14ac:dyDescent="0.25">
      <c r="A952" s="6" t="s">
        <v>3463</v>
      </c>
      <c r="B952" s="8"/>
      <c r="C952" s="8"/>
      <c r="D952" s="8"/>
      <c r="E952" s="8"/>
      <c r="F952" s="8"/>
      <c r="G952" s="8"/>
      <c r="H952" s="8"/>
      <c r="I952" s="8"/>
      <c r="J952" s="8"/>
      <c r="K952" s="8"/>
      <c r="L952" s="8"/>
      <c r="M952" s="8"/>
      <c r="N952" s="8"/>
      <c r="O952" s="8"/>
      <c r="P952" s="8"/>
      <c r="Q952" s="8"/>
      <c r="R952" s="8"/>
      <c r="S952" s="8"/>
      <c r="T952" s="8"/>
      <c r="U952" s="8"/>
      <c r="V952" s="8"/>
      <c r="W952" s="8"/>
    </row>
    <row r="953" spans="1:23" ht="15.75" customHeight="1" x14ac:dyDescent="0.25">
      <c r="A953" s="6" t="s">
        <v>3376</v>
      </c>
      <c r="B953" s="8"/>
      <c r="C953" s="8"/>
      <c r="D953" s="8"/>
      <c r="E953" s="8"/>
      <c r="F953" s="8"/>
      <c r="G953" s="8"/>
      <c r="H953" s="8"/>
      <c r="I953" s="8"/>
      <c r="J953" s="8"/>
      <c r="K953" s="8"/>
      <c r="L953" s="8"/>
      <c r="M953" s="8"/>
      <c r="N953" s="8"/>
      <c r="O953" s="8"/>
      <c r="P953" s="8"/>
      <c r="Q953" s="8"/>
      <c r="R953" s="8"/>
      <c r="S953" s="8"/>
      <c r="T953" s="8"/>
      <c r="U953" s="8"/>
      <c r="V953" s="8"/>
      <c r="W953" s="8"/>
    </row>
    <row r="954" spans="1:23" ht="15.75" customHeight="1" x14ac:dyDescent="0.25">
      <c r="A954" s="6" t="s">
        <v>3376</v>
      </c>
      <c r="B954" s="8"/>
      <c r="C954" s="8"/>
      <c r="D954" s="8"/>
      <c r="E954" s="8"/>
      <c r="F954" s="8"/>
      <c r="G954" s="8"/>
      <c r="H954" s="8"/>
      <c r="I954" s="8"/>
      <c r="J954" s="8"/>
      <c r="K954" s="8"/>
      <c r="L954" s="8"/>
      <c r="M954" s="8"/>
      <c r="N954" s="8"/>
      <c r="O954" s="8"/>
      <c r="P954" s="8"/>
      <c r="Q954" s="8"/>
      <c r="R954" s="8"/>
      <c r="S954" s="8"/>
      <c r="T954" s="8"/>
      <c r="U954" s="8"/>
      <c r="V954" s="8"/>
      <c r="W954" s="8"/>
    </row>
    <row r="955" spans="1:23" ht="15.75" customHeight="1" x14ac:dyDescent="0.25">
      <c r="A955" s="6" t="s">
        <v>3376</v>
      </c>
      <c r="B955" s="8"/>
      <c r="C955" s="8"/>
      <c r="D955" s="8"/>
      <c r="E955" s="8"/>
      <c r="F955" s="8"/>
      <c r="G955" s="8"/>
      <c r="H955" s="8"/>
      <c r="I955" s="8"/>
      <c r="J955" s="8"/>
      <c r="K955" s="8"/>
      <c r="L955" s="8"/>
      <c r="M955" s="8"/>
      <c r="N955" s="8"/>
      <c r="O955" s="8"/>
      <c r="P955" s="8"/>
      <c r="Q955" s="8"/>
      <c r="R955" s="8"/>
      <c r="S955" s="8"/>
      <c r="T955" s="8"/>
      <c r="U955" s="8"/>
      <c r="V955" s="8"/>
      <c r="W955" s="8"/>
    </row>
    <row r="956" spans="1:23" ht="15.75" customHeight="1" x14ac:dyDescent="0.25">
      <c r="A956" s="6" t="s">
        <v>3376</v>
      </c>
      <c r="B956" s="8"/>
      <c r="C956" s="8"/>
      <c r="D956" s="8"/>
      <c r="E956" s="8"/>
      <c r="F956" s="8"/>
      <c r="G956" s="8"/>
      <c r="H956" s="8"/>
      <c r="I956" s="8"/>
      <c r="J956" s="8"/>
      <c r="K956" s="8"/>
      <c r="L956" s="8"/>
      <c r="M956" s="8"/>
      <c r="N956" s="8"/>
      <c r="O956" s="8"/>
      <c r="P956" s="8"/>
      <c r="Q956" s="8"/>
      <c r="R956" s="8"/>
      <c r="S956" s="8"/>
      <c r="T956" s="8"/>
      <c r="U956" s="8"/>
      <c r="V956" s="8"/>
      <c r="W956" s="8"/>
    </row>
    <row r="957" spans="1:23" ht="15.75" customHeight="1" x14ac:dyDescent="0.25">
      <c r="A957" s="6" t="s">
        <v>3376</v>
      </c>
      <c r="B957" s="8"/>
      <c r="C957" s="8"/>
      <c r="D957" s="8"/>
      <c r="E957" s="8"/>
      <c r="F957" s="8"/>
      <c r="G957" s="8"/>
      <c r="H957" s="8"/>
      <c r="I957" s="8"/>
      <c r="J957" s="8"/>
      <c r="K957" s="8"/>
      <c r="L957" s="8"/>
      <c r="M957" s="8"/>
      <c r="N957" s="8"/>
      <c r="O957" s="8"/>
      <c r="P957" s="8"/>
      <c r="Q957" s="8"/>
      <c r="R957" s="8"/>
      <c r="S957" s="8"/>
      <c r="T957" s="8"/>
      <c r="U957" s="8"/>
      <c r="V957" s="8"/>
      <c r="W957" s="8"/>
    </row>
    <row r="958" spans="1:23" ht="15.75" customHeight="1" x14ac:dyDescent="0.25">
      <c r="A958" s="6" t="s">
        <v>3376</v>
      </c>
      <c r="B958" s="8"/>
      <c r="C958" s="8"/>
      <c r="D958" s="8"/>
      <c r="E958" s="8"/>
      <c r="F958" s="8"/>
      <c r="G958" s="8"/>
      <c r="H958" s="8"/>
      <c r="I958" s="8"/>
      <c r="J958" s="8"/>
      <c r="K958" s="8"/>
      <c r="L958" s="8"/>
      <c r="M958" s="8"/>
      <c r="N958" s="8"/>
      <c r="O958" s="8"/>
      <c r="P958" s="8"/>
      <c r="Q958" s="8"/>
      <c r="R958" s="8"/>
      <c r="S958" s="8"/>
      <c r="T958" s="8"/>
      <c r="U958" s="8"/>
      <c r="V958" s="8"/>
      <c r="W958" s="8"/>
    </row>
    <row r="959" spans="1:23" ht="15.75" customHeight="1" x14ac:dyDescent="0.25">
      <c r="A959" s="6" t="s">
        <v>3376</v>
      </c>
      <c r="B959" s="8"/>
      <c r="C959" s="8"/>
      <c r="D959" s="8"/>
      <c r="E959" s="8"/>
      <c r="F959" s="8"/>
      <c r="G959" s="8"/>
      <c r="H959" s="8"/>
      <c r="I959" s="8"/>
      <c r="J959" s="8"/>
      <c r="K959" s="8"/>
      <c r="L959" s="8"/>
      <c r="M959" s="8"/>
      <c r="N959" s="8"/>
      <c r="O959" s="8"/>
      <c r="P959" s="8"/>
      <c r="Q959" s="8"/>
      <c r="R959" s="8"/>
      <c r="S959" s="8"/>
      <c r="T959" s="8"/>
      <c r="U959" s="8"/>
      <c r="V959" s="8"/>
      <c r="W959" s="8"/>
    </row>
    <row r="960" spans="1:23" ht="15.75" customHeight="1" x14ac:dyDescent="0.25">
      <c r="A960" s="6" t="s">
        <v>3376</v>
      </c>
      <c r="B960" s="8"/>
      <c r="C960" s="8"/>
      <c r="D960" s="8"/>
      <c r="E960" s="8"/>
      <c r="F960" s="8"/>
      <c r="G960" s="8"/>
      <c r="H960" s="8"/>
      <c r="I960" s="8"/>
      <c r="J960" s="8"/>
      <c r="K960" s="8"/>
      <c r="L960" s="8"/>
      <c r="M960" s="8"/>
      <c r="N960" s="8"/>
      <c r="O960" s="8"/>
      <c r="P960" s="8"/>
      <c r="Q960" s="8"/>
      <c r="R960" s="8"/>
      <c r="S960" s="8"/>
      <c r="T960" s="8"/>
      <c r="U960" s="8"/>
      <c r="V960" s="8"/>
      <c r="W960" s="8"/>
    </row>
    <row r="961" spans="1:23" ht="15.75" customHeight="1" x14ac:dyDescent="0.25">
      <c r="A961" s="6" t="s">
        <v>3376</v>
      </c>
      <c r="B961" s="8"/>
      <c r="C961" s="8"/>
      <c r="D961" s="8"/>
      <c r="E961" s="8"/>
      <c r="F961" s="8"/>
      <c r="G961" s="8"/>
      <c r="H961" s="8"/>
      <c r="I961" s="8"/>
      <c r="J961" s="8"/>
      <c r="K961" s="8"/>
      <c r="L961" s="8"/>
      <c r="M961" s="8"/>
      <c r="N961" s="8"/>
      <c r="O961" s="8"/>
      <c r="P961" s="8"/>
      <c r="Q961" s="8"/>
      <c r="R961" s="8"/>
      <c r="S961" s="8"/>
      <c r="T961" s="8"/>
      <c r="U961" s="8"/>
      <c r="V961" s="8"/>
      <c r="W961" s="8"/>
    </row>
    <row r="962" spans="1:23" ht="15.75" customHeight="1" x14ac:dyDescent="0.25">
      <c r="A962" s="6" t="s">
        <v>3376</v>
      </c>
      <c r="B962" s="8"/>
      <c r="C962" s="8"/>
      <c r="D962" s="8"/>
      <c r="E962" s="8"/>
      <c r="F962" s="8"/>
      <c r="G962" s="8"/>
      <c r="H962" s="8"/>
      <c r="I962" s="8"/>
      <c r="J962" s="8"/>
      <c r="K962" s="8"/>
      <c r="L962" s="8"/>
      <c r="M962" s="8"/>
      <c r="N962" s="8"/>
      <c r="O962" s="8"/>
      <c r="P962" s="8"/>
      <c r="Q962" s="8"/>
      <c r="R962" s="8"/>
      <c r="S962" s="8"/>
      <c r="T962" s="8"/>
      <c r="U962" s="8"/>
      <c r="V962" s="8"/>
      <c r="W962" s="8"/>
    </row>
    <row r="963" spans="1:23" ht="15.75" customHeight="1" x14ac:dyDescent="0.25">
      <c r="A963" s="6" t="s">
        <v>3291</v>
      </c>
      <c r="B963" s="8"/>
      <c r="C963" s="8"/>
      <c r="D963" s="8"/>
      <c r="E963" s="8"/>
      <c r="F963" s="8"/>
      <c r="G963" s="8"/>
      <c r="H963" s="8"/>
      <c r="I963" s="8"/>
      <c r="J963" s="8"/>
      <c r="K963" s="8"/>
      <c r="L963" s="8"/>
      <c r="M963" s="8"/>
      <c r="N963" s="8"/>
      <c r="O963" s="8"/>
      <c r="P963" s="8"/>
      <c r="Q963" s="8"/>
      <c r="R963" s="8"/>
      <c r="S963" s="8"/>
      <c r="T963" s="8"/>
      <c r="U963" s="8"/>
      <c r="V963" s="8"/>
      <c r="W963" s="8"/>
    </row>
    <row r="964" spans="1:23" ht="15.75" customHeight="1" x14ac:dyDescent="0.25">
      <c r="A964" s="6" t="s">
        <v>3291</v>
      </c>
      <c r="B964" s="8"/>
      <c r="C964" s="8"/>
      <c r="D964" s="8"/>
      <c r="E964" s="8"/>
      <c r="F964" s="8"/>
      <c r="G964" s="8"/>
      <c r="H964" s="8"/>
      <c r="I964" s="8"/>
      <c r="J964" s="8"/>
      <c r="K964" s="8"/>
      <c r="L964" s="8"/>
      <c r="M964" s="8"/>
      <c r="N964" s="8"/>
      <c r="O964" s="8"/>
      <c r="P964" s="8"/>
      <c r="Q964" s="8"/>
      <c r="R964" s="8"/>
      <c r="S964" s="8"/>
      <c r="T964" s="8"/>
      <c r="U964" s="8"/>
      <c r="V964" s="8"/>
      <c r="W964" s="8"/>
    </row>
    <row r="965" spans="1:23" ht="15.75" customHeight="1" x14ac:dyDescent="0.25">
      <c r="A965" s="6" t="s">
        <v>3291</v>
      </c>
      <c r="B965" s="8"/>
      <c r="C965" s="8"/>
      <c r="D965" s="8"/>
      <c r="E965" s="8"/>
      <c r="F965" s="8"/>
      <c r="G965" s="8"/>
      <c r="H965" s="8"/>
      <c r="I965" s="8"/>
      <c r="J965" s="8"/>
      <c r="K965" s="8"/>
      <c r="L965" s="8"/>
      <c r="M965" s="8"/>
      <c r="N965" s="8"/>
      <c r="O965" s="8"/>
      <c r="P965" s="8"/>
      <c r="Q965" s="8"/>
      <c r="R965" s="8"/>
      <c r="S965" s="8"/>
      <c r="T965" s="8"/>
      <c r="U965" s="8"/>
      <c r="V965" s="8"/>
      <c r="W965" s="8"/>
    </row>
    <row r="966" spans="1:23" ht="15.75" customHeight="1" x14ac:dyDescent="0.25">
      <c r="A966" s="6" t="s">
        <v>3291</v>
      </c>
      <c r="B966" s="8"/>
      <c r="C966" s="8"/>
      <c r="D966" s="8"/>
      <c r="E966" s="8"/>
      <c r="F966" s="8"/>
      <c r="G966" s="8"/>
      <c r="H966" s="8"/>
      <c r="I966" s="8"/>
      <c r="J966" s="8"/>
      <c r="K966" s="8"/>
      <c r="L966" s="8"/>
      <c r="M966" s="8"/>
      <c r="N966" s="8"/>
      <c r="O966" s="8"/>
      <c r="P966" s="8"/>
      <c r="Q966" s="8"/>
      <c r="R966" s="8"/>
      <c r="S966" s="8"/>
      <c r="T966" s="8"/>
      <c r="U966" s="8"/>
      <c r="V966" s="8"/>
      <c r="W966" s="8"/>
    </row>
    <row r="967" spans="1:23" ht="15.75" customHeight="1" x14ac:dyDescent="0.25">
      <c r="A967" s="6" t="s">
        <v>3291</v>
      </c>
      <c r="B967" s="8"/>
      <c r="C967" s="8"/>
      <c r="D967" s="8"/>
      <c r="E967" s="8"/>
      <c r="F967" s="8"/>
      <c r="G967" s="8"/>
      <c r="H967" s="8"/>
      <c r="I967" s="8"/>
      <c r="J967" s="8"/>
      <c r="K967" s="8"/>
      <c r="L967" s="8"/>
      <c r="M967" s="8"/>
      <c r="N967" s="8"/>
      <c r="O967" s="8"/>
      <c r="P967" s="8"/>
      <c r="Q967" s="8"/>
      <c r="R967" s="8"/>
      <c r="S967" s="8"/>
      <c r="T967" s="8"/>
      <c r="U967" s="8"/>
      <c r="V967" s="8"/>
      <c r="W967" s="8"/>
    </row>
    <row r="968" spans="1:23" ht="15.75" customHeight="1" x14ac:dyDescent="0.25">
      <c r="A968" s="6" t="s">
        <v>3291</v>
      </c>
      <c r="B968" s="8"/>
      <c r="C968" s="8"/>
      <c r="D968" s="8"/>
      <c r="E968" s="8"/>
      <c r="F968" s="8"/>
      <c r="G968" s="8"/>
      <c r="H968" s="8"/>
      <c r="I968" s="8"/>
      <c r="J968" s="8"/>
      <c r="K968" s="8"/>
      <c r="L968" s="8"/>
      <c r="M968" s="8"/>
      <c r="N968" s="8"/>
      <c r="O968" s="8"/>
      <c r="P968" s="8"/>
      <c r="Q968" s="8"/>
      <c r="R968" s="8"/>
      <c r="S968" s="8"/>
      <c r="T968" s="8"/>
      <c r="U968" s="8"/>
      <c r="V968" s="8"/>
      <c r="W968" s="8"/>
    </row>
    <row r="969" spans="1:23" ht="15.75" customHeight="1" x14ac:dyDescent="0.25">
      <c r="A969" s="6" t="s">
        <v>3291</v>
      </c>
      <c r="B969" s="8"/>
      <c r="C969" s="8"/>
      <c r="D969" s="8"/>
      <c r="E969" s="8"/>
      <c r="F969" s="8"/>
      <c r="G969" s="8"/>
      <c r="H969" s="8"/>
      <c r="I969" s="8"/>
      <c r="J969" s="8"/>
      <c r="K969" s="8"/>
      <c r="L969" s="8"/>
      <c r="M969" s="8"/>
      <c r="N969" s="8"/>
      <c r="O969" s="8"/>
      <c r="P969" s="8"/>
      <c r="Q969" s="8"/>
      <c r="R969" s="8"/>
      <c r="S969" s="8"/>
      <c r="T969" s="8"/>
      <c r="U969" s="8"/>
      <c r="V969" s="8"/>
      <c r="W969" s="8"/>
    </row>
    <row r="970" spans="1:23" ht="15.75" customHeight="1" x14ac:dyDescent="0.25">
      <c r="A970" s="6" t="s">
        <v>3291</v>
      </c>
      <c r="B970" s="8"/>
      <c r="C970" s="8"/>
      <c r="D970" s="8"/>
      <c r="E970" s="8"/>
      <c r="F970" s="8"/>
      <c r="G970" s="8"/>
      <c r="H970" s="8"/>
      <c r="I970" s="8"/>
      <c r="J970" s="8"/>
      <c r="K970" s="8"/>
      <c r="L970" s="8"/>
      <c r="M970" s="8"/>
      <c r="N970" s="8"/>
      <c r="O970" s="8"/>
      <c r="P970" s="8"/>
      <c r="Q970" s="8"/>
      <c r="R970" s="8"/>
      <c r="S970" s="8"/>
      <c r="T970" s="8"/>
      <c r="U970" s="8"/>
      <c r="V970" s="8"/>
      <c r="W970" s="8"/>
    </row>
    <row r="971" spans="1:23" ht="15.75" customHeight="1" x14ac:dyDescent="0.25">
      <c r="A971" s="6" t="s">
        <v>3291</v>
      </c>
      <c r="B971" s="8"/>
      <c r="C971" s="8"/>
      <c r="D971" s="8"/>
      <c r="E971" s="8"/>
      <c r="F971" s="8"/>
      <c r="G971" s="8"/>
      <c r="H971" s="8"/>
      <c r="I971" s="8"/>
      <c r="J971" s="8"/>
      <c r="K971" s="8"/>
      <c r="L971" s="8"/>
      <c r="M971" s="8"/>
      <c r="N971" s="8"/>
      <c r="O971" s="8"/>
      <c r="P971" s="8"/>
      <c r="Q971" s="8"/>
      <c r="R971" s="8"/>
      <c r="S971" s="8"/>
      <c r="T971" s="8"/>
      <c r="U971" s="8"/>
      <c r="V971" s="8"/>
      <c r="W971" s="8"/>
    </row>
    <row r="972" spans="1:23" ht="15.75" customHeight="1" x14ac:dyDescent="0.25">
      <c r="A972" s="6" t="s">
        <v>3291</v>
      </c>
      <c r="B972" s="8"/>
      <c r="C972" s="8"/>
      <c r="D972" s="8"/>
      <c r="E972" s="8"/>
      <c r="F972" s="8"/>
      <c r="G972" s="8"/>
      <c r="H972" s="8"/>
      <c r="I972" s="8"/>
      <c r="J972" s="8"/>
      <c r="K972" s="8"/>
      <c r="L972" s="8"/>
      <c r="M972" s="8"/>
      <c r="N972" s="8"/>
      <c r="O972" s="8"/>
      <c r="P972" s="8"/>
      <c r="Q972" s="8"/>
      <c r="R972" s="8"/>
      <c r="S972" s="8"/>
      <c r="T972" s="8"/>
      <c r="U972" s="8"/>
      <c r="V972" s="8"/>
      <c r="W972" s="8"/>
    </row>
    <row r="973" spans="1:23" ht="15.75" customHeight="1" x14ac:dyDescent="0.25">
      <c r="A973" s="6" t="s">
        <v>3291</v>
      </c>
      <c r="B973" s="8"/>
      <c r="C973" s="8"/>
      <c r="D973" s="8"/>
      <c r="E973" s="8"/>
      <c r="F973" s="8"/>
      <c r="G973" s="8"/>
      <c r="H973" s="8"/>
      <c r="I973" s="8"/>
      <c r="J973" s="8"/>
      <c r="K973" s="8"/>
      <c r="L973" s="8"/>
      <c r="M973" s="8"/>
      <c r="N973" s="8"/>
      <c r="O973" s="8"/>
      <c r="P973" s="8"/>
      <c r="Q973" s="8"/>
      <c r="R973" s="8"/>
      <c r="S973" s="8"/>
      <c r="T973" s="8"/>
      <c r="U973" s="8"/>
      <c r="V973" s="8"/>
      <c r="W973" s="8"/>
    </row>
    <row r="974" spans="1:23" ht="15.75" customHeight="1" x14ac:dyDescent="0.25">
      <c r="A974" s="6" t="s">
        <v>3291</v>
      </c>
      <c r="B974" s="8"/>
      <c r="C974" s="8"/>
      <c r="D974" s="8"/>
      <c r="E974" s="8"/>
      <c r="F974" s="8"/>
      <c r="G974" s="8"/>
      <c r="H974" s="8"/>
      <c r="I974" s="8"/>
      <c r="J974" s="8"/>
      <c r="K974" s="8"/>
      <c r="L974" s="8"/>
      <c r="M974" s="8"/>
      <c r="N974" s="8"/>
      <c r="O974" s="8"/>
      <c r="P974" s="8"/>
      <c r="Q974" s="8"/>
      <c r="R974" s="8"/>
      <c r="S974" s="8"/>
      <c r="T974" s="8"/>
      <c r="U974" s="8"/>
      <c r="V974" s="8"/>
      <c r="W974" s="8"/>
    </row>
    <row r="975" spans="1:23" ht="15.75" customHeight="1" x14ac:dyDescent="0.25">
      <c r="A975" s="6" t="s">
        <v>3291</v>
      </c>
      <c r="B975" s="8"/>
      <c r="C975" s="8"/>
      <c r="D975" s="8"/>
      <c r="E975" s="8"/>
      <c r="F975" s="8"/>
      <c r="G975" s="8"/>
      <c r="H975" s="8"/>
      <c r="I975" s="8"/>
      <c r="J975" s="8"/>
      <c r="K975" s="8"/>
      <c r="L975" s="8"/>
      <c r="M975" s="8"/>
      <c r="N975" s="8"/>
      <c r="O975" s="8"/>
      <c r="P975" s="8"/>
      <c r="Q975" s="8"/>
      <c r="R975" s="8"/>
      <c r="S975" s="8"/>
      <c r="T975" s="8"/>
      <c r="U975" s="8"/>
      <c r="V975" s="8"/>
      <c r="W975" s="8"/>
    </row>
    <row r="976" spans="1:23" ht="15.75" customHeight="1" x14ac:dyDescent="0.25">
      <c r="A976" s="6" t="s">
        <v>3291</v>
      </c>
      <c r="B976" s="8"/>
      <c r="C976" s="8"/>
      <c r="D976" s="8"/>
      <c r="E976" s="8"/>
      <c r="F976" s="8"/>
      <c r="G976" s="8"/>
      <c r="H976" s="8"/>
      <c r="I976" s="8"/>
      <c r="J976" s="8"/>
      <c r="K976" s="8"/>
      <c r="L976" s="8"/>
      <c r="M976" s="8"/>
      <c r="N976" s="8"/>
      <c r="O976" s="8"/>
      <c r="P976" s="8"/>
      <c r="Q976" s="8"/>
      <c r="R976" s="8"/>
      <c r="S976" s="8"/>
      <c r="T976" s="8"/>
      <c r="U976" s="8"/>
      <c r="V976" s="8"/>
      <c r="W976" s="8"/>
    </row>
    <row r="977" spans="1:23" ht="15.75" customHeight="1" x14ac:dyDescent="0.25">
      <c r="A977" s="6" t="s">
        <v>3291</v>
      </c>
      <c r="B977" s="8"/>
      <c r="C977" s="8"/>
      <c r="D977" s="8"/>
      <c r="E977" s="8"/>
      <c r="F977" s="8"/>
      <c r="G977" s="8"/>
      <c r="H977" s="8"/>
      <c r="I977" s="8"/>
      <c r="J977" s="8"/>
      <c r="K977" s="8"/>
      <c r="L977" s="8"/>
      <c r="M977" s="8"/>
      <c r="N977" s="8"/>
      <c r="O977" s="8"/>
      <c r="P977" s="8"/>
      <c r="Q977" s="8"/>
      <c r="R977" s="8"/>
      <c r="S977" s="8"/>
      <c r="T977" s="8"/>
      <c r="U977" s="8"/>
      <c r="V977" s="8"/>
      <c r="W977" s="8"/>
    </row>
    <row r="978" spans="1:23" ht="15.75" customHeight="1" x14ac:dyDescent="0.25">
      <c r="A978" s="6" t="s">
        <v>3291</v>
      </c>
      <c r="B978" s="8"/>
      <c r="C978" s="8"/>
      <c r="D978" s="8"/>
      <c r="E978" s="8"/>
      <c r="F978" s="8"/>
      <c r="G978" s="8"/>
      <c r="H978" s="8"/>
      <c r="I978" s="8"/>
      <c r="J978" s="8"/>
      <c r="K978" s="8"/>
      <c r="L978" s="8"/>
      <c r="M978" s="8"/>
      <c r="N978" s="8"/>
      <c r="O978" s="8"/>
      <c r="P978" s="8"/>
      <c r="Q978" s="8"/>
      <c r="R978" s="8"/>
      <c r="S978" s="8"/>
      <c r="T978" s="8"/>
      <c r="U978" s="8"/>
      <c r="V978" s="8"/>
      <c r="W978" s="8"/>
    </row>
    <row r="979" spans="1:23" ht="15.75" customHeight="1" x14ac:dyDescent="0.25">
      <c r="A979" s="6" t="s">
        <v>3291</v>
      </c>
      <c r="B979" s="8"/>
      <c r="C979" s="8"/>
      <c r="D979" s="8"/>
      <c r="E979" s="8"/>
      <c r="F979" s="8"/>
      <c r="G979" s="8"/>
      <c r="H979" s="8"/>
      <c r="I979" s="8"/>
      <c r="J979" s="8"/>
      <c r="K979" s="8"/>
      <c r="L979" s="8"/>
      <c r="M979" s="8"/>
      <c r="N979" s="8"/>
      <c r="O979" s="8"/>
      <c r="P979" s="8"/>
      <c r="Q979" s="8"/>
      <c r="R979" s="8"/>
      <c r="S979" s="8"/>
      <c r="T979" s="8"/>
      <c r="U979" s="8"/>
      <c r="V979" s="8"/>
      <c r="W979" s="8"/>
    </row>
    <row r="980" spans="1:23" ht="15.75" customHeight="1" x14ac:dyDescent="0.25">
      <c r="A980" s="6" t="s">
        <v>4193</v>
      </c>
      <c r="B980" s="8"/>
      <c r="C980" s="8"/>
      <c r="D980" s="8"/>
      <c r="E980" s="8"/>
      <c r="F980" s="8"/>
      <c r="G980" s="8"/>
      <c r="H980" s="8"/>
      <c r="I980" s="8"/>
      <c r="J980" s="8"/>
      <c r="K980" s="8"/>
      <c r="L980" s="8"/>
      <c r="M980" s="8"/>
      <c r="N980" s="8"/>
      <c r="O980" s="8"/>
      <c r="P980" s="8"/>
      <c r="Q980" s="8"/>
      <c r="R980" s="8"/>
      <c r="S980" s="8"/>
      <c r="T980" s="8"/>
      <c r="U980" s="8"/>
      <c r="V980" s="8"/>
      <c r="W980" s="8"/>
    </row>
    <row r="981" spans="1:23" ht="15.75" customHeight="1" x14ac:dyDescent="0.25">
      <c r="A981" s="6" t="s">
        <v>4194</v>
      </c>
      <c r="B981" s="8"/>
      <c r="C981" s="8"/>
      <c r="D981" s="8"/>
      <c r="E981" s="8"/>
      <c r="F981" s="8"/>
      <c r="G981" s="8"/>
      <c r="H981" s="8"/>
      <c r="I981" s="8"/>
      <c r="J981" s="8"/>
      <c r="K981" s="8"/>
      <c r="L981" s="8"/>
      <c r="M981" s="8"/>
      <c r="N981" s="8"/>
      <c r="O981" s="8"/>
      <c r="P981" s="8"/>
      <c r="Q981" s="8"/>
      <c r="R981" s="8"/>
      <c r="S981" s="8"/>
      <c r="T981" s="8"/>
      <c r="U981" s="8"/>
      <c r="V981" s="8"/>
      <c r="W981" s="8"/>
    </row>
    <row r="982" spans="1:23" ht="15.75" customHeight="1" x14ac:dyDescent="0.25">
      <c r="A982" s="6" t="s">
        <v>4195</v>
      </c>
      <c r="B982" s="8"/>
      <c r="C982" s="8"/>
      <c r="D982" s="8"/>
      <c r="E982" s="8"/>
      <c r="F982" s="8"/>
      <c r="G982" s="8"/>
      <c r="H982" s="8"/>
      <c r="I982" s="8"/>
      <c r="J982" s="8"/>
      <c r="K982" s="8"/>
      <c r="L982" s="8"/>
      <c r="M982" s="8"/>
      <c r="N982" s="8"/>
      <c r="O982" s="8"/>
      <c r="P982" s="8"/>
      <c r="Q982" s="8"/>
      <c r="R982" s="8"/>
      <c r="S982" s="8"/>
      <c r="T982" s="8"/>
      <c r="U982" s="8"/>
      <c r="V982" s="8"/>
      <c r="W982" s="8"/>
    </row>
    <row r="983" spans="1:23" ht="15.75" customHeight="1" x14ac:dyDescent="0.25">
      <c r="A983" s="6" t="s">
        <v>3870</v>
      </c>
      <c r="B983" s="8"/>
      <c r="C983" s="8"/>
      <c r="D983" s="8"/>
      <c r="E983" s="8"/>
      <c r="F983" s="8"/>
      <c r="G983" s="8"/>
      <c r="H983" s="8"/>
      <c r="I983" s="8"/>
      <c r="J983" s="8"/>
      <c r="K983" s="8"/>
      <c r="L983" s="8"/>
      <c r="M983" s="8"/>
      <c r="N983" s="8"/>
      <c r="O983" s="8"/>
      <c r="P983" s="8"/>
      <c r="Q983" s="8"/>
      <c r="R983" s="8"/>
      <c r="S983" s="8"/>
      <c r="T983" s="8"/>
      <c r="U983" s="8"/>
      <c r="V983" s="8"/>
      <c r="W983" s="8"/>
    </row>
    <row r="984" spans="1:23" ht="15.75" customHeight="1" x14ac:dyDescent="0.25">
      <c r="A984" s="6" t="s">
        <v>3870</v>
      </c>
      <c r="B984" s="8"/>
      <c r="C984" s="8"/>
      <c r="D984" s="8"/>
      <c r="E984" s="8"/>
      <c r="F984" s="8"/>
      <c r="G984" s="8"/>
      <c r="H984" s="8"/>
      <c r="I984" s="8"/>
      <c r="J984" s="8"/>
      <c r="K984" s="8"/>
      <c r="L984" s="8"/>
      <c r="M984" s="8"/>
      <c r="N984" s="8"/>
      <c r="O984" s="8"/>
      <c r="P984" s="8"/>
      <c r="Q984" s="8"/>
      <c r="R984" s="8"/>
      <c r="S984" s="8"/>
      <c r="T984" s="8"/>
      <c r="U984" s="8"/>
      <c r="V984" s="8"/>
      <c r="W984" s="8"/>
    </row>
    <row r="985" spans="1:23" ht="15.75" customHeight="1" x14ac:dyDescent="0.25">
      <c r="A985" s="6" t="s">
        <v>3054</v>
      </c>
      <c r="B985" s="8"/>
      <c r="C985" s="8"/>
      <c r="D985" s="8"/>
      <c r="E985" s="8"/>
      <c r="F985" s="8"/>
      <c r="G985" s="8"/>
      <c r="H985" s="8"/>
      <c r="I985" s="8"/>
      <c r="J985" s="8"/>
      <c r="K985" s="8"/>
      <c r="L985" s="8"/>
      <c r="M985" s="8"/>
      <c r="N985" s="8"/>
      <c r="O985" s="8"/>
      <c r="P985" s="8"/>
      <c r="Q985" s="8"/>
      <c r="R985" s="8"/>
      <c r="S985" s="8"/>
      <c r="T985" s="8"/>
      <c r="U985" s="8"/>
      <c r="V985" s="8"/>
      <c r="W985" s="8"/>
    </row>
    <row r="986" spans="1:23" ht="15.75" customHeight="1" x14ac:dyDescent="0.25">
      <c r="A986" s="6" t="s">
        <v>3054</v>
      </c>
      <c r="B986" s="8"/>
      <c r="C986" s="8"/>
      <c r="D986" s="8"/>
      <c r="E986" s="8"/>
      <c r="F986" s="8"/>
      <c r="G986" s="8"/>
      <c r="H986" s="8"/>
      <c r="I986" s="8"/>
      <c r="J986" s="8"/>
      <c r="K986" s="8"/>
      <c r="L986" s="8"/>
      <c r="M986" s="8"/>
      <c r="N986" s="8"/>
      <c r="O986" s="8"/>
      <c r="P986" s="8"/>
      <c r="Q986" s="8"/>
      <c r="R986" s="8"/>
      <c r="S986" s="8"/>
      <c r="T986" s="8"/>
      <c r="U986" s="8"/>
      <c r="V986" s="8"/>
      <c r="W986" s="8"/>
    </row>
    <row r="987" spans="1:23" ht="15.75" customHeight="1" x14ac:dyDescent="0.25">
      <c r="A987" s="6" t="s">
        <v>3054</v>
      </c>
      <c r="B987" s="8"/>
      <c r="C987" s="8"/>
      <c r="D987" s="8"/>
      <c r="E987" s="8"/>
      <c r="F987" s="8"/>
      <c r="G987" s="8"/>
      <c r="H987" s="8"/>
      <c r="I987" s="8"/>
      <c r="J987" s="8"/>
      <c r="K987" s="8"/>
      <c r="L987" s="8"/>
      <c r="M987" s="8"/>
      <c r="N987" s="8"/>
      <c r="O987" s="8"/>
      <c r="P987" s="8"/>
      <c r="Q987" s="8"/>
      <c r="R987" s="8"/>
      <c r="S987" s="8"/>
      <c r="T987" s="8"/>
      <c r="U987" s="8"/>
      <c r="V987" s="8"/>
      <c r="W987" s="8"/>
    </row>
    <row r="988" spans="1:23" ht="15.75" customHeight="1" x14ac:dyDescent="0.25">
      <c r="A988" s="6" t="s">
        <v>3054</v>
      </c>
      <c r="B988" s="8"/>
      <c r="C988" s="8"/>
      <c r="D988" s="8"/>
      <c r="E988" s="8"/>
      <c r="F988" s="8"/>
      <c r="G988" s="8"/>
      <c r="H988" s="8"/>
      <c r="I988" s="8"/>
      <c r="J988" s="8"/>
      <c r="K988" s="8"/>
      <c r="L988" s="8"/>
      <c r="M988" s="8"/>
      <c r="N988" s="8"/>
      <c r="O988" s="8"/>
      <c r="P988" s="8"/>
      <c r="Q988" s="8"/>
      <c r="R988" s="8"/>
      <c r="S988" s="8"/>
      <c r="T988" s="8"/>
      <c r="U988" s="8"/>
      <c r="V988" s="8"/>
      <c r="W988" s="8"/>
    </row>
    <row r="989" spans="1:23" ht="15.75" customHeight="1" x14ac:dyDescent="0.25">
      <c r="A989" s="6" t="s">
        <v>3054</v>
      </c>
      <c r="B989" s="8"/>
      <c r="C989" s="8"/>
      <c r="D989" s="8"/>
      <c r="E989" s="8"/>
      <c r="F989" s="8"/>
      <c r="G989" s="8"/>
      <c r="H989" s="8"/>
      <c r="I989" s="8"/>
      <c r="J989" s="8"/>
      <c r="K989" s="8"/>
      <c r="L989" s="8"/>
      <c r="M989" s="8"/>
      <c r="N989" s="8"/>
      <c r="O989" s="8"/>
      <c r="P989" s="8"/>
      <c r="Q989" s="8"/>
      <c r="R989" s="8"/>
      <c r="S989" s="8"/>
      <c r="T989" s="8"/>
      <c r="U989" s="8"/>
      <c r="V989" s="8"/>
      <c r="W989" s="8"/>
    </row>
    <row r="990" spans="1:23" ht="15.75" customHeight="1" x14ac:dyDescent="0.25">
      <c r="A990" s="6" t="s">
        <v>3054</v>
      </c>
      <c r="B990" s="8"/>
      <c r="C990" s="8"/>
      <c r="D990" s="8"/>
      <c r="E990" s="8"/>
      <c r="F990" s="8"/>
      <c r="G990" s="8"/>
      <c r="H990" s="8"/>
      <c r="I990" s="8"/>
      <c r="J990" s="8"/>
      <c r="K990" s="8"/>
      <c r="L990" s="8"/>
      <c r="M990" s="8"/>
      <c r="N990" s="8"/>
      <c r="O990" s="8"/>
      <c r="P990" s="8"/>
      <c r="Q990" s="8"/>
      <c r="R990" s="8"/>
      <c r="S990" s="8"/>
      <c r="T990" s="8"/>
      <c r="U990" s="8"/>
      <c r="V990" s="8"/>
      <c r="W990" s="8"/>
    </row>
    <row r="991" spans="1:23" ht="15.75" customHeight="1" x14ac:dyDescent="0.25">
      <c r="A991" s="6" t="s">
        <v>3054</v>
      </c>
      <c r="B991" s="8"/>
      <c r="C991" s="8"/>
      <c r="D991" s="8"/>
      <c r="E991" s="8"/>
      <c r="F991" s="8"/>
      <c r="G991" s="8"/>
      <c r="H991" s="8"/>
      <c r="I991" s="8"/>
      <c r="J991" s="8"/>
      <c r="K991" s="8"/>
      <c r="L991" s="8"/>
      <c r="M991" s="8"/>
      <c r="N991" s="8"/>
      <c r="O991" s="8"/>
      <c r="P991" s="8"/>
      <c r="Q991" s="8"/>
      <c r="R991" s="8"/>
      <c r="S991" s="8"/>
      <c r="T991" s="8"/>
      <c r="U991" s="8"/>
      <c r="V991" s="8"/>
      <c r="W991" s="8"/>
    </row>
    <row r="992" spans="1:23" ht="15.75" customHeight="1" x14ac:dyDescent="0.25">
      <c r="A992" s="6" t="s">
        <v>3054</v>
      </c>
      <c r="B992" s="8"/>
      <c r="C992" s="8"/>
      <c r="D992" s="8"/>
      <c r="E992" s="8"/>
      <c r="F992" s="8"/>
      <c r="G992" s="8"/>
      <c r="H992" s="8"/>
      <c r="I992" s="8"/>
      <c r="J992" s="8"/>
      <c r="K992" s="8"/>
      <c r="L992" s="8"/>
      <c r="M992" s="8"/>
      <c r="N992" s="8"/>
      <c r="O992" s="8"/>
      <c r="P992" s="8"/>
      <c r="Q992" s="8"/>
      <c r="R992" s="8"/>
      <c r="S992" s="8"/>
      <c r="T992" s="8"/>
      <c r="U992" s="8"/>
      <c r="V992" s="8"/>
      <c r="W992" s="8"/>
    </row>
    <row r="993" spans="1:23" ht="15.75" customHeight="1" x14ac:dyDescent="0.25">
      <c r="A993" s="6" t="s">
        <v>3054</v>
      </c>
      <c r="B993" s="8"/>
      <c r="C993" s="8"/>
      <c r="D993" s="8"/>
      <c r="E993" s="8"/>
      <c r="F993" s="8"/>
      <c r="G993" s="8"/>
      <c r="H993" s="8"/>
      <c r="I993" s="8"/>
      <c r="J993" s="8"/>
      <c r="K993" s="8"/>
      <c r="L993" s="8"/>
      <c r="M993" s="8"/>
      <c r="N993" s="8"/>
      <c r="O993" s="8"/>
      <c r="P993" s="8"/>
      <c r="Q993" s="8"/>
      <c r="R993" s="8"/>
      <c r="S993" s="8"/>
      <c r="T993" s="8"/>
      <c r="U993" s="8"/>
      <c r="V993" s="8"/>
      <c r="W993" s="8"/>
    </row>
    <row r="994" spans="1:23" ht="15.75" customHeight="1" x14ac:dyDescent="0.25">
      <c r="A994" s="6" t="s">
        <v>3054</v>
      </c>
      <c r="B994" s="8"/>
      <c r="C994" s="8"/>
      <c r="D994" s="8"/>
      <c r="E994" s="8"/>
      <c r="F994" s="8"/>
      <c r="G994" s="8"/>
      <c r="H994" s="8"/>
      <c r="I994" s="8"/>
      <c r="J994" s="8"/>
      <c r="K994" s="8"/>
      <c r="L994" s="8"/>
      <c r="M994" s="8"/>
      <c r="N994" s="8"/>
      <c r="O994" s="8"/>
      <c r="P994" s="8"/>
      <c r="Q994" s="8"/>
      <c r="R994" s="8"/>
      <c r="S994" s="8"/>
      <c r="T994" s="8"/>
      <c r="U994" s="8"/>
      <c r="V994" s="8"/>
      <c r="W994" s="8"/>
    </row>
    <row r="995" spans="1:23" ht="15.75" customHeight="1" x14ac:dyDescent="0.25">
      <c r="A995" s="6" t="s">
        <v>3054</v>
      </c>
      <c r="B995" s="8"/>
      <c r="C995" s="8"/>
      <c r="D995" s="8"/>
      <c r="E995" s="8"/>
      <c r="F995" s="8"/>
      <c r="G995" s="8"/>
      <c r="H995" s="8"/>
      <c r="I995" s="8"/>
      <c r="J995" s="8"/>
      <c r="K995" s="8"/>
      <c r="L995" s="8"/>
      <c r="M995" s="8"/>
      <c r="N995" s="8"/>
      <c r="O995" s="8"/>
      <c r="P995" s="8"/>
      <c r="Q995" s="8"/>
      <c r="R995" s="8"/>
      <c r="S995" s="8"/>
      <c r="T995" s="8"/>
      <c r="U995" s="8"/>
      <c r="V995" s="8"/>
      <c r="W995" s="8"/>
    </row>
    <row r="996" spans="1:23" ht="15.75" customHeight="1" x14ac:dyDescent="0.25">
      <c r="A996" s="6" t="s">
        <v>3054</v>
      </c>
      <c r="B996" s="8"/>
      <c r="C996" s="8"/>
      <c r="D996" s="8"/>
      <c r="E996" s="8"/>
      <c r="F996" s="8"/>
      <c r="G996" s="8"/>
      <c r="H996" s="8"/>
      <c r="I996" s="8"/>
      <c r="J996" s="8"/>
      <c r="K996" s="8"/>
      <c r="L996" s="8"/>
      <c r="M996" s="8"/>
      <c r="N996" s="8"/>
      <c r="O996" s="8"/>
      <c r="P996" s="8"/>
      <c r="Q996" s="8"/>
      <c r="R996" s="8"/>
      <c r="S996" s="8"/>
      <c r="T996" s="8"/>
      <c r="U996" s="8"/>
      <c r="V996" s="8"/>
      <c r="W996" s="8"/>
    </row>
    <row r="997" spans="1:23" ht="15.75" customHeight="1" x14ac:dyDescent="0.25">
      <c r="A997" s="6" t="s">
        <v>3054</v>
      </c>
      <c r="B997" s="8"/>
      <c r="C997" s="8"/>
      <c r="D997" s="8"/>
      <c r="E997" s="8"/>
      <c r="F997" s="8"/>
      <c r="G997" s="8"/>
      <c r="H997" s="8"/>
      <c r="I997" s="8"/>
      <c r="J997" s="8"/>
      <c r="K997" s="8"/>
      <c r="L997" s="8"/>
      <c r="M997" s="8"/>
      <c r="N997" s="8"/>
      <c r="O997" s="8"/>
      <c r="P997" s="8"/>
      <c r="Q997" s="8"/>
      <c r="R997" s="8"/>
      <c r="S997" s="8"/>
      <c r="T997" s="8"/>
      <c r="U997" s="8"/>
      <c r="V997" s="8"/>
      <c r="W997" s="8"/>
    </row>
    <row r="998" spans="1:23" ht="15.75" customHeight="1" x14ac:dyDescent="0.25">
      <c r="A998" s="6" t="s">
        <v>3054</v>
      </c>
      <c r="B998" s="8"/>
      <c r="C998" s="8"/>
      <c r="D998" s="8"/>
      <c r="E998" s="8"/>
      <c r="F998" s="8"/>
      <c r="G998" s="8"/>
      <c r="H998" s="8"/>
      <c r="I998" s="8"/>
      <c r="J998" s="8"/>
      <c r="K998" s="8"/>
      <c r="L998" s="8"/>
      <c r="M998" s="8"/>
      <c r="N998" s="8"/>
      <c r="O998" s="8"/>
      <c r="P998" s="8"/>
      <c r="Q998" s="8"/>
      <c r="R998" s="8"/>
      <c r="S998" s="8"/>
      <c r="T998" s="8"/>
      <c r="U998" s="8"/>
      <c r="V998" s="8"/>
      <c r="W998" s="8"/>
    </row>
    <row r="999" spans="1:23" ht="15.75" customHeight="1" x14ac:dyDescent="0.25">
      <c r="A999" s="6" t="s">
        <v>3054</v>
      </c>
      <c r="B999" s="8"/>
      <c r="C999" s="8"/>
      <c r="D999" s="8"/>
      <c r="E999" s="8"/>
      <c r="F999" s="8"/>
      <c r="G999" s="8"/>
      <c r="H999" s="8"/>
      <c r="I999" s="8"/>
      <c r="J999" s="8"/>
      <c r="K999" s="8"/>
      <c r="L999" s="8"/>
      <c r="M999" s="8"/>
      <c r="N999" s="8"/>
      <c r="O999" s="8"/>
      <c r="P999" s="8"/>
      <c r="Q999" s="8"/>
      <c r="R999" s="8"/>
      <c r="S999" s="8"/>
      <c r="T999" s="8"/>
      <c r="U999" s="8"/>
      <c r="V999" s="8"/>
      <c r="W999" s="8"/>
    </row>
    <row r="1000" spans="1:23" ht="15.75" customHeight="1" x14ac:dyDescent="0.25">
      <c r="A1000" s="6" t="s">
        <v>3054</v>
      </c>
      <c r="B1000" s="8"/>
      <c r="C1000" s="8"/>
      <c r="D1000" s="8"/>
      <c r="E1000" s="8"/>
      <c r="F1000" s="8"/>
      <c r="G1000" s="8"/>
      <c r="H1000" s="8"/>
      <c r="I1000" s="8"/>
      <c r="J1000" s="8"/>
      <c r="K1000" s="8"/>
      <c r="L1000" s="8"/>
      <c r="M1000" s="8"/>
      <c r="N1000" s="8"/>
      <c r="O1000" s="8"/>
      <c r="P1000" s="8"/>
      <c r="Q1000" s="8"/>
      <c r="R1000" s="8"/>
      <c r="S1000" s="8"/>
      <c r="T1000" s="8"/>
      <c r="U1000" s="8"/>
      <c r="V1000" s="8"/>
      <c r="W1000" s="8"/>
    </row>
    <row r="1001" spans="1:23" ht="15.75" customHeight="1" x14ac:dyDescent="0.25">
      <c r="A1001" s="6" t="s">
        <v>3054</v>
      </c>
      <c r="B1001" s="8"/>
      <c r="C1001" s="8"/>
      <c r="D1001" s="8"/>
      <c r="E1001" s="8"/>
      <c r="F1001" s="8"/>
      <c r="G1001" s="8"/>
      <c r="H1001" s="8"/>
      <c r="I1001" s="8"/>
      <c r="J1001" s="8"/>
      <c r="K1001" s="8"/>
      <c r="L1001" s="8"/>
      <c r="M1001" s="8"/>
      <c r="N1001" s="8"/>
      <c r="O1001" s="8"/>
      <c r="P1001" s="8"/>
      <c r="Q1001" s="8"/>
      <c r="R1001" s="8"/>
      <c r="S1001" s="8"/>
      <c r="T1001" s="8"/>
      <c r="U1001" s="8"/>
      <c r="V1001" s="8"/>
      <c r="W1001" s="8"/>
    </row>
    <row r="1002" spans="1:23" ht="15.75" customHeight="1" x14ac:dyDescent="0.25">
      <c r="A1002" s="6" t="s">
        <v>3713</v>
      </c>
      <c r="B1002" s="8"/>
      <c r="C1002" s="8"/>
      <c r="D1002" s="8"/>
      <c r="E1002" s="8"/>
      <c r="F1002" s="8"/>
      <c r="G1002" s="8"/>
      <c r="H1002" s="8"/>
      <c r="I1002" s="8"/>
      <c r="J1002" s="8"/>
      <c r="K1002" s="8"/>
      <c r="L1002" s="8"/>
      <c r="M1002" s="8"/>
      <c r="N1002" s="8"/>
      <c r="O1002" s="8"/>
      <c r="P1002" s="8"/>
      <c r="Q1002" s="8"/>
      <c r="R1002" s="8"/>
      <c r="S1002" s="8"/>
      <c r="T1002" s="8"/>
      <c r="U1002" s="8"/>
      <c r="V1002" s="8"/>
      <c r="W1002" s="8"/>
    </row>
    <row r="1003" spans="1:23" ht="15.75" customHeight="1" x14ac:dyDescent="0.25">
      <c r="A1003" s="6" t="s">
        <v>3713</v>
      </c>
      <c r="B1003" s="8"/>
      <c r="C1003" s="8"/>
      <c r="D1003" s="8"/>
      <c r="E1003" s="8"/>
      <c r="F1003" s="8"/>
      <c r="G1003" s="8"/>
      <c r="H1003" s="8"/>
      <c r="I1003" s="8"/>
      <c r="J1003" s="8"/>
      <c r="K1003" s="8"/>
      <c r="L1003" s="8"/>
      <c r="M1003" s="8"/>
      <c r="N1003" s="8"/>
      <c r="O1003" s="8"/>
      <c r="P1003" s="8"/>
      <c r="Q1003" s="8"/>
      <c r="R1003" s="8"/>
      <c r="S1003" s="8"/>
      <c r="T1003" s="8"/>
      <c r="U1003" s="8"/>
      <c r="V1003" s="8"/>
      <c r="W1003" s="8"/>
    </row>
    <row r="1004" spans="1:23" ht="15.75" customHeight="1" x14ac:dyDescent="0.25">
      <c r="A1004" s="6" t="s">
        <v>3713</v>
      </c>
      <c r="B1004" s="8"/>
      <c r="C1004" s="8"/>
      <c r="D1004" s="8"/>
      <c r="E1004" s="8"/>
      <c r="F1004" s="8"/>
      <c r="G1004" s="8"/>
      <c r="H1004" s="8"/>
      <c r="I1004" s="8"/>
      <c r="J1004" s="8"/>
      <c r="K1004" s="8"/>
      <c r="L1004" s="8"/>
      <c r="M1004" s="8"/>
      <c r="N1004" s="8"/>
      <c r="O1004" s="8"/>
      <c r="P1004" s="8"/>
      <c r="Q1004" s="8"/>
      <c r="R1004" s="8"/>
      <c r="S1004" s="8"/>
      <c r="T1004" s="8"/>
      <c r="U1004" s="8"/>
      <c r="V1004" s="8"/>
      <c r="W1004" s="8"/>
    </row>
    <row r="1005" spans="1:23" ht="15.75" customHeight="1" x14ac:dyDescent="0.25">
      <c r="A1005" s="6" t="s">
        <v>3875</v>
      </c>
      <c r="B1005" s="8"/>
      <c r="C1005" s="8"/>
      <c r="D1005" s="8"/>
      <c r="E1005" s="8"/>
      <c r="F1005" s="8"/>
      <c r="G1005" s="8"/>
      <c r="H1005" s="8"/>
      <c r="I1005" s="8"/>
      <c r="J1005" s="8"/>
      <c r="K1005" s="8"/>
      <c r="L1005" s="8"/>
      <c r="M1005" s="8"/>
      <c r="N1005" s="8"/>
      <c r="O1005" s="8"/>
      <c r="P1005" s="8"/>
      <c r="Q1005" s="8"/>
      <c r="R1005" s="8"/>
      <c r="S1005" s="8"/>
      <c r="T1005" s="8"/>
      <c r="U1005" s="8"/>
      <c r="V1005" s="8"/>
      <c r="W1005" s="8"/>
    </row>
    <row r="1006" spans="1:23" ht="15.75" customHeight="1" x14ac:dyDescent="0.25">
      <c r="A1006" s="6" t="s">
        <v>3875</v>
      </c>
      <c r="B1006" s="8"/>
      <c r="C1006" s="8"/>
      <c r="D1006" s="8"/>
      <c r="E1006" s="8"/>
      <c r="F1006" s="8"/>
      <c r="G1006" s="8"/>
      <c r="H1006" s="8"/>
      <c r="I1006" s="8"/>
      <c r="J1006" s="8"/>
      <c r="K1006" s="8"/>
      <c r="L1006" s="8"/>
      <c r="M1006" s="8"/>
      <c r="N1006" s="8"/>
      <c r="O1006" s="8"/>
      <c r="P1006" s="8"/>
      <c r="Q1006" s="8"/>
      <c r="R1006" s="8"/>
      <c r="S1006" s="8"/>
      <c r="T1006" s="8"/>
      <c r="U1006" s="8"/>
      <c r="V1006" s="8"/>
      <c r="W1006" s="8"/>
    </row>
    <row r="1007" spans="1:23" ht="15.75" customHeight="1" x14ac:dyDescent="0.25">
      <c r="A1007" s="6" t="s">
        <v>507</v>
      </c>
      <c r="B1007" s="8"/>
      <c r="C1007" s="8"/>
      <c r="D1007" s="8"/>
      <c r="E1007" s="8"/>
      <c r="F1007" s="8"/>
      <c r="G1007" s="8"/>
      <c r="H1007" s="8"/>
      <c r="I1007" s="8"/>
      <c r="J1007" s="8"/>
      <c r="K1007" s="8"/>
      <c r="L1007" s="8"/>
      <c r="M1007" s="8"/>
      <c r="N1007" s="8"/>
      <c r="O1007" s="8"/>
      <c r="P1007" s="8"/>
      <c r="Q1007" s="8"/>
      <c r="R1007" s="8"/>
      <c r="S1007" s="8"/>
      <c r="T1007" s="8"/>
      <c r="U1007" s="8"/>
      <c r="V1007" s="8"/>
      <c r="W1007" s="8"/>
    </row>
    <row r="1008" spans="1:23" ht="15.75" customHeight="1" x14ac:dyDescent="0.25">
      <c r="A1008" s="6" t="s">
        <v>507</v>
      </c>
      <c r="B1008" s="8"/>
      <c r="C1008" s="8"/>
      <c r="D1008" s="8"/>
      <c r="E1008" s="8"/>
      <c r="F1008" s="8"/>
      <c r="G1008" s="8"/>
      <c r="H1008" s="8"/>
      <c r="I1008" s="8"/>
      <c r="J1008" s="8"/>
      <c r="K1008" s="8"/>
      <c r="L1008" s="8"/>
      <c r="M1008" s="8"/>
      <c r="N1008" s="8"/>
      <c r="O1008" s="8"/>
      <c r="P1008" s="8"/>
      <c r="Q1008" s="8"/>
      <c r="R1008" s="8"/>
      <c r="S1008" s="8"/>
      <c r="T1008" s="8"/>
      <c r="U1008" s="8"/>
      <c r="V1008" s="8"/>
      <c r="W1008" s="8"/>
    </row>
    <row r="1009" spans="1:23" ht="15.75" customHeight="1" x14ac:dyDescent="0.25">
      <c r="A1009" s="6" t="s">
        <v>507</v>
      </c>
      <c r="B1009" s="8"/>
      <c r="C1009" s="8"/>
      <c r="D1009" s="8"/>
      <c r="E1009" s="8"/>
      <c r="F1009" s="8"/>
      <c r="G1009" s="8"/>
      <c r="H1009" s="8"/>
      <c r="I1009" s="8"/>
      <c r="J1009" s="8"/>
      <c r="K1009" s="8"/>
      <c r="L1009" s="8"/>
      <c r="M1009" s="8"/>
      <c r="N1009" s="8"/>
      <c r="O1009" s="8"/>
      <c r="P1009" s="8"/>
      <c r="Q1009" s="8"/>
      <c r="R1009" s="8"/>
      <c r="S1009" s="8"/>
      <c r="T1009" s="8"/>
      <c r="U1009" s="8"/>
      <c r="V1009" s="8"/>
      <c r="W1009" s="8"/>
    </row>
    <row r="1010" spans="1:23" ht="15.75" customHeight="1" x14ac:dyDescent="0.25">
      <c r="A1010" s="6" t="s">
        <v>507</v>
      </c>
      <c r="B1010" s="8"/>
      <c r="C1010" s="8"/>
      <c r="D1010" s="8"/>
      <c r="E1010" s="8"/>
      <c r="F1010" s="8"/>
      <c r="G1010" s="8"/>
      <c r="H1010" s="8"/>
      <c r="I1010" s="8"/>
      <c r="J1010" s="8"/>
      <c r="K1010" s="8"/>
      <c r="L1010" s="8"/>
      <c r="M1010" s="8"/>
      <c r="N1010" s="8"/>
      <c r="O1010" s="8"/>
      <c r="P1010" s="8"/>
      <c r="Q1010" s="8"/>
      <c r="R1010" s="8"/>
      <c r="S1010" s="8"/>
      <c r="T1010" s="8"/>
      <c r="U1010" s="8"/>
      <c r="V1010" s="8"/>
      <c r="W1010" s="8"/>
    </row>
    <row r="1011" spans="1:23" ht="15.75" customHeight="1" x14ac:dyDescent="0.25">
      <c r="A1011" s="6" t="s">
        <v>507</v>
      </c>
      <c r="B1011" s="8"/>
      <c r="C1011" s="8"/>
      <c r="D1011" s="8"/>
      <c r="E1011" s="8"/>
      <c r="F1011" s="8"/>
      <c r="G1011" s="8"/>
      <c r="H1011" s="8"/>
      <c r="I1011" s="8"/>
      <c r="J1011" s="8"/>
      <c r="K1011" s="8"/>
      <c r="L1011" s="8"/>
      <c r="M1011" s="8"/>
      <c r="N1011" s="8"/>
      <c r="O1011" s="8"/>
      <c r="P1011" s="8"/>
      <c r="Q1011" s="8"/>
      <c r="R1011" s="8"/>
      <c r="S1011" s="8"/>
      <c r="T1011" s="8"/>
      <c r="U1011" s="8"/>
      <c r="V1011" s="8"/>
      <c r="W1011" s="8"/>
    </row>
    <row r="1012" spans="1:23" ht="15.75" customHeight="1" x14ac:dyDescent="0.25">
      <c r="A1012" s="6" t="s">
        <v>507</v>
      </c>
      <c r="B1012" s="8"/>
      <c r="C1012" s="8"/>
      <c r="D1012" s="8"/>
      <c r="E1012" s="8"/>
      <c r="F1012" s="8"/>
      <c r="G1012" s="8"/>
      <c r="H1012" s="8"/>
      <c r="I1012" s="8"/>
      <c r="J1012" s="8"/>
      <c r="K1012" s="8"/>
      <c r="L1012" s="8"/>
      <c r="M1012" s="8"/>
      <c r="N1012" s="8"/>
      <c r="O1012" s="8"/>
      <c r="P1012" s="8"/>
      <c r="Q1012" s="8"/>
      <c r="R1012" s="8"/>
      <c r="S1012" s="8"/>
      <c r="T1012" s="8"/>
      <c r="U1012" s="8"/>
      <c r="V1012" s="8"/>
      <c r="W1012" s="8"/>
    </row>
    <row r="1013" spans="1:23" ht="15.75" customHeight="1" x14ac:dyDescent="0.25">
      <c r="A1013" s="6" t="s">
        <v>507</v>
      </c>
      <c r="B1013" s="8"/>
      <c r="C1013" s="8"/>
      <c r="D1013" s="8"/>
      <c r="E1013" s="8"/>
      <c r="F1013" s="8"/>
      <c r="G1013" s="8"/>
      <c r="H1013" s="8"/>
      <c r="I1013" s="8"/>
      <c r="J1013" s="8"/>
      <c r="K1013" s="8"/>
      <c r="L1013" s="8"/>
      <c r="M1013" s="8"/>
      <c r="N1013" s="8"/>
      <c r="O1013" s="8"/>
      <c r="P1013" s="8"/>
      <c r="Q1013" s="8"/>
      <c r="R1013" s="8"/>
      <c r="S1013" s="8"/>
      <c r="T1013" s="8"/>
      <c r="U1013" s="8"/>
      <c r="V1013" s="8"/>
      <c r="W1013" s="8"/>
    </row>
    <row r="1014" spans="1:23" ht="15.75" customHeight="1" x14ac:dyDescent="0.25">
      <c r="A1014" s="6" t="s">
        <v>507</v>
      </c>
      <c r="B1014" s="8"/>
      <c r="C1014" s="8"/>
      <c r="D1014" s="8"/>
      <c r="E1014" s="8"/>
      <c r="F1014" s="8"/>
      <c r="G1014" s="8"/>
      <c r="H1014" s="8"/>
      <c r="I1014" s="8"/>
      <c r="J1014" s="8"/>
      <c r="K1014" s="8"/>
      <c r="L1014" s="8"/>
      <c r="M1014" s="8"/>
      <c r="N1014" s="8"/>
      <c r="O1014" s="8"/>
      <c r="P1014" s="8"/>
      <c r="Q1014" s="8"/>
      <c r="R1014" s="8"/>
      <c r="S1014" s="8"/>
      <c r="T1014" s="8"/>
      <c r="U1014" s="8"/>
      <c r="V1014" s="8"/>
      <c r="W1014" s="8"/>
    </row>
    <row r="1015" spans="1:23" ht="15.75" customHeight="1" x14ac:dyDescent="0.25">
      <c r="A1015" s="6" t="s">
        <v>507</v>
      </c>
      <c r="B1015" s="8"/>
      <c r="C1015" s="8"/>
      <c r="D1015" s="8"/>
      <c r="E1015" s="8"/>
      <c r="F1015" s="8"/>
      <c r="G1015" s="8"/>
      <c r="H1015" s="8"/>
      <c r="I1015" s="8"/>
      <c r="J1015" s="8"/>
      <c r="K1015" s="8"/>
      <c r="L1015" s="8"/>
      <c r="M1015" s="8"/>
      <c r="N1015" s="8"/>
      <c r="O1015" s="8"/>
      <c r="P1015" s="8"/>
      <c r="Q1015" s="8"/>
      <c r="R1015" s="8"/>
      <c r="S1015" s="8"/>
      <c r="T1015" s="8"/>
      <c r="U1015" s="8"/>
      <c r="V1015" s="8"/>
      <c r="W1015" s="8"/>
    </row>
    <row r="1016" spans="1:23" ht="15.75" customHeight="1" x14ac:dyDescent="0.25">
      <c r="A1016" s="6" t="s">
        <v>507</v>
      </c>
      <c r="B1016" s="8"/>
      <c r="C1016" s="8"/>
      <c r="D1016" s="8"/>
      <c r="E1016" s="8"/>
      <c r="F1016" s="8"/>
      <c r="G1016" s="8"/>
      <c r="H1016" s="8"/>
      <c r="I1016" s="8"/>
      <c r="J1016" s="8"/>
      <c r="K1016" s="8"/>
      <c r="L1016" s="8"/>
      <c r="M1016" s="8"/>
      <c r="N1016" s="8"/>
      <c r="O1016" s="8"/>
      <c r="P1016" s="8"/>
      <c r="Q1016" s="8"/>
      <c r="R1016" s="8"/>
      <c r="S1016" s="8"/>
      <c r="T1016" s="8"/>
      <c r="U1016" s="8"/>
      <c r="V1016" s="8"/>
      <c r="W1016" s="8"/>
    </row>
    <row r="1017" spans="1:23" ht="15.75" customHeight="1" x14ac:dyDescent="0.25">
      <c r="A1017" s="6" t="s">
        <v>507</v>
      </c>
      <c r="B1017" s="8"/>
      <c r="C1017" s="8"/>
      <c r="D1017" s="8"/>
      <c r="E1017" s="8"/>
      <c r="F1017" s="8"/>
      <c r="G1017" s="8"/>
      <c r="H1017" s="8"/>
      <c r="I1017" s="8"/>
      <c r="J1017" s="8"/>
      <c r="K1017" s="8"/>
      <c r="L1017" s="8"/>
      <c r="M1017" s="8"/>
      <c r="N1017" s="8"/>
      <c r="O1017" s="8"/>
      <c r="P1017" s="8"/>
      <c r="Q1017" s="8"/>
      <c r="R1017" s="8"/>
      <c r="S1017" s="8"/>
      <c r="T1017" s="8"/>
      <c r="U1017" s="8"/>
      <c r="V1017" s="8"/>
      <c r="W1017" s="8"/>
    </row>
    <row r="1018" spans="1:23" ht="15.75" customHeight="1" x14ac:dyDescent="0.25">
      <c r="A1018" s="6" t="s">
        <v>507</v>
      </c>
      <c r="B1018" s="8"/>
      <c r="C1018" s="8"/>
      <c r="D1018" s="8"/>
      <c r="E1018" s="8"/>
      <c r="F1018" s="8"/>
      <c r="G1018" s="8"/>
      <c r="H1018" s="8"/>
      <c r="I1018" s="8"/>
      <c r="J1018" s="8"/>
      <c r="K1018" s="8"/>
      <c r="L1018" s="8"/>
      <c r="M1018" s="8"/>
      <c r="N1018" s="8"/>
      <c r="O1018" s="8"/>
      <c r="P1018" s="8"/>
      <c r="Q1018" s="8"/>
      <c r="R1018" s="8"/>
      <c r="S1018" s="8"/>
      <c r="T1018" s="8"/>
      <c r="U1018" s="8"/>
      <c r="V1018" s="8"/>
      <c r="W1018" s="8"/>
    </row>
    <row r="1019" spans="1:23" ht="15.75" customHeight="1" x14ac:dyDescent="0.25">
      <c r="A1019" s="6" t="s">
        <v>507</v>
      </c>
      <c r="B1019" s="8"/>
      <c r="C1019" s="8"/>
      <c r="D1019" s="8"/>
      <c r="E1019" s="8"/>
      <c r="F1019" s="8"/>
      <c r="G1019" s="8"/>
      <c r="H1019" s="8"/>
      <c r="I1019" s="8"/>
      <c r="J1019" s="8"/>
      <c r="K1019" s="8"/>
      <c r="L1019" s="8"/>
      <c r="M1019" s="8"/>
      <c r="N1019" s="8"/>
      <c r="O1019" s="8"/>
      <c r="P1019" s="8"/>
      <c r="Q1019" s="8"/>
      <c r="R1019" s="8"/>
      <c r="S1019" s="8"/>
      <c r="T1019" s="8"/>
      <c r="U1019" s="8"/>
      <c r="V1019" s="8"/>
      <c r="W1019" s="8"/>
    </row>
    <row r="1020" spans="1:23" ht="15.75" customHeight="1" x14ac:dyDescent="0.25">
      <c r="A1020" s="6" t="s">
        <v>507</v>
      </c>
      <c r="B1020" s="8"/>
      <c r="C1020" s="8"/>
      <c r="D1020" s="8"/>
      <c r="E1020" s="8"/>
      <c r="F1020" s="8"/>
      <c r="G1020" s="8"/>
      <c r="H1020" s="8"/>
      <c r="I1020" s="8"/>
      <c r="J1020" s="8"/>
      <c r="K1020" s="8"/>
      <c r="L1020" s="8"/>
      <c r="M1020" s="8"/>
      <c r="N1020" s="8"/>
      <c r="O1020" s="8"/>
      <c r="P1020" s="8"/>
      <c r="Q1020" s="8"/>
      <c r="R1020" s="8"/>
      <c r="S1020" s="8"/>
      <c r="T1020" s="8"/>
      <c r="U1020" s="8"/>
      <c r="V1020" s="8"/>
      <c r="W1020" s="8"/>
    </row>
    <row r="1021" spans="1:23" ht="15.75" customHeight="1" x14ac:dyDescent="0.25">
      <c r="A1021" s="6" t="s">
        <v>507</v>
      </c>
      <c r="B1021" s="8"/>
      <c r="C1021" s="8"/>
      <c r="D1021" s="8"/>
      <c r="E1021" s="8"/>
      <c r="F1021" s="8"/>
      <c r="G1021" s="8"/>
      <c r="H1021" s="8"/>
      <c r="I1021" s="8"/>
      <c r="J1021" s="8"/>
      <c r="K1021" s="8"/>
      <c r="L1021" s="8"/>
      <c r="M1021" s="8"/>
      <c r="N1021" s="8"/>
      <c r="O1021" s="8"/>
      <c r="P1021" s="8"/>
      <c r="Q1021" s="8"/>
      <c r="R1021" s="8"/>
      <c r="S1021" s="8"/>
      <c r="T1021" s="8"/>
      <c r="U1021" s="8"/>
      <c r="V1021" s="8"/>
      <c r="W1021" s="8"/>
    </row>
    <row r="1022" spans="1:23" ht="15.75" customHeight="1" x14ac:dyDescent="0.25">
      <c r="A1022" s="6" t="s">
        <v>507</v>
      </c>
      <c r="B1022" s="8"/>
      <c r="C1022" s="8"/>
      <c r="D1022" s="8"/>
      <c r="E1022" s="8"/>
      <c r="F1022" s="8"/>
      <c r="G1022" s="8"/>
      <c r="H1022" s="8"/>
      <c r="I1022" s="8"/>
      <c r="J1022" s="8"/>
      <c r="K1022" s="8"/>
      <c r="L1022" s="8"/>
      <c r="M1022" s="8"/>
      <c r="N1022" s="8"/>
      <c r="O1022" s="8"/>
      <c r="P1022" s="8"/>
      <c r="Q1022" s="8"/>
      <c r="R1022" s="8"/>
      <c r="S1022" s="8"/>
      <c r="T1022" s="8"/>
      <c r="U1022" s="8"/>
      <c r="V1022" s="8"/>
      <c r="W1022" s="8"/>
    </row>
    <row r="1023" spans="1:23" ht="15.75" customHeight="1" x14ac:dyDescent="0.25">
      <c r="A1023" s="6" t="s">
        <v>507</v>
      </c>
      <c r="B1023" s="8"/>
      <c r="C1023" s="8"/>
      <c r="D1023" s="8"/>
      <c r="E1023" s="8"/>
      <c r="F1023" s="8"/>
      <c r="G1023" s="8"/>
      <c r="H1023" s="8"/>
      <c r="I1023" s="8"/>
      <c r="J1023" s="8"/>
      <c r="K1023" s="8"/>
      <c r="L1023" s="8"/>
      <c r="M1023" s="8"/>
      <c r="N1023" s="8"/>
      <c r="O1023" s="8"/>
      <c r="P1023" s="8"/>
      <c r="Q1023" s="8"/>
      <c r="R1023" s="8"/>
      <c r="S1023" s="8"/>
      <c r="T1023" s="8"/>
      <c r="U1023" s="8"/>
      <c r="V1023" s="8"/>
      <c r="W1023" s="8"/>
    </row>
    <row r="1024" spans="1:23" ht="15.75" customHeight="1" x14ac:dyDescent="0.25">
      <c r="A1024" s="6" t="s">
        <v>507</v>
      </c>
      <c r="B1024" s="8"/>
      <c r="C1024" s="8"/>
      <c r="D1024" s="8"/>
      <c r="E1024" s="8"/>
      <c r="F1024" s="8"/>
      <c r="G1024" s="8"/>
      <c r="H1024" s="8"/>
      <c r="I1024" s="8"/>
      <c r="J1024" s="8"/>
      <c r="K1024" s="8"/>
      <c r="L1024" s="8"/>
      <c r="M1024" s="8"/>
      <c r="N1024" s="8"/>
      <c r="O1024" s="8"/>
      <c r="P1024" s="8"/>
      <c r="Q1024" s="8"/>
      <c r="R1024" s="8"/>
      <c r="S1024" s="8"/>
      <c r="T1024" s="8"/>
      <c r="U1024" s="8"/>
      <c r="V1024" s="8"/>
      <c r="W1024" s="8"/>
    </row>
    <row r="1025" spans="1:23" ht="15.75" customHeight="1" x14ac:dyDescent="0.25">
      <c r="A1025" s="6" t="s">
        <v>507</v>
      </c>
      <c r="B1025" s="8"/>
      <c r="C1025" s="8"/>
      <c r="D1025" s="8"/>
      <c r="E1025" s="8"/>
      <c r="F1025" s="8"/>
      <c r="G1025" s="8"/>
      <c r="H1025" s="8"/>
      <c r="I1025" s="8"/>
      <c r="J1025" s="8"/>
      <c r="K1025" s="8"/>
      <c r="L1025" s="8"/>
      <c r="M1025" s="8"/>
      <c r="N1025" s="8"/>
      <c r="O1025" s="8"/>
      <c r="P1025" s="8"/>
      <c r="Q1025" s="8"/>
      <c r="R1025" s="8"/>
      <c r="S1025" s="8"/>
      <c r="T1025" s="8"/>
      <c r="U1025" s="8"/>
      <c r="V1025" s="8"/>
      <c r="W1025" s="8"/>
    </row>
    <row r="1026" spans="1:23" ht="15.75" customHeight="1" x14ac:dyDescent="0.25">
      <c r="A1026" s="6" t="s">
        <v>507</v>
      </c>
      <c r="B1026" s="8"/>
      <c r="C1026" s="8"/>
      <c r="D1026" s="8"/>
      <c r="E1026" s="8"/>
      <c r="F1026" s="8"/>
      <c r="G1026" s="8"/>
      <c r="H1026" s="8"/>
      <c r="I1026" s="8"/>
      <c r="J1026" s="8"/>
      <c r="K1026" s="8"/>
      <c r="L1026" s="8"/>
      <c r="M1026" s="8"/>
      <c r="N1026" s="8"/>
      <c r="O1026" s="8"/>
      <c r="P1026" s="8"/>
      <c r="Q1026" s="8"/>
      <c r="R1026" s="8"/>
      <c r="S1026" s="8"/>
      <c r="T1026" s="8"/>
      <c r="U1026" s="8"/>
      <c r="V1026" s="8"/>
      <c r="W1026" s="8"/>
    </row>
    <row r="1027" spans="1:23" ht="15.75" customHeight="1" x14ac:dyDescent="0.25">
      <c r="A1027" s="6" t="s">
        <v>507</v>
      </c>
      <c r="B1027" s="8"/>
      <c r="C1027" s="8"/>
      <c r="D1027" s="8"/>
      <c r="E1027" s="8"/>
      <c r="F1027" s="8"/>
      <c r="G1027" s="8"/>
      <c r="H1027" s="8"/>
      <c r="I1027" s="8"/>
      <c r="J1027" s="8"/>
      <c r="K1027" s="8"/>
      <c r="L1027" s="8"/>
      <c r="M1027" s="8"/>
      <c r="N1027" s="8"/>
      <c r="O1027" s="8"/>
      <c r="P1027" s="8"/>
      <c r="Q1027" s="8"/>
      <c r="R1027" s="8"/>
      <c r="S1027" s="8"/>
      <c r="T1027" s="8"/>
      <c r="U1027" s="8"/>
      <c r="V1027" s="8"/>
      <c r="W1027" s="8"/>
    </row>
    <row r="1028" spans="1:23" ht="15.75" customHeight="1" x14ac:dyDescent="0.25">
      <c r="A1028" s="6" t="s">
        <v>507</v>
      </c>
      <c r="B1028" s="8"/>
      <c r="C1028" s="8"/>
      <c r="D1028" s="8"/>
      <c r="E1028" s="8"/>
      <c r="F1028" s="8"/>
      <c r="G1028" s="8"/>
      <c r="H1028" s="8"/>
      <c r="I1028" s="8"/>
      <c r="J1028" s="8"/>
      <c r="K1028" s="8"/>
      <c r="L1028" s="8"/>
      <c r="M1028" s="8"/>
      <c r="N1028" s="8"/>
      <c r="O1028" s="8"/>
      <c r="P1028" s="8"/>
      <c r="Q1028" s="8"/>
      <c r="R1028" s="8"/>
      <c r="S1028" s="8"/>
      <c r="T1028" s="8"/>
      <c r="U1028" s="8"/>
      <c r="V1028" s="8"/>
      <c r="W1028" s="8"/>
    </row>
    <row r="1029" spans="1:23" ht="15.75" customHeight="1" x14ac:dyDescent="0.25">
      <c r="A1029" s="6" t="s">
        <v>507</v>
      </c>
      <c r="B1029" s="8"/>
      <c r="C1029" s="8"/>
      <c r="D1029" s="8"/>
      <c r="E1029" s="8"/>
      <c r="F1029" s="8"/>
      <c r="G1029" s="8"/>
      <c r="H1029" s="8"/>
      <c r="I1029" s="8"/>
      <c r="J1029" s="8"/>
      <c r="K1029" s="8"/>
      <c r="L1029" s="8"/>
      <c r="M1029" s="8"/>
      <c r="N1029" s="8"/>
      <c r="O1029" s="8"/>
      <c r="P1029" s="8"/>
      <c r="Q1029" s="8"/>
      <c r="R1029" s="8"/>
      <c r="S1029" s="8"/>
      <c r="T1029" s="8"/>
      <c r="U1029" s="8"/>
      <c r="V1029" s="8"/>
      <c r="W1029" s="8"/>
    </row>
    <row r="1030" spans="1:23" ht="15.75" customHeight="1" x14ac:dyDescent="0.25">
      <c r="A1030" s="6" t="s">
        <v>507</v>
      </c>
      <c r="B1030" s="8"/>
      <c r="C1030" s="8"/>
      <c r="D1030" s="8"/>
      <c r="E1030" s="8"/>
      <c r="F1030" s="8"/>
      <c r="G1030" s="8"/>
      <c r="H1030" s="8"/>
      <c r="I1030" s="8"/>
      <c r="J1030" s="8"/>
      <c r="K1030" s="8"/>
      <c r="L1030" s="8"/>
      <c r="M1030" s="8"/>
      <c r="N1030" s="8"/>
      <c r="O1030" s="8"/>
      <c r="P1030" s="8"/>
      <c r="Q1030" s="8"/>
      <c r="R1030" s="8"/>
      <c r="S1030" s="8"/>
      <c r="T1030" s="8"/>
      <c r="U1030" s="8"/>
      <c r="V1030" s="8"/>
      <c r="W1030" s="8"/>
    </row>
    <row r="1031" spans="1:23" ht="15.75" customHeight="1" x14ac:dyDescent="0.25">
      <c r="A1031" s="6" t="s">
        <v>507</v>
      </c>
      <c r="B1031" s="8"/>
      <c r="C1031" s="8"/>
      <c r="D1031" s="8"/>
      <c r="E1031" s="8"/>
      <c r="F1031" s="8"/>
      <c r="G1031" s="8"/>
      <c r="H1031" s="8"/>
      <c r="I1031" s="8"/>
      <c r="J1031" s="8"/>
      <c r="K1031" s="8"/>
      <c r="L1031" s="8"/>
      <c r="M1031" s="8"/>
      <c r="N1031" s="8"/>
      <c r="O1031" s="8"/>
      <c r="P1031" s="8"/>
      <c r="Q1031" s="8"/>
      <c r="R1031" s="8"/>
      <c r="S1031" s="8"/>
      <c r="T1031" s="8"/>
      <c r="U1031" s="8"/>
      <c r="V1031" s="8"/>
      <c r="W1031" s="8"/>
    </row>
    <row r="1032" spans="1:23" ht="15.75" customHeight="1" x14ac:dyDescent="0.25">
      <c r="A1032" s="6" t="s">
        <v>507</v>
      </c>
      <c r="B1032" s="8"/>
      <c r="C1032" s="8"/>
      <c r="D1032" s="8"/>
      <c r="E1032" s="8"/>
      <c r="F1032" s="8"/>
      <c r="G1032" s="8"/>
      <c r="H1032" s="8"/>
      <c r="I1032" s="8"/>
      <c r="J1032" s="8"/>
      <c r="K1032" s="8"/>
      <c r="L1032" s="8"/>
      <c r="M1032" s="8"/>
      <c r="N1032" s="8"/>
      <c r="O1032" s="8"/>
      <c r="P1032" s="8"/>
      <c r="Q1032" s="8"/>
      <c r="R1032" s="8"/>
      <c r="S1032" s="8"/>
      <c r="T1032" s="8"/>
      <c r="U1032" s="8"/>
      <c r="V1032" s="8"/>
      <c r="W1032" s="8"/>
    </row>
    <row r="1033" spans="1:23" ht="15.75" customHeight="1" x14ac:dyDescent="0.25">
      <c r="A1033" s="6" t="s">
        <v>507</v>
      </c>
      <c r="B1033" s="8"/>
      <c r="C1033" s="8"/>
      <c r="D1033" s="8"/>
      <c r="E1033" s="8"/>
      <c r="F1033" s="8"/>
      <c r="G1033" s="8"/>
      <c r="H1033" s="8"/>
      <c r="I1033" s="8"/>
      <c r="J1033" s="8"/>
      <c r="K1033" s="8"/>
      <c r="L1033" s="8"/>
      <c r="M1033" s="8"/>
      <c r="N1033" s="8"/>
      <c r="O1033" s="8"/>
      <c r="P1033" s="8"/>
      <c r="Q1033" s="8"/>
      <c r="R1033" s="8"/>
      <c r="S1033" s="8"/>
      <c r="T1033" s="8"/>
      <c r="U1033" s="8"/>
      <c r="V1033" s="8"/>
      <c r="W1033" s="8"/>
    </row>
    <row r="1034" spans="1:23" ht="15.75" customHeight="1" x14ac:dyDescent="0.25">
      <c r="A1034" s="6" t="s">
        <v>507</v>
      </c>
      <c r="B1034" s="8"/>
      <c r="C1034" s="8"/>
      <c r="D1034" s="8"/>
      <c r="E1034" s="8"/>
      <c r="F1034" s="8"/>
      <c r="G1034" s="8"/>
      <c r="H1034" s="8"/>
      <c r="I1034" s="8"/>
      <c r="J1034" s="8"/>
      <c r="K1034" s="8"/>
      <c r="L1034" s="8"/>
      <c r="M1034" s="8"/>
      <c r="N1034" s="8"/>
      <c r="O1034" s="8"/>
      <c r="P1034" s="8"/>
      <c r="Q1034" s="8"/>
      <c r="R1034" s="8"/>
      <c r="S1034" s="8"/>
      <c r="T1034" s="8"/>
      <c r="U1034" s="8"/>
      <c r="V1034" s="8"/>
      <c r="W1034" s="8"/>
    </row>
    <row r="1035" spans="1:23" ht="15.75" customHeight="1" x14ac:dyDescent="0.25">
      <c r="A1035" s="6" t="s">
        <v>507</v>
      </c>
      <c r="B1035" s="8"/>
      <c r="C1035" s="8"/>
      <c r="D1035" s="8"/>
      <c r="E1035" s="8"/>
      <c r="F1035" s="8"/>
      <c r="G1035" s="8"/>
      <c r="H1035" s="8"/>
      <c r="I1035" s="8"/>
      <c r="J1035" s="8"/>
      <c r="K1035" s="8"/>
      <c r="L1035" s="8"/>
      <c r="M1035" s="8"/>
      <c r="N1035" s="8"/>
      <c r="O1035" s="8"/>
      <c r="P1035" s="8"/>
      <c r="Q1035" s="8"/>
      <c r="R1035" s="8"/>
      <c r="S1035" s="8"/>
      <c r="T1035" s="8"/>
      <c r="U1035" s="8"/>
      <c r="V1035" s="8"/>
      <c r="W1035" s="8"/>
    </row>
    <row r="1036" spans="1:23" ht="15.75" customHeight="1" x14ac:dyDescent="0.25">
      <c r="A1036" s="6" t="s">
        <v>507</v>
      </c>
      <c r="B1036" s="8"/>
      <c r="C1036" s="8"/>
      <c r="D1036" s="8"/>
      <c r="E1036" s="8"/>
      <c r="F1036" s="8"/>
      <c r="G1036" s="8"/>
      <c r="H1036" s="8"/>
      <c r="I1036" s="8"/>
      <c r="J1036" s="8"/>
      <c r="K1036" s="8"/>
      <c r="L1036" s="8"/>
      <c r="M1036" s="8"/>
      <c r="N1036" s="8"/>
      <c r="O1036" s="8"/>
      <c r="P1036" s="8"/>
      <c r="Q1036" s="8"/>
      <c r="R1036" s="8"/>
      <c r="S1036" s="8"/>
      <c r="T1036" s="8"/>
      <c r="U1036" s="8"/>
      <c r="V1036" s="8"/>
      <c r="W1036" s="8"/>
    </row>
    <row r="1037" spans="1:23" ht="15.75" customHeight="1" x14ac:dyDescent="0.25">
      <c r="A1037" s="6" t="s">
        <v>507</v>
      </c>
      <c r="B1037" s="8"/>
      <c r="C1037" s="8"/>
      <c r="D1037" s="8"/>
      <c r="E1037" s="8"/>
      <c r="F1037" s="8"/>
      <c r="G1037" s="8"/>
      <c r="H1037" s="8"/>
      <c r="I1037" s="8"/>
      <c r="J1037" s="8"/>
      <c r="K1037" s="8"/>
      <c r="L1037" s="8"/>
      <c r="M1037" s="8"/>
      <c r="N1037" s="8"/>
      <c r="O1037" s="8"/>
      <c r="P1037" s="8"/>
      <c r="Q1037" s="8"/>
      <c r="R1037" s="8"/>
      <c r="S1037" s="8"/>
      <c r="T1037" s="8"/>
      <c r="U1037" s="8"/>
      <c r="V1037" s="8"/>
      <c r="W1037" s="8"/>
    </row>
    <row r="1038" spans="1:23" ht="15.75" customHeight="1" x14ac:dyDescent="0.25">
      <c r="A1038" s="6" t="s">
        <v>507</v>
      </c>
      <c r="B1038" s="8"/>
      <c r="C1038" s="8"/>
      <c r="D1038" s="8"/>
      <c r="E1038" s="8"/>
      <c r="F1038" s="8"/>
      <c r="G1038" s="8"/>
      <c r="H1038" s="8"/>
      <c r="I1038" s="8"/>
      <c r="J1038" s="8"/>
      <c r="K1038" s="8"/>
      <c r="L1038" s="8"/>
      <c r="M1038" s="8"/>
      <c r="N1038" s="8"/>
      <c r="O1038" s="8"/>
      <c r="P1038" s="8"/>
      <c r="Q1038" s="8"/>
      <c r="R1038" s="8"/>
      <c r="S1038" s="8"/>
      <c r="T1038" s="8"/>
      <c r="U1038" s="8"/>
      <c r="V1038" s="8"/>
      <c r="W1038" s="8"/>
    </row>
    <row r="1039" spans="1:23" ht="15.75" customHeight="1" x14ac:dyDescent="0.25">
      <c r="A1039" s="6" t="s">
        <v>507</v>
      </c>
      <c r="B1039" s="8"/>
      <c r="C1039" s="8"/>
      <c r="D1039" s="8"/>
      <c r="E1039" s="8"/>
      <c r="F1039" s="8"/>
      <c r="G1039" s="8"/>
      <c r="H1039" s="8"/>
      <c r="I1039" s="8"/>
      <c r="J1039" s="8"/>
      <c r="K1039" s="8"/>
      <c r="L1039" s="8"/>
      <c r="M1039" s="8"/>
      <c r="N1039" s="8"/>
      <c r="O1039" s="8"/>
      <c r="P1039" s="8"/>
      <c r="Q1039" s="8"/>
      <c r="R1039" s="8"/>
      <c r="S1039" s="8"/>
      <c r="T1039" s="8"/>
      <c r="U1039" s="8"/>
      <c r="V1039" s="8"/>
      <c r="W1039" s="8"/>
    </row>
    <row r="1040" spans="1:23" ht="15.75" customHeight="1" x14ac:dyDescent="0.25">
      <c r="A1040" s="6" t="s">
        <v>507</v>
      </c>
      <c r="B1040" s="8"/>
      <c r="C1040" s="8"/>
      <c r="D1040" s="8"/>
      <c r="E1040" s="8"/>
      <c r="F1040" s="8"/>
      <c r="G1040" s="8"/>
      <c r="H1040" s="8"/>
      <c r="I1040" s="8"/>
      <c r="J1040" s="8"/>
      <c r="K1040" s="8"/>
      <c r="L1040" s="8"/>
      <c r="M1040" s="8"/>
      <c r="N1040" s="8"/>
      <c r="O1040" s="8"/>
      <c r="P1040" s="8"/>
      <c r="Q1040" s="8"/>
      <c r="R1040" s="8"/>
      <c r="S1040" s="8"/>
      <c r="T1040" s="8"/>
      <c r="U1040" s="8"/>
      <c r="V1040" s="8"/>
      <c r="W1040" s="8"/>
    </row>
    <row r="1041" spans="1:23" ht="15.75" customHeight="1" x14ac:dyDescent="0.25">
      <c r="A1041" s="6" t="s">
        <v>507</v>
      </c>
      <c r="B1041" s="8"/>
      <c r="C1041" s="8"/>
      <c r="D1041" s="8"/>
      <c r="E1041" s="8"/>
      <c r="F1041" s="8"/>
      <c r="G1041" s="8"/>
      <c r="H1041" s="8"/>
      <c r="I1041" s="8"/>
      <c r="J1041" s="8"/>
      <c r="K1041" s="8"/>
      <c r="L1041" s="8"/>
      <c r="M1041" s="8"/>
      <c r="N1041" s="8"/>
      <c r="O1041" s="8"/>
      <c r="P1041" s="8"/>
      <c r="Q1041" s="8"/>
      <c r="R1041" s="8"/>
      <c r="S1041" s="8"/>
      <c r="T1041" s="8"/>
      <c r="U1041" s="8"/>
      <c r="V1041" s="8"/>
      <c r="W1041" s="8"/>
    </row>
    <row r="1042" spans="1:23" ht="15.75" customHeight="1" x14ac:dyDescent="0.25">
      <c r="A1042" s="6" t="s">
        <v>507</v>
      </c>
      <c r="B1042" s="8"/>
      <c r="C1042" s="8"/>
      <c r="D1042" s="8"/>
      <c r="E1042" s="8"/>
      <c r="F1042" s="8"/>
      <c r="G1042" s="8"/>
      <c r="H1042" s="8"/>
      <c r="I1042" s="8"/>
      <c r="J1042" s="8"/>
      <c r="K1042" s="8"/>
      <c r="L1042" s="8"/>
      <c r="M1042" s="8"/>
      <c r="N1042" s="8"/>
      <c r="O1042" s="8"/>
      <c r="P1042" s="8"/>
      <c r="Q1042" s="8"/>
      <c r="R1042" s="8"/>
      <c r="S1042" s="8"/>
      <c r="T1042" s="8"/>
      <c r="U1042" s="8"/>
      <c r="V1042" s="8"/>
      <c r="W1042" s="8"/>
    </row>
    <row r="1043" spans="1:23" ht="15.75" customHeight="1" x14ac:dyDescent="0.25">
      <c r="A1043" s="6" t="s">
        <v>507</v>
      </c>
      <c r="B1043" s="8"/>
      <c r="C1043" s="8"/>
      <c r="D1043" s="8"/>
      <c r="E1043" s="8"/>
      <c r="F1043" s="8"/>
      <c r="G1043" s="8"/>
      <c r="H1043" s="8"/>
      <c r="I1043" s="8"/>
      <c r="J1043" s="8"/>
      <c r="K1043" s="8"/>
      <c r="L1043" s="8"/>
      <c r="M1043" s="8"/>
      <c r="N1043" s="8"/>
      <c r="O1043" s="8"/>
      <c r="P1043" s="8"/>
      <c r="Q1043" s="8"/>
      <c r="R1043" s="8"/>
      <c r="S1043" s="8"/>
      <c r="T1043" s="8"/>
      <c r="U1043" s="8"/>
      <c r="V1043" s="8"/>
      <c r="W1043" s="8"/>
    </row>
    <row r="1044" spans="1:23" ht="15.75" customHeight="1" x14ac:dyDescent="0.25">
      <c r="A1044" s="6" t="s">
        <v>507</v>
      </c>
      <c r="B1044" s="8"/>
      <c r="C1044" s="8"/>
      <c r="D1044" s="8"/>
      <c r="E1044" s="8"/>
      <c r="F1044" s="8"/>
      <c r="G1044" s="8"/>
      <c r="H1044" s="8"/>
      <c r="I1044" s="8"/>
      <c r="J1044" s="8"/>
      <c r="K1044" s="8"/>
      <c r="L1044" s="8"/>
      <c r="M1044" s="8"/>
      <c r="N1044" s="8"/>
      <c r="O1044" s="8"/>
      <c r="P1044" s="8"/>
      <c r="Q1044" s="8"/>
      <c r="R1044" s="8"/>
      <c r="S1044" s="8"/>
      <c r="T1044" s="8"/>
      <c r="U1044" s="8"/>
      <c r="V1044" s="8"/>
      <c r="W1044" s="8"/>
    </row>
    <row r="1045" spans="1:23" ht="15.75" customHeight="1" x14ac:dyDescent="0.25">
      <c r="A1045" s="6" t="s">
        <v>507</v>
      </c>
      <c r="B1045" s="8"/>
      <c r="C1045" s="8"/>
      <c r="D1045" s="8"/>
      <c r="E1045" s="8"/>
      <c r="F1045" s="8"/>
      <c r="G1045" s="8"/>
      <c r="H1045" s="8"/>
      <c r="I1045" s="8"/>
      <c r="J1045" s="8"/>
      <c r="K1045" s="8"/>
      <c r="L1045" s="8"/>
      <c r="M1045" s="8"/>
      <c r="N1045" s="8"/>
      <c r="O1045" s="8"/>
      <c r="P1045" s="8"/>
      <c r="Q1045" s="8"/>
      <c r="R1045" s="8"/>
      <c r="S1045" s="8"/>
      <c r="T1045" s="8"/>
      <c r="U1045" s="8"/>
      <c r="V1045" s="8"/>
      <c r="W1045" s="8"/>
    </row>
    <row r="1046" spans="1:23" ht="15.75" customHeight="1" x14ac:dyDescent="0.25">
      <c r="A1046" s="6" t="s">
        <v>507</v>
      </c>
      <c r="B1046" s="8"/>
      <c r="C1046" s="8"/>
      <c r="D1046" s="8"/>
      <c r="E1046" s="8"/>
      <c r="F1046" s="8"/>
      <c r="G1046" s="8"/>
      <c r="H1046" s="8"/>
      <c r="I1046" s="8"/>
      <c r="J1046" s="8"/>
      <c r="K1046" s="8"/>
      <c r="L1046" s="8"/>
      <c r="M1046" s="8"/>
      <c r="N1046" s="8"/>
      <c r="O1046" s="8"/>
      <c r="P1046" s="8"/>
      <c r="Q1046" s="8"/>
      <c r="R1046" s="8"/>
      <c r="S1046" s="8"/>
      <c r="T1046" s="8"/>
      <c r="U1046" s="8"/>
      <c r="V1046" s="8"/>
      <c r="W1046" s="8"/>
    </row>
    <row r="1047" spans="1:23" ht="15.75" customHeight="1" x14ac:dyDescent="0.25">
      <c r="A1047" s="6" t="s">
        <v>507</v>
      </c>
      <c r="B1047" s="8"/>
      <c r="C1047" s="8"/>
      <c r="D1047" s="8"/>
      <c r="E1047" s="8"/>
      <c r="F1047" s="8"/>
      <c r="G1047" s="8"/>
      <c r="H1047" s="8"/>
      <c r="I1047" s="8"/>
      <c r="J1047" s="8"/>
      <c r="K1047" s="8"/>
      <c r="L1047" s="8"/>
      <c r="M1047" s="8"/>
      <c r="N1047" s="8"/>
      <c r="O1047" s="8"/>
      <c r="P1047" s="8"/>
      <c r="Q1047" s="8"/>
      <c r="R1047" s="8"/>
      <c r="S1047" s="8"/>
      <c r="T1047" s="8"/>
      <c r="U1047" s="8"/>
      <c r="V1047" s="8"/>
      <c r="W1047" s="8"/>
    </row>
    <row r="1048" spans="1:23" ht="15.75" customHeight="1" x14ac:dyDescent="0.25">
      <c r="A1048" s="6" t="s">
        <v>507</v>
      </c>
      <c r="B1048" s="8"/>
      <c r="C1048" s="8"/>
      <c r="D1048" s="8"/>
      <c r="E1048" s="8"/>
      <c r="F1048" s="8"/>
      <c r="G1048" s="8"/>
      <c r="H1048" s="8"/>
      <c r="I1048" s="8"/>
      <c r="J1048" s="8"/>
      <c r="K1048" s="8"/>
      <c r="L1048" s="8"/>
      <c r="M1048" s="8"/>
      <c r="N1048" s="8"/>
      <c r="O1048" s="8"/>
      <c r="P1048" s="8"/>
      <c r="Q1048" s="8"/>
      <c r="R1048" s="8"/>
      <c r="S1048" s="8"/>
      <c r="T1048" s="8"/>
      <c r="U1048" s="8"/>
      <c r="V1048" s="8"/>
      <c r="W1048" s="8"/>
    </row>
    <row r="1049" spans="1:23" ht="15.75" customHeight="1" x14ac:dyDescent="0.25">
      <c r="A1049" s="8" t="s">
        <v>507</v>
      </c>
      <c r="B1049" s="8"/>
      <c r="C1049" s="8"/>
      <c r="D1049" s="8"/>
      <c r="E1049" s="8"/>
      <c r="F1049" s="8"/>
      <c r="G1049" s="8"/>
      <c r="H1049" s="8"/>
      <c r="I1049" s="8"/>
      <c r="J1049" s="8"/>
      <c r="K1049" s="8"/>
      <c r="L1049" s="8"/>
      <c r="M1049" s="8"/>
      <c r="N1049" s="8"/>
      <c r="O1049" s="8"/>
      <c r="P1049" s="8"/>
      <c r="Q1049" s="8"/>
      <c r="R1049" s="8"/>
      <c r="S1049" s="8"/>
      <c r="T1049" s="8"/>
      <c r="U1049" s="8"/>
      <c r="V1049" s="8"/>
      <c r="W1049" s="8"/>
    </row>
    <row r="1050" spans="1:23" ht="15.75" customHeight="1" x14ac:dyDescent="0.25">
      <c r="A1050" s="6" t="s">
        <v>507</v>
      </c>
      <c r="B1050" s="8"/>
      <c r="C1050" s="8"/>
      <c r="D1050" s="8"/>
      <c r="E1050" s="8"/>
      <c r="F1050" s="8"/>
      <c r="G1050" s="8"/>
      <c r="H1050" s="8"/>
      <c r="I1050" s="8"/>
      <c r="J1050" s="8"/>
      <c r="K1050" s="8"/>
      <c r="L1050" s="8"/>
      <c r="M1050" s="8"/>
      <c r="N1050" s="8"/>
      <c r="O1050" s="8"/>
      <c r="P1050" s="8"/>
      <c r="Q1050" s="8"/>
      <c r="R1050" s="8"/>
      <c r="S1050" s="8"/>
      <c r="T1050" s="8"/>
      <c r="U1050" s="8"/>
      <c r="V1050" s="8"/>
      <c r="W1050" s="8"/>
    </row>
    <row r="1051" spans="1:23" ht="15.75" customHeight="1" x14ac:dyDescent="0.25">
      <c r="A1051" s="6" t="s">
        <v>507</v>
      </c>
      <c r="B1051" s="8"/>
      <c r="C1051" s="8"/>
      <c r="D1051" s="8"/>
      <c r="E1051" s="8"/>
      <c r="F1051" s="8"/>
      <c r="G1051" s="8"/>
      <c r="H1051" s="8"/>
      <c r="I1051" s="8"/>
      <c r="J1051" s="8"/>
      <c r="K1051" s="8"/>
      <c r="L1051" s="8"/>
      <c r="M1051" s="8"/>
      <c r="N1051" s="8"/>
      <c r="O1051" s="8"/>
      <c r="P1051" s="8"/>
      <c r="Q1051" s="8"/>
      <c r="R1051" s="8"/>
      <c r="S1051" s="8"/>
      <c r="T1051" s="8"/>
      <c r="U1051" s="8"/>
      <c r="V1051" s="8"/>
      <c r="W1051" s="8"/>
    </row>
    <row r="1052" spans="1:23" ht="15.75" customHeight="1" x14ac:dyDescent="0.25">
      <c r="A1052" s="6" t="s">
        <v>507</v>
      </c>
      <c r="B1052" s="8"/>
      <c r="C1052" s="8"/>
      <c r="D1052" s="8"/>
      <c r="E1052" s="8"/>
      <c r="F1052" s="8"/>
      <c r="G1052" s="8"/>
      <c r="H1052" s="8"/>
      <c r="I1052" s="8"/>
      <c r="J1052" s="8"/>
      <c r="K1052" s="8"/>
      <c r="L1052" s="8"/>
      <c r="M1052" s="8"/>
      <c r="N1052" s="8"/>
      <c r="O1052" s="8"/>
      <c r="P1052" s="8"/>
      <c r="Q1052" s="8"/>
      <c r="R1052" s="8"/>
      <c r="S1052" s="8"/>
      <c r="T1052" s="8"/>
      <c r="U1052" s="8"/>
      <c r="V1052" s="8"/>
      <c r="W1052" s="8"/>
    </row>
    <row r="1053" spans="1:23" ht="15.75" customHeight="1" x14ac:dyDescent="0.25">
      <c r="A1053" s="6" t="s">
        <v>507</v>
      </c>
      <c r="B1053" s="8"/>
      <c r="C1053" s="8"/>
      <c r="D1053" s="8"/>
      <c r="E1053" s="8"/>
      <c r="F1053" s="8"/>
      <c r="G1053" s="8"/>
      <c r="H1053" s="8"/>
      <c r="I1053" s="8"/>
      <c r="J1053" s="8"/>
      <c r="K1053" s="8"/>
      <c r="L1053" s="8"/>
      <c r="M1053" s="8"/>
      <c r="N1053" s="8"/>
      <c r="O1053" s="8"/>
      <c r="P1053" s="8"/>
      <c r="Q1053" s="8"/>
      <c r="R1053" s="8"/>
      <c r="S1053" s="8"/>
      <c r="T1053" s="8"/>
      <c r="U1053" s="8"/>
      <c r="V1053" s="8"/>
      <c r="W1053" s="8"/>
    </row>
    <row r="1054" spans="1:23" ht="15.75" customHeight="1" x14ac:dyDescent="0.25">
      <c r="A1054" s="6" t="s">
        <v>507</v>
      </c>
      <c r="B1054" s="8"/>
      <c r="C1054" s="8"/>
      <c r="D1054" s="8"/>
      <c r="E1054" s="8"/>
      <c r="F1054" s="8"/>
      <c r="G1054" s="8"/>
      <c r="H1054" s="8"/>
      <c r="I1054" s="8"/>
      <c r="J1054" s="8"/>
      <c r="K1054" s="8"/>
      <c r="L1054" s="8"/>
      <c r="M1054" s="8"/>
      <c r="N1054" s="8"/>
      <c r="O1054" s="8"/>
      <c r="P1054" s="8"/>
      <c r="Q1054" s="8"/>
      <c r="R1054" s="8"/>
      <c r="S1054" s="8"/>
      <c r="T1054" s="8"/>
      <c r="U1054" s="8"/>
      <c r="V1054" s="8"/>
      <c r="W1054" s="8"/>
    </row>
    <row r="1055" spans="1:23" ht="15.75" customHeight="1" x14ac:dyDescent="0.25">
      <c r="A1055" s="6" t="s">
        <v>507</v>
      </c>
      <c r="B1055" s="8"/>
      <c r="C1055" s="8"/>
      <c r="D1055" s="8"/>
      <c r="E1055" s="8"/>
      <c r="F1055" s="8"/>
      <c r="G1055" s="8"/>
      <c r="H1055" s="8"/>
      <c r="I1055" s="8"/>
      <c r="J1055" s="8"/>
      <c r="K1055" s="8"/>
      <c r="L1055" s="8"/>
      <c r="M1055" s="8"/>
      <c r="N1055" s="8"/>
      <c r="O1055" s="8"/>
      <c r="P1055" s="8"/>
      <c r="Q1055" s="8"/>
      <c r="R1055" s="8"/>
      <c r="S1055" s="8"/>
      <c r="T1055" s="8"/>
      <c r="U1055" s="8"/>
      <c r="V1055" s="8"/>
      <c r="W1055" s="8"/>
    </row>
    <row r="1056" spans="1:23" ht="15.75" customHeight="1" x14ac:dyDescent="0.25">
      <c r="A1056" s="6" t="s">
        <v>507</v>
      </c>
      <c r="B1056" s="8"/>
      <c r="C1056" s="8"/>
      <c r="D1056" s="8"/>
      <c r="E1056" s="8"/>
      <c r="F1056" s="8"/>
      <c r="G1056" s="8"/>
      <c r="H1056" s="8"/>
      <c r="I1056" s="8"/>
      <c r="J1056" s="8"/>
      <c r="K1056" s="8"/>
      <c r="L1056" s="8"/>
      <c r="M1056" s="8"/>
      <c r="N1056" s="8"/>
      <c r="O1056" s="8"/>
      <c r="P1056" s="8"/>
      <c r="Q1056" s="8"/>
      <c r="R1056" s="8"/>
      <c r="S1056" s="8"/>
      <c r="T1056" s="8"/>
      <c r="U1056" s="8"/>
      <c r="V1056" s="8"/>
      <c r="W1056" s="8"/>
    </row>
    <row r="1057" spans="1:23" ht="15.75" customHeight="1" x14ac:dyDescent="0.25">
      <c r="A1057" s="6" t="s">
        <v>507</v>
      </c>
      <c r="B1057" s="8"/>
      <c r="C1057" s="8"/>
      <c r="D1057" s="8"/>
      <c r="E1057" s="8"/>
      <c r="F1057" s="8"/>
      <c r="G1057" s="8"/>
      <c r="H1057" s="8"/>
      <c r="I1057" s="8"/>
      <c r="J1057" s="8"/>
      <c r="K1057" s="8"/>
      <c r="L1057" s="8"/>
      <c r="M1057" s="8"/>
      <c r="N1057" s="8"/>
      <c r="O1057" s="8"/>
      <c r="P1057" s="8"/>
      <c r="Q1057" s="8"/>
      <c r="R1057" s="8"/>
      <c r="S1057" s="8"/>
      <c r="T1057" s="8"/>
      <c r="U1057" s="8"/>
      <c r="V1057" s="8"/>
      <c r="W1057" s="8"/>
    </row>
    <row r="1058" spans="1:23" ht="15.75" customHeight="1" x14ac:dyDescent="0.25">
      <c r="A1058" s="6" t="s">
        <v>507</v>
      </c>
      <c r="B1058" s="8"/>
      <c r="C1058" s="8"/>
      <c r="D1058" s="8"/>
      <c r="E1058" s="8"/>
      <c r="F1058" s="8"/>
      <c r="G1058" s="8"/>
      <c r="H1058" s="8"/>
      <c r="I1058" s="8"/>
      <c r="J1058" s="8"/>
      <c r="K1058" s="8"/>
      <c r="L1058" s="8"/>
      <c r="M1058" s="8"/>
      <c r="N1058" s="8"/>
      <c r="O1058" s="8"/>
      <c r="P1058" s="8"/>
      <c r="Q1058" s="8"/>
      <c r="R1058" s="8"/>
      <c r="S1058" s="8"/>
      <c r="T1058" s="8"/>
      <c r="U1058" s="8"/>
      <c r="V1058" s="8"/>
      <c r="W1058" s="8"/>
    </row>
    <row r="1059" spans="1:23" ht="15.75" customHeight="1" x14ac:dyDescent="0.25">
      <c r="A1059" s="6" t="s">
        <v>507</v>
      </c>
      <c r="B1059" s="8"/>
      <c r="C1059" s="8"/>
      <c r="D1059" s="8"/>
      <c r="E1059" s="8"/>
      <c r="F1059" s="8"/>
      <c r="G1059" s="8"/>
      <c r="H1059" s="8"/>
      <c r="I1059" s="8"/>
      <c r="J1059" s="8"/>
      <c r="K1059" s="8"/>
      <c r="L1059" s="8"/>
      <c r="M1059" s="8"/>
      <c r="N1059" s="8"/>
      <c r="O1059" s="8"/>
      <c r="P1059" s="8"/>
      <c r="Q1059" s="8"/>
      <c r="R1059" s="8"/>
      <c r="S1059" s="8"/>
      <c r="T1059" s="8"/>
      <c r="U1059" s="8"/>
      <c r="V1059" s="8"/>
      <c r="W1059" s="8"/>
    </row>
    <row r="1060" spans="1:23" ht="15.75" customHeight="1" x14ac:dyDescent="0.25">
      <c r="A1060" s="6" t="s">
        <v>3499</v>
      </c>
      <c r="B1060" s="8"/>
      <c r="C1060" s="8"/>
      <c r="D1060" s="8"/>
      <c r="E1060" s="8"/>
      <c r="F1060" s="8"/>
      <c r="G1060" s="8"/>
      <c r="H1060" s="8"/>
      <c r="I1060" s="8"/>
      <c r="J1060" s="8"/>
      <c r="K1060" s="8"/>
      <c r="L1060" s="8"/>
      <c r="M1060" s="8"/>
      <c r="N1060" s="8"/>
      <c r="O1060" s="8"/>
      <c r="P1060" s="8"/>
      <c r="Q1060" s="8"/>
      <c r="R1060" s="8"/>
      <c r="S1060" s="8"/>
      <c r="T1060" s="8"/>
      <c r="U1060" s="8"/>
      <c r="V1060" s="8"/>
      <c r="W1060" s="8"/>
    </row>
    <row r="1061" spans="1:23" ht="15.75" customHeight="1" x14ac:dyDescent="0.25">
      <c r="A1061" s="6" t="s">
        <v>3499</v>
      </c>
      <c r="B1061" s="8"/>
      <c r="C1061" s="8"/>
      <c r="D1061" s="8"/>
      <c r="E1061" s="8"/>
      <c r="F1061" s="8"/>
      <c r="G1061" s="8"/>
      <c r="H1061" s="8"/>
      <c r="I1061" s="8"/>
      <c r="J1061" s="8"/>
      <c r="K1061" s="8"/>
      <c r="L1061" s="8"/>
      <c r="M1061" s="8"/>
      <c r="N1061" s="8"/>
      <c r="O1061" s="8"/>
      <c r="P1061" s="8"/>
      <c r="Q1061" s="8"/>
      <c r="R1061" s="8"/>
      <c r="S1061" s="8"/>
      <c r="T1061" s="8"/>
      <c r="U1061" s="8"/>
      <c r="V1061" s="8"/>
      <c r="W1061" s="8"/>
    </row>
    <row r="1062" spans="1:23" ht="15.75" customHeight="1" x14ac:dyDescent="0.25">
      <c r="A1062" s="6" t="s">
        <v>3499</v>
      </c>
      <c r="B1062" s="8"/>
      <c r="C1062" s="8"/>
      <c r="D1062" s="8"/>
      <c r="E1062" s="8"/>
      <c r="F1062" s="8"/>
      <c r="G1062" s="8"/>
      <c r="H1062" s="8"/>
      <c r="I1062" s="8"/>
      <c r="J1062" s="8"/>
      <c r="K1062" s="8"/>
      <c r="L1062" s="8"/>
      <c r="M1062" s="8"/>
      <c r="N1062" s="8"/>
      <c r="O1062" s="8"/>
      <c r="P1062" s="8"/>
      <c r="Q1062" s="8"/>
      <c r="R1062" s="8"/>
      <c r="S1062" s="8"/>
      <c r="T1062" s="8"/>
      <c r="U1062" s="8"/>
      <c r="V1062" s="8"/>
      <c r="W1062" s="8"/>
    </row>
    <row r="1063" spans="1:23" ht="15.75" customHeight="1" x14ac:dyDescent="0.25">
      <c r="A1063" s="6" t="s">
        <v>3499</v>
      </c>
      <c r="B1063" s="8"/>
      <c r="C1063" s="8"/>
      <c r="D1063" s="8"/>
      <c r="E1063" s="8"/>
      <c r="F1063" s="8"/>
      <c r="G1063" s="8"/>
      <c r="H1063" s="8"/>
      <c r="I1063" s="8"/>
      <c r="J1063" s="8"/>
      <c r="K1063" s="8"/>
      <c r="L1063" s="8"/>
      <c r="M1063" s="8"/>
      <c r="N1063" s="8"/>
      <c r="O1063" s="8"/>
      <c r="P1063" s="8"/>
      <c r="Q1063" s="8"/>
      <c r="R1063" s="8"/>
      <c r="S1063" s="8"/>
      <c r="T1063" s="8"/>
      <c r="U1063" s="8"/>
      <c r="V1063" s="8"/>
      <c r="W1063" s="8"/>
    </row>
    <row r="1064" spans="1:23" ht="15.75" customHeight="1" x14ac:dyDescent="0.25">
      <c r="A1064" s="6" t="s">
        <v>3499</v>
      </c>
      <c r="B1064" s="8"/>
      <c r="C1064" s="8"/>
      <c r="D1064" s="8"/>
      <c r="E1064" s="8"/>
      <c r="F1064" s="8"/>
      <c r="G1064" s="8"/>
      <c r="H1064" s="8"/>
      <c r="I1064" s="8"/>
      <c r="J1064" s="8"/>
      <c r="K1064" s="8"/>
      <c r="L1064" s="8"/>
      <c r="M1064" s="8"/>
      <c r="N1064" s="8"/>
      <c r="O1064" s="8"/>
      <c r="P1064" s="8"/>
      <c r="Q1064" s="8"/>
      <c r="R1064" s="8"/>
      <c r="S1064" s="8"/>
      <c r="T1064" s="8"/>
      <c r="U1064" s="8"/>
      <c r="V1064" s="8"/>
      <c r="W1064" s="8"/>
    </row>
    <row r="1065" spans="1:23" ht="15.75" customHeight="1" x14ac:dyDescent="0.25">
      <c r="A1065" s="6" t="s">
        <v>3499</v>
      </c>
      <c r="B1065" s="8"/>
      <c r="C1065" s="8"/>
      <c r="D1065" s="8"/>
      <c r="E1065" s="8"/>
      <c r="F1065" s="8"/>
      <c r="G1065" s="8"/>
      <c r="H1065" s="8"/>
      <c r="I1065" s="8"/>
      <c r="J1065" s="8"/>
      <c r="K1065" s="8"/>
      <c r="L1065" s="8"/>
      <c r="M1065" s="8"/>
      <c r="N1065" s="8"/>
      <c r="O1065" s="8"/>
      <c r="P1065" s="8"/>
      <c r="Q1065" s="8"/>
      <c r="R1065" s="8"/>
      <c r="S1065" s="8"/>
      <c r="T1065" s="8"/>
      <c r="U1065" s="8"/>
      <c r="V1065" s="8"/>
      <c r="W1065" s="8"/>
    </row>
    <row r="1066" spans="1:23" ht="15.75" customHeight="1" x14ac:dyDescent="0.25">
      <c r="A1066" s="6" t="s">
        <v>1767</v>
      </c>
      <c r="B1066" s="8"/>
      <c r="C1066" s="8"/>
      <c r="D1066" s="8"/>
      <c r="E1066" s="8"/>
      <c r="F1066" s="8"/>
      <c r="G1066" s="8"/>
      <c r="H1066" s="8"/>
      <c r="I1066" s="8"/>
      <c r="J1066" s="8"/>
      <c r="K1066" s="8"/>
      <c r="L1066" s="8"/>
      <c r="M1066" s="8"/>
      <c r="N1066" s="8"/>
      <c r="O1066" s="8"/>
      <c r="P1066" s="8"/>
      <c r="Q1066" s="8"/>
      <c r="R1066" s="8"/>
      <c r="S1066" s="8"/>
      <c r="T1066" s="8"/>
      <c r="U1066" s="8"/>
      <c r="V1066" s="8"/>
      <c r="W1066" s="8"/>
    </row>
    <row r="1067" spans="1:23" ht="15.75" customHeight="1" x14ac:dyDescent="0.25">
      <c r="A1067" s="6" t="s">
        <v>1767</v>
      </c>
      <c r="B1067" s="8"/>
      <c r="C1067" s="8"/>
      <c r="D1067" s="8"/>
      <c r="E1067" s="8"/>
      <c r="F1067" s="8"/>
      <c r="G1067" s="8"/>
      <c r="H1067" s="8"/>
      <c r="I1067" s="8"/>
      <c r="J1067" s="8"/>
      <c r="K1067" s="8"/>
      <c r="L1067" s="8"/>
      <c r="M1067" s="8"/>
      <c r="N1067" s="8"/>
      <c r="O1067" s="8"/>
      <c r="P1067" s="8"/>
      <c r="Q1067" s="8"/>
      <c r="R1067" s="8"/>
      <c r="S1067" s="8"/>
      <c r="T1067" s="8"/>
      <c r="U1067" s="8"/>
      <c r="V1067" s="8"/>
      <c r="W1067" s="8"/>
    </row>
    <row r="1068" spans="1:23" ht="15.75" customHeight="1" x14ac:dyDescent="0.25">
      <c r="A1068" s="6" t="s">
        <v>1767</v>
      </c>
      <c r="B1068" s="8"/>
      <c r="C1068" s="8"/>
      <c r="D1068" s="8"/>
      <c r="E1068" s="8"/>
      <c r="F1068" s="8"/>
      <c r="G1068" s="8"/>
      <c r="H1068" s="8"/>
      <c r="I1068" s="8"/>
      <c r="J1068" s="8"/>
      <c r="K1068" s="8"/>
      <c r="L1068" s="8"/>
      <c r="M1068" s="8"/>
      <c r="N1068" s="8"/>
      <c r="O1068" s="8"/>
      <c r="P1068" s="8"/>
      <c r="Q1068" s="8"/>
      <c r="R1068" s="8"/>
      <c r="S1068" s="8"/>
      <c r="T1068" s="8"/>
      <c r="U1068" s="8"/>
      <c r="V1068" s="8"/>
      <c r="W1068" s="8"/>
    </row>
    <row r="1069" spans="1:23" ht="15.75" customHeight="1" x14ac:dyDescent="0.25">
      <c r="A1069" s="6" t="s">
        <v>1767</v>
      </c>
      <c r="B1069" s="8"/>
      <c r="C1069" s="8"/>
      <c r="D1069" s="8"/>
      <c r="E1069" s="8"/>
      <c r="F1069" s="8"/>
      <c r="G1069" s="8"/>
      <c r="H1069" s="8"/>
      <c r="I1069" s="8"/>
      <c r="J1069" s="8"/>
      <c r="K1069" s="8"/>
      <c r="L1069" s="8"/>
      <c r="M1069" s="8"/>
      <c r="N1069" s="8"/>
      <c r="O1069" s="8"/>
      <c r="P1069" s="8"/>
      <c r="Q1069" s="8"/>
      <c r="R1069" s="8"/>
      <c r="S1069" s="8"/>
      <c r="T1069" s="8"/>
      <c r="U1069" s="8"/>
      <c r="V1069" s="8"/>
      <c r="W1069" s="8"/>
    </row>
    <row r="1070" spans="1:23" ht="15.75" customHeight="1" x14ac:dyDescent="0.25">
      <c r="A1070" s="6" t="s">
        <v>1767</v>
      </c>
      <c r="B1070" s="8"/>
      <c r="C1070" s="8"/>
      <c r="D1070" s="8"/>
      <c r="E1070" s="8"/>
      <c r="F1070" s="8"/>
      <c r="G1070" s="8"/>
      <c r="H1070" s="8"/>
      <c r="I1070" s="8"/>
      <c r="J1070" s="8"/>
      <c r="K1070" s="8"/>
      <c r="L1070" s="8"/>
      <c r="M1070" s="8"/>
      <c r="N1070" s="8"/>
      <c r="O1070" s="8"/>
      <c r="P1070" s="8"/>
      <c r="Q1070" s="8"/>
      <c r="R1070" s="8"/>
      <c r="S1070" s="8"/>
      <c r="T1070" s="8"/>
      <c r="U1070" s="8"/>
      <c r="V1070" s="8"/>
      <c r="W1070" s="8"/>
    </row>
    <row r="1071" spans="1:23" ht="15.75" customHeight="1" x14ac:dyDescent="0.25">
      <c r="A1071" s="6" t="s">
        <v>1767</v>
      </c>
      <c r="B1071" s="8"/>
      <c r="C1071" s="8"/>
      <c r="D1071" s="8"/>
      <c r="E1071" s="8"/>
      <c r="F1071" s="8"/>
      <c r="G1071" s="8"/>
      <c r="H1071" s="8"/>
      <c r="I1071" s="8"/>
      <c r="J1071" s="8"/>
      <c r="K1071" s="8"/>
      <c r="L1071" s="8"/>
      <c r="M1071" s="8"/>
      <c r="N1071" s="8"/>
      <c r="O1071" s="8"/>
      <c r="P1071" s="8"/>
      <c r="Q1071" s="8"/>
      <c r="R1071" s="8"/>
      <c r="S1071" s="8"/>
      <c r="T1071" s="8"/>
      <c r="U1071" s="8"/>
      <c r="V1071" s="8"/>
      <c r="W1071" s="8"/>
    </row>
    <row r="1072" spans="1:23" ht="15.75" customHeight="1" x14ac:dyDescent="0.25">
      <c r="A1072" s="6" t="s">
        <v>1767</v>
      </c>
      <c r="B1072" s="8"/>
      <c r="C1072" s="8"/>
      <c r="D1072" s="8"/>
      <c r="E1072" s="8"/>
      <c r="F1072" s="8"/>
      <c r="G1072" s="8"/>
      <c r="H1072" s="8"/>
      <c r="I1072" s="8"/>
      <c r="J1072" s="8"/>
      <c r="K1072" s="8"/>
      <c r="L1072" s="8"/>
      <c r="M1072" s="8"/>
      <c r="N1072" s="8"/>
      <c r="O1072" s="8"/>
      <c r="P1072" s="8"/>
      <c r="Q1072" s="8"/>
      <c r="R1072" s="8"/>
      <c r="S1072" s="8"/>
      <c r="T1072" s="8"/>
      <c r="U1072" s="8"/>
      <c r="V1072" s="8"/>
      <c r="W1072" s="8"/>
    </row>
    <row r="1073" spans="1:23" ht="15.75" customHeight="1" x14ac:dyDescent="0.25">
      <c r="A1073" s="6" t="s">
        <v>1767</v>
      </c>
      <c r="B1073" s="8"/>
      <c r="C1073" s="8"/>
      <c r="D1073" s="8"/>
      <c r="E1073" s="8"/>
      <c r="F1073" s="8"/>
      <c r="G1073" s="8"/>
      <c r="H1073" s="8"/>
      <c r="I1073" s="8"/>
      <c r="J1073" s="8"/>
      <c r="K1073" s="8"/>
      <c r="L1073" s="8"/>
      <c r="M1073" s="8"/>
      <c r="N1073" s="8"/>
      <c r="O1073" s="8"/>
      <c r="P1073" s="8"/>
      <c r="Q1073" s="8"/>
      <c r="R1073" s="8"/>
      <c r="S1073" s="8"/>
      <c r="T1073" s="8"/>
      <c r="U1073" s="8"/>
      <c r="V1073" s="8"/>
      <c r="W1073" s="8"/>
    </row>
    <row r="1074" spans="1:23" ht="15.75" customHeight="1" x14ac:dyDescent="0.25">
      <c r="A1074" s="6" t="s">
        <v>1767</v>
      </c>
      <c r="B1074" s="8"/>
      <c r="C1074" s="8"/>
      <c r="D1074" s="8"/>
      <c r="E1074" s="8"/>
      <c r="F1074" s="8"/>
      <c r="G1074" s="8"/>
      <c r="H1074" s="8"/>
      <c r="I1074" s="8"/>
      <c r="J1074" s="8"/>
      <c r="K1074" s="8"/>
      <c r="L1074" s="8"/>
      <c r="M1074" s="8"/>
      <c r="N1074" s="8"/>
      <c r="O1074" s="8"/>
      <c r="P1074" s="8"/>
      <c r="Q1074" s="8"/>
      <c r="R1074" s="8"/>
      <c r="S1074" s="8"/>
      <c r="T1074" s="8"/>
      <c r="U1074" s="8"/>
      <c r="V1074" s="8"/>
      <c r="W1074" s="8"/>
    </row>
    <row r="1075" spans="1:23" ht="15.75" customHeight="1" x14ac:dyDescent="0.25">
      <c r="A1075" s="6" t="s">
        <v>1767</v>
      </c>
      <c r="B1075" s="8"/>
      <c r="C1075" s="8"/>
      <c r="D1075" s="8"/>
      <c r="E1075" s="8"/>
      <c r="F1075" s="8"/>
      <c r="G1075" s="8"/>
      <c r="H1075" s="8"/>
      <c r="I1075" s="8"/>
      <c r="J1075" s="8"/>
      <c r="K1075" s="8"/>
      <c r="L1075" s="8"/>
      <c r="M1075" s="8"/>
      <c r="N1075" s="8"/>
      <c r="O1075" s="8"/>
      <c r="P1075" s="8"/>
      <c r="Q1075" s="8"/>
      <c r="R1075" s="8"/>
      <c r="S1075" s="8"/>
      <c r="T1075" s="8"/>
      <c r="U1075" s="8"/>
      <c r="V1075" s="8"/>
      <c r="W1075" s="8"/>
    </row>
    <row r="1076" spans="1:23" ht="15.75" customHeight="1" x14ac:dyDescent="0.25">
      <c r="A1076" s="6" t="s">
        <v>1767</v>
      </c>
      <c r="B1076" s="8"/>
      <c r="C1076" s="8"/>
      <c r="D1076" s="8"/>
      <c r="E1076" s="8"/>
      <c r="F1076" s="8"/>
      <c r="G1076" s="8"/>
      <c r="H1076" s="8"/>
      <c r="I1076" s="8"/>
      <c r="J1076" s="8"/>
      <c r="K1076" s="8"/>
      <c r="L1076" s="8"/>
      <c r="M1076" s="8"/>
      <c r="N1076" s="8"/>
      <c r="O1076" s="8"/>
      <c r="P1076" s="8"/>
      <c r="Q1076" s="8"/>
      <c r="R1076" s="8"/>
      <c r="S1076" s="8"/>
      <c r="T1076" s="8"/>
      <c r="U1076" s="8"/>
      <c r="V1076" s="8"/>
      <c r="W1076" s="8"/>
    </row>
    <row r="1077" spans="1:23" ht="15.75" customHeight="1" x14ac:dyDescent="0.25">
      <c r="A1077" s="6" t="s">
        <v>1767</v>
      </c>
      <c r="B1077" s="8"/>
      <c r="C1077" s="8"/>
      <c r="D1077" s="8"/>
      <c r="E1077" s="8"/>
      <c r="F1077" s="8"/>
      <c r="G1077" s="8"/>
      <c r="H1077" s="8"/>
      <c r="I1077" s="8"/>
      <c r="J1077" s="8"/>
      <c r="K1077" s="8"/>
      <c r="L1077" s="8"/>
      <c r="M1077" s="8"/>
      <c r="N1077" s="8"/>
      <c r="O1077" s="8"/>
      <c r="P1077" s="8"/>
      <c r="Q1077" s="8"/>
      <c r="R1077" s="8"/>
      <c r="S1077" s="8"/>
      <c r="T1077" s="8"/>
      <c r="U1077" s="8"/>
      <c r="V1077" s="8"/>
      <c r="W1077" s="8"/>
    </row>
    <row r="1078" spans="1:23" ht="15.75" customHeight="1" x14ac:dyDescent="0.25">
      <c r="A1078" s="6" t="s">
        <v>1767</v>
      </c>
      <c r="B1078" s="8"/>
      <c r="C1078" s="8"/>
      <c r="D1078" s="8"/>
      <c r="E1078" s="8"/>
      <c r="F1078" s="8"/>
      <c r="G1078" s="8"/>
      <c r="H1078" s="8"/>
      <c r="I1078" s="8"/>
      <c r="J1078" s="8"/>
      <c r="K1078" s="8"/>
      <c r="L1078" s="8"/>
      <c r="M1078" s="8"/>
      <c r="N1078" s="8"/>
      <c r="O1078" s="8"/>
      <c r="P1078" s="8"/>
      <c r="Q1078" s="8"/>
      <c r="R1078" s="8"/>
      <c r="S1078" s="8"/>
      <c r="T1078" s="8"/>
      <c r="U1078" s="8"/>
      <c r="V1078" s="8"/>
      <c r="W1078" s="8"/>
    </row>
    <row r="1079" spans="1:23" ht="15.75" customHeight="1" x14ac:dyDescent="0.25">
      <c r="A1079" s="6" t="s">
        <v>1767</v>
      </c>
      <c r="B1079" s="8"/>
      <c r="C1079" s="8"/>
      <c r="D1079" s="8"/>
      <c r="E1079" s="8"/>
      <c r="F1079" s="8"/>
      <c r="G1079" s="8"/>
      <c r="H1079" s="8"/>
      <c r="I1079" s="8"/>
      <c r="J1079" s="8"/>
      <c r="K1079" s="8"/>
      <c r="L1079" s="8"/>
      <c r="M1079" s="8"/>
      <c r="N1079" s="8"/>
      <c r="O1079" s="8"/>
      <c r="P1079" s="8"/>
      <c r="Q1079" s="8"/>
      <c r="R1079" s="8"/>
      <c r="S1079" s="8"/>
      <c r="T1079" s="8"/>
      <c r="U1079" s="8"/>
      <c r="V1079" s="8"/>
      <c r="W1079" s="8"/>
    </row>
    <row r="1080" spans="1:23" ht="15.75" customHeight="1" x14ac:dyDescent="0.25">
      <c r="A1080" s="6" t="s">
        <v>1767</v>
      </c>
      <c r="B1080" s="8"/>
      <c r="C1080" s="8"/>
      <c r="D1080" s="8"/>
      <c r="E1080" s="8"/>
      <c r="F1080" s="8"/>
      <c r="G1080" s="8"/>
      <c r="H1080" s="8"/>
      <c r="I1080" s="8"/>
      <c r="J1080" s="8"/>
      <c r="K1080" s="8"/>
      <c r="L1080" s="8"/>
      <c r="M1080" s="8"/>
      <c r="N1080" s="8"/>
      <c r="O1080" s="8"/>
      <c r="P1080" s="8"/>
      <c r="Q1080" s="8"/>
      <c r="R1080" s="8"/>
      <c r="S1080" s="8"/>
      <c r="T1080" s="8"/>
      <c r="U1080" s="8"/>
      <c r="V1080" s="8"/>
      <c r="W1080" s="8"/>
    </row>
    <row r="1081" spans="1:23" ht="15.75" customHeight="1" x14ac:dyDescent="0.25">
      <c r="A1081" s="6" t="s">
        <v>1767</v>
      </c>
      <c r="B1081" s="8"/>
      <c r="C1081" s="8"/>
      <c r="D1081" s="8"/>
      <c r="E1081" s="8"/>
      <c r="F1081" s="8"/>
      <c r="G1081" s="8"/>
      <c r="H1081" s="8"/>
      <c r="I1081" s="8"/>
      <c r="J1081" s="8"/>
      <c r="K1081" s="8"/>
      <c r="L1081" s="8"/>
      <c r="M1081" s="8"/>
      <c r="N1081" s="8"/>
      <c r="O1081" s="8"/>
      <c r="P1081" s="8"/>
      <c r="Q1081" s="8"/>
      <c r="R1081" s="8"/>
      <c r="S1081" s="8"/>
      <c r="T1081" s="8"/>
      <c r="U1081" s="8"/>
      <c r="V1081" s="8"/>
      <c r="W1081" s="8"/>
    </row>
    <row r="1082" spans="1:23" ht="15.75" customHeight="1" x14ac:dyDescent="0.25">
      <c r="A1082" s="6" t="s">
        <v>1767</v>
      </c>
      <c r="B1082" s="8"/>
      <c r="C1082" s="8"/>
      <c r="D1082" s="8"/>
      <c r="E1082" s="8"/>
      <c r="F1082" s="8"/>
      <c r="G1082" s="8"/>
      <c r="H1082" s="8"/>
      <c r="I1082" s="8"/>
      <c r="J1082" s="8"/>
      <c r="K1082" s="8"/>
      <c r="L1082" s="8"/>
      <c r="M1082" s="8"/>
      <c r="N1082" s="8"/>
      <c r="O1082" s="8"/>
      <c r="P1082" s="8"/>
      <c r="Q1082" s="8"/>
      <c r="R1082" s="8"/>
      <c r="S1082" s="8"/>
      <c r="T1082" s="8"/>
      <c r="U1082" s="8"/>
      <c r="V1082" s="8"/>
      <c r="W1082" s="8"/>
    </row>
    <row r="1083" spans="1:23" ht="15.75" customHeight="1" x14ac:dyDescent="0.25">
      <c r="A1083" s="6" t="s">
        <v>1767</v>
      </c>
      <c r="B1083" s="8"/>
      <c r="C1083" s="8"/>
      <c r="D1083" s="8"/>
      <c r="E1083" s="8"/>
      <c r="F1083" s="8"/>
      <c r="G1083" s="8"/>
      <c r="H1083" s="8"/>
      <c r="I1083" s="8"/>
      <c r="J1083" s="8"/>
      <c r="K1083" s="8"/>
      <c r="L1083" s="8"/>
      <c r="M1083" s="8"/>
      <c r="N1083" s="8"/>
      <c r="O1083" s="8"/>
      <c r="P1083" s="8"/>
      <c r="Q1083" s="8"/>
      <c r="R1083" s="8"/>
      <c r="S1083" s="8"/>
      <c r="T1083" s="8"/>
      <c r="U1083" s="8"/>
      <c r="V1083" s="8"/>
      <c r="W1083" s="8"/>
    </row>
    <row r="1084" spans="1:23" ht="15.75" customHeight="1" x14ac:dyDescent="0.25">
      <c r="A1084" s="6" t="s">
        <v>1767</v>
      </c>
      <c r="B1084" s="8"/>
      <c r="C1084" s="8"/>
      <c r="D1084" s="8"/>
      <c r="E1084" s="8"/>
      <c r="F1084" s="8"/>
      <c r="G1084" s="8"/>
      <c r="H1084" s="8"/>
      <c r="I1084" s="8"/>
      <c r="J1084" s="8"/>
      <c r="K1084" s="8"/>
      <c r="L1084" s="8"/>
      <c r="M1084" s="8"/>
      <c r="N1084" s="8"/>
      <c r="O1084" s="8"/>
      <c r="P1084" s="8"/>
      <c r="Q1084" s="8"/>
      <c r="R1084" s="8"/>
      <c r="S1084" s="8"/>
      <c r="T1084" s="8"/>
      <c r="U1084" s="8"/>
      <c r="V1084" s="8"/>
      <c r="W1084" s="8"/>
    </row>
    <row r="1085" spans="1:23" ht="15.75" customHeight="1" x14ac:dyDescent="0.25">
      <c r="A1085" s="8" t="s">
        <v>1767</v>
      </c>
      <c r="B1085" s="8"/>
      <c r="C1085" s="8"/>
      <c r="D1085" s="8"/>
      <c r="E1085" s="8"/>
      <c r="F1085" s="8"/>
      <c r="G1085" s="8"/>
      <c r="H1085" s="8"/>
      <c r="I1085" s="8"/>
      <c r="J1085" s="8"/>
      <c r="K1085" s="8"/>
      <c r="L1085" s="8"/>
      <c r="M1085" s="8"/>
      <c r="N1085" s="8"/>
      <c r="O1085" s="8"/>
      <c r="P1085" s="8"/>
      <c r="Q1085" s="8"/>
      <c r="R1085" s="8"/>
      <c r="S1085" s="8"/>
      <c r="T1085" s="8"/>
      <c r="U1085" s="8"/>
      <c r="V1085" s="8"/>
      <c r="W1085" s="8"/>
    </row>
    <row r="1086" spans="1:23" ht="15.75" customHeight="1" x14ac:dyDescent="0.25">
      <c r="A1086" s="6" t="s">
        <v>1767</v>
      </c>
      <c r="B1086" s="8"/>
      <c r="C1086" s="8"/>
      <c r="D1086" s="8"/>
      <c r="E1086" s="8"/>
      <c r="F1086" s="8"/>
      <c r="G1086" s="8"/>
      <c r="H1086" s="8"/>
      <c r="I1086" s="8"/>
      <c r="J1086" s="8"/>
      <c r="K1086" s="8"/>
      <c r="L1086" s="8"/>
      <c r="M1086" s="8"/>
      <c r="N1086" s="8"/>
      <c r="O1086" s="8"/>
      <c r="P1086" s="8"/>
      <c r="Q1086" s="8"/>
      <c r="R1086" s="8"/>
      <c r="S1086" s="8"/>
      <c r="T1086" s="8"/>
      <c r="U1086" s="8"/>
      <c r="V1086" s="8"/>
      <c r="W1086" s="8"/>
    </row>
    <row r="1087" spans="1:23" ht="15.75" customHeight="1" x14ac:dyDescent="0.25">
      <c r="A1087" s="6" t="s">
        <v>1767</v>
      </c>
      <c r="B1087" s="8"/>
      <c r="C1087" s="8"/>
      <c r="D1087" s="8"/>
      <c r="E1087" s="8"/>
      <c r="F1087" s="8"/>
      <c r="G1087" s="8"/>
      <c r="H1087" s="8"/>
      <c r="I1087" s="8"/>
      <c r="J1087" s="8"/>
      <c r="K1087" s="8"/>
      <c r="L1087" s="8"/>
      <c r="M1087" s="8"/>
      <c r="N1087" s="8"/>
      <c r="O1087" s="8"/>
      <c r="P1087" s="8"/>
      <c r="Q1087" s="8"/>
      <c r="R1087" s="8"/>
      <c r="S1087" s="8"/>
      <c r="T1087" s="8"/>
      <c r="U1087" s="8"/>
      <c r="V1087" s="8"/>
      <c r="W1087" s="8"/>
    </row>
    <row r="1088" spans="1:23" ht="15.75" customHeight="1" x14ac:dyDescent="0.25">
      <c r="A1088" s="6" t="s">
        <v>1767</v>
      </c>
      <c r="B1088" s="8"/>
      <c r="C1088" s="8"/>
      <c r="D1088" s="8"/>
      <c r="E1088" s="8"/>
      <c r="F1088" s="8"/>
      <c r="G1088" s="8"/>
      <c r="H1088" s="8"/>
      <c r="I1088" s="8"/>
      <c r="J1088" s="8"/>
      <c r="K1088" s="8"/>
      <c r="L1088" s="8"/>
      <c r="M1088" s="8"/>
      <c r="N1088" s="8"/>
      <c r="O1088" s="8"/>
      <c r="P1088" s="8"/>
      <c r="Q1088" s="8"/>
      <c r="R1088" s="8"/>
      <c r="S1088" s="8"/>
      <c r="T1088" s="8"/>
      <c r="U1088" s="8"/>
      <c r="V1088" s="8"/>
      <c r="W1088" s="8"/>
    </row>
    <row r="1089" spans="1:23" ht="15.75" customHeight="1" x14ac:dyDescent="0.25">
      <c r="A1089" s="6" t="s">
        <v>1767</v>
      </c>
      <c r="B1089" s="8"/>
      <c r="C1089" s="8"/>
      <c r="D1089" s="8"/>
      <c r="E1089" s="8"/>
      <c r="F1089" s="8"/>
      <c r="G1089" s="8"/>
      <c r="H1089" s="8"/>
      <c r="I1089" s="8"/>
      <c r="J1089" s="8"/>
      <c r="K1089" s="8"/>
      <c r="L1089" s="8"/>
      <c r="M1089" s="8"/>
      <c r="N1089" s="8"/>
      <c r="O1089" s="8"/>
      <c r="P1089" s="8"/>
      <c r="Q1089" s="8"/>
      <c r="R1089" s="8"/>
      <c r="S1089" s="8"/>
      <c r="T1089" s="8"/>
      <c r="U1089" s="8"/>
      <c r="V1089" s="8"/>
      <c r="W1089" s="8"/>
    </row>
    <row r="1090" spans="1:23" ht="15.75" customHeight="1" x14ac:dyDescent="0.25">
      <c r="A1090" s="6" t="s">
        <v>1767</v>
      </c>
      <c r="B1090" s="8"/>
      <c r="C1090" s="8"/>
      <c r="D1090" s="8"/>
      <c r="E1090" s="8"/>
      <c r="F1090" s="8"/>
      <c r="G1090" s="8"/>
      <c r="H1090" s="8"/>
      <c r="I1090" s="8"/>
      <c r="J1090" s="8"/>
      <c r="K1090" s="8"/>
      <c r="L1090" s="8"/>
      <c r="M1090" s="8"/>
      <c r="N1090" s="8"/>
      <c r="O1090" s="8"/>
      <c r="P1090" s="8"/>
      <c r="Q1090" s="8"/>
      <c r="R1090" s="8"/>
      <c r="S1090" s="8"/>
      <c r="T1090" s="8"/>
      <c r="U1090" s="8"/>
      <c r="V1090" s="8"/>
      <c r="W1090" s="8"/>
    </row>
    <row r="1091" spans="1:23" ht="15.75" customHeight="1" x14ac:dyDescent="0.25">
      <c r="A1091" s="6" t="s">
        <v>1767</v>
      </c>
      <c r="B1091" s="8"/>
      <c r="C1091" s="8"/>
      <c r="D1091" s="8"/>
      <c r="E1091" s="8"/>
      <c r="F1091" s="8"/>
      <c r="G1091" s="8"/>
      <c r="H1091" s="8"/>
      <c r="I1091" s="8"/>
      <c r="J1091" s="8"/>
      <c r="K1091" s="8"/>
      <c r="L1091" s="8"/>
      <c r="M1091" s="8"/>
      <c r="N1091" s="8"/>
      <c r="O1091" s="8"/>
      <c r="P1091" s="8"/>
      <c r="Q1091" s="8"/>
      <c r="R1091" s="8"/>
      <c r="S1091" s="8"/>
      <c r="T1091" s="8"/>
      <c r="U1091" s="8"/>
      <c r="V1091" s="8"/>
      <c r="W1091" s="8"/>
    </row>
    <row r="1092" spans="1:23" ht="15.75" customHeight="1" x14ac:dyDescent="0.25">
      <c r="A1092" s="6" t="s">
        <v>1767</v>
      </c>
      <c r="B1092" s="8"/>
      <c r="C1092" s="8"/>
      <c r="D1092" s="8"/>
      <c r="E1092" s="8"/>
      <c r="F1092" s="8"/>
      <c r="G1092" s="8"/>
      <c r="H1092" s="8"/>
      <c r="I1092" s="8"/>
      <c r="J1092" s="8"/>
      <c r="K1092" s="8"/>
      <c r="L1092" s="8"/>
      <c r="M1092" s="8"/>
      <c r="N1092" s="8"/>
      <c r="O1092" s="8"/>
      <c r="P1092" s="8"/>
      <c r="Q1092" s="8"/>
      <c r="R1092" s="8"/>
      <c r="S1092" s="8"/>
      <c r="T1092" s="8"/>
      <c r="U1092" s="8"/>
      <c r="V1092" s="8"/>
      <c r="W1092" s="8"/>
    </row>
    <row r="1093" spans="1:23" ht="15.75" customHeight="1" x14ac:dyDescent="0.25">
      <c r="A1093" s="6" t="s">
        <v>1767</v>
      </c>
      <c r="B1093" s="8"/>
      <c r="C1093" s="8"/>
      <c r="D1093" s="8"/>
      <c r="E1093" s="8"/>
      <c r="F1093" s="8"/>
      <c r="G1093" s="8"/>
      <c r="H1093" s="8"/>
      <c r="I1093" s="8"/>
      <c r="J1093" s="8"/>
      <c r="K1093" s="8"/>
      <c r="L1093" s="8"/>
      <c r="M1093" s="8"/>
      <c r="N1093" s="8"/>
      <c r="O1093" s="8"/>
      <c r="P1093" s="8"/>
      <c r="Q1093" s="8"/>
      <c r="R1093" s="8"/>
      <c r="S1093" s="8"/>
      <c r="T1093" s="8"/>
      <c r="U1093" s="8"/>
      <c r="V1093" s="8"/>
      <c r="W1093" s="8"/>
    </row>
    <row r="1094" spans="1:23" ht="15.75" customHeight="1" x14ac:dyDescent="0.25">
      <c r="A1094" s="6" t="s">
        <v>1767</v>
      </c>
      <c r="B1094" s="8"/>
      <c r="C1094" s="8"/>
      <c r="D1094" s="8"/>
      <c r="E1094" s="8"/>
      <c r="F1094" s="8"/>
      <c r="G1094" s="8"/>
      <c r="H1094" s="8"/>
      <c r="I1094" s="8"/>
      <c r="J1094" s="8"/>
      <c r="K1094" s="8"/>
      <c r="L1094" s="8"/>
      <c r="M1094" s="8"/>
      <c r="N1094" s="8"/>
      <c r="O1094" s="8"/>
      <c r="P1094" s="8"/>
      <c r="Q1094" s="8"/>
      <c r="R1094" s="8"/>
      <c r="S1094" s="8"/>
      <c r="T1094" s="8"/>
      <c r="U1094" s="8"/>
      <c r="V1094" s="8"/>
      <c r="W1094" s="8"/>
    </row>
    <row r="1095" spans="1:23" ht="15.75" customHeight="1" x14ac:dyDescent="0.25">
      <c r="A1095" s="6" t="s">
        <v>1767</v>
      </c>
      <c r="B1095" s="8"/>
      <c r="C1095" s="8"/>
      <c r="D1095" s="8"/>
      <c r="E1095" s="8"/>
      <c r="F1095" s="8"/>
      <c r="G1095" s="8"/>
      <c r="H1095" s="8"/>
      <c r="I1095" s="8"/>
      <c r="J1095" s="8"/>
      <c r="K1095" s="8"/>
      <c r="L1095" s="8"/>
      <c r="M1095" s="8"/>
      <c r="N1095" s="8"/>
      <c r="O1095" s="8"/>
      <c r="P1095" s="8"/>
      <c r="Q1095" s="8"/>
      <c r="R1095" s="8"/>
      <c r="S1095" s="8"/>
      <c r="T1095" s="8"/>
      <c r="U1095" s="8"/>
      <c r="V1095" s="8"/>
      <c r="W1095" s="8"/>
    </row>
    <row r="1096" spans="1:23" ht="15.75" customHeight="1" x14ac:dyDescent="0.25">
      <c r="A1096" s="8" t="s">
        <v>4196</v>
      </c>
      <c r="B1096" s="8"/>
      <c r="C1096" s="8"/>
      <c r="D1096" s="8"/>
      <c r="E1096" s="8"/>
      <c r="F1096" s="8"/>
      <c r="G1096" s="8"/>
      <c r="H1096" s="8"/>
      <c r="I1096" s="8"/>
      <c r="J1096" s="8"/>
      <c r="K1096" s="8"/>
      <c r="L1096" s="8"/>
      <c r="M1096" s="8"/>
      <c r="N1096" s="8"/>
      <c r="O1096" s="8"/>
      <c r="P1096" s="8"/>
      <c r="Q1096" s="8"/>
      <c r="R1096" s="8"/>
      <c r="S1096" s="8"/>
      <c r="T1096" s="8"/>
      <c r="U1096" s="8"/>
      <c r="V1096" s="8"/>
      <c r="W1096" s="8"/>
    </row>
    <row r="1097" spans="1:23" ht="15.75" customHeight="1" x14ac:dyDescent="0.25">
      <c r="A1097" s="6" t="s">
        <v>3878</v>
      </c>
      <c r="B1097" s="8"/>
      <c r="C1097" s="8"/>
      <c r="D1097" s="8"/>
      <c r="E1097" s="8"/>
      <c r="F1097" s="8"/>
      <c r="G1097" s="8"/>
      <c r="H1097" s="8"/>
      <c r="I1097" s="8"/>
      <c r="J1097" s="8"/>
      <c r="K1097" s="8"/>
      <c r="L1097" s="8"/>
      <c r="M1097" s="8"/>
      <c r="N1097" s="8"/>
      <c r="O1097" s="8"/>
      <c r="P1097" s="8"/>
      <c r="Q1097" s="8"/>
      <c r="R1097" s="8"/>
      <c r="S1097" s="8"/>
      <c r="T1097" s="8"/>
      <c r="U1097" s="8"/>
      <c r="V1097" s="8"/>
      <c r="W1097" s="8"/>
    </row>
    <row r="1098" spans="1:23" ht="15.75" customHeight="1" x14ac:dyDescent="0.25">
      <c r="A1098" s="6" t="s">
        <v>3878</v>
      </c>
      <c r="B1098" s="8"/>
      <c r="C1098" s="8"/>
      <c r="D1098" s="8"/>
      <c r="E1098" s="8"/>
      <c r="F1098" s="8"/>
      <c r="G1098" s="8"/>
      <c r="H1098" s="8"/>
      <c r="I1098" s="8"/>
      <c r="J1098" s="8"/>
      <c r="K1098" s="8"/>
      <c r="L1098" s="8"/>
      <c r="M1098" s="8"/>
      <c r="N1098" s="8"/>
      <c r="O1098" s="8"/>
      <c r="P1098" s="8"/>
      <c r="Q1098" s="8"/>
      <c r="R1098" s="8"/>
      <c r="S1098" s="8"/>
      <c r="T1098" s="8"/>
      <c r="U1098" s="8"/>
      <c r="V1098" s="8"/>
      <c r="W1098" s="8"/>
    </row>
    <row r="1099" spans="1:23" ht="15.75" customHeight="1" x14ac:dyDescent="0.25">
      <c r="A1099" s="6" t="s">
        <v>4197</v>
      </c>
      <c r="B1099" s="8"/>
      <c r="C1099" s="8"/>
      <c r="D1099" s="8"/>
      <c r="E1099" s="8"/>
      <c r="F1099" s="8"/>
      <c r="G1099" s="8"/>
      <c r="H1099" s="8"/>
      <c r="I1099" s="8"/>
      <c r="J1099" s="8"/>
      <c r="K1099" s="8"/>
      <c r="L1099" s="8"/>
      <c r="M1099" s="8"/>
      <c r="N1099" s="8"/>
      <c r="O1099" s="8"/>
      <c r="P1099" s="8"/>
      <c r="Q1099" s="8"/>
      <c r="R1099" s="8"/>
      <c r="S1099" s="8"/>
      <c r="T1099" s="8"/>
      <c r="U1099" s="8"/>
      <c r="V1099" s="8"/>
      <c r="W1099" s="8"/>
    </row>
    <row r="1100" spans="1:23" ht="15.75" customHeight="1" x14ac:dyDescent="0.25">
      <c r="A1100" s="6" t="s">
        <v>3883</v>
      </c>
      <c r="B1100" s="8"/>
      <c r="C1100" s="8"/>
      <c r="D1100" s="8"/>
      <c r="E1100" s="8"/>
      <c r="F1100" s="8"/>
      <c r="G1100" s="8"/>
      <c r="H1100" s="8"/>
      <c r="I1100" s="8"/>
      <c r="J1100" s="8"/>
      <c r="K1100" s="8"/>
      <c r="L1100" s="8"/>
      <c r="M1100" s="8"/>
      <c r="N1100" s="8"/>
      <c r="O1100" s="8"/>
      <c r="P1100" s="8"/>
      <c r="Q1100" s="8"/>
      <c r="R1100" s="8"/>
      <c r="S1100" s="8"/>
      <c r="T1100" s="8"/>
      <c r="U1100" s="8"/>
      <c r="V1100" s="8"/>
      <c r="W1100" s="8"/>
    </row>
    <row r="1101" spans="1:23" ht="15.75" customHeight="1" x14ac:dyDescent="0.25">
      <c r="A1101" s="6" t="s">
        <v>3883</v>
      </c>
      <c r="B1101" s="8"/>
      <c r="C1101" s="8"/>
      <c r="D1101" s="8"/>
      <c r="E1101" s="8"/>
      <c r="F1101" s="8"/>
      <c r="G1101" s="8"/>
      <c r="H1101" s="8"/>
      <c r="I1101" s="8"/>
      <c r="J1101" s="8"/>
      <c r="K1101" s="8"/>
      <c r="L1101" s="8"/>
      <c r="M1101" s="8"/>
      <c r="N1101" s="8"/>
      <c r="O1101" s="8"/>
      <c r="P1101" s="8"/>
      <c r="Q1101" s="8"/>
      <c r="R1101" s="8"/>
      <c r="S1101" s="8"/>
      <c r="T1101" s="8"/>
      <c r="U1101" s="8"/>
      <c r="V1101" s="8"/>
      <c r="W1101" s="8"/>
    </row>
    <row r="1102" spans="1:23" ht="15.75" customHeight="1" x14ac:dyDescent="0.25">
      <c r="A1102" s="6" t="s">
        <v>4198</v>
      </c>
      <c r="B1102" s="8"/>
      <c r="C1102" s="8"/>
      <c r="D1102" s="8"/>
      <c r="E1102" s="8"/>
      <c r="F1102" s="8"/>
      <c r="G1102" s="8"/>
      <c r="H1102" s="8"/>
      <c r="I1102" s="8"/>
      <c r="J1102" s="8"/>
      <c r="K1102" s="8"/>
      <c r="L1102" s="8"/>
      <c r="M1102" s="8"/>
      <c r="N1102" s="8"/>
      <c r="O1102" s="8"/>
      <c r="P1102" s="8"/>
      <c r="Q1102" s="8"/>
      <c r="R1102" s="8"/>
      <c r="S1102" s="8"/>
      <c r="T1102" s="8"/>
      <c r="U1102" s="8"/>
      <c r="V1102" s="8"/>
      <c r="W1102" s="8"/>
    </row>
    <row r="1103" spans="1:23" ht="15.75" customHeight="1" x14ac:dyDescent="0.25">
      <c r="A1103" s="6" t="s">
        <v>4199</v>
      </c>
      <c r="B1103" s="8"/>
      <c r="C1103" s="8"/>
      <c r="D1103" s="8"/>
      <c r="E1103" s="8"/>
      <c r="F1103" s="8"/>
      <c r="G1103" s="8"/>
      <c r="H1103" s="8"/>
      <c r="I1103" s="8"/>
      <c r="J1103" s="8"/>
      <c r="K1103" s="8"/>
      <c r="L1103" s="8"/>
      <c r="M1103" s="8"/>
      <c r="N1103" s="8"/>
      <c r="O1103" s="8"/>
      <c r="P1103" s="8"/>
      <c r="Q1103" s="8"/>
      <c r="R1103" s="8"/>
      <c r="S1103" s="8"/>
      <c r="T1103" s="8"/>
      <c r="U1103" s="8"/>
      <c r="V1103" s="8"/>
      <c r="W1103" s="8"/>
    </row>
    <row r="1104" spans="1:23" ht="15.75" customHeight="1" x14ac:dyDescent="0.25">
      <c r="A1104" s="6" t="s">
        <v>3353</v>
      </c>
      <c r="B1104" s="8"/>
      <c r="C1104" s="8"/>
      <c r="D1104" s="8"/>
      <c r="E1104" s="8"/>
      <c r="F1104" s="8"/>
      <c r="G1104" s="8"/>
      <c r="H1104" s="8"/>
      <c r="I1104" s="8"/>
      <c r="J1104" s="8"/>
      <c r="K1104" s="8"/>
      <c r="L1104" s="8"/>
      <c r="M1104" s="8"/>
      <c r="N1104" s="8"/>
      <c r="O1104" s="8"/>
      <c r="P1104" s="8"/>
      <c r="Q1104" s="8"/>
      <c r="R1104" s="8"/>
      <c r="S1104" s="8"/>
      <c r="T1104" s="8"/>
      <c r="U1104" s="8"/>
      <c r="V1104" s="8"/>
      <c r="W1104" s="8"/>
    </row>
    <row r="1105" spans="1:23" ht="15.75" customHeight="1" x14ac:dyDescent="0.25">
      <c r="A1105" s="6" t="s">
        <v>3353</v>
      </c>
      <c r="B1105" s="8"/>
      <c r="C1105" s="8"/>
      <c r="D1105" s="8"/>
      <c r="E1105" s="8"/>
      <c r="F1105" s="8"/>
      <c r="G1105" s="8"/>
      <c r="H1105" s="8"/>
      <c r="I1105" s="8"/>
      <c r="J1105" s="8"/>
      <c r="K1105" s="8"/>
      <c r="L1105" s="8"/>
      <c r="M1105" s="8"/>
      <c r="N1105" s="8"/>
      <c r="O1105" s="8"/>
      <c r="P1105" s="8"/>
      <c r="Q1105" s="8"/>
      <c r="R1105" s="8"/>
      <c r="S1105" s="8"/>
      <c r="T1105" s="8"/>
      <c r="U1105" s="8"/>
      <c r="V1105" s="8"/>
      <c r="W1105" s="8"/>
    </row>
    <row r="1106" spans="1:23" ht="15.75" customHeight="1" x14ac:dyDescent="0.25">
      <c r="A1106" s="6" t="s">
        <v>3353</v>
      </c>
      <c r="B1106" s="8"/>
      <c r="C1106" s="8"/>
      <c r="D1106" s="8"/>
      <c r="E1106" s="8"/>
      <c r="F1106" s="8"/>
      <c r="G1106" s="8"/>
      <c r="H1106" s="8"/>
      <c r="I1106" s="8"/>
      <c r="J1106" s="8"/>
      <c r="K1106" s="8"/>
      <c r="L1106" s="8"/>
      <c r="M1106" s="8"/>
      <c r="N1106" s="8"/>
      <c r="O1106" s="8"/>
      <c r="P1106" s="8"/>
      <c r="Q1106" s="8"/>
      <c r="R1106" s="8"/>
      <c r="S1106" s="8"/>
      <c r="T1106" s="8"/>
      <c r="U1106" s="8"/>
      <c r="V1106" s="8"/>
      <c r="W1106" s="8"/>
    </row>
    <row r="1107" spans="1:23" ht="15.75" customHeight="1" x14ac:dyDescent="0.25">
      <c r="A1107" s="6" t="s">
        <v>3353</v>
      </c>
      <c r="B1107" s="8"/>
      <c r="C1107" s="8"/>
      <c r="D1107" s="8"/>
      <c r="E1107" s="8"/>
      <c r="F1107" s="8"/>
      <c r="G1107" s="8"/>
      <c r="H1107" s="8"/>
      <c r="I1107" s="8"/>
      <c r="J1107" s="8"/>
      <c r="K1107" s="8"/>
      <c r="L1107" s="8"/>
      <c r="M1107" s="8"/>
      <c r="N1107" s="8"/>
      <c r="O1107" s="8"/>
      <c r="P1107" s="8"/>
      <c r="Q1107" s="8"/>
      <c r="R1107" s="8"/>
      <c r="S1107" s="8"/>
      <c r="T1107" s="8"/>
      <c r="U1107" s="8"/>
      <c r="V1107" s="8"/>
      <c r="W1107" s="8"/>
    </row>
    <row r="1108" spans="1:23" ht="15.75" customHeight="1" x14ac:dyDescent="0.25">
      <c r="A1108" s="6" t="s">
        <v>3353</v>
      </c>
      <c r="B1108" s="8"/>
      <c r="C1108" s="8"/>
      <c r="D1108" s="8"/>
      <c r="E1108" s="8"/>
      <c r="F1108" s="8"/>
      <c r="G1108" s="8"/>
      <c r="H1108" s="8"/>
      <c r="I1108" s="8"/>
      <c r="J1108" s="8"/>
      <c r="K1108" s="8"/>
      <c r="L1108" s="8"/>
      <c r="M1108" s="8"/>
      <c r="N1108" s="8"/>
      <c r="O1108" s="8"/>
      <c r="P1108" s="8"/>
      <c r="Q1108" s="8"/>
      <c r="R1108" s="8"/>
      <c r="S1108" s="8"/>
      <c r="T1108" s="8"/>
      <c r="U1108" s="8"/>
      <c r="V1108" s="8"/>
      <c r="W1108" s="8"/>
    </row>
    <row r="1109" spans="1:23" ht="15.75" customHeight="1" x14ac:dyDescent="0.25">
      <c r="A1109" s="6" t="s">
        <v>3353</v>
      </c>
      <c r="B1109" s="8"/>
      <c r="C1109" s="8"/>
      <c r="D1109" s="8"/>
      <c r="E1109" s="8"/>
      <c r="F1109" s="8"/>
      <c r="G1109" s="8"/>
      <c r="H1109" s="8"/>
      <c r="I1109" s="8"/>
      <c r="J1109" s="8"/>
      <c r="K1109" s="8"/>
      <c r="L1109" s="8"/>
      <c r="M1109" s="8"/>
      <c r="N1109" s="8"/>
      <c r="O1109" s="8"/>
      <c r="P1109" s="8"/>
      <c r="Q1109" s="8"/>
      <c r="R1109" s="8"/>
      <c r="S1109" s="8"/>
      <c r="T1109" s="8"/>
      <c r="U1109" s="8"/>
      <c r="V1109" s="8"/>
      <c r="W1109" s="8"/>
    </row>
    <row r="1110" spans="1:23" ht="15.75" customHeight="1" x14ac:dyDescent="0.25">
      <c r="A1110" s="6" t="s">
        <v>3353</v>
      </c>
      <c r="B1110" s="8"/>
      <c r="C1110" s="8"/>
      <c r="D1110" s="8"/>
      <c r="E1110" s="8"/>
      <c r="F1110" s="8"/>
      <c r="G1110" s="8"/>
      <c r="H1110" s="8"/>
      <c r="I1110" s="8"/>
      <c r="J1110" s="8"/>
      <c r="K1110" s="8"/>
      <c r="L1110" s="8"/>
      <c r="M1110" s="8"/>
      <c r="N1110" s="8"/>
      <c r="O1110" s="8"/>
      <c r="P1110" s="8"/>
      <c r="Q1110" s="8"/>
      <c r="R1110" s="8"/>
      <c r="S1110" s="8"/>
      <c r="T1110" s="8"/>
      <c r="U1110" s="8"/>
      <c r="V1110" s="8"/>
      <c r="W1110" s="8"/>
    </row>
    <row r="1111" spans="1:23" ht="15.75" customHeight="1" x14ac:dyDescent="0.25">
      <c r="A1111" s="6" t="s">
        <v>3353</v>
      </c>
      <c r="B1111" s="8"/>
      <c r="C1111" s="8"/>
      <c r="D1111" s="8"/>
      <c r="E1111" s="8"/>
      <c r="F1111" s="8"/>
      <c r="G1111" s="8"/>
      <c r="H1111" s="8"/>
      <c r="I1111" s="8"/>
      <c r="J1111" s="8"/>
      <c r="K1111" s="8"/>
      <c r="L1111" s="8"/>
      <c r="M1111" s="8"/>
      <c r="N1111" s="8"/>
      <c r="O1111" s="8"/>
      <c r="P1111" s="8"/>
      <c r="Q1111" s="8"/>
      <c r="R1111" s="8"/>
      <c r="S1111" s="8"/>
      <c r="T1111" s="8"/>
      <c r="U1111" s="8"/>
      <c r="V1111" s="8"/>
      <c r="W1111" s="8"/>
    </row>
    <row r="1112" spans="1:23" ht="15.75" customHeight="1" x14ac:dyDescent="0.25">
      <c r="A1112" s="6" t="s">
        <v>3353</v>
      </c>
      <c r="B1112" s="8"/>
      <c r="C1112" s="8"/>
      <c r="D1112" s="8"/>
      <c r="E1112" s="8"/>
      <c r="F1112" s="8"/>
      <c r="G1112" s="8"/>
      <c r="H1112" s="8"/>
      <c r="I1112" s="8"/>
      <c r="J1112" s="8"/>
      <c r="K1112" s="8"/>
      <c r="L1112" s="8"/>
      <c r="M1112" s="8"/>
      <c r="N1112" s="8"/>
      <c r="O1112" s="8"/>
      <c r="P1112" s="8"/>
      <c r="Q1112" s="8"/>
      <c r="R1112" s="8"/>
      <c r="S1112" s="8"/>
      <c r="T1112" s="8"/>
      <c r="U1112" s="8"/>
      <c r="V1112" s="8"/>
      <c r="W1112" s="8"/>
    </row>
    <row r="1113" spans="1:23" ht="15.75" customHeight="1" x14ac:dyDescent="0.25">
      <c r="A1113" s="6" t="s">
        <v>3353</v>
      </c>
      <c r="B1113" s="8"/>
      <c r="C1113" s="8"/>
      <c r="D1113" s="8"/>
      <c r="E1113" s="8"/>
      <c r="F1113" s="8"/>
      <c r="G1113" s="8"/>
      <c r="H1113" s="8"/>
      <c r="I1113" s="8"/>
      <c r="J1113" s="8"/>
      <c r="K1113" s="8"/>
      <c r="L1113" s="8"/>
      <c r="M1113" s="8"/>
      <c r="N1113" s="8"/>
      <c r="O1113" s="8"/>
      <c r="P1113" s="8"/>
      <c r="Q1113" s="8"/>
      <c r="R1113" s="8"/>
      <c r="S1113" s="8"/>
      <c r="T1113" s="8"/>
      <c r="U1113" s="8"/>
      <c r="V1113" s="8"/>
      <c r="W1113" s="8"/>
    </row>
    <row r="1114" spans="1:23" ht="15.75" customHeight="1" x14ac:dyDescent="0.25">
      <c r="A1114" s="6" t="s">
        <v>3353</v>
      </c>
      <c r="B1114" s="8"/>
      <c r="C1114" s="8"/>
      <c r="D1114" s="8"/>
      <c r="E1114" s="8"/>
      <c r="F1114" s="8"/>
      <c r="G1114" s="8"/>
      <c r="H1114" s="8"/>
      <c r="I1114" s="8"/>
      <c r="J1114" s="8"/>
      <c r="K1114" s="8"/>
      <c r="L1114" s="8"/>
      <c r="M1114" s="8"/>
      <c r="N1114" s="8"/>
      <c r="O1114" s="8"/>
      <c r="P1114" s="8"/>
      <c r="Q1114" s="8"/>
      <c r="R1114" s="8"/>
      <c r="S1114" s="8"/>
      <c r="T1114" s="8"/>
      <c r="U1114" s="8"/>
      <c r="V1114" s="8"/>
      <c r="W1114" s="8"/>
    </row>
    <row r="1115" spans="1:23" ht="15.75" customHeight="1" x14ac:dyDescent="0.25">
      <c r="A1115" s="6" t="s">
        <v>3353</v>
      </c>
      <c r="B1115" s="8"/>
      <c r="C1115" s="8"/>
      <c r="D1115" s="8"/>
      <c r="E1115" s="8"/>
      <c r="F1115" s="8"/>
      <c r="G1115" s="8"/>
      <c r="H1115" s="8"/>
      <c r="I1115" s="8"/>
      <c r="J1115" s="8"/>
      <c r="K1115" s="8"/>
      <c r="L1115" s="8"/>
      <c r="M1115" s="8"/>
      <c r="N1115" s="8"/>
      <c r="O1115" s="8"/>
      <c r="P1115" s="8"/>
      <c r="Q1115" s="8"/>
      <c r="R1115" s="8"/>
      <c r="S1115" s="8"/>
      <c r="T1115" s="8"/>
      <c r="U1115" s="8"/>
      <c r="V1115" s="8"/>
      <c r="W1115" s="8"/>
    </row>
    <row r="1116" spans="1:23" ht="15.75" customHeight="1" x14ac:dyDescent="0.25">
      <c r="A1116" s="6" t="s">
        <v>4200</v>
      </c>
      <c r="B1116" s="8"/>
      <c r="C1116" s="8"/>
      <c r="D1116" s="8"/>
      <c r="E1116" s="8"/>
      <c r="F1116" s="8"/>
      <c r="G1116" s="8"/>
      <c r="H1116" s="8"/>
      <c r="I1116" s="8"/>
      <c r="J1116" s="8"/>
      <c r="K1116" s="8"/>
      <c r="L1116" s="8"/>
      <c r="M1116" s="8"/>
      <c r="N1116" s="8"/>
      <c r="O1116" s="8"/>
      <c r="P1116" s="8"/>
      <c r="Q1116" s="8"/>
      <c r="R1116" s="8"/>
      <c r="S1116" s="8"/>
      <c r="T1116" s="8"/>
      <c r="U1116" s="8"/>
      <c r="V1116" s="8"/>
      <c r="W1116" s="8"/>
    </row>
    <row r="1117" spans="1:23" ht="15.75" customHeight="1" x14ac:dyDescent="0.25">
      <c r="A1117" s="6" t="s">
        <v>4201</v>
      </c>
      <c r="B1117" s="8"/>
      <c r="C1117" s="8"/>
      <c r="D1117" s="8"/>
      <c r="E1117" s="8"/>
      <c r="F1117" s="8"/>
      <c r="G1117" s="8"/>
      <c r="H1117" s="8"/>
      <c r="I1117" s="8"/>
      <c r="J1117" s="8"/>
      <c r="K1117" s="8"/>
      <c r="L1117" s="8"/>
      <c r="M1117" s="8"/>
      <c r="N1117" s="8"/>
      <c r="O1117" s="8"/>
      <c r="P1117" s="8"/>
      <c r="Q1117" s="8"/>
      <c r="R1117" s="8"/>
      <c r="S1117" s="8"/>
      <c r="T1117" s="8"/>
      <c r="U1117" s="8"/>
      <c r="V1117" s="8"/>
      <c r="W1117" s="8"/>
    </row>
    <row r="1118" spans="1:23" ht="15.75" customHeight="1" x14ac:dyDescent="0.25">
      <c r="A1118" s="6" t="s">
        <v>4202</v>
      </c>
      <c r="B1118" s="8"/>
      <c r="C1118" s="8"/>
      <c r="D1118" s="8"/>
      <c r="E1118" s="8"/>
      <c r="F1118" s="8"/>
      <c r="G1118" s="8"/>
      <c r="H1118" s="8"/>
      <c r="I1118" s="8"/>
      <c r="J1118" s="8"/>
      <c r="K1118" s="8"/>
      <c r="L1118" s="8"/>
      <c r="M1118" s="8"/>
      <c r="N1118" s="8"/>
      <c r="O1118" s="8"/>
      <c r="P1118" s="8"/>
      <c r="Q1118" s="8"/>
      <c r="R1118" s="8"/>
      <c r="S1118" s="8"/>
      <c r="T1118" s="8"/>
      <c r="U1118" s="8"/>
      <c r="V1118" s="8"/>
      <c r="W1118" s="8"/>
    </row>
    <row r="1119" spans="1:23" ht="15.75" customHeight="1" x14ac:dyDescent="0.25">
      <c r="A1119" s="6" t="s">
        <v>4203</v>
      </c>
      <c r="B1119" s="8"/>
      <c r="C1119" s="8"/>
      <c r="D1119" s="8"/>
      <c r="E1119" s="8"/>
      <c r="F1119" s="8"/>
      <c r="G1119" s="8"/>
      <c r="H1119" s="8"/>
      <c r="I1119" s="8"/>
      <c r="J1119" s="8"/>
      <c r="K1119" s="8"/>
      <c r="L1119" s="8"/>
      <c r="M1119" s="8"/>
      <c r="N1119" s="8"/>
      <c r="O1119" s="8"/>
      <c r="P1119" s="8"/>
      <c r="Q1119" s="8"/>
      <c r="R1119" s="8"/>
      <c r="S1119" s="8"/>
      <c r="T1119" s="8"/>
      <c r="U1119" s="8"/>
      <c r="V1119" s="8"/>
      <c r="W1119" s="8"/>
    </row>
    <row r="1120" spans="1:23" ht="15.75" customHeight="1" x14ac:dyDescent="0.25">
      <c r="A1120" s="6" t="s">
        <v>4204</v>
      </c>
      <c r="B1120" s="8"/>
      <c r="C1120" s="8"/>
      <c r="D1120" s="8"/>
      <c r="E1120" s="8"/>
      <c r="F1120" s="8"/>
      <c r="G1120" s="8"/>
      <c r="H1120" s="8"/>
      <c r="I1120" s="8"/>
      <c r="J1120" s="8"/>
      <c r="K1120" s="8"/>
      <c r="L1120" s="8"/>
      <c r="M1120" s="8"/>
      <c r="N1120" s="8"/>
      <c r="O1120" s="8"/>
      <c r="P1120" s="8"/>
      <c r="Q1120" s="8"/>
      <c r="R1120" s="8"/>
      <c r="S1120" s="8"/>
      <c r="T1120" s="8"/>
      <c r="U1120" s="8"/>
      <c r="V1120" s="8"/>
      <c r="W1120" s="8"/>
    </row>
    <row r="1121" spans="1:23" ht="15.75" customHeight="1" x14ac:dyDescent="0.25">
      <c r="A1121" s="6" t="s">
        <v>3618</v>
      </c>
      <c r="B1121" s="8"/>
      <c r="C1121" s="8"/>
      <c r="D1121" s="8"/>
      <c r="E1121" s="8"/>
      <c r="F1121" s="8"/>
      <c r="G1121" s="8"/>
      <c r="H1121" s="8"/>
      <c r="I1121" s="8"/>
      <c r="J1121" s="8"/>
      <c r="K1121" s="8"/>
      <c r="L1121" s="8"/>
      <c r="M1121" s="8"/>
      <c r="N1121" s="8"/>
      <c r="O1121" s="8"/>
      <c r="P1121" s="8"/>
      <c r="Q1121" s="8"/>
      <c r="R1121" s="8"/>
      <c r="S1121" s="8"/>
      <c r="T1121" s="8"/>
      <c r="U1121" s="8"/>
      <c r="V1121" s="8"/>
      <c r="W1121" s="8"/>
    </row>
    <row r="1122" spans="1:23" ht="15.75" customHeight="1" x14ac:dyDescent="0.25">
      <c r="A1122" s="6" t="s">
        <v>3618</v>
      </c>
      <c r="B1122" s="8"/>
      <c r="C1122" s="8"/>
      <c r="D1122" s="8"/>
      <c r="E1122" s="8"/>
      <c r="F1122" s="8"/>
      <c r="G1122" s="8"/>
      <c r="H1122" s="8"/>
      <c r="I1122" s="8"/>
      <c r="J1122" s="8"/>
      <c r="K1122" s="8"/>
      <c r="L1122" s="8"/>
      <c r="M1122" s="8"/>
      <c r="N1122" s="8"/>
      <c r="O1122" s="8"/>
      <c r="P1122" s="8"/>
      <c r="Q1122" s="8"/>
      <c r="R1122" s="8"/>
      <c r="S1122" s="8"/>
      <c r="T1122" s="8"/>
      <c r="U1122" s="8"/>
      <c r="V1122" s="8"/>
      <c r="W1122" s="8"/>
    </row>
    <row r="1123" spans="1:23" ht="15.75" customHeight="1" x14ac:dyDescent="0.25">
      <c r="A1123" s="6" t="s">
        <v>3618</v>
      </c>
      <c r="B1123" s="8"/>
      <c r="C1123" s="8"/>
      <c r="D1123" s="8"/>
      <c r="E1123" s="8"/>
      <c r="F1123" s="8"/>
      <c r="G1123" s="8"/>
      <c r="H1123" s="8"/>
      <c r="I1123" s="8"/>
      <c r="J1123" s="8"/>
      <c r="K1123" s="8"/>
      <c r="L1123" s="8"/>
      <c r="M1123" s="8"/>
      <c r="N1123" s="8"/>
      <c r="O1123" s="8"/>
      <c r="P1123" s="8"/>
      <c r="Q1123" s="8"/>
      <c r="R1123" s="8"/>
      <c r="S1123" s="8"/>
      <c r="T1123" s="8"/>
      <c r="U1123" s="8"/>
      <c r="V1123" s="8"/>
      <c r="W1123" s="8"/>
    </row>
    <row r="1124" spans="1:23" ht="15.75" customHeight="1" x14ac:dyDescent="0.25">
      <c r="A1124" s="6" t="s">
        <v>3618</v>
      </c>
      <c r="B1124" s="8"/>
      <c r="C1124" s="8"/>
      <c r="D1124" s="8"/>
      <c r="E1124" s="8"/>
      <c r="F1124" s="8"/>
      <c r="G1124" s="8"/>
      <c r="H1124" s="8"/>
      <c r="I1124" s="8"/>
      <c r="J1124" s="8"/>
      <c r="K1124" s="8"/>
      <c r="L1124" s="8"/>
      <c r="M1124" s="8"/>
      <c r="N1124" s="8"/>
      <c r="O1124" s="8"/>
      <c r="P1124" s="8"/>
      <c r="Q1124" s="8"/>
      <c r="R1124" s="8"/>
      <c r="S1124" s="8"/>
      <c r="T1124" s="8"/>
      <c r="U1124" s="8"/>
      <c r="V1124" s="8"/>
      <c r="W1124" s="8"/>
    </row>
    <row r="1125" spans="1:23" ht="15.75" customHeight="1" x14ac:dyDescent="0.25">
      <c r="A1125" s="6" t="s">
        <v>3887</v>
      </c>
      <c r="B1125" s="8"/>
      <c r="C1125" s="8"/>
      <c r="D1125" s="8"/>
      <c r="E1125" s="8"/>
      <c r="F1125" s="8"/>
      <c r="G1125" s="8"/>
      <c r="H1125" s="8"/>
      <c r="I1125" s="8"/>
      <c r="J1125" s="8"/>
      <c r="K1125" s="8"/>
      <c r="L1125" s="8"/>
      <c r="M1125" s="8"/>
      <c r="N1125" s="8"/>
      <c r="O1125" s="8"/>
      <c r="P1125" s="8"/>
      <c r="Q1125" s="8"/>
      <c r="R1125" s="8"/>
      <c r="S1125" s="8"/>
      <c r="T1125" s="8"/>
      <c r="U1125" s="8"/>
      <c r="V1125" s="8"/>
      <c r="W1125" s="8"/>
    </row>
    <row r="1126" spans="1:23" ht="15.75" customHeight="1" x14ac:dyDescent="0.25">
      <c r="A1126" s="6" t="s">
        <v>3887</v>
      </c>
      <c r="B1126" s="8"/>
      <c r="C1126" s="8"/>
      <c r="D1126" s="8"/>
      <c r="E1126" s="8"/>
      <c r="F1126" s="8"/>
      <c r="G1126" s="8"/>
      <c r="H1126" s="8"/>
      <c r="I1126" s="8"/>
      <c r="J1126" s="8"/>
      <c r="K1126" s="8"/>
      <c r="L1126" s="8"/>
      <c r="M1126" s="8"/>
      <c r="N1126" s="8"/>
      <c r="O1126" s="8"/>
      <c r="P1126" s="8"/>
      <c r="Q1126" s="8"/>
      <c r="R1126" s="8"/>
      <c r="S1126" s="8"/>
      <c r="T1126" s="8"/>
      <c r="U1126" s="8"/>
      <c r="V1126" s="8"/>
      <c r="W1126" s="8"/>
    </row>
    <row r="1127" spans="1:23" ht="15.75" customHeight="1" x14ac:dyDescent="0.25">
      <c r="A1127" s="6" t="s">
        <v>4205</v>
      </c>
      <c r="B1127" s="8"/>
      <c r="C1127" s="8"/>
      <c r="D1127" s="8"/>
      <c r="E1127" s="8"/>
      <c r="F1127" s="8"/>
      <c r="G1127" s="8"/>
      <c r="H1127" s="8"/>
      <c r="I1127" s="8"/>
      <c r="J1127" s="8"/>
      <c r="K1127" s="8"/>
      <c r="L1127" s="8"/>
      <c r="M1127" s="8"/>
      <c r="N1127" s="8"/>
      <c r="O1127" s="8"/>
      <c r="P1127" s="8"/>
      <c r="Q1127" s="8"/>
      <c r="R1127" s="8"/>
      <c r="S1127" s="8"/>
      <c r="T1127" s="8"/>
      <c r="U1127" s="8"/>
      <c r="V1127" s="8"/>
      <c r="W1127" s="8"/>
    </row>
    <row r="1128" spans="1:23" ht="15.75" customHeight="1" x14ac:dyDescent="0.25">
      <c r="A1128" s="6" t="s">
        <v>4206</v>
      </c>
      <c r="B1128" s="8"/>
      <c r="C1128" s="8"/>
      <c r="D1128" s="8"/>
      <c r="E1128" s="8"/>
      <c r="F1128" s="8"/>
      <c r="G1128" s="8"/>
      <c r="H1128" s="8"/>
      <c r="I1128" s="8"/>
      <c r="J1128" s="8"/>
      <c r="K1128" s="8"/>
      <c r="L1128" s="8"/>
      <c r="M1128" s="8"/>
      <c r="N1128" s="8"/>
      <c r="O1128" s="8"/>
      <c r="P1128" s="8"/>
      <c r="Q1128" s="8"/>
      <c r="R1128" s="8"/>
      <c r="S1128" s="8"/>
      <c r="T1128" s="8"/>
      <c r="U1128" s="8"/>
      <c r="V1128" s="8"/>
      <c r="W1128" s="8"/>
    </row>
    <row r="1129" spans="1:23" ht="15.75" customHeight="1" x14ac:dyDescent="0.25">
      <c r="A1129" s="6" t="s">
        <v>3890</v>
      </c>
      <c r="B1129" s="8"/>
      <c r="C1129" s="8"/>
      <c r="D1129" s="8"/>
      <c r="E1129" s="8"/>
      <c r="F1129" s="8"/>
      <c r="G1129" s="8"/>
      <c r="H1129" s="8"/>
      <c r="I1129" s="8"/>
      <c r="J1129" s="8"/>
      <c r="K1129" s="8"/>
      <c r="L1129" s="8"/>
      <c r="M1129" s="8"/>
      <c r="N1129" s="8"/>
      <c r="O1129" s="8"/>
      <c r="P1129" s="8"/>
      <c r="Q1129" s="8"/>
      <c r="R1129" s="8"/>
      <c r="S1129" s="8"/>
      <c r="T1129" s="8"/>
      <c r="U1129" s="8"/>
      <c r="V1129" s="8"/>
      <c r="W1129" s="8"/>
    </row>
    <row r="1130" spans="1:23" ht="15.75" customHeight="1" x14ac:dyDescent="0.25">
      <c r="A1130" s="6" t="s">
        <v>3890</v>
      </c>
      <c r="B1130" s="8"/>
      <c r="C1130" s="8"/>
      <c r="D1130" s="8"/>
      <c r="E1130" s="8"/>
      <c r="F1130" s="8"/>
      <c r="G1130" s="8"/>
      <c r="H1130" s="8"/>
      <c r="I1130" s="8"/>
      <c r="J1130" s="8"/>
      <c r="K1130" s="8"/>
      <c r="L1130" s="8"/>
      <c r="M1130" s="8"/>
      <c r="N1130" s="8"/>
      <c r="O1130" s="8"/>
      <c r="P1130" s="8"/>
      <c r="Q1130" s="8"/>
      <c r="R1130" s="8"/>
      <c r="S1130" s="8"/>
      <c r="T1130" s="8"/>
      <c r="U1130" s="8"/>
      <c r="V1130" s="8"/>
      <c r="W1130" s="8"/>
    </row>
    <row r="1131" spans="1:23" ht="15.75" customHeight="1" x14ac:dyDescent="0.25">
      <c r="A1131" s="6" t="s">
        <v>4207</v>
      </c>
      <c r="B1131" s="8"/>
      <c r="C1131" s="8"/>
      <c r="D1131" s="8"/>
      <c r="E1131" s="8"/>
      <c r="F1131" s="8"/>
      <c r="G1131" s="8"/>
      <c r="H1131" s="8"/>
      <c r="I1131" s="8"/>
      <c r="J1131" s="8"/>
      <c r="K1131" s="8"/>
      <c r="L1131" s="8"/>
      <c r="M1131" s="8"/>
      <c r="N1131" s="8"/>
      <c r="O1131" s="8"/>
      <c r="P1131" s="8"/>
      <c r="Q1131" s="8"/>
      <c r="R1131" s="8"/>
      <c r="S1131" s="8"/>
      <c r="T1131" s="8"/>
      <c r="U1131" s="8"/>
      <c r="V1131" s="8"/>
      <c r="W1131" s="8"/>
    </row>
    <row r="1132" spans="1:23" ht="15.75" customHeight="1" x14ac:dyDescent="0.25">
      <c r="A1132" s="6" t="s">
        <v>4208</v>
      </c>
      <c r="B1132" s="8"/>
      <c r="C1132" s="8"/>
      <c r="D1132" s="8"/>
      <c r="E1132" s="8"/>
      <c r="F1132" s="8"/>
      <c r="G1132" s="8"/>
      <c r="H1132" s="8"/>
      <c r="I1132" s="8"/>
      <c r="J1132" s="8"/>
      <c r="K1132" s="8"/>
      <c r="L1132" s="8"/>
      <c r="M1132" s="8"/>
      <c r="N1132" s="8"/>
      <c r="O1132" s="8"/>
      <c r="P1132" s="8"/>
      <c r="Q1132" s="8"/>
      <c r="R1132" s="8"/>
      <c r="S1132" s="8"/>
      <c r="T1132" s="8"/>
      <c r="U1132" s="8"/>
      <c r="V1132" s="8"/>
      <c r="W1132" s="8"/>
    </row>
    <row r="1133" spans="1:23" ht="15.75" customHeight="1" x14ac:dyDescent="0.25">
      <c r="A1133" s="6" t="s">
        <v>3893</v>
      </c>
      <c r="B1133" s="8"/>
      <c r="C1133" s="8"/>
      <c r="D1133" s="8"/>
      <c r="E1133" s="8"/>
      <c r="F1133" s="8"/>
      <c r="G1133" s="8"/>
      <c r="H1133" s="8"/>
      <c r="I1133" s="8"/>
      <c r="J1133" s="8"/>
      <c r="K1133" s="8"/>
      <c r="L1133" s="8"/>
      <c r="M1133" s="8"/>
      <c r="N1133" s="8"/>
      <c r="O1133" s="8"/>
      <c r="P1133" s="8"/>
      <c r="Q1133" s="8"/>
      <c r="R1133" s="8"/>
      <c r="S1133" s="8"/>
      <c r="T1133" s="8"/>
      <c r="U1133" s="8"/>
      <c r="V1133" s="8"/>
      <c r="W1133" s="8"/>
    </row>
    <row r="1134" spans="1:23" ht="15.75" customHeight="1" x14ac:dyDescent="0.25">
      <c r="A1134" s="6" t="s">
        <v>3893</v>
      </c>
      <c r="B1134" s="8"/>
      <c r="C1134" s="8"/>
      <c r="D1134" s="8"/>
      <c r="E1134" s="8"/>
      <c r="F1134" s="8"/>
      <c r="G1134" s="8"/>
      <c r="H1134" s="8"/>
      <c r="I1134" s="8"/>
      <c r="J1134" s="8"/>
      <c r="K1134" s="8"/>
      <c r="L1134" s="8"/>
      <c r="M1134" s="8"/>
      <c r="N1134" s="8"/>
      <c r="O1134" s="8"/>
      <c r="P1134" s="8"/>
      <c r="Q1134" s="8"/>
      <c r="R1134" s="8"/>
      <c r="S1134" s="8"/>
      <c r="T1134" s="8"/>
      <c r="U1134" s="8"/>
      <c r="V1134" s="8"/>
      <c r="W1134" s="8"/>
    </row>
    <row r="1135" spans="1:23" ht="15.75" customHeight="1" x14ac:dyDescent="0.25">
      <c r="A1135" s="6" t="s">
        <v>3624</v>
      </c>
      <c r="B1135" s="8"/>
      <c r="C1135" s="8"/>
      <c r="D1135" s="8"/>
      <c r="E1135" s="8"/>
      <c r="F1135" s="8"/>
      <c r="G1135" s="8"/>
      <c r="H1135" s="8"/>
      <c r="I1135" s="8"/>
      <c r="J1135" s="8"/>
      <c r="K1135" s="8"/>
      <c r="L1135" s="8"/>
      <c r="M1135" s="8"/>
      <c r="N1135" s="8"/>
      <c r="O1135" s="8"/>
      <c r="P1135" s="8"/>
      <c r="Q1135" s="8"/>
      <c r="R1135" s="8"/>
      <c r="S1135" s="8"/>
      <c r="T1135" s="8"/>
      <c r="U1135" s="8"/>
      <c r="V1135" s="8"/>
      <c r="W1135" s="8"/>
    </row>
    <row r="1136" spans="1:23" ht="15.75" customHeight="1" x14ac:dyDescent="0.25">
      <c r="A1136" s="6" t="s">
        <v>3624</v>
      </c>
      <c r="B1136" s="8"/>
      <c r="C1136" s="8"/>
      <c r="D1136" s="8"/>
      <c r="E1136" s="8"/>
      <c r="F1136" s="8"/>
      <c r="G1136" s="8"/>
      <c r="H1136" s="8"/>
      <c r="I1136" s="8"/>
      <c r="J1136" s="8"/>
      <c r="K1136" s="8"/>
      <c r="L1136" s="8"/>
      <c r="M1136" s="8"/>
      <c r="N1136" s="8"/>
      <c r="O1136" s="8"/>
      <c r="P1136" s="8"/>
      <c r="Q1136" s="8"/>
      <c r="R1136" s="8"/>
      <c r="S1136" s="8"/>
      <c r="T1136" s="8"/>
      <c r="U1136" s="8"/>
      <c r="V1136" s="8"/>
      <c r="W1136" s="8"/>
    </row>
    <row r="1137" spans="1:23" ht="15.75" customHeight="1" x14ac:dyDescent="0.25">
      <c r="A1137" s="6" t="s">
        <v>3624</v>
      </c>
      <c r="B1137" s="8"/>
      <c r="C1137" s="8"/>
      <c r="D1137" s="8"/>
      <c r="E1137" s="8"/>
      <c r="F1137" s="8"/>
      <c r="G1137" s="8"/>
      <c r="H1137" s="8"/>
      <c r="I1137" s="8"/>
      <c r="J1137" s="8"/>
      <c r="K1137" s="8"/>
      <c r="L1137" s="8"/>
      <c r="M1137" s="8"/>
      <c r="N1137" s="8"/>
      <c r="O1137" s="8"/>
      <c r="P1137" s="8"/>
      <c r="Q1137" s="8"/>
      <c r="R1137" s="8"/>
      <c r="S1137" s="8"/>
      <c r="T1137" s="8"/>
      <c r="U1137" s="8"/>
      <c r="V1137" s="8"/>
      <c r="W1137" s="8"/>
    </row>
    <row r="1138" spans="1:23" ht="15.75" customHeight="1" x14ac:dyDescent="0.25">
      <c r="A1138" s="6" t="s">
        <v>3624</v>
      </c>
      <c r="B1138" s="8"/>
      <c r="C1138" s="8"/>
      <c r="D1138" s="8"/>
      <c r="E1138" s="8"/>
      <c r="F1138" s="8"/>
      <c r="G1138" s="8"/>
      <c r="H1138" s="8"/>
      <c r="I1138" s="8"/>
      <c r="J1138" s="8"/>
      <c r="K1138" s="8"/>
      <c r="L1138" s="8"/>
      <c r="M1138" s="8"/>
      <c r="N1138" s="8"/>
      <c r="O1138" s="8"/>
      <c r="P1138" s="8"/>
      <c r="Q1138" s="8"/>
      <c r="R1138" s="8"/>
      <c r="S1138" s="8"/>
      <c r="T1138" s="8"/>
      <c r="U1138" s="8"/>
      <c r="V1138" s="8"/>
      <c r="W1138" s="8"/>
    </row>
    <row r="1139" spans="1:23" ht="15.75" customHeight="1" x14ac:dyDescent="0.25">
      <c r="A1139" s="6" t="s">
        <v>4209</v>
      </c>
      <c r="B1139" s="8"/>
      <c r="C1139" s="8"/>
      <c r="D1139" s="8"/>
      <c r="E1139" s="8"/>
      <c r="F1139" s="8"/>
      <c r="G1139" s="8"/>
      <c r="H1139" s="8"/>
      <c r="I1139" s="8"/>
      <c r="J1139" s="8"/>
      <c r="K1139" s="8"/>
      <c r="L1139" s="8"/>
      <c r="M1139" s="8"/>
      <c r="N1139" s="8"/>
      <c r="O1139" s="8"/>
      <c r="P1139" s="8"/>
      <c r="Q1139" s="8"/>
      <c r="R1139" s="8"/>
      <c r="S1139" s="8"/>
      <c r="T1139" s="8"/>
      <c r="U1139" s="8"/>
      <c r="V1139" s="8"/>
      <c r="W1139" s="8"/>
    </row>
    <row r="1140" spans="1:23" ht="15.75" customHeight="1" x14ac:dyDescent="0.25">
      <c r="A1140" s="6" t="s">
        <v>3357</v>
      </c>
      <c r="B1140" s="8"/>
      <c r="C1140" s="8"/>
      <c r="D1140" s="8"/>
      <c r="E1140" s="8"/>
      <c r="F1140" s="8"/>
      <c r="G1140" s="8"/>
      <c r="H1140" s="8"/>
      <c r="I1140" s="8"/>
      <c r="J1140" s="8"/>
      <c r="K1140" s="8"/>
      <c r="L1140" s="8"/>
      <c r="M1140" s="8"/>
      <c r="N1140" s="8"/>
      <c r="O1140" s="8"/>
      <c r="P1140" s="8"/>
      <c r="Q1140" s="8"/>
      <c r="R1140" s="8"/>
      <c r="S1140" s="8"/>
      <c r="T1140" s="8"/>
      <c r="U1140" s="8"/>
      <c r="V1140" s="8"/>
      <c r="W1140" s="8"/>
    </row>
    <row r="1141" spans="1:23" ht="15.75" customHeight="1" x14ac:dyDescent="0.25">
      <c r="A1141" s="6" t="s">
        <v>3357</v>
      </c>
      <c r="B1141" s="8"/>
      <c r="C1141" s="8"/>
      <c r="D1141" s="8"/>
      <c r="E1141" s="8"/>
      <c r="F1141" s="8"/>
      <c r="G1141" s="8"/>
      <c r="H1141" s="8"/>
      <c r="I1141" s="8"/>
      <c r="J1141" s="8"/>
      <c r="K1141" s="8"/>
      <c r="L1141" s="8"/>
      <c r="M1141" s="8"/>
      <c r="N1141" s="8"/>
      <c r="O1141" s="8"/>
      <c r="P1141" s="8"/>
      <c r="Q1141" s="8"/>
      <c r="R1141" s="8"/>
      <c r="S1141" s="8"/>
      <c r="T1141" s="8"/>
      <c r="U1141" s="8"/>
      <c r="V1141" s="8"/>
      <c r="W1141" s="8"/>
    </row>
    <row r="1142" spans="1:23" ht="15.75" customHeight="1" x14ac:dyDescent="0.25">
      <c r="A1142" s="6" t="s">
        <v>3357</v>
      </c>
      <c r="B1142" s="8"/>
      <c r="C1142" s="8"/>
      <c r="D1142" s="8"/>
      <c r="E1142" s="8"/>
      <c r="F1142" s="8"/>
      <c r="G1142" s="8"/>
      <c r="H1142" s="8"/>
      <c r="I1142" s="8"/>
      <c r="J1142" s="8"/>
      <c r="K1142" s="8"/>
      <c r="L1142" s="8"/>
      <c r="M1142" s="8"/>
      <c r="N1142" s="8"/>
      <c r="O1142" s="8"/>
      <c r="P1142" s="8"/>
      <c r="Q1142" s="8"/>
      <c r="R1142" s="8"/>
      <c r="S1142" s="8"/>
      <c r="T1142" s="8"/>
      <c r="U1142" s="8"/>
      <c r="V1142" s="8"/>
      <c r="W1142" s="8"/>
    </row>
    <row r="1143" spans="1:23" ht="15.75" customHeight="1" x14ac:dyDescent="0.25">
      <c r="A1143" s="6" t="s">
        <v>3357</v>
      </c>
      <c r="B1143" s="8"/>
      <c r="C1143" s="8"/>
      <c r="D1143" s="8"/>
      <c r="E1143" s="8"/>
      <c r="F1143" s="8"/>
      <c r="G1143" s="8"/>
      <c r="H1143" s="8"/>
      <c r="I1143" s="8"/>
      <c r="J1143" s="8"/>
      <c r="K1143" s="8"/>
      <c r="L1143" s="8"/>
      <c r="M1143" s="8"/>
      <c r="N1143" s="8"/>
      <c r="O1143" s="8"/>
      <c r="P1143" s="8"/>
      <c r="Q1143" s="8"/>
      <c r="R1143" s="8"/>
      <c r="S1143" s="8"/>
      <c r="T1143" s="8"/>
      <c r="U1143" s="8"/>
      <c r="V1143" s="8"/>
      <c r="W1143" s="8"/>
    </row>
    <row r="1144" spans="1:23" ht="15.75" customHeight="1" x14ac:dyDescent="0.25">
      <c r="A1144" s="6" t="s">
        <v>3357</v>
      </c>
      <c r="B1144" s="8"/>
      <c r="C1144" s="8"/>
      <c r="D1144" s="8"/>
      <c r="E1144" s="8"/>
      <c r="F1144" s="8"/>
      <c r="G1144" s="8"/>
      <c r="H1144" s="8"/>
      <c r="I1144" s="8"/>
      <c r="J1144" s="8"/>
      <c r="K1144" s="8"/>
      <c r="L1144" s="8"/>
      <c r="M1144" s="8"/>
      <c r="N1144" s="8"/>
      <c r="O1144" s="8"/>
      <c r="P1144" s="8"/>
      <c r="Q1144" s="8"/>
      <c r="R1144" s="8"/>
      <c r="S1144" s="8"/>
      <c r="T1144" s="8"/>
      <c r="U1144" s="8"/>
      <c r="V1144" s="8"/>
      <c r="W1144" s="8"/>
    </row>
    <row r="1145" spans="1:23" ht="15.75" customHeight="1" x14ac:dyDescent="0.25">
      <c r="A1145" s="6" t="s">
        <v>3357</v>
      </c>
      <c r="B1145" s="8"/>
      <c r="C1145" s="8"/>
      <c r="D1145" s="8"/>
      <c r="E1145" s="8"/>
      <c r="F1145" s="8"/>
      <c r="G1145" s="8"/>
      <c r="H1145" s="8"/>
      <c r="I1145" s="8"/>
      <c r="J1145" s="8"/>
      <c r="K1145" s="8"/>
      <c r="L1145" s="8"/>
      <c r="M1145" s="8"/>
      <c r="N1145" s="8"/>
      <c r="O1145" s="8"/>
      <c r="P1145" s="8"/>
      <c r="Q1145" s="8"/>
      <c r="R1145" s="8"/>
      <c r="S1145" s="8"/>
      <c r="T1145" s="8"/>
      <c r="U1145" s="8"/>
      <c r="V1145" s="8"/>
      <c r="W1145" s="8"/>
    </row>
    <row r="1146" spans="1:23" ht="15.75" customHeight="1" x14ac:dyDescent="0.25">
      <c r="A1146" s="6" t="s">
        <v>3357</v>
      </c>
      <c r="B1146" s="8"/>
      <c r="C1146" s="8"/>
      <c r="D1146" s="8"/>
      <c r="E1146" s="8"/>
      <c r="F1146" s="8"/>
      <c r="G1146" s="8"/>
      <c r="H1146" s="8"/>
      <c r="I1146" s="8"/>
      <c r="J1146" s="8"/>
      <c r="K1146" s="8"/>
      <c r="L1146" s="8"/>
      <c r="M1146" s="8"/>
      <c r="N1146" s="8"/>
      <c r="O1146" s="8"/>
      <c r="P1146" s="8"/>
      <c r="Q1146" s="8"/>
      <c r="R1146" s="8"/>
      <c r="S1146" s="8"/>
      <c r="T1146" s="8"/>
      <c r="U1146" s="8"/>
      <c r="V1146" s="8"/>
      <c r="W1146" s="8"/>
    </row>
    <row r="1147" spans="1:23" ht="15.75" customHeight="1" x14ac:dyDescent="0.25">
      <c r="A1147" s="6" t="s">
        <v>3357</v>
      </c>
      <c r="B1147" s="8"/>
      <c r="C1147" s="8"/>
      <c r="D1147" s="8"/>
      <c r="E1147" s="8"/>
      <c r="F1147" s="8"/>
      <c r="G1147" s="8"/>
      <c r="H1147" s="8"/>
      <c r="I1147" s="8"/>
      <c r="J1147" s="8"/>
      <c r="K1147" s="8"/>
      <c r="L1147" s="8"/>
      <c r="M1147" s="8"/>
      <c r="N1147" s="8"/>
      <c r="O1147" s="8"/>
      <c r="P1147" s="8"/>
      <c r="Q1147" s="8"/>
      <c r="R1147" s="8"/>
      <c r="S1147" s="8"/>
      <c r="T1147" s="8"/>
      <c r="U1147" s="8"/>
      <c r="V1147" s="8"/>
      <c r="W1147" s="8"/>
    </row>
    <row r="1148" spans="1:23" ht="15.75" customHeight="1" x14ac:dyDescent="0.25">
      <c r="A1148" s="6" t="s">
        <v>3357</v>
      </c>
      <c r="B1148" s="8"/>
      <c r="C1148" s="8"/>
      <c r="D1148" s="8"/>
      <c r="E1148" s="8"/>
      <c r="F1148" s="8"/>
      <c r="G1148" s="8"/>
      <c r="H1148" s="8"/>
      <c r="I1148" s="8"/>
      <c r="J1148" s="8"/>
      <c r="K1148" s="8"/>
      <c r="L1148" s="8"/>
      <c r="M1148" s="8"/>
      <c r="N1148" s="8"/>
      <c r="O1148" s="8"/>
      <c r="P1148" s="8"/>
      <c r="Q1148" s="8"/>
      <c r="R1148" s="8"/>
      <c r="S1148" s="8"/>
      <c r="T1148" s="8"/>
      <c r="U1148" s="8"/>
      <c r="V1148" s="8"/>
      <c r="W1148" s="8"/>
    </row>
    <row r="1149" spans="1:23" ht="15.75" customHeight="1" x14ac:dyDescent="0.25">
      <c r="A1149" s="6" t="s">
        <v>3357</v>
      </c>
      <c r="B1149" s="8"/>
      <c r="C1149" s="8"/>
      <c r="D1149" s="8"/>
      <c r="E1149" s="8"/>
      <c r="F1149" s="8"/>
      <c r="G1149" s="8"/>
      <c r="H1149" s="8"/>
      <c r="I1149" s="8"/>
      <c r="J1149" s="8"/>
      <c r="K1149" s="8"/>
      <c r="L1149" s="8"/>
      <c r="M1149" s="8"/>
      <c r="N1149" s="8"/>
      <c r="O1149" s="8"/>
      <c r="P1149" s="8"/>
      <c r="Q1149" s="8"/>
      <c r="R1149" s="8"/>
      <c r="S1149" s="8"/>
      <c r="T1149" s="8"/>
      <c r="U1149" s="8"/>
      <c r="V1149" s="8"/>
      <c r="W1149" s="8"/>
    </row>
    <row r="1150" spans="1:23" ht="15.75" customHeight="1" x14ac:dyDescent="0.25">
      <c r="A1150" s="6" t="s">
        <v>3357</v>
      </c>
      <c r="B1150" s="8"/>
      <c r="C1150" s="8"/>
      <c r="D1150" s="8"/>
      <c r="E1150" s="8"/>
      <c r="F1150" s="8"/>
      <c r="G1150" s="8"/>
      <c r="H1150" s="8"/>
      <c r="I1150" s="8"/>
      <c r="J1150" s="8"/>
      <c r="K1150" s="8"/>
      <c r="L1150" s="8"/>
      <c r="M1150" s="8"/>
      <c r="N1150" s="8"/>
      <c r="O1150" s="8"/>
      <c r="P1150" s="8"/>
      <c r="Q1150" s="8"/>
      <c r="R1150" s="8"/>
      <c r="S1150" s="8"/>
      <c r="T1150" s="8"/>
      <c r="U1150" s="8"/>
      <c r="V1150" s="8"/>
      <c r="W1150" s="8"/>
    </row>
    <row r="1151" spans="1:23" ht="15.75" customHeight="1" x14ac:dyDescent="0.25">
      <c r="A1151" s="6" t="s">
        <v>3357</v>
      </c>
      <c r="B1151" s="8"/>
      <c r="C1151" s="8"/>
      <c r="D1151" s="8"/>
      <c r="E1151" s="8"/>
      <c r="F1151" s="8"/>
      <c r="G1151" s="8"/>
      <c r="H1151" s="8"/>
      <c r="I1151" s="8"/>
      <c r="J1151" s="8"/>
      <c r="K1151" s="8"/>
      <c r="L1151" s="8"/>
      <c r="M1151" s="8"/>
      <c r="N1151" s="8"/>
      <c r="O1151" s="8"/>
      <c r="P1151" s="8"/>
      <c r="Q1151" s="8"/>
      <c r="R1151" s="8"/>
      <c r="S1151" s="8"/>
      <c r="T1151" s="8"/>
      <c r="U1151" s="8"/>
      <c r="V1151" s="8"/>
      <c r="W1151" s="8"/>
    </row>
    <row r="1152" spans="1:23" ht="15.75" customHeight="1" x14ac:dyDescent="0.25">
      <c r="A1152" s="6" t="s">
        <v>2346</v>
      </c>
      <c r="B1152" s="8"/>
      <c r="C1152" s="8"/>
      <c r="D1152" s="8"/>
      <c r="E1152" s="8"/>
      <c r="F1152" s="8"/>
      <c r="G1152" s="8"/>
      <c r="H1152" s="8"/>
      <c r="I1152" s="8"/>
      <c r="J1152" s="8"/>
      <c r="K1152" s="8"/>
      <c r="L1152" s="8"/>
      <c r="M1152" s="8"/>
      <c r="N1152" s="8"/>
      <c r="O1152" s="8"/>
      <c r="P1152" s="8"/>
      <c r="Q1152" s="8"/>
      <c r="R1152" s="8"/>
      <c r="S1152" s="8"/>
      <c r="T1152" s="8"/>
      <c r="U1152" s="8"/>
      <c r="V1152" s="8"/>
      <c r="W1152" s="8"/>
    </row>
    <row r="1153" spans="1:23" ht="15.75" customHeight="1" x14ac:dyDescent="0.25">
      <c r="A1153" s="6" t="s">
        <v>2346</v>
      </c>
      <c r="B1153" s="8"/>
      <c r="C1153" s="8"/>
      <c r="D1153" s="8"/>
      <c r="E1153" s="8"/>
      <c r="F1153" s="8"/>
      <c r="G1153" s="8"/>
      <c r="H1153" s="8"/>
      <c r="I1153" s="8"/>
      <c r="J1153" s="8"/>
      <c r="K1153" s="8"/>
      <c r="L1153" s="8"/>
      <c r="M1153" s="8"/>
      <c r="N1153" s="8"/>
      <c r="O1153" s="8"/>
      <c r="P1153" s="8"/>
      <c r="Q1153" s="8"/>
      <c r="R1153" s="8"/>
      <c r="S1153" s="8"/>
      <c r="T1153" s="8"/>
      <c r="U1153" s="8"/>
      <c r="V1153" s="8"/>
      <c r="W1153" s="8"/>
    </row>
    <row r="1154" spans="1:23" ht="15.75" customHeight="1" x14ac:dyDescent="0.25">
      <c r="A1154" s="6" t="s">
        <v>2346</v>
      </c>
      <c r="B1154" s="8"/>
      <c r="C1154" s="8"/>
      <c r="D1154" s="8"/>
      <c r="E1154" s="8"/>
      <c r="F1154" s="8"/>
      <c r="G1154" s="8"/>
      <c r="H1154" s="8"/>
      <c r="I1154" s="8"/>
      <c r="J1154" s="8"/>
      <c r="K1154" s="8"/>
      <c r="L1154" s="8"/>
      <c r="M1154" s="8"/>
      <c r="N1154" s="8"/>
      <c r="O1154" s="8"/>
      <c r="P1154" s="8"/>
      <c r="Q1154" s="8"/>
      <c r="R1154" s="8"/>
      <c r="S1154" s="8"/>
      <c r="T1154" s="8"/>
      <c r="U1154" s="8"/>
      <c r="V1154" s="8"/>
      <c r="W1154" s="8"/>
    </row>
    <row r="1155" spans="1:23" ht="15.75" customHeight="1" x14ac:dyDescent="0.25">
      <c r="A1155" s="6" t="s">
        <v>2346</v>
      </c>
      <c r="B1155" s="8"/>
      <c r="C1155" s="8"/>
      <c r="D1155" s="8"/>
      <c r="E1155" s="8"/>
      <c r="F1155" s="8"/>
      <c r="G1155" s="8"/>
      <c r="H1155" s="8"/>
      <c r="I1155" s="8"/>
      <c r="J1155" s="8"/>
      <c r="K1155" s="8"/>
      <c r="L1155" s="8"/>
      <c r="M1155" s="8"/>
      <c r="N1155" s="8"/>
      <c r="O1155" s="8"/>
      <c r="P1155" s="8"/>
      <c r="Q1155" s="8"/>
      <c r="R1155" s="8"/>
      <c r="S1155" s="8"/>
      <c r="T1155" s="8"/>
      <c r="U1155" s="8"/>
      <c r="V1155" s="8"/>
      <c r="W1155" s="8"/>
    </row>
    <row r="1156" spans="1:23" ht="15.75" customHeight="1" x14ac:dyDescent="0.25">
      <c r="A1156" s="6" t="s">
        <v>2346</v>
      </c>
      <c r="B1156" s="8"/>
      <c r="C1156" s="8"/>
      <c r="D1156" s="8"/>
      <c r="E1156" s="8"/>
      <c r="F1156" s="8"/>
      <c r="G1156" s="8"/>
      <c r="H1156" s="8"/>
      <c r="I1156" s="8"/>
      <c r="J1156" s="8"/>
      <c r="K1156" s="8"/>
      <c r="L1156" s="8"/>
      <c r="M1156" s="8"/>
      <c r="N1156" s="8"/>
      <c r="O1156" s="8"/>
      <c r="P1156" s="8"/>
      <c r="Q1156" s="8"/>
      <c r="R1156" s="8"/>
      <c r="S1156" s="8"/>
      <c r="T1156" s="8"/>
      <c r="U1156" s="8"/>
      <c r="V1156" s="8"/>
      <c r="W1156" s="8"/>
    </row>
    <row r="1157" spans="1:23" ht="15.75" customHeight="1" x14ac:dyDescent="0.25">
      <c r="A1157" s="6" t="s">
        <v>2346</v>
      </c>
      <c r="B1157" s="8"/>
      <c r="C1157" s="8"/>
      <c r="D1157" s="8"/>
      <c r="E1157" s="8"/>
      <c r="F1157" s="8"/>
      <c r="G1157" s="8"/>
      <c r="H1157" s="8"/>
      <c r="I1157" s="8"/>
      <c r="J1157" s="8"/>
      <c r="K1157" s="8"/>
      <c r="L1157" s="8"/>
      <c r="M1157" s="8"/>
      <c r="N1157" s="8"/>
      <c r="O1157" s="8"/>
      <c r="P1157" s="8"/>
      <c r="Q1157" s="8"/>
      <c r="R1157" s="8"/>
      <c r="S1157" s="8"/>
      <c r="T1157" s="8"/>
      <c r="U1157" s="8"/>
      <c r="V1157" s="8"/>
      <c r="W1157" s="8"/>
    </row>
    <row r="1158" spans="1:23" ht="15.75" customHeight="1" x14ac:dyDescent="0.25">
      <c r="A1158" s="6" t="s">
        <v>2346</v>
      </c>
      <c r="B1158" s="8"/>
      <c r="C1158" s="8"/>
      <c r="D1158" s="8"/>
      <c r="E1158" s="8"/>
      <c r="F1158" s="8"/>
      <c r="G1158" s="8"/>
      <c r="H1158" s="8"/>
      <c r="I1158" s="8"/>
      <c r="J1158" s="8"/>
      <c r="K1158" s="8"/>
      <c r="L1158" s="8"/>
      <c r="M1158" s="8"/>
      <c r="N1158" s="8"/>
      <c r="O1158" s="8"/>
      <c r="P1158" s="8"/>
      <c r="Q1158" s="8"/>
      <c r="R1158" s="8"/>
      <c r="S1158" s="8"/>
      <c r="T1158" s="8"/>
      <c r="U1158" s="8"/>
      <c r="V1158" s="8"/>
      <c r="W1158" s="8"/>
    </row>
    <row r="1159" spans="1:23" ht="15.75" customHeight="1" x14ac:dyDescent="0.25">
      <c r="A1159" s="6" t="s">
        <v>2346</v>
      </c>
      <c r="B1159" s="8"/>
      <c r="C1159" s="8"/>
      <c r="D1159" s="8"/>
      <c r="E1159" s="8"/>
      <c r="F1159" s="8"/>
      <c r="G1159" s="8"/>
      <c r="H1159" s="8"/>
      <c r="I1159" s="8"/>
      <c r="J1159" s="8"/>
      <c r="K1159" s="8"/>
      <c r="L1159" s="8"/>
      <c r="M1159" s="8"/>
      <c r="N1159" s="8"/>
      <c r="O1159" s="8"/>
      <c r="P1159" s="8"/>
      <c r="Q1159" s="8"/>
      <c r="R1159" s="8"/>
      <c r="S1159" s="8"/>
      <c r="T1159" s="8"/>
      <c r="U1159" s="8"/>
      <c r="V1159" s="8"/>
      <c r="W1159" s="8"/>
    </row>
    <row r="1160" spans="1:23" ht="15.75" customHeight="1" x14ac:dyDescent="0.25">
      <c r="A1160" s="6" t="s">
        <v>2346</v>
      </c>
      <c r="B1160" s="8"/>
      <c r="C1160" s="8"/>
      <c r="D1160" s="8"/>
      <c r="E1160" s="8"/>
      <c r="F1160" s="8"/>
      <c r="G1160" s="8"/>
      <c r="H1160" s="8"/>
      <c r="I1160" s="8"/>
      <c r="J1160" s="8"/>
      <c r="K1160" s="8"/>
      <c r="L1160" s="8"/>
      <c r="M1160" s="8"/>
      <c r="N1160" s="8"/>
      <c r="O1160" s="8"/>
      <c r="P1160" s="8"/>
      <c r="Q1160" s="8"/>
      <c r="R1160" s="8"/>
      <c r="S1160" s="8"/>
      <c r="T1160" s="8"/>
      <c r="U1160" s="8"/>
      <c r="V1160" s="8"/>
      <c r="W1160" s="8"/>
    </row>
    <row r="1161" spans="1:23" ht="15.75" customHeight="1" x14ac:dyDescent="0.25">
      <c r="A1161" s="8" t="s">
        <v>2346</v>
      </c>
      <c r="B1161" s="8"/>
      <c r="C1161" s="8"/>
      <c r="D1161" s="8"/>
      <c r="E1161" s="8"/>
      <c r="F1161" s="8"/>
      <c r="G1161" s="8"/>
      <c r="H1161" s="8"/>
      <c r="I1161" s="8"/>
      <c r="J1161" s="8"/>
      <c r="K1161" s="8"/>
      <c r="L1161" s="8"/>
      <c r="M1161" s="8"/>
      <c r="N1161" s="8"/>
      <c r="O1161" s="8"/>
      <c r="P1161" s="8"/>
      <c r="Q1161" s="8"/>
      <c r="R1161" s="8"/>
      <c r="S1161" s="8"/>
      <c r="T1161" s="8"/>
      <c r="U1161" s="8"/>
      <c r="V1161" s="8"/>
      <c r="W1161" s="8"/>
    </row>
    <row r="1162" spans="1:23" ht="15.75" customHeight="1" x14ac:dyDescent="0.25">
      <c r="A1162" s="6" t="s">
        <v>2346</v>
      </c>
      <c r="B1162" s="8"/>
      <c r="C1162" s="8"/>
      <c r="D1162" s="8"/>
      <c r="E1162" s="8"/>
      <c r="F1162" s="8"/>
      <c r="G1162" s="8"/>
      <c r="H1162" s="8"/>
      <c r="I1162" s="8"/>
      <c r="J1162" s="8"/>
      <c r="K1162" s="8"/>
      <c r="L1162" s="8"/>
      <c r="M1162" s="8"/>
      <c r="N1162" s="8"/>
      <c r="O1162" s="8"/>
      <c r="P1162" s="8"/>
      <c r="Q1162" s="8"/>
      <c r="R1162" s="8"/>
      <c r="S1162" s="8"/>
      <c r="T1162" s="8"/>
      <c r="U1162" s="8"/>
      <c r="V1162" s="8"/>
      <c r="W1162" s="8"/>
    </row>
    <row r="1163" spans="1:23" ht="15.75" customHeight="1" x14ac:dyDescent="0.25">
      <c r="A1163" s="6" t="s">
        <v>2346</v>
      </c>
      <c r="B1163" s="8"/>
      <c r="C1163" s="8"/>
      <c r="D1163" s="8"/>
      <c r="E1163" s="8"/>
      <c r="F1163" s="8"/>
      <c r="G1163" s="8"/>
      <c r="H1163" s="8"/>
      <c r="I1163" s="8"/>
      <c r="J1163" s="8"/>
      <c r="K1163" s="8"/>
      <c r="L1163" s="8"/>
      <c r="M1163" s="8"/>
      <c r="N1163" s="8"/>
      <c r="O1163" s="8"/>
      <c r="P1163" s="8"/>
      <c r="Q1163" s="8"/>
      <c r="R1163" s="8"/>
      <c r="S1163" s="8"/>
      <c r="T1163" s="8"/>
      <c r="U1163" s="8"/>
      <c r="V1163" s="8"/>
      <c r="W1163" s="8"/>
    </row>
    <row r="1164" spans="1:23" ht="15.75" customHeight="1" x14ac:dyDescent="0.25">
      <c r="A1164" s="6" t="s">
        <v>2346</v>
      </c>
      <c r="B1164" s="8"/>
      <c r="C1164" s="8"/>
      <c r="D1164" s="8"/>
      <c r="E1164" s="8"/>
      <c r="F1164" s="8"/>
      <c r="G1164" s="8"/>
      <c r="H1164" s="8"/>
      <c r="I1164" s="8"/>
      <c r="J1164" s="8"/>
      <c r="K1164" s="8"/>
      <c r="L1164" s="8"/>
      <c r="M1164" s="8"/>
      <c r="N1164" s="8"/>
      <c r="O1164" s="8"/>
      <c r="P1164" s="8"/>
      <c r="Q1164" s="8"/>
      <c r="R1164" s="8"/>
      <c r="S1164" s="8"/>
      <c r="T1164" s="8"/>
      <c r="U1164" s="8"/>
      <c r="V1164" s="8"/>
      <c r="W1164" s="8"/>
    </row>
    <row r="1165" spans="1:23" ht="15.75" customHeight="1" x14ac:dyDescent="0.25">
      <c r="A1165" s="6" t="s">
        <v>2346</v>
      </c>
      <c r="B1165" s="8"/>
      <c r="C1165" s="8"/>
      <c r="D1165" s="8"/>
      <c r="E1165" s="8"/>
      <c r="F1165" s="8"/>
      <c r="G1165" s="8"/>
      <c r="H1165" s="8"/>
      <c r="I1165" s="8"/>
      <c r="J1165" s="8"/>
      <c r="K1165" s="8"/>
      <c r="L1165" s="8"/>
      <c r="M1165" s="8"/>
      <c r="N1165" s="8"/>
      <c r="O1165" s="8"/>
      <c r="P1165" s="8"/>
      <c r="Q1165" s="8"/>
      <c r="R1165" s="8"/>
      <c r="S1165" s="8"/>
      <c r="T1165" s="8"/>
      <c r="U1165" s="8"/>
      <c r="V1165" s="8"/>
      <c r="W1165" s="8"/>
    </row>
    <row r="1166" spans="1:23" ht="15.75" customHeight="1" x14ac:dyDescent="0.25">
      <c r="A1166" s="6" t="s">
        <v>2346</v>
      </c>
      <c r="B1166" s="8"/>
      <c r="C1166" s="8"/>
      <c r="D1166" s="8"/>
      <c r="E1166" s="8"/>
      <c r="F1166" s="8"/>
      <c r="G1166" s="8"/>
      <c r="H1166" s="8"/>
      <c r="I1166" s="8"/>
      <c r="J1166" s="8"/>
      <c r="K1166" s="8"/>
      <c r="L1166" s="8"/>
      <c r="M1166" s="8"/>
      <c r="N1166" s="8"/>
      <c r="O1166" s="8"/>
      <c r="P1166" s="8"/>
      <c r="Q1166" s="8"/>
      <c r="R1166" s="8"/>
      <c r="S1166" s="8"/>
      <c r="T1166" s="8"/>
      <c r="U1166" s="8"/>
      <c r="V1166" s="8"/>
      <c r="W1166" s="8"/>
    </row>
    <row r="1167" spans="1:23" ht="15.75" customHeight="1" x14ac:dyDescent="0.25">
      <c r="A1167" s="6" t="s">
        <v>4210</v>
      </c>
      <c r="B1167" s="8"/>
      <c r="C1167" s="8"/>
      <c r="D1167" s="8"/>
      <c r="E1167" s="8"/>
      <c r="F1167" s="8"/>
      <c r="G1167" s="8"/>
      <c r="H1167" s="8"/>
      <c r="I1167" s="8"/>
      <c r="J1167" s="8"/>
      <c r="K1167" s="8"/>
      <c r="L1167" s="8"/>
      <c r="M1167" s="8"/>
      <c r="N1167" s="8"/>
      <c r="O1167" s="8"/>
      <c r="P1167" s="8"/>
      <c r="Q1167" s="8"/>
      <c r="R1167" s="8"/>
      <c r="S1167" s="8"/>
      <c r="T1167" s="8"/>
      <c r="U1167" s="8"/>
      <c r="V1167" s="8"/>
      <c r="W1167" s="8"/>
    </row>
    <row r="1168" spans="1:23" ht="15.75" customHeight="1" x14ac:dyDescent="0.25">
      <c r="A1168" s="6" t="s">
        <v>3324</v>
      </c>
      <c r="B1168" s="8"/>
      <c r="C1168" s="8"/>
      <c r="D1168" s="8"/>
      <c r="E1168" s="8"/>
      <c r="F1168" s="8"/>
      <c r="G1168" s="8"/>
      <c r="H1168" s="8"/>
      <c r="I1168" s="8"/>
      <c r="J1168" s="8"/>
      <c r="K1168" s="8"/>
      <c r="L1168" s="8"/>
      <c r="M1168" s="8"/>
      <c r="N1168" s="8"/>
      <c r="O1168" s="8"/>
      <c r="P1168" s="8"/>
      <c r="Q1168" s="8"/>
      <c r="R1168" s="8"/>
      <c r="S1168" s="8"/>
      <c r="T1168" s="8"/>
      <c r="U1168" s="8"/>
      <c r="V1168" s="8"/>
      <c r="W1168" s="8"/>
    </row>
    <row r="1169" spans="1:23" ht="15.75" customHeight="1" x14ac:dyDescent="0.25">
      <c r="A1169" s="6" t="s">
        <v>3324</v>
      </c>
      <c r="B1169" s="8"/>
      <c r="C1169" s="8"/>
      <c r="D1169" s="8"/>
      <c r="E1169" s="8"/>
      <c r="F1169" s="8"/>
      <c r="G1169" s="8"/>
      <c r="H1169" s="8"/>
      <c r="I1169" s="8"/>
      <c r="J1169" s="8"/>
      <c r="K1169" s="8"/>
      <c r="L1169" s="8"/>
      <c r="M1169" s="8"/>
      <c r="N1169" s="8"/>
      <c r="O1169" s="8"/>
      <c r="P1169" s="8"/>
      <c r="Q1169" s="8"/>
      <c r="R1169" s="8"/>
      <c r="S1169" s="8"/>
      <c r="T1169" s="8"/>
      <c r="U1169" s="8"/>
      <c r="V1169" s="8"/>
      <c r="W1169" s="8"/>
    </row>
    <row r="1170" spans="1:23" ht="15.75" customHeight="1" x14ac:dyDescent="0.25">
      <c r="A1170" s="6" t="s">
        <v>3324</v>
      </c>
      <c r="B1170" s="8"/>
      <c r="C1170" s="8"/>
      <c r="D1170" s="8"/>
      <c r="E1170" s="8"/>
      <c r="F1170" s="8"/>
      <c r="G1170" s="8"/>
      <c r="H1170" s="8"/>
      <c r="I1170" s="8"/>
      <c r="J1170" s="8"/>
      <c r="K1170" s="8"/>
      <c r="L1170" s="8"/>
      <c r="M1170" s="8"/>
      <c r="N1170" s="8"/>
      <c r="O1170" s="8"/>
      <c r="P1170" s="8"/>
      <c r="Q1170" s="8"/>
      <c r="R1170" s="8"/>
      <c r="S1170" s="8"/>
      <c r="T1170" s="8"/>
      <c r="U1170" s="8"/>
      <c r="V1170" s="8"/>
      <c r="W1170" s="8"/>
    </row>
    <row r="1171" spans="1:23" ht="15.75" customHeight="1" x14ac:dyDescent="0.25">
      <c r="A1171" s="6" t="s">
        <v>3324</v>
      </c>
      <c r="B1171" s="8"/>
      <c r="C1171" s="8"/>
      <c r="D1171" s="8"/>
      <c r="E1171" s="8"/>
      <c r="F1171" s="8"/>
      <c r="G1171" s="8"/>
      <c r="H1171" s="8"/>
      <c r="I1171" s="8"/>
      <c r="J1171" s="8"/>
      <c r="K1171" s="8"/>
      <c r="L1171" s="8"/>
      <c r="M1171" s="8"/>
      <c r="N1171" s="8"/>
      <c r="O1171" s="8"/>
      <c r="P1171" s="8"/>
      <c r="Q1171" s="8"/>
      <c r="R1171" s="8"/>
      <c r="S1171" s="8"/>
      <c r="T1171" s="8"/>
      <c r="U1171" s="8"/>
      <c r="V1171" s="8"/>
      <c r="W1171" s="8"/>
    </row>
    <row r="1172" spans="1:23" ht="15.75" customHeight="1" x14ac:dyDescent="0.25">
      <c r="A1172" s="6" t="s">
        <v>3324</v>
      </c>
      <c r="B1172" s="8"/>
      <c r="C1172" s="8"/>
      <c r="D1172" s="8"/>
      <c r="E1172" s="8"/>
      <c r="F1172" s="8"/>
      <c r="G1172" s="8"/>
      <c r="H1172" s="8"/>
      <c r="I1172" s="8"/>
      <c r="J1172" s="8"/>
      <c r="K1172" s="8"/>
      <c r="L1172" s="8"/>
      <c r="M1172" s="8"/>
      <c r="N1172" s="8"/>
      <c r="O1172" s="8"/>
      <c r="P1172" s="8"/>
      <c r="Q1172" s="8"/>
      <c r="R1172" s="8"/>
      <c r="S1172" s="8"/>
      <c r="T1172" s="8"/>
      <c r="U1172" s="8"/>
      <c r="V1172" s="8"/>
      <c r="W1172" s="8"/>
    </row>
    <row r="1173" spans="1:23" ht="15.75" customHeight="1" x14ac:dyDescent="0.25">
      <c r="A1173" s="6" t="s">
        <v>3324</v>
      </c>
      <c r="B1173" s="8"/>
      <c r="C1173" s="8"/>
      <c r="D1173" s="8"/>
      <c r="E1173" s="8"/>
      <c r="F1173" s="8"/>
      <c r="G1173" s="8"/>
      <c r="H1173" s="8"/>
      <c r="I1173" s="8"/>
      <c r="J1173" s="8"/>
      <c r="K1173" s="8"/>
      <c r="L1173" s="8"/>
      <c r="M1173" s="8"/>
      <c r="N1173" s="8"/>
      <c r="O1173" s="8"/>
      <c r="P1173" s="8"/>
      <c r="Q1173" s="8"/>
      <c r="R1173" s="8"/>
      <c r="S1173" s="8"/>
      <c r="T1173" s="8"/>
      <c r="U1173" s="8"/>
      <c r="V1173" s="8"/>
      <c r="W1173" s="8"/>
    </row>
    <row r="1174" spans="1:23" ht="15.75" customHeight="1" x14ac:dyDescent="0.25">
      <c r="A1174" s="6" t="s">
        <v>3324</v>
      </c>
      <c r="B1174" s="8"/>
      <c r="C1174" s="8"/>
      <c r="D1174" s="8"/>
      <c r="E1174" s="8"/>
      <c r="F1174" s="8"/>
      <c r="G1174" s="8"/>
      <c r="H1174" s="8"/>
      <c r="I1174" s="8"/>
      <c r="J1174" s="8"/>
      <c r="K1174" s="8"/>
      <c r="L1174" s="8"/>
      <c r="M1174" s="8"/>
      <c r="N1174" s="8"/>
      <c r="O1174" s="8"/>
      <c r="P1174" s="8"/>
      <c r="Q1174" s="8"/>
      <c r="R1174" s="8"/>
      <c r="S1174" s="8"/>
      <c r="T1174" s="8"/>
      <c r="U1174" s="8"/>
      <c r="V1174" s="8"/>
      <c r="W1174" s="8"/>
    </row>
    <row r="1175" spans="1:23" ht="15.75" customHeight="1" x14ac:dyDescent="0.25">
      <c r="A1175" s="6" t="s">
        <v>3324</v>
      </c>
      <c r="B1175" s="8"/>
      <c r="C1175" s="8"/>
      <c r="D1175" s="8"/>
      <c r="E1175" s="8"/>
      <c r="F1175" s="8"/>
      <c r="G1175" s="8"/>
      <c r="H1175" s="8"/>
      <c r="I1175" s="8"/>
      <c r="J1175" s="8"/>
      <c r="K1175" s="8"/>
      <c r="L1175" s="8"/>
      <c r="M1175" s="8"/>
      <c r="N1175" s="8"/>
      <c r="O1175" s="8"/>
      <c r="P1175" s="8"/>
      <c r="Q1175" s="8"/>
      <c r="R1175" s="8"/>
      <c r="S1175" s="8"/>
      <c r="T1175" s="8"/>
      <c r="U1175" s="8"/>
      <c r="V1175" s="8"/>
      <c r="W1175" s="8"/>
    </row>
    <row r="1176" spans="1:23" ht="15.75" customHeight="1" x14ac:dyDescent="0.25">
      <c r="A1176" s="8" t="s">
        <v>3324</v>
      </c>
      <c r="B1176" s="8"/>
      <c r="C1176" s="8"/>
      <c r="D1176" s="8"/>
      <c r="E1176" s="8"/>
      <c r="F1176" s="8"/>
      <c r="G1176" s="8"/>
      <c r="H1176" s="8"/>
      <c r="I1176" s="8"/>
      <c r="J1176" s="8"/>
      <c r="K1176" s="8"/>
      <c r="L1176" s="8"/>
      <c r="M1176" s="8"/>
      <c r="N1176" s="8"/>
      <c r="O1176" s="8"/>
      <c r="P1176" s="8"/>
      <c r="Q1176" s="8"/>
      <c r="R1176" s="8"/>
      <c r="S1176" s="8"/>
      <c r="T1176" s="8"/>
      <c r="U1176" s="8"/>
      <c r="V1176" s="8"/>
      <c r="W1176" s="8"/>
    </row>
    <row r="1177" spans="1:23" ht="15.75" customHeight="1" x14ac:dyDescent="0.25">
      <c r="A1177" s="6" t="s">
        <v>3324</v>
      </c>
      <c r="B1177" s="8"/>
      <c r="C1177" s="8"/>
      <c r="D1177" s="8"/>
      <c r="E1177" s="8"/>
      <c r="F1177" s="8"/>
      <c r="G1177" s="8"/>
      <c r="H1177" s="8"/>
      <c r="I1177" s="8"/>
      <c r="J1177" s="8"/>
      <c r="K1177" s="8"/>
      <c r="L1177" s="8"/>
      <c r="M1177" s="8"/>
      <c r="N1177" s="8"/>
      <c r="O1177" s="8"/>
      <c r="P1177" s="8"/>
      <c r="Q1177" s="8"/>
      <c r="R1177" s="8"/>
      <c r="S1177" s="8"/>
      <c r="T1177" s="8"/>
      <c r="U1177" s="8"/>
      <c r="V1177" s="8"/>
      <c r="W1177" s="8"/>
    </row>
    <row r="1178" spans="1:23" ht="15.75" customHeight="1" x14ac:dyDescent="0.25">
      <c r="A1178" s="6" t="s">
        <v>3324</v>
      </c>
      <c r="B1178" s="8"/>
      <c r="C1178" s="8"/>
      <c r="D1178" s="8"/>
      <c r="E1178" s="8"/>
      <c r="F1178" s="8"/>
      <c r="G1178" s="8"/>
      <c r="H1178" s="8"/>
      <c r="I1178" s="8"/>
      <c r="J1178" s="8"/>
      <c r="K1178" s="8"/>
      <c r="L1178" s="8"/>
      <c r="M1178" s="8"/>
      <c r="N1178" s="8"/>
      <c r="O1178" s="8"/>
      <c r="P1178" s="8"/>
      <c r="Q1178" s="8"/>
      <c r="R1178" s="8"/>
      <c r="S1178" s="8"/>
      <c r="T1178" s="8"/>
      <c r="U1178" s="8"/>
      <c r="V1178" s="8"/>
      <c r="W1178" s="8"/>
    </row>
    <row r="1179" spans="1:23" ht="15.75" customHeight="1" x14ac:dyDescent="0.25">
      <c r="A1179" s="6" t="s">
        <v>3324</v>
      </c>
      <c r="B1179" s="8"/>
      <c r="C1179" s="8"/>
      <c r="D1179" s="8"/>
      <c r="E1179" s="8"/>
      <c r="F1179" s="8"/>
      <c r="G1179" s="8"/>
      <c r="H1179" s="8"/>
      <c r="I1179" s="8"/>
      <c r="J1179" s="8"/>
      <c r="K1179" s="8"/>
      <c r="L1179" s="8"/>
      <c r="M1179" s="8"/>
      <c r="N1179" s="8"/>
      <c r="O1179" s="8"/>
      <c r="P1179" s="8"/>
      <c r="Q1179" s="8"/>
      <c r="R1179" s="8"/>
      <c r="S1179" s="8"/>
      <c r="T1179" s="8"/>
      <c r="U1179" s="8"/>
      <c r="V1179" s="8"/>
      <c r="W1179" s="8"/>
    </row>
    <row r="1180" spans="1:23" ht="15.75" customHeight="1" x14ac:dyDescent="0.25">
      <c r="A1180" s="6" t="s">
        <v>3324</v>
      </c>
      <c r="B1180" s="8"/>
      <c r="C1180" s="8"/>
      <c r="D1180" s="8"/>
      <c r="E1180" s="8"/>
      <c r="F1180" s="8"/>
      <c r="G1180" s="8"/>
      <c r="H1180" s="8"/>
      <c r="I1180" s="8"/>
      <c r="J1180" s="8"/>
      <c r="K1180" s="8"/>
      <c r="L1180" s="8"/>
      <c r="M1180" s="8"/>
      <c r="N1180" s="8"/>
      <c r="O1180" s="8"/>
      <c r="P1180" s="8"/>
      <c r="Q1180" s="8"/>
      <c r="R1180" s="8"/>
      <c r="S1180" s="8"/>
      <c r="T1180" s="8"/>
      <c r="U1180" s="8"/>
      <c r="V1180" s="8"/>
      <c r="W1180" s="8"/>
    </row>
    <row r="1181" spans="1:23" ht="15.75" customHeight="1" x14ac:dyDescent="0.25">
      <c r="A1181" s="6" t="s">
        <v>3324</v>
      </c>
      <c r="B1181" s="8"/>
      <c r="C1181" s="8"/>
      <c r="D1181" s="8"/>
      <c r="E1181" s="8"/>
      <c r="F1181" s="8"/>
      <c r="G1181" s="8"/>
      <c r="H1181" s="8"/>
      <c r="I1181" s="8"/>
      <c r="J1181" s="8"/>
      <c r="K1181" s="8"/>
      <c r="L1181" s="8"/>
      <c r="M1181" s="8"/>
      <c r="N1181" s="8"/>
      <c r="O1181" s="8"/>
      <c r="P1181" s="8"/>
      <c r="Q1181" s="8"/>
      <c r="R1181" s="8"/>
      <c r="S1181" s="8"/>
      <c r="T1181" s="8"/>
      <c r="U1181" s="8"/>
      <c r="V1181" s="8"/>
      <c r="W1181" s="8"/>
    </row>
    <row r="1182" spans="1:23" ht="15.75" customHeight="1" x14ac:dyDescent="0.25">
      <c r="A1182" s="6" t="s">
        <v>3896</v>
      </c>
      <c r="B1182" s="8"/>
      <c r="C1182" s="8"/>
      <c r="D1182" s="8"/>
      <c r="E1182" s="8"/>
      <c r="F1182" s="8"/>
      <c r="G1182" s="8"/>
      <c r="H1182" s="8"/>
      <c r="I1182" s="8"/>
      <c r="J1182" s="8"/>
      <c r="K1182" s="8"/>
      <c r="L1182" s="8"/>
      <c r="M1182" s="8"/>
      <c r="N1182" s="8"/>
      <c r="O1182" s="8"/>
      <c r="P1182" s="8"/>
      <c r="Q1182" s="8"/>
      <c r="R1182" s="8"/>
      <c r="S1182" s="8"/>
      <c r="T1182" s="8"/>
      <c r="U1182" s="8"/>
      <c r="V1182" s="8"/>
      <c r="W1182" s="8"/>
    </row>
    <row r="1183" spans="1:23" ht="15.75" customHeight="1" x14ac:dyDescent="0.25">
      <c r="A1183" s="6" t="s">
        <v>3896</v>
      </c>
      <c r="B1183" s="8"/>
      <c r="C1183" s="8"/>
      <c r="D1183" s="8"/>
      <c r="E1183" s="8"/>
      <c r="F1183" s="8"/>
      <c r="G1183" s="8"/>
      <c r="H1183" s="8"/>
      <c r="I1183" s="8"/>
      <c r="J1183" s="8"/>
      <c r="K1183" s="8"/>
      <c r="L1183" s="8"/>
      <c r="M1183" s="8"/>
      <c r="N1183" s="8"/>
      <c r="O1183" s="8"/>
      <c r="P1183" s="8"/>
      <c r="Q1183" s="8"/>
      <c r="R1183" s="8"/>
      <c r="S1183" s="8"/>
      <c r="T1183" s="8"/>
      <c r="U1183" s="8"/>
      <c r="V1183" s="8"/>
      <c r="W1183" s="8"/>
    </row>
    <row r="1184" spans="1:23" ht="15.75" customHeight="1" x14ac:dyDescent="0.25">
      <c r="A1184" s="6" t="s">
        <v>3899</v>
      </c>
      <c r="B1184" s="8"/>
      <c r="C1184" s="8"/>
      <c r="D1184" s="8"/>
      <c r="E1184" s="8"/>
      <c r="F1184" s="8"/>
      <c r="G1184" s="8"/>
      <c r="H1184" s="8"/>
      <c r="I1184" s="8"/>
      <c r="J1184" s="8"/>
      <c r="K1184" s="8"/>
      <c r="L1184" s="8"/>
      <c r="M1184" s="8"/>
      <c r="N1184" s="8"/>
      <c r="O1184" s="8"/>
      <c r="P1184" s="8"/>
      <c r="Q1184" s="8"/>
      <c r="R1184" s="8"/>
      <c r="S1184" s="8"/>
      <c r="T1184" s="8"/>
      <c r="U1184" s="8"/>
      <c r="V1184" s="8"/>
      <c r="W1184" s="8"/>
    </row>
    <row r="1185" spans="1:23" ht="15.75" customHeight="1" x14ac:dyDescent="0.25">
      <c r="A1185" s="6" t="s">
        <v>3899</v>
      </c>
      <c r="B1185" s="8"/>
      <c r="C1185" s="8"/>
      <c r="D1185" s="8"/>
      <c r="E1185" s="8"/>
      <c r="F1185" s="8"/>
      <c r="G1185" s="8"/>
      <c r="H1185" s="8"/>
      <c r="I1185" s="8"/>
      <c r="J1185" s="8"/>
      <c r="K1185" s="8"/>
      <c r="L1185" s="8"/>
      <c r="M1185" s="8"/>
      <c r="N1185" s="8"/>
      <c r="O1185" s="8"/>
      <c r="P1185" s="8"/>
      <c r="Q1185" s="8"/>
      <c r="R1185" s="8"/>
      <c r="S1185" s="8"/>
      <c r="T1185" s="8"/>
      <c r="U1185" s="8"/>
      <c r="V1185" s="8"/>
      <c r="W1185" s="8"/>
    </row>
    <row r="1186" spans="1:23" ht="15.75" customHeight="1" x14ac:dyDescent="0.25">
      <c r="A1186" s="6" t="s">
        <v>4211</v>
      </c>
      <c r="B1186" s="8"/>
      <c r="C1186" s="8"/>
      <c r="D1186" s="8"/>
      <c r="E1186" s="8"/>
      <c r="F1186" s="8"/>
      <c r="G1186" s="8"/>
      <c r="H1186" s="8"/>
      <c r="I1186" s="8"/>
      <c r="J1186" s="8"/>
      <c r="K1186" s="8"/>
      <c r="L1186" s="8"/>
      <c r="M1186" s="8"/>
      <c r="N1186" s="8"/>
      <c r="O1186" s="8"/>
      <c r="P1186" s="8"/>
      <c r="Q1186" s="8"/>
      <c r="R1186" s="8"/>
      <c r="S1186" s="8"/>
      <c r="T1186" s="8"/>
      <c r="U1186" s="8"/>
      <c r="V1186" s="8"/>
      <c r="W1186" s="8"/>
    </row>
    <row r="1187" spans="1:23" ht="15.75" customHeight="1" x14ac:dyDescent="0.25">
      <c r="A1187" s="6" t="s">
        <v>3902</v>
      </c>
      <c r="B1187" s="8"/>
      <c r="C1187" s="8"/>
      <c r="D1187" s="8"/>
      <c r="E1187" s="8"/>
      <c r="F1187" s="8"/>
      <c r="G1187" s="8"/>
      <c r="H1187" s="8"/>
      <c r="I1187" s="8"/>
      <c r="J1187" s="8"/>
      <c r="K1187" s="8"/>
      <c r="L1187" s="8"/>
      <c r="M1187" s="8"/>
      <c r="N1187" s="8"/>
      <c r="O1187" s="8"/>
      <c r="P1187" s="8"/>
      <c r="Q1187" s="8"/>
      <c r="R1187" s="8"/>
      <c r="S1187" s="8"/>
      <c r="T1187" s="8"/>
      <c r="U1187" s="8"/>
      <c r="V1187" s="8"/>
      <c r="W1187" s="8"/>
    </row>
    <row r="1188" spans="1:23" ht="15.75" customHeight="1" x14ac:dyDescent="0.25">
      <c r="A1188" s="6" t="s">
        <v>3902</v>
      </c>
      <c r="B1188" s="8"/>
      <c r="C1188" s="8"/>
      <c r="D1188" s="8"/>
      <c r="E1188" s="8"/>
      <c r="F1188" s="8"/>
      <c r="G1188" s="8"/>
      <c r="H1188" s="8"/>
      <c r="I1188" s="8"/>
      <c r="J1188" s="8"/>
      <c r="K1188" s="8"/>
      <c r="L1188" s="8"/>
      <c r="M1188" s="8"/>
      <c r="N1188" s="8"/>
      <c r="O1188" s="8"/>
      <c r="P1188" s="8"/>
      <c r="Q1188" s="8"/>
      <c r="R1188" s="8"/>
      <c r="S1188" s="8"/>
      <c r="T1188" s="8"/>
      <c r="U1188" s="8"/>
      <c r="V1188" s="8"/>
      <c r="W1188" s="8"/>
    </row>
    <row r="1189" spans="1:23" ht="15.75" customHeight="1" x14ac:dyDescent="0.25">
      <c r="A1189" s="6" t="s">
        <v>182</v>
      </c>
      <c r="B1189" s="8"/>
      <c r="C1189" s="8"/>
      <c r="D1189" s="8"/>
      <c r="E1189" s="8"/>
      <c r="F1189" s="8"/>
      <c r="G1189" s="8"/>
      <c r="H1189" s="8"/>
      <c r="I1189" s="8"/>
      <c r="J1189" s="8"/>
      <c r="K1189" s="8"/>
      <c r="L1189" s="8"/>
      <c r="M1189" s="8"/>
      <c r="N1189" s="8"/>
      <c r="O1189" s="8"/>
      <c r="P1189" s="8"/>
      <c r="Q1189" s="8"/>
      <c r="R1189" s="8"/>
      <c r="S1189" s="8"/>
      <c r="T1189" s="8"/>
      <c r="U1189" s="8"/>
      <c r="V1189" s="8"/>
      <c r="W1189" s="8"/>
    </row>
    <row r="1190" spans="1:23" ht="15.75" customHeight="1" x14ac:dyDescent="0.25">
      <c r="A1190" s="6" t="s">
        <v>182</v>
      </c>
      <c r="B1190" s="8"/>
      <c r="C1190" s="8"/>
      <c r="D1190" s="8"/>
      <c r="E1190" s="8"/>
      <c r="F1190" s="8"/>
      <c r="G1190" s="8"/>
      <c r="H1190" s="8"/>
      <c r="I1190" s="8"/>
      <c r="J1190" s="8"/>
      <c r="K1190" s="8"/>
      <c r="L1190" s="8"/>
      <c r="M1190" s="8"/>
      <c r="N1190" s="8"/>
      <c r="O1190" s="8"/>
      <c r="P1190" s="8"/>
      <c r="Q1190" s="8"/>
      <c r="R1190" s="8"/>
      <c r="S1190" s="8"/>
      <c r="T1190" s="8"/>
      <c r="U1190" s="8"/>
      <c r="V1190" s="8"/>
      <c r="W1190" s="8"/>
    </row>
    <row r="1191" spans="1:23" ht="15.75" customHeight="1" x14ac:dyDescent="0.25">
      <c r="A1191" s="6" t="s">
        <v>182</v>
      </c>
      <c r="B1191" s="8"/>
      <c r="C1191" s="8"/>
      <c r="D1191" s="8"/>
      <c r="E1191" s="8"/>
      <c r="F1191" s="8"/>
      <c r="G1191" s="8"/>
      <c r="H1191" s="8"/>
      <c r="I1191" s="8"/>
      <c r="J1191" s="8"/>
      <c r="K1191" s="8"/>
      <c r="L1191" s="8"/>
      <c r="M1191" s="8"/>
      <c r="N1191" s="8"/>
      <c r="O1191" s="8"/>
      <c r="P1191" s="8"/>
      <c r="Q1191" s="8"/>
      <c r="R1191" s="8"/>
      <c r="S1191" s="8"/>
      <c r="T1191" s="8"/>
      <c r="U1191" s="8"/>
      <c r="V1191" s="8"/>
      <c r="W1191" s="8"/>
    </row>
    <row r="1192" spans="1:23" ht="15.75" customHeight="1" x14ac:dyDescent="0.25">
      <c r="A1192" s="6" t="s">
        <v>182</v>
      </c>
      <c r="B1192" s="8"/>
      <c r="C1192" s="8"/>
      <c r="D1192" s="8"/>
      <c r="E1192" s="8"/>
      <c r="F1192" s="8"/>
      <c r="G1192" s="8"/>
      <c r="H1192" s="8"/>
      <c r="I1192" s="8"/>
      <c r="J1192" s="8"/>
      <c r="K1192" s="8"/>
      <c r="L1192" s="8"/>
      <c r="M1192" s="8"/>
      <c r="N1192" s="8"/>
      <c r="O1192" s="8"/>
      <c r="P1192" s="8"/>
      <c r="Q1192" s="8"/>
      <c r="R1192" s="8"/>
      <c r="S1192" s="8"/>
      <c r="T1192" s="8"/>
      <c r="U1192" s="8"/>
      <c r="V1192" s="8"/>
      <c r="W1192" s="8"/>
    </row>
    <row r="1193" spans="1:23" ht="15.75" customHeight="1" x14ac:dyDescent="0.25">
      <c r="A1193" s="6" t="s">
        <v>182</v>
      </c>
      <c r="B1193" s="8"/>
      <c r="C1193" s="8"/>
      <c r="D1193" s="8"/>
      <c r="E1193" s="8"/>
      <c r="F1193" s="8"/>
      <c r="G1193" s="8"/>
      <c r="H1193" s="8"/>
      <c r="I1193" s="8"/>
      <c r="J1193" s="8"/>
      <c r="K1193" s="8"/>
      <c r="L1193" s="8"/>
      <c r="M1193" s="8"/>
      <c r="N1193" s="8"/>
      <c r="O1193" s="8"/>
      <c r="P1193" s="8"/>
      <c r="Q1193" s="8"/>
      <c r="R1193" s="8"/>
      <c r="S1193" s="8"/>
      <c r="T1193" s="8"/>
      <c r="U1193" s="8"/>
      <c r="V1193" s="8"/>
      <c r="W1193" s="8"/>
    </row>
    <row r="1194" spans="1:23" ht="15.75" customHeight="1" x14ac:dyDescent="0.25">
      <c r="A1194" s="6" t="s">
        <v>182</v>
      </c>
      <c r="B1194" s="8"/>
      <c r="C1194" s="8"/>
      <c r="D1194" s="8"/>
      <c r="E1194" s="8"/>
      <c r="F1194" s="8"/>
      <c r="G1194" s="8"/>
      <c r="H1194" s="8"/>
      <c r="I1194" s="8"/>
      <c r="J1194" s="8"/>
      <c r="K1194" s="8"/>
      <c r="L1194" s="8"/>
      <c r="M1194" s="8"/>
      <c r="N1194" s="8"/>
      <c r="O1194" s="8"/>
      <c r="P1194" s="8"/>
      <c r="Q1194" s="8"/>
      <c r="R1194" s="8"/>
      <c r="S1194" s="8"/>
      <c r="T1194" s="8"/>
      <c r="U1194" s="8"/>
      <c r="V1194" s="8"/>
      <c r="W1194" s="8"/>
    </row>
    <row r="1195" spans="1:23" ht="15.75" customHeight="1" x14ac:dyDescent="0.25">
      <c r="A1195" s="6" t="s">
        <v>182</v>
      </c>
      <c r="B1195" s="8"/>
      <c r="C1195" s="8"/>
      <c r="D1195" s="8"/>
      <c r="E1195" s="8"/>
      <c r="F1195" s="8"/>
      <c r="G1195" s="8"/>
      <c r="H1195" s="8"/>
      <c r="I1195" s="8"/>
      <c r="J1195" s="8"/>
      <c r="K1195" s="8"/>
      <c r="L1195" s="8"/>
      <c r="M1195" s="8"/>
      <c r="N1195" s="8"/>
      <c r="O1195" s="8"/>
      <c r="P1195" s="8"/>
      <c r="Q1195" s="8"/>
      <c r="R1195" s="8"/>
      <c r="S1195" s="8"/>
      <c r="T1195" s="8"/>
      <c r="U1195" s="8"/>
      <c r="V1195" s="8"/>
      <c r="W1195" s="8"/>
    </row>
    <row r="1196" spans="1:23" ht="15.75" customHeight="1" x14ac:dyDescent="0.25">
      <c r="A1196" s="6" t="s">
        <v>182</v>
      </c>
      <c r="B1196" s="8"/>
      <c r="C1196" s="8"/>
      <c r="D1196" s="8"/>
      <c r="E1196" s="8"/>
      <c r="F1196" s="8"/>
      <c r="G1196" s="8"/>
      <c r="H1196" s="8"/>
      <c r="I1196" s="8"/>
      <c r="J1196" s="8"/>
      <c r="K1196" s="8"/>
      <c r="L1196" s="8"/>
      <c r="M1196" s="8"/>
      <c r="N1196" s="8"/>
      <c r="O1196" s="8"/>
      <c r="P1196" s="8"/>
      <c r="Q1196" s="8"/>
      <c r="R1196" s="8"/>
      <c r="S1196" s="8"/>
      <c r="T1196" s="8"/>
      <c r="U1196" s="8"/>
      <c r="V1196" s="8"/>
      <c r="W1196" s="8"/>
    </row>
    <row r="1197" spans="1:23" ht="15.75" customHeight="1" x14ac:dyDescent="0.25">
      <c r="A1197" s="6" t="s">
        <v>182</v>
      </c>
      <c r="B1197" s="8"/>
      <c r="C1197" s="8"/>
      <c r="D1197" s="8"/>
      <c r="E1197" s="8"/>
      <c r="F1197" s="8"/>
      <c r="G1197" s="8"/>
      <c r="H1197" s="8"/>
      <c r="I1197" s="8"/>
      <c r="J1197" s="8"/>
      <c r="K1197" s="8"/>
      <c r="L1197" s="8"/>
      <c r="M1197" s="8"/>
      <c r="N1197" s="8"/>
      <c r="O1197" s="8"/>
      <c r="P1197" s="8"/>
      <c r="Q1197" s="8"/>
      <c r="R1197" s="8"/>
      <c r="S1197" s="8"/>
      <c r="T1197" s="8"/>
      <c r="U1197" s="8"/>
      <c r="V1197" s="8"/>
      <c r="W1197" s="8"/>
    </row>
    <row r="1198" spans="1:23" ht="15.75" customHeight="1" x14ac:dyDescent="0.25">
      <c r="A1198" s="6" t="s">
        <v>182</v>
      </c>
      <c r="B1198" s="8"/>
      <c r="C1198" s="8"/>
      <c r="D1198" s="8"/>
      <c r="E1198" s="8"/>
      <c r="F1198" s="8"/>
      <c r="G1198" s="8"/>
      <c r="H1198" s="8"/>
      <c r="I1198" s="8"/>
      <c r="J1198" s="8"/>
      <c r="K1198" s="8"/>
      <c r="L1198" s="8"/>
      <c r="M1198" s="8"/>
      <c r="N1198" s="8"/>
      <c r="O1198" s="8"/>
      <c r="P1198" s="8"/>
      <c r="Q1198" s="8"/>
      <c r="R1198" s="8"/>
      <c r="S1198" s="8"/>
      <c r="T1198" s="8"/>
      <c r="U1198" s="8"/>
      <c r="V1198" s="8"/>
      <c r="W1198" s="8"/>
    </row>
    <row r="1199" spans="1:23" ht="15.75" customHeight="1" x14ac:dyDescent="0.25">
      <c r="A1199" s="6" t="s">
        <v>182</v>
      </c>
      <c r="B1199" s="8"/>
      <c r="C1199" s="8"/>
      <c r="D1199" s="8"/>
      <c r="E1199" s="8"/>
      <c r="F1199" s="8"/>
      <c r="G1199" s="8"/>
      <c r="H1199" s="8"/>
      <c r="I1199" s="8"/>
      <c r="J1199" s="8"/>
      <c r="K1199" s="8"/>
      <c r="L1199" s="8"/>
      <c r="M1199" s="8"/>
      <c r="N1199" s="8"/>
      <c r="O1199" s="8"/>
      <c r="P1199" s="8"/>
      <c r="Q1199" s="8"/>
      <c r="R1199" s="8"/>
      <c r="S1199" s="8"/>
      <c r="T1199" s="8"/>
      <c r="U1199" s="8"/>
      <c r="V1199" s="8"/>
      <c r="W1199" s="8"/>
    </row>
    <row r="1200" spans="1:23" ht="15.75" customHeight="1" x14ac:dyDescent="0.25">
      <c r="A1200" s="6" t="s">
        <v>182</v>
      </c>
      <c r="B1200" s="8"/>
      <c r="C1200" s="8"/>
      <c r="D1200" s="8"/>
      <c r="E1200" s="8"/>
      <c r="F1200" s="8"/>
      <c r="G1200" s="8"/>
      <c r="H1200" s="8"/>
      <c r="I1200" s="8"/>
      <c r="J1200" s="8"/>
      <c r="K1200" s="8"/>
      <c r="L1200" s="8"/>
      <c r="M1200" s="8"/>
      <c r="N1200" s="8"/>
      <c r="O1200" s="8"/>
      <c r="P1200" s="8"/>
      <c r="Q1200" s="8"/>
      <c r="R1200" s="8"/>
      <c r="S1200" s="8"/>
      <c r="T1200" s="8"/>
      <c r="U1200" s="8"/>
      <c r="V1200" s="8"/>
      <c r="W1200" s="8"/>
    </row>
    <row r="1201" spans="1:23" ht="15.75" customHeight="1" x14ac:dyDescent="0.25">
      <c r="A1201" s="6" t="s">
        <v>182</v>
      </c>
      <c r="B1201" s="8"/>
      <c r="C1201" s="8"/>
      <c r="D1201" s="8"/>
      <c r="E1201" s="8"/>
      <c r="F1201" s="8"/>
      <c r="G1201" s="8"/>
      <c r="H1201" s="8"/>
      <c r="I1201" s="8"/>
      <c r="J1201" s="8"/>
      <c r="K1201" s="8"/>
      <c r="L1201" s="8"/>
      <c r="M1201" s="8"/>
      <c r="N1201" s="8"/>
      <c r="O1201" s="8"/>
      <c r="P1201" s="8"/>
      <c r="Q1201" s="8"/>
      <c r="R1201" s="8"/>
      <c r="S1201" s="8"/>
      <c r="T1201" s="8"/>
      <c r="U1201" s="8"/>
      <c r="V1201" s="8"/>
      <c r="W1201" s="8"/>
    </row>
    <row r="1202" spans="1:23" ht="15.75" customHeight="1" x14ac:dyDescent="0.25">
      <c r="A1202" s="6" t="s">
        <v>182</v>
      </c>
      <c r="B1202" s="8"/>
      <c r="C1202" s="8"/>
      <c r="D1202" s="8"/>
      <c r="E1202" s="8"/>
      <c r="F1202" s="8"/>
      <c r="G1202" s="8"/>
      <c r="H1202" s="8"/>
      <c r="I1202" s="8"/>
      <c r="J1202" s="8"/>
      <c r="K1202" s="8"/>
      <c r="L1202" s="8"/>
      <c r="M1202" s="8"/>
      <c r="N1202" s="8"/>
      <c r="O1202" s="8"/>
      <c r="P1202" s="8"/>
      <c r="Q1202" s="8"/>
      <c r="R1202" s="8"/>
      <c r="S1202" s="8"/>
      <c r="T1202" s="8"/>
      <c r="U1202" s="8"/>
      <c r="V1202" s="8"/>
      <c r="W1202" s="8"/>
    </row>
    <row r="1203" spans="1:23" ht="15.75" customHeight="1" x14ac:dyDescent="0.25">
      <c r="A1203" s="6" t="s">
        <v>182</v>
      </c>
      <c r="B1203" s="8"/>
      <c r="C1203" s="8"/>
      <c r="D1203" s="8"/>
      <c r="E1203" s="8"/>
      <c r="F1203" s="8"/>
      <c r="G1203" s="8"/>
      <c r="H1203" s="8"/>
      <c r="I1203" s="8"/>
      <c r="J1203" s="8"/>
      <c r="K1203" s="8"/>
      <c r="L1203" s="8"/>
      <c r="M1203" s="8"/>
      <c r="N1203" s="8"/>
      <c r="O1203" s="8"/>
      <c r="P1203" s="8"/>
      <c r="Q1203" s="8"/>
      <c r="R1203" s="8"/>
      <c r="S1203" s="8"/>
      <c r="T1203" s="8"/>
      <c r="U1203" s="8"/>
      <c r="V1203" s="8"/>
      <c r="W1203" s="8"/>
    </row>
    <row r="1204" spans="1:23" ht="15.75" customHeight="1" x14ac:dyDescent="0.25">
      <c r="A1204" s="6" t="s">
        <v>182</v>
      </c>
      <c r="B1204" s="8"/>
      <c r="C1204" s="8"/>
      <c r="D1204" s="8"/>
      <c r="E1204" s="8"/>
      <c r="F1204" s="8"/>
      <c r="G1204" s="8"/>
      <c r="H1204" s="8"/>
      <c r="I1204" s="8"/>
      <c r="J1204" s="8"/>
      <c r="K1204" s="8"/>
      <c r="L1204" s="8"/>
      <c r="M1204" s="8"/>
      <c r="N1204" s="8"/>
      <c r="O1204" s="8"/>
      <c r="P1204" s="8"/>
      <c r="Q1204" s="8"/>
      <c r="R1204" s="8"/>
      <c r="S1204" s="8"/>
      <c r="T1204" s="8"/>
      <c r="U1204" s="8"/>
      <c r="V1204" s="8"/>
      <c r="W1204" s="8"/>
    </row>
    <row r="1205" spans="1:23" ht="15.75" customHeight="1" x14ac:dyDescent="0.25">
      <c r="A1205" s="6" t="s">
        <v>182</v>
      </c>
      <c r="B1205" s="8"/>
      <c r="C1205" s="8"/>
      <c r="D1205" s="8"/>
      <c r="E1205" s="8"/>
      <c r="F1205" s="8"/>
      <c r="G1205" s="8"/>
      <c r="H1205" s="8"/>
      <c r="I1205" s="8"/>
      <c r="J1205" s="8"/>
      <c r="K1205" s="8"/>
      <c r="L1205" s="8"/>
      <c r="M1205" s="8"/>
      <c r="N1205" s="8"/>
      <c r="O1205" s="8"/>
      <c r="P1205" s="8"/>
      <c r="Q1205" s="8"/>
      <c r="R1205" s="8"/>
      <c r="S1205" s="8"/>
      <c r="T1205" s="8"/>
      <c r="U1205" s="8"/>
      <c r="V1205" s="8"/>
      <c r="W1205" s="8"/>
    </row>
    <row r="1206" spans="1:23" ht="15.75" customHeight="1" x14ac:dyDescent="0.25">
      <c r="A1206" s="6" t="s">
        <v>182</v>
      </c>
      <c r="B1206" s="8"/>
      <c r="C1206" s="8"/>
      <c r="D1206" s="8"/>
      <c r="E1206" s="8"/>
      <c r="F1206" s="8"/>
      <c r="G1206" s="8"/>
      <c r="H1206" s="8"/>
      <c r="I1206" s="8"/>
      <c r="J1206" s="8"/>
      <c r="K1206" s="8"/>
      <c r="L1206" s="8"/>
      <c r="M1206" s="8"/>
      <c r="N1206" s="8"/>
      <c r="O1206" s="8"/>
      <c r="P1206" s="8"/>
      <c r="Q1206" s="8"/>
      <c r="R1206" s="8"/>
      <c r="S1206" s="8"/>
      <c r="T1206" s="8"/>
      <c r="U1206" s="8"/>
      <c r="V1206" s="8"/>
      <c r="W1206" s="8"/>
    </row>
    <row r="1207" spans="1:23" ht="15.75" customHeight="1" x14ac:dyDescent="0.25">
      <c r="A1207" s="6" t="s">
        <v>182</v>
      </c>
      <c r="B1207" s="8"/>
      <c r="C1207" s="8"/>
      <c r="D1207" s="8"/>
      <c r="E1207" s="8"/>
      <c r="F1207" s="8"/>
      <c r="G1207" s="8"/>
      <c r="H1207" s="8"/>
      <c r="I1207" s="8"/>
      <c r="J1207" s="8"/>
      <c r="K1207" s="8"/>
      <c r="L1207" s="8"/>
      <c r="M1207" s="8"/>
      <c r="N1207" s="8"/>
      <c r="O1207" s="8"/>
      <c r="P1207" s="8"/>
      <c r="Q1207" s="8"/>
      <c r="R1207" s="8"/>
      <c r="S1207" s="8"/>
      <c r="T1207" s="8"/>
      <c r="U1207" s="8"/>
      <c r="V1207" s="8"/>
      <c r="W1207" s="8"/>
    </row>
    <row r="1208" spans="1:23" ht="15.75" customHeight="1" x14ac:dyDescent="0.25">
      <c r="A1208" s="6" t="s">
        <v>182</v>
      </c>
      <c r="B1208" s="8"/>
      <c r="C1208" s="8"/>
      <c r="D1208" s="8"/>
      <c r="E1208" s="8"/>
      <c r="F1208" s="8"/>
      <c r="G1208" s="8"/>
      <c r="H1208" s="8"/>
      <c r="I1208" s="8"/>
      <c r="J1208" s="8"/>
      <c r="K1208" s="8"/>
      <c r="L1208" s="8"/>
      <c r="M1208" s="8"/>
      <c r="N1208" s="8"/>
      <c r="O1208" s="8"/>
      <c r="P1208" s="8"/>
      <c r="Q1208" s="8"/>
      <c r="R1208" s="8"/>
      <c r="S1208" s="8"/>
      <c r="T1208" s="8"/>
      <c r="U1208" s="8"/>
      <c r="V1208" s="8"/>
      <c r="W1208" s="8"/>
    </row>
    <row r="1209" spans="1:23" ht="15.75" customHeight="1" x14ac:dyDescent="0.25">
      <c r="A1209" s="6" t="s">
        <v>182</v>
      </c>
      <c r="B1209" s="8"/>
      <c r="C1209" s="8"/>
      <c r="D1209" s="8"/>
      <c r="E1209" s="8"/>
      <c r="F1209" s="8"/>
      <c r="G1209" s="8"/>
      <c r="H1209" s="8"/>
      <c r="I1209" s="8"/>
      <c r="J1209" s="8"/>
      <c r="K1209" s="8"/>
      <c r="L1209" s="8"/>
      <c r="M1209" s="8"/>
      <c r="N1209" s="8"/>
      <c r="O1209" s="8"/>
      <c r="P1209" s="8"/>
      <c r="Q1209" s="8"/>
      <c r="R1209" s="8"/>
      <c r="S1209" s="8"/>
      <c r="T1209" s="8"/>
      <c r="U1209" s="8"/>
      <c r="V1209" s="8"/>
      <c r="W1209" s="8"/>
    </row>
    <row r="1210" spans="1:23" ht="15.75" customHeight="1" x14ac:dyDescent="0.25">
      <c r="A1210" s="6" t="s">
        <v>182</v>
      </c>
      <c r="B1210" s="8"/>
      <c r="C1210" s="8"/>
      <c r="D1210" s="8"/>
      <c r="E1210" s="8"/>
      <c r="F1210" s="8"/>
      <c r="G1210" s="8"/>
      <c r="H1210" s="8"/>
      <c r="I1210" s="8"/>
      <c r="J1210" s="8"/>
      <c r="K1210" s="8"/>
      <c r="L1210" s="8"/>
      <c r="M1210" s="8"/>
      <c r="N1210" s="8"/>
      <c r="O1210" s="8"/>
      <c r="P1210" s="8"/>
      <c r="Q1210" s="8"/>
      <c r="R1210" s="8"/>
      <c r="S1210" s="8"/>
      <c r="T1210" s="8"/>
      <c r="U1210" s="8"/>
      <c r="V1210" s="8"/>
      <c r="W1210" s="8"/>
    </row>
    <row r="1211" spans="1:23" ht="15.75" customHeight="1" x14ac:dyDescent="0.25">
      <c r="A1211" s="6" t="s">
        <v>182</v>
      </c>
      <c r="B1211" s="8"/>
      <c r="C1211" s="8"/>
      <c r="D1211" s="8"/>
      <c r="E1211" s="8"/>
      <c r="F1211" s="8"/>
      <c r="G1211" s="8"/>
      <c r="H1211" s="8"/>
      <c r="I1211" s="8"/>
      <c r="J1211" s="8"/>
      <c r="K1211" s="8"/>
      <c r="L1211" s="8"/>
      <c r="M1211" s="8"/>
      <c r="N1211" s="8"/>
      <c r="O1211" s="8"/>
      <c r="P1211" s="8"/>
      <c r="Q1211" s="8"/>
      <c r="R1211" s="8"/>
      <c r="S1211" s="8"/>
      <c r="T1211" s="8"/>
      <c r="U1211" s="8"/>
      <c r="V1211" s="8"/>
      <c r="W1211" s="8"/>
    </row>
    <row r="1212" spans="1:23" ht="15.75" customHeight="1" x14ac:dyDescent="0.25">
      <c r="A1212" s="6" t="s">
        <v>182</v>
      </c>
      <c r="B1212" s="8"/>
      <c r="C1212" s="8"/>
      <c r="D1212" s="8"/>
      <c r="E1212" s="8"/>
      <c r="F1212" s="8"/>
      <c r="G1212" s="8"/>
      <c r="H1212" s="8"/>
      <c r="I1212" s="8"/>
      <c r="J1212" s="8"/>
      <c r="K1212" s="8"/>
      <c r="L1212" s="8"/>
      <c r="M1212" s="8"/>
      <c r="N1212" s="8"/>
      <c r="O1212" s="8"/>
      <c r="P1212" s="8"/>
      <c r="Q1212" s="8"/>
      <c r="R1212" s="8"/>
      <c r="S1212" s="8"/>
      <c r="T1212" s="8"/>
      <c r="U1212" s="8"/>
      <c r="V1212" s="8"/>
      <c r="W1212" s="8"/>
    </row>
    <row r="1213" spans="1:23" ht="15.75" customHeight="1" x14ac:dyDescent="0.25">
      <c r="A1213" s="6" t="s">
        <v>182</v>
      </c>
      <c r="B1213" s="8"/>
      <c r="C1213" s="8"/>
      <c r="D1213" s="8"/>
      <c r="E1213" s="8"/>
      <c r="F1213" s="8"/>
      <c r="G1213" s="8"/>
      <c r="H1213" s="8"/>
      <c r="I1213" s="8"/>
      <c r="J1213" s="8"/>
      <c r="K1213" s="8"/>
      <c r="L1213" s="8"/>
      <c r="M1213" s="8"/>
      <c r="N1213" s="8"/>
      <c r="O1213" s="8"/>
      <c r="P1213" s="8"/>
      <c r="Q1213" s="8"/>
      <c r="R1213" s="8"/>
      <c r="S1213" s="8"/>
      <c r="T1213" s="8"/>
      <c r="U1213" s="8"/>
      <c r="V1213" s="8"/>
      <c r="W1213" s="8"/>
    </row>
    <row r="1214" spans="1:23" ht="15.75" customHeight="1" x14ac:dyDescent="0.25">
      <c r="A1214" s="6" t="s">
        <v>182</v>
      </c>
      <c r="B1214" s="8"/>
      <c r="C1214" s="8"/>
      <c r="D1214" s="8"/>
      <c r="E1214" s="8"/>
      <c r="F1214" s="8"/>
      <c r="G1214" s="8"/>
      <c r="H1214" s="8"/>
      <c r="I1214" s="8"/>
      <c r="J1214" s="8"/>
      <c r="K1214" s="8"/>
      <c r="L1214" s="8"/>
      <c r="M1214" s="8"/>
      <c r="N1214" s="8"/>
      <c r="O1214" s="8"/>
      <c r="P1214" s="8"/>
      <c r="Q1214" s="8"/>
      <c r="R1214" s="8"/>
      <c r="S1214" s="8"/>
      <c r="T1214" s="8"/>
      <c r="U1214" s="8"/>
      <c r="V1214" s="8"/>
      <c r="W1214" s="8"/>
    </row>
    <row r="1215" spans="1:23" ht="15.75" customHeight="1" x14ac:dyDescent="0.25">
      <c r="A1215" s="6" t="s">
        <v>182</v>
      </c>
      <c r="B1215" s="8"/>
      <c r="C1215" s="8"/>
      <c r="D1215" s="8"/>
      <c r="E1215" s="8"/>
      <c r="F1215" s="8"/>
      <c r="G1215" s="8"/>
      <c r="H1215" s="8"/>
      <c r="I1215" s="8"/>
      <c r="J1215" s="8"/>
      <c r="K1215" s="8"/>
      <c r="L1215" s="8"/>
      <c r="M1215" s="8"/>
      <c r="N1215" s="8"/>
      <c r="O1215" s="8"/>
      <c r="P1215" s="8"/>
      <c r="Q1215" s="8"/>
      <c r="R1215" s="8"/>
      <c r="S1215" s="8"/>
      <c r="T1215" s="8"/>
      <c r="U1215" s="8"/>
      <c r="V1215" s="8"/>
      <c r="W1215" s="8"/>
    </row>
    <row r="1216" spans="1:23" ht="15.75" customHeight="1" x14ac:dyDescent="0.25">
      <c r="A1216" s="6" t="s">
        <v>182</v>
      </c>
      <c r="B1216" s="8"/>
      <c r="C1216" s="8"/>
      <c r="D1216" s="6"/>
      <c r="E1216" s="8"/>
      <c r="F1216" s="8"/>
      <c r="G1216" s="8"/>
      <c r="H1216" s="8"/>
      <c r="I1216" s="8"/>
      <c r="J1216" s="8"/>
      <c r="K1216" s="8"/>
      <c r="L1216" s="8"/>
      <c r="M1216" s="8"/>
      <c r="N1216" s="8"/>
      <c r="O1216" s="8"/>
      <c r="P1216" s="8"/>
      <c r="Q1216" s="8"/>
      <c r="R1216" s="8"/>
      <c r="S1216" s="8"/>
      <c r="T1216" s="8"/>
      <c r="U1216" s="8"/>
      <c r="V1216" s="8"/>
      <c r="W1216" s="8"/>
    </row>
    <row r="1217" spans="1:23" ht="15.75" customHeight="1" x14ac:dyDescent="0.25">
      <c r="A1217" s="6" t="s">
        <v>182</v>
      </c>
      <c r="B1217" s="8"/>
      <c r="C1217" s="8"/>
      <c r="D1217" s="8"/>
      <c r="E1217" s="8"/>
      <c r="F1217" s="8"/>
      <c r="G1217" s="8"/>
      <c r="H1217" s="8"/>
      <c r="I1217" s="8"/>
      <c r="J1217" s="8"/>
      <c r="K1217" s="8"/>
      <c r="L1217" s="8"/>
      <c r="M1217" s="8"/>
      <c r="N1217" s="8"/>
      <c r="O1217" s="8"/>
      <c r="P1217" s="8"/>
      <c r="Q1217" s="8"/>
      <c r="R1217" s="8"/>
      <c r="S1217" s="8"/>
      <c r="T1217" s="8"/>
      <c r="U1217" s="8"/>
      <c r="V1217" s="8"/>
      <c r="W1217" s="8"/>
    </row>
    <row r="1218" spans="1:23" ht="15.75" customHeight="1" x14ac:dyDescent="0.25">
      <c r="A1218" s="6" t="s">
        <v>182</v>
      </c>
      <c r="B1218" s="8"/>
      <c r="C1218" s="8"/>
      <c r="D1218" s="8"/>
      <c r="E1218" s="8"/>
      <c r="F1218" s="8"/>
      <c r="G1218" s="8"/>
      <c r="H1218" s="8"/>
      <c r="I1218" s="8"/>
      <c r="J1218" s="8"/>
      <c r="K1218" s="8"/>
      <c r="L1218" s="8"/>
      <c r="M1218" s="8"/>
      <c r="N1218" s="8"/>
      <c r="O1218" s="8"/>
      <c r="P1218" s="8"/>
      <c r="Q1218" s="8"/>
      <c r="R1218" s="8"/>
      <c r="S1218" s="8"/>
      <c r="T1218" s="8"/>
      <c r="U1218" s="8"/>
      <c r="V1218" s="8"/>
      <c r="W1218" s="8"/>
    </row>
    <row r="1219" spans="1:23" ht="15.75" customHeight="1" x14ac:dyDescent="0.25">
      <c r="A1219" s="6" t="s">
        <v>182</v>
      </c>
      <c r="B1219" s="8"/>
      <c r="C1219" s="8"/>
      <c r="D1219" s="8"/>
      <c r="E1219" s="8"/>
      <c r="F1219" s="8"/>
      <c r="G1219" s="8"/>
      <c r="H1219" s="8"/>
      <c r="I1219" s="8"/>
      <c r="J1219" s="8"/>
      <c r="K1219" s="8"/>
      <c r="L1219" s="8"/>
      <c r="M1219" s="8"/>
      <c r="N1219" s="8"/>
      <c r="O1219" s="8"/>
      <c r="P1219" s="8"/>
      <c r="Q1219" s="8"/>
      <c r="R1219" s="8"/>
      <c r="S1219" s="8"/>
      <c r="T1219" s="8"/>
      <c r="U1219" s="8"/>
      <c r="V1219" s="8"/>
      <c r="W1219" s="8"/>
    </row>
    <row r="1220" spans="1:23" ht="15.75" customHeight="1" x14ac:dyDescent="0.25">
      <c r="A1220" s="6" t="s">
        <v>182</v>
      </c>
      <c r="B1220" s="8"/>
      <c r="C1220" s="8"/>
      <c r="D1220" s="8"/>
      <c r="E1220" s="8"/>
      <c r="F1220" s="8"/>
      <c r="G1220" s="8"/>
      <c r="H1220" s="8"/>
      <c r="I1220" s="8"/>
      <c r="J1220" s="8"/>
      <c r="K1220" s="8"/>
      <c r="L1220" s="8"/>
      <c r="M1220" s="8"/>
      <c r="N1220" s="8"/>
      <c r="O1220" s="8"/>
      <c r="P1220" s="8"/>
      <c r="Q1220" s="8"/>
      <c r="R1220" s="8"/>
      <c r="S1220" s="8"/>
      <c r="T1220" s="8"/>
      <c r="U1220" s="8"/>
      <c r="V1220" s="8"/>
      <c r="W1220" s="8"/>
    </row>
    <row r="1221" spans="1:23" ht="15.75" customHeight="1" x14ac:dyDescent="0.25">
      <c r="A1221" s="6" t="s">
        <v>182</v>
      </c>
      <c r="B1221" s="8"/>
      <c r="C1221" s="8"/>
      <c r="D1221" s="8"/>
      <c r="E1221" s="8"/>
      <c r="F1221" s="8"/>
      <c r="G1221" s="8"/>
      <c r="H1221" s="8"/>
      <c r="I1221" s="8"/>
      <c r="J1221" s="8"/>
      <c r="K1221" s="8"/>
      <c r="L1221" s="8"/>
      <c r="M1221" s="8"/>
      <c r="N1221" s="8"/>
      <c r="O1221" s="8"/>
      <c r="P1221" s="8"/>
      <c r="Q1221" s="8"/>
      <c r="R1221" s="8"/>
      <c r="S1221" s="8"/>
      <c r="T1221" s="8"/>
      <c r="U1221" s="8"/>
      <c r="V1221" s="8"/>
      <c r="W1221" s="8"/>
    </row>
    <row r="1222" spans="1:23" ht="15.75" customHeight="1" x14ac:dyDescent="0.25">
      <c r="A1222" s="6" t="s">
        <v>182</v>
      </c>
      <c r="B1222" s="8"/>
      <c r="C1222" s="8"/>
      <c r="D1222" s="8"/>
      <c r="E1222" s="8"/>
      <c r="F1222" s="8"/>
      <c r="G1222" s="8"/>
      <c r="H1222" s="8"/>
      <c r="I1222" s="8"/>
      <c r="J1222" s="8"/>
      <c r="K1222" s="8"/>
      <c r="L1222" s="8"/>
      <c r="M1222" s="8"/>
      <c r="N1222" s="8"/>
      <c r="O1222" s="8"/>
      <c r="P1222" s="8"/>
      <c r="Q1222" s="8"/>
      <c r="R1222" s="8"/>
      <c r="S1222" s="8"/>
      <c r="T1222" s="8"/>
      <c r="U1222" s="8"/>
      <c r="V1222" s="8"/>
      <c r="W1222" s="8"/>
    </row>
    <row r="1223" spans="1:23" ht="15.75" customHeight="1" x14ac:dyDescent="0.25">
      <c r="A1223" s="6" t="s">
        <v>182</v>
      </c>
      <c r="B1223" s="8"/>
      <c r="C1223" s="8"/>
      <c r="D1223" s="8"/>
      <c r="E1223" s="8"/>
      <c r="F1223" s="8"/>
      <c r="G1223" s="8"/>
      <c r="H1223" s="8"/>
      <c r="I1223" s="8"/>
      <c r="J1223" s="8"/>
      <c r="K1223" s="8"/>
      <c r="L1223" s="8"/>
      <c r="M1223" s="8"/>
      <c r="N1223" s="8"/>
      <c r="O1223" s="8"/>
      <c r="P1223" s="8"/>
      <c r="Q1223" s="8"/>
      <c r="R1223" s="8"/>
      <c r="S1223" s="8"/>
      <c r="T1223" s="8"/>
      <c r="U1223" s="8"/>
      <c r="V1223" s="8"/>
      <c r="W1223" s="8"/>
    </row>
    <row r="1224" spans="1:23" ht="15.75" customHeight="1" x14ac:dyDescent="0.25">
      <c r="A1224" s="6" t="s">
        <v>182</v>
      </c>
      <c r="B1224" s="8"/>
      <c r="C1224" s="8"/>
      <c r="D1224" s="8"/>
      <c r="E1224" s="8"/>
      <c r="F1224" s="8"/>
      <c r="G1224" s="8"/>
      <c r="H1224" s="8"/>
      <c r="I1224" s="8"/>
      <c r="J1224" s="8"/>
      <c r="K1224" s="8"/>
      <c r="L1224" s="8"/>
      <c r="M1224" s="8"/>
      <c r="N1224" s="8"/>
      <c r="O1224" s="8"/>
      <c r="P1224" s="8"/>
      <c r="Q1224" s="8"/>
      <c r="R1224" s="8"/>
      <c r="S1224" s="8"/>
      <c r="T1224" s="8"/>
      <c r="U1224" s="8"/>
      <c r="V1224" s="8"/>
      <c r="W1224" s="8"/>
    </row>
    <row r="1225" spans="1:23" ht="15.75" customHeight="1" x14ac:dyDescent="0.25">
      <c r="A1225" s="6" t="s">
        <v>182</v>
      </c>
      <c r="B1225" s="8"/>
      <c r="C1225" s="8"/>
      <c r="D1225" s="8"/>
      <c r="E1225" s="8"/>
      <c r="F1225" s="8"/>
      <c r="G1225" s="8"/>
      <c r="H1225" s="8"/>
      <c r="I1225" s="8"/>
      <c r="J1225" s="8"/>
      <c r="K1225" s="8"/>
      <c r="L1225" s="8"/>
      <c r="M1225" s="8"/>
      <c r="N1225" s="8"/>
      <c r="O1225" s="8"/>
      <c r="P1225" s="8"/>
      <c r="Q1225" s="8"/>
      <c r="R1225" s="8"/>
      <c r="S1225" s="8"/>
      <c r="T1225" s="8"/>
      <c r="U1225" s="8"/>
      <c r="V1225" s="8"/>
      <c r="W1225" s="8"/>
    </row>
    <row r="1226" spans="1:23" ht="15.75" customHeight="1" x14ac:dyDescent="0.25">
      <c r="A1226" s="6" t="s">
        <v>182</v>
      </c>
      <c r="B1226" s="8"/>
      <c r="C1226" s="8"/>
      <c r="D1226" s="8"/>
      <c r="E1226" s="8"/>
      <c r="F1226" s="8"/>
      <c r="G1226" s="8"/>
      <c r="H1226" s="8"/>
      <c r="I1226" s="8"/>
      <c r="J1226" s="8"/>
      <c r="K1226" s="8"/>
      <c r="L1226" s="8"/>
      <c r="M1226" s="8"/>
      <c r="N1226" s="8"/>
      <c r="O1226" s="8"/>
      <c r="P1226" s="8"/>
      <c r="Q1226" s="8"/>
      <c r="R1226" s="8"/>
      <c r="S1226" s="8"/>
      <c r="T1226" s="8"/>
      <c r="U1226" s="8"/>
      <c r="V1226" s="8"/>
      <c r="W1226" s="8"/>
    </row>
    <row r="1227" spans="1:23" ht="15.75" customHeight="1" x14ac:dyDescent="0.25">
      <c r="A1227" s="6" t="s">
        <v>182</v>
      </c>
      <c r="B1227" s="8"/>
      <c r="C1227" s="8"/>
      <c r="D1227" s="8"/>
      <c r="E1227" s="8"/>
      <c r="F1227" s="8"/>
      <c r="G1227" s="8"/>
      <c r="H1227" s="8"/>
      <c r="I1227" s="8"/>
      <c r="J1227" s="8"/>
      <c r="K1227" s="8"/>
      <c r="L1227" s="8"/>
      <c r="M1227" s="8"/>
      <c r="N1227" s="8"/>
      <c r="O1227" s="8"/>
      <c r="P1227" s="8"/>
      <c r="Q1227" s="8"/>
      <c r="R1227" s="8"/>
      <c r="S1227" s="8"/>
      <c r="T1227" s="8"/>
      <c r="U1227" s="8"/>
      <c r="V1227" s="8"/>
      <c r="W1227" s="8"/>
    </row>
    <row r="1228" spans="1:23" ht="15.75" customHeight="1" x14ac:dyDescent="0.25">
      <c r="A1228" s="6" t="s">
        <v>182</v>
      </c>
      <c r="B1228" s="8"/>
      <c r="C1228" s="8"/>
      <c r="D1228" s="8"/>
      <c r="E1228" s="8"/>
      <c r="F1228" s="8"/>
      <c r="G1228" s="8"/>
      <c r="H1228" s="8"/>
      <c r="I1228" s="8"/>
      <c r="J1228" s="8"/>
      <c r="K1228" s="8"/>
      <c r="L1228" s="8"/>
      <c r="M1228" s="8"/>
      <c r="N1228" s="8"/>
      <c r="O1228" s="8"/>
      <c r="P1228" s="8"/>
      <c r="Q1228" s="8"/>
      <c r="R1228" s="8"/>
      <c r="S1228" s="8"/>
      <c r="T1228" s="8"/>
      <c r="U1228" s="8"/>
      <c r="V1228" s="8"/>
      <c r="W1228" s="8"/>
    </row>
    <row r="1229" spans="1:23" ht="15.75" customHeight="1" x14ac:dyDescent="0.25">
      <c r="A1229" s="6" t="s">
        <v>182</v>
      </c>
      <c r="B1229" s="8"/>
      <c r="C1229" s="8"/>
      <c r="D1229" s="8"/>
      <c r="E1229" s="8"/>
      <c r="F1229" s="8"/>
      <c r="G1229" s="8"/>
      <c r="H1229" s="8"/>
      <c r="I1229" s="8"/>
      <c r="J1229" s="8"/>
      <c r="K1229" s="8"/>
      <c r="L1229" s="8"/>
      <c r="M1229" s="8"/>
      <c r="N1229" s="8"/>
      <c r="O1229" s="8"/>
      <c r="P1229" s="8"/>
      <c r="Q1229" s="8"/>
      <c r="R1229" s="8"/>
      <c r="S1229" s="8"/>
      <c r="T1229" s="8"/>
      <c r="U1229" s="8"/>
      <c r="V1229" s="8"/>
      <c r="W1229" s="8"/>
    </row>
    <row r="1230" spans="1:23" ht="15.75" customHeight="1" x14ac:dyDescent="0.25">
      <c r="A1230" s="6" t="s">
        <v>182</v>
      </c>
      <c r="B1230" s="8"/>
      <c r="C1230" s="8"/>
      <c r="D1230" s="8"/>
      <c r="E1230" s="8"/>
      <c r="F1230" s="8"/>
      <c r="G1230" s="8"/>
      <c r="H1230" s="8"/>
      <c r="I1230" s="8"/>
      <c r="J1230" s="8"/>
      <c r="K1230" s="8"/>
      <c r="L1230" s="8"/>
      <c r="M1230" s="8"/>
      <c r="N1230" s="8"/>
      <c r="O1230" s="8"/>
      <c r="P1230" s="8"/>
      <c r="Q1230" s="8"/>
      <c r="R1230" s="8"/>
      <c r="S1230" s="8"/>
      <c r="T1230" s="8"/>
      <c r="U1230" s="8"/>
      <c r="V1230" s="8"/>
      <c r="W1230" s="8"/>
    </row>
    <row r="1231" spans="1:23" ht="15.75" customHeight="1" x14ac:dyDescent="0.25">
      <c r="A1231" s="6" t="s">
        <v>182</v>
      </c>
      <c r="B1231" s="8"/>
      <c r="C1231" s="8"/>
      <c r="D1231" s="8"/>
      <c r="E1231" s="8"/>
      <c r="F1231" s="8"/>
      <c r="G1231" s="8"/>
      <c r="H1231" s="8"/>
      <c r="I1231" s="8"/>
      <c r="J1231" s="8"/>
      <c r="K1231" s="8"/>
      <c r="L1231" s="8"/>
      <c r="M1231" s="8"/>
      <c r="N1231" s="8"/>
      <c r="O1231" s="8"/>
      <c r="P1231" s="8"/>
      <c r="Q1231" s="8"/>
      <c r="R1231" s="8"/>
      <c r="S1231" s="8"/>
      <c r="T1231" s="8"/>
      <c r="U1231" s="8"/>
      <c r="V1231" s="8"/>
      <c r="W1231" s="8"/>
    </row>
    <row r="1232" spans="1:23" ht="15.75" customHeight="1" x14ac:dyDescent="0.25">
      <c r="A1232" s="6" t="s">
        <v>182</v>
      </c>
      <c r="B1232" s="8"/>
      <c r="C1232" s="8"/>
      <c r="D1232" s="8"/>
      <c r="E1232" s="8"/>
      <c r="F1232" s="8"/>
      <c r="G1232" s="8"/>
      <c r="H1232" s="8"/>
      <c r="I1232" s="8"/>
      <c r="J1232" s="8"/>
      <c r="K1232" s="8"/>
      <c r="L1232" s="8"/>
      <c r="M1232" s="8"/>
      <c r="N1232" s="8"/>
      <c r="O1232" s="8"/>
      <c r="P1232" s="8"/>
      <c r="Q1232" s="8"/>
      <c r="R1232" s="8"/>
      <c r="S1232" s="8"/>
      <c r="T1232" s="8"/>
      <c r="U1232" s="8"/>
      <c r="V1232" s="8"/>
      <c r="W1232" s="8"/>
    </row>
    <row r="1233" spans="1:23" ht="15.75" customHeight="1" x14ac:dyDescent="0.25">
      <c r="A1233" s="8" t="s">
        <v>182</v>
      </c>
      <c r="B1233" s="8"/>
      <c r="C1233" s="8"/>
      <c r="D1233" s="8"/>
      <c r="E1233" s="8"/>
      <c r="F1233" s="8"/>
      <c r="G1233" s="8"/>
      <c r="H1233" s="8"/>
      <c r="I1233" s="8"/>
      <c r="J1233" s="8"/>
      <c r="K1233" s="8"/>
      <c r="L1233" s="8"/>
      <c r="M1233" s="8"/>
      <c r="N1233" s="8"/>
      <c r="O1233" s="8"/>
      <c r="P1233" s="8"/>
      <c r="Q1233" s="8"/>
      <c r="R1233" s="8"/>
      <c r="S1233" s="8"/>
      <c r="T1233" s="8"/>
      <c r="U1233" s="8"/>
      <c r="V1233" s="8"/>
      <c r="W1233" s="8"/>
    </row>
    <row r="1234" spans="1:23" ht="15.75" customHeight="1" x14ac:dyDescent="0.25">
      <c r="A1234" s="6" t="s">
        <v>182</v>
      </c>
      <c r="B1234" s="8"/>
      <c r="C1234" s="8"/>
      <c r="D1234" s="8"/>
      <c r="E1234" s="8"/>
      <c r="F1234" s="8"/>
      <c r="G1234" s="8"/>
      <c r="H1234" s="8"/>
      <c r="I1234" s="8"/>
      <c r="J1234" s="8"/>
      <c r="K1234" s="8"/>
      <c r="L1234" s="8"/>
      <c r="M1234" s="8"/>
      <c r="N1234" s="8"/>
      <c r="O1234" s="8"/>
      <c r="P1234" s="8"/>
      <c r="Q1234" s="8"/>
      <c r="R1234" s="8"/>
      <c r="S1234" s="8"/>
      <c r="T1234" s="8"/>
      <c r="U1234" s="8"/>
      <c r="V1234" s="8"/>
      <c r="W1234" s="8"/>
    </row>
    <row r="1235" spans="1:23" ht="15.75" customHeight="1" x14ac:dyDescent="0.25">
      <c r="A1235" s="6" t="s">
        <v>182</v>
      </c>
      <c r="B1235" s="8"/>
      <c r="C1235" s="8"/>
      <c r="D1235" s="8"/>
      <c r="E1235" s="8"/>
      <c r="F1235" s="8"/>
      <c r="G1235" s="8"/>
      <c r="H1235" s="8"/>
      <c r="I1235" s="8"/>
      <c r="J1235" s="8"/>
      <c r="K1235" s="8"/>
      <c r="L1235" s="8"/>
      <c r="M1235" s="8"/>
      <c r="N1235" s="8"/>
      <c r="O1235" s="8"/>
      <c r="P1235" s="8"/>
      <c r="Q1235" s="8"/>
      <c r="R1235" s="8"/>
      <c r="S1235" s="8"/>
      <c r="T1235" s="8"/>
      <c r="U1235" s="8"/>
      <c r="V1235" s="8"/>
      <c r="W1235" s="8"/>
    </row>
    <row r="1236" spans="1:23" ht="15.75" customHeight="1" x14ac:dyDescent="0.25">
      <c r="A1236" s="6" t="s">
        <v>182</v>
      </c>
      <c r="B1236" s="8"/>
      <c r="C1236" s="8"/>
      <c r="D1236" s="8"/>
      <c r="E1236" s="8"/>
      <c r="F1236" s="8"/>
      <c r="G1236" s="8"/>
      <c r="H1236" s="8"/>
      <c r="I1236" s="8"/>
      <c r="J1236" s="8"/>
      <c r="K1236" s="8"/>
      <c r="L1236" s="8"/>
      <c r="M1236" s="8"/>
      <c r="N1236" s="8"/>
      <c r="O1236" s="8"/>
      <c r="P1236" s="8"/>
      <c r="Q1236" s="8"/>
      <c r="R1236" s="8"/>
      <c r="S1236" s="8"/>
      <c r="T1236" s="8"/>
      <c r="U1236" s="8"/>
      <c r="V1236" s="8"/>
      <c r="W1236" s="8"/>
    </row>
    <row r="1237" spans="1:23" ht="15.75" customHeight="1" x14ac:dyDescent="0.25">
      <c r="A1237" s="6" t="s">
        <v>182</v>
      </c>
      <c r="B1237" s="8"/>
      <c r="C1237" s="8"/>
      <c r="D1237" s="8"/>
      <c r="E1237" s="8"/>
      <c r="F1237" s="8"/>
      <c r="G1237" s="8"/>
      <c r="H1237" s="8"/>
      <c r="I1237" s="8"/>
      <c r="J1237" s="8"/>
      <c r="K1237" s="8"/>
      <c r="L1237" s="8"/>
      <c r="M1237" s="8"/>
      <c r="N1237" s="8"/>
      <c r="O1237" s="8"/>
      <c r="P1237" s="8"/>
      <c r="Q1237" s="8"/>
      <c r="R1237" s="8"/>
      <c r="S1237" s="8"/>
      <c r="T1237" s="8"/>
      <c r="U1237" s="8"/>
      <c r="V1237" s="8"/>
      <c r="W1237" s="8"/>
    </row>
    <row r="1238" spans="1:23" ht="15.75" customHeight="1" x14ac:dyDescent="0.25">
      <c r="A1238" s="6" t="s">
        <v>182</v>
      </c>
      <c r="B1238" s="8"/>
      <c r="C1238" s="8"/>
      <c r="D1238" s="8"/>
      <c r="E1238" s="8"/>
      <c r="F1238" s="8"/>
      <c r="G1238" s="8"/>
      <c r="H1238" s="8"/>
      <c r="I1238" s="8"/>
      <c r="J1238" s="8"/>
      <c r="K1238" s="8"/>
      <c r="L1238" s="8"/>
      <c r="M1238" s="8"/>
      <c r="N1238" s="8"/>
      <c r="O1238" s="8"/>
      <c r="P1238" s="8"/>
      <c r="Q1238" s="8"/>
      <c r="R1238" s="8"/>
      <c r="S1238" s="8"/>
      <c r="T1238" s="8"/>
      <c r="U1238" s="8"/>
      <c r="V1238" s="8"/>
      <c r="W1238" s="8"/>
    </row>
    <row r="1239" spans="1:23" ht="15.75" customHeight="1" x14ac:dyDescent="0.25">
      <c r="A1239" s="6" t="s">
        <v>182</v>
      </c>
      <c r="B1239" s="8"/>
      <c r="C1239" s="8"/>
      <c r="D1239" s="8"/>
      <c r="E1239" s="8"/>
      <c r="F1239" s="8"/>
      <c r="G1239" s="8"/>
      <c r="H1239" s="8"/>
      <c r="I1239" s="8"/>
      <c r="J1239" s="8"/>
      <c r="K1239" s="8"/>
      <c r="L1239" s="8"/>
      <c r="M1239" s="8"/>
      <c r="N1239" s="8"/>
      <c r="O1239" s="8"/>
      <c r="P1239" s="8"/>
      <c r="Q1239" s="8"/>
      <c r="R1239" s="8"/>
      <c r="S1239" s="8"/>
      <c r="T1239" s="8"/>
      <c r="U1239" s="8"/>
      <c r="V1239" s="8"/>
      <c r="W1239" s="8"/>
    </row>
    <row r="1240" spans="1:23" ht="15.75" customHeight="1" x14ac:dyDescent="0.25">
      <c r="A1240" s="6" t="s">
        <v>182</v>
      </c>
      <c r="B1240" s="8"/>
      <c r="C1240" s="8"/>
      <c r="D1240" s="8"/>
      <c r="E1240" s="8"/>
      <c r="F1240" s="8"/>
      <c r="G1240" s="8"/>
      <c r="H1240" s="8"/>
      <c r="I1240" s="8"/>
      <c r="J1240" s="8"/>
      <c r="K1240" s="8"/>
      <c r="L1240" s="8"/>
      <c r="M1240" s="8"/>
      <c r="N1240" s="8"/>
      <c r="O1240" s="8"/>
      <c r="P1240" s="8"/>
      <c r="Q1240" s="8"/>
      <c r="R1240" s="8"/>
      <c r="S1240" s="8"/>
      <c r="T1240" s="8"/>
      <c r="U1240" s="8"/>
      <c r="V1240" s="8"/>
      <c r="W1240" s="8"/>
    </row>
    <row r="1241" spans="1:23" ht="15.75" customHeight="1" x14ac:dyDescent="0.25">
      <c r="A1241" s="6" t="s">
        <v>182</v>
      </c>
      <c r="B1241" s="8"/>
      <c r="C1241" s="8"/>
      <c r="D1241" s="8"/>
      <c r="E1241" s="8"/>
      <c r="F1241" s="8"/>
      <c r="G1241" s="8"/>
      <c r="H1241" s="8"/>
      <c r="I1241" s="8"/>
      <c r="J1241" s="8"/>
      <c r="K1241" s="8"/>
      <c r="L1241" s="8"/>
      <c r="M1241" s="8"/>
      <c r="N1241" s="8"/>
      <c r="O1241" s="8"/>
      <c r="P1241" s="8"/>
      <c r="Q1241" s="8"/>
      <c r="R1241" s="8"/>
      <c r="S1241" s="8"/>
      <c r="T1241" s="8"/>
      <c r="U1241" s="8"/>
      <c r="V1241" s="8"/>
      <c r="W1241" s="8"/>
    </row>
    <row r="1242" spans="1:23" ht="15.75" customHeight="1" x14ac:dyDescent="0.25">
      <c r="A1242" s="6" t="s">
        <v>182</v>
      </c>
      <c r="B1242" s="8"/>
      <c r="C1242" s="8"/>
      <c r="D1242" s="8"/>
      <c r="E1242" s="8"/>
      <c r="F1242" s="8"/>
      <c r="G1242" s="8"/>
      <c r="H1242" s="8"/>
      <c r="I1242" s="8"/>
      <c r="J1242" s="8"/>
      <c r="K1242" s="8"/>
      <c r="L1242" s="8"/>
      <c r="M1242" s="8"/>
      <c r="N1242" s="8"/>
      <c r="O1242" s="8"/>
      <c r="P1242" s="8"/>
      <c r="Q1242" s="8"/>
      <c r="R1242" s="8"/>
      <c r="S1242" s="8"/>
      <c r="T1242" s="8"/>
      <c r="U1242" s="8"/>
      <c r="V1242" s="8"/>
      <c r="W1242" s="8"/>
    </row>
    <row r="1243" spans="1:23" ht="15.75" customHeight="1" x14ac:dyDescent="0.25">
      <c r="A1243" s="6" t="s">
        <v>182</v>
      </c>
      <c r="B1243" s="8"/>
      <c r="C1243" s="8"/>
      <c r="D1243" s="8"/>
      <c r="E1243" s="8"/>
      <c r="F1243" s="8"/>
      <c r="G1243" s="8"/>
      <c r="H1243" s="8"/>
      <c r="I1243" s="8"/>
      <c r="J1243" s="8"/>
      <c r="K1243" s="8"/>
      <c r="L1243" s="8"/>
      <c r="M1243" s="8"/>
      <c r="N1243" s="8"/>
      <c r="O1243" s="8"/>
      <c r="P1243" s="8"/>
      <c r="Q1243" s="8"/>
      <c r="R1243" s="8"/>
      <c r="S1243" s="8"/>
      <c r="T1243" s="8"/>
      <c r="U1243" s="8"/>
      <c r="V1243" s="8"/>
      <c r="W1243" s="8"/>
    </row>
    <row r="1244" spans="1:23" ht="15.75" customHeight="1" x14ac:dyDescent="0.25">
      <c r="A1244" s="6" t="s">
        <v>182</v>
      </c>
      <c r="B1244" s="8"/>
      <c r="C1244" s="8"/>
      <c r="D1244" s="8"/>
      <c r="E1244" s="8"/>
      <c r="F1244" s="8"/>
      <c r="G1244" s="8"/>
      <c r="H1244" s="8"/>
      <c r="I1244" s="8"/>
      <c r="J1244" s="8"/>
      <c r="K1244" s="8"/>
      <c r="L1244" s="8"/>
      <c r="M1244" s="8"/>
      <c r="N1244" s="8"/>
      <c r="O1244" s="8"/>
      <c r="P1244" s="8"/>
      <c r="Q1244" s="8"/>
      <c r="R1244" s="8"/>
      <c r="S1244" s="8"/>
      <c r="T1244" s="8"/>
      <c r="U1244" s="8"/>
      <c r="V1244" s="8"/>
      <c r="W1244" s="8"/>
    </row>
    <row r="1245" spans="1:23" ht="15.75" customHeight="1" x14ac:dyDescent="0.25">
      <c r="A1245" s="6" t="s">
        <v>182</v>
      </c>
      <c r="B1245" s="8"/>
      <c r="C1245" s="8"/>
      <c r="D1245" s="8"/>
      <c r="E1245" s="8"/>
      <c r="F1245" s="8"/>
      <c r="G1245" s="8"/>
      <c r="H1245" s="8"/>
      <c r="I1245" s="8"/>
      <c r="J1245" s="8"/>
      <c r="K1245" s="8"/>
      <c r="L1245" s="8"/>
      <c r="M1245" s="8"/>
      <c r="N1245" s="8"/>
      <c r="O1245" s="8"/>
      <c r="P1245" s="8"/>
      <c r="Q1245" s="8"/>
      <c r="R1245" s="8"/>
      <c r="S1245" s="8"/>
      <c r="T1245" s="8"/>
      <c r="U1245" s="8"/>
      <c r="V1245" s="8"/>
      <c r="W1245" s="8"/>
    </row>
    <row r="1246" spans="1:23" ht="15.75" customHeight="1" x14ac:dyDescent="0.25">
      <c r="A1246" s="6" t="s">
        <v>182</v>
      </c>
      <c r="B1246" s="8"/>
      <c r="C1246" s="8"/>
      <c r="D1246" s="8"/>
      <c r="E1246" s="8"/>
      <c r="F1246" s="8"/>
      <c r="G1246" s="8"/>
      <c r="H1246" s="8"/>
      <c r="I1246" s="8"/>
      <c r="J1246" s="8"/>
      <c r="K1246" s="8"/>
      <c r="L1246" s="8"/>
      <c r="M1246" s="8"/>
      <c r="N1246" s="8"/>
      <c r="O1246" s="8"/>
      <c r="P1246" s="8"/>
      <c r="Q1246" s="8"/>
      <c r="R1246" s="8"/>
      <c r="S1246" s="8"/>
      <c r="T1246" s="8"/>
      <c r="U1246" s="8"/>
      <c r="V1246" s="8"/>
      <c r="W1246" s="8"/>
    </row>
    <row r="1247" spans="1:23" ht="15.75" customHeight="1" x14ac:dyDescent="0.25">
      <c r="A1247" s="6" t="s">
        <v>182</v>
      </c>
      <c r="B1247" s="8"/>
      <c r="C1247" s="8"/>
      <c r="D1247" s="8"/>
      <c r="E1247" s="8"/>
      <c r="F1247" s="8"/>
      <c r="G1247" s="8"/>
      <c r="H1247" s="8"/>
      <c r="I1247" s="8"/>
      <c r="J1247" s="8"/>
      <c r="K1247" s="8"/>
      <c r="L1247" s="8"/>
      <c r="M1247" s="8"/>
      <c r="N1247" s="8"/>
      <c r="O1247" s="8"/>
      <c r="P1247" s="8"/>
      <c r="Q1247" s="8"/>
      <c r="R1247" s="8"/>
      <c r="S1247" s="8"/>
      <c r="T1247" s="8"/>
      <c r="U1247" s="8"/>
      <c r="V1247" s="8"/>
      <c r="W1247" s="8"/>
    </row>
    <row r="1248" spans="1:23" ht="15.75" customHeight="1" x14ac:dyDescent="0.25">
      <c r="A1248" s="6" t="s">
        <v>182</v>
      </c>
      <c r="B1248" s="8"/>
      <c r="C1248" s="8"/>
      <c r="D1248" s="8"/>
      <c r="E1248" s="8"/>
      <c r="F1248" s="8"/>
      <c r="G1248" s="8"/>
      <c r="H1248" s="8"/>
      <c r="I1248" s="8"/>
      <c r="J1248" s="8"/>
      <c r="K1248" s="8"/>
      <c r="L1248" s="8"/>
      <c r="M1248" s="8"/>
      <c r="N1248" s="8"/>
      <c r="O1248" s="8"/>
      <c r="P1248" s="8"/>
      <c r="Q1248" s="8"/>
      <c r="R1248" s="8"/>
      <c r="S1248" s="8"/>
      <c r="T1248" s="8"/>
      <c r="U1248" s="8"/>
      <c r="V1248" s="8"/>
      <c r="W1248" s="8"/>
    </row>
    <row r="1249" spans="1:23" ht="15.75" customHeight="1" x14ac:dyDescent="0.25">
      <c r="A1249" s="6" t="s">
        <v>182</v>
      </c>
      <c r="B1249" s="8"/>
      <c r="C1249" s="8"/>
      <c r="D1249" s="8"/>
      <c r="E1249" s="8"/>
      <c r="F1249" s="8"/>
      <c r="G1249" s="8"/>
      <c r="H1249" s="8"/>
      <c r="I1249" s="8"/>
      <c r="J1249" s="8"/>
      <c r="K1249" s="8"/>
      <c r="L1249" s="8"/>
      <c r="M1249" s="8"/>
      <c r="N1249" s="8"/>
      <c r="O1249" s="8"/>
      <c r="P1249" s="8"/>
      <c r="Q1249" s="8"/>
      <c r="R1249" s="8"/>
      <c r="S1249" s="8"/>
      <c r="T1249" s="8"/>
      <c r="U1249" s="8"/>
      <c r="V1249" s="8"/>
      <c r="W1249" s="8"/>
    </row>
    <row r="1250" spans="1:23" ht="15.75" customHeight="1" x14ac:dyDescent="0.25">
      <c r="A1250" s="6" t="s">
        <v>182</v>
      </c>
      <c r="B1250" s="8"/>
      <c r="C1250" s="8"/>
      <c r="D1250" s="8"/>
      <c r="E1250" s="8"/>
      <c r="F1250" s="8"/>
      <c r="G1250" s="8"/>
      <c r="H1250" s="8"/>
      <c r="I1250" s="8"/>
      <c r="J1250" s="8"/>
      <c r="K1250" s="8"/>
      <c r="L1250" s="8"/>
      <c r="M1250" s="8"/>
      <c r="N1250" s="8"/>
      <c r="O1250" s="8"/>
      <c r="P1250" s="8"/>
      <c r="Q1250" s="8"/>
      <c r="R1250" s="8"/>
      <c r="S1250" s="8"/>
      <c r="T1250" s="8"/>
      <c r="U1250" s="8"/>
      <c r="V1250" s="8"/>
      <c r="W1250" s="8"/>
    </row>
    <row r="1251" spans="1:23" ht="15.75" customHeight="1" x14ac:dyDescent="0.25">
      <c r="A1251" s="6" t="s">
        <v>182</v>
      </c>
      <c r="B1251" s="8"/>
      <c r="C1251" s="8"/>
      <c r="D1251" s="8"/>
      <c r="E1251" s="8"/>
      <c r="F1251" s="8"/>
      <c r="G1251" s="8"/>
      <c r="H1251" s="8"/>
      <c r="I1251" s="8"/>
      <c r="J1251" s="8"/>
      <c r="K1251" s="8"/>
      <c r="L1251" s="8"/>
      <c r="M1251" s="8"/>
      <c r="N1251" s="8"/>
      <c r="O1251" s="8"/>
      <c r="P1251" s="8"/>
      <c r="Q1251" s="8"/>
      <c r="R1251" s="8"/>
      <c r="S1251" s="8"/>
      <c r="T1251" s="8"/>
      <c r="U1251" s="8"/>
      <c r="V1251" s="8"/>
      <c r="W1251" s="8"/>
    </row>
    <row r="1252" spans="1:23" ht="15.75" customHeight="1" x14ac:dyDescent="0.25">
      <c r="A1252" s="6" t="s">
        <v>182</v>
      </c>
      <c r="B1252" s="8"/>
      <c r="C1252" s="8"/>
      <c r="D1252" s="8"/>
      <c r="E1252" s="8"/>
      <c r="F1252" s="8"/>
      <c r="G1252" s="8"/>
      <c r="H1252" s="8"/>
      <c r="I1252" s="8"/>
      <c r="J1252" s="8"/>
      <c r="K1252" s="8"/>
      <c r="L1252" s="8"/>
      <c r="M1252" s="8"/>
      <c r="N1252" s="8"/>
      <c r="O1252" s="8"/>
      <c r="P1252" s="8"/>
      <c r="Q1252" s="8"/>
      <c r="R1252" s="8"/>
      <c r="S1252" s="8"/>
      <c r="T1252" s="8"/>
      <c r="U1252" s="8"/>
      <c r="V1252" s="8"/>
      <c r="W1252" s="8"/>
    </row>
    <row r="1253" spans="1:23" ht="15.75" customHeight="1" x14ac:dyDescent="0.25">
      <c r="A1253" s="6" t="s">
        <v>182</v>
      </c>
      <c r="B1253" s="8"/>
      <c r="C1253" s="8"/>
      <c r="D1253" s="8"/>
      <c r="E1253" s="8"/>
      <c r="F1253" s="8"/>
      <c r="G1253" s="8"/>
      <c r="H1253" s="8"/>
      <c r="I1253" s="8"/>
      <c r="J1253" s="8"/>
      <c r="K1253" s="8"/>
      <c r="L1253" s="8"/>
      <c r="M1253" s="8"/>
      <c r="N1253" s="8"/>
      <c r="O1253" s="8"/>
      <c r="P1253" s="8"/>
      <c r="Q1253" s="8"/>
      <c r="R1253" s="8"/>
      <c r="S1253" s="8"/>
      <c r="T1253" s="8"/>
      <c r="U1253" s="8"/>
      <c r="V1253" s="8"/>
      <c r="W1253" s="8"/>
    </row>
    <row r="1254" spans="1:23" ht="15.75" customHeight="1" x14ac:dyDescent="0.25">
      <c r="A1254" s="6" t="s">
        <v>182</v>
      </c>
      <c r="B1254" s="8"/>
      <c r="C1254" s="8"/>
      <c r="D1254" s="8"/>
      <c r="E1254" s="8"/>
      <c r="F1254" s="8"/>
      <c r="G1254" s="8"/>
      <c r="H1254" s="8"/>
      <c r="I1254" s="8"/>
      <c r="J1254" s="8"/>
      <c r="K1254" s="8"/>
      <c r="L1254" s="8"/>
      <c r="M1254" s="8"/>
      <c r="N1254" s="8"/>
      <c r="O1254" s="8"/>
      <c r="P1254" s="8"/>
      <c r="Q1254" s="8"/>
      <c r="R1254" s="8"/>
      <c r="S1254" s="8"/>
      <c r="T1254" s="8"/>
      <c r="U1254" s="8"/>
      <c r="V1254" s="8"/>
      <c r="W1254" s="8"/>
    </row>
    <row r="1255" spans="1:23" ht="15.75" customHeight="1" x14ac:dyDescent="0.25">
      <c r="A1255" s="6" t="s">
        <v>182</v>
      </c>
      <c r="B1255" s="8"/>
      <c r="C1255" s="8"/>
      <c r="D1255" s="8"/>
      <c r="E1255" s="8"/>
      <c r="F1255" s="8"/>
      <c r="G1255" s="8"/>
      <c r="H1255" s="8"/>
      <c r="I1255" s="8"/>
      <c r="J1255" s="8"/>
      <c r="K1255" s="8"/>
      <c r="L1255" s="8"/>
      <c r="M1255" s="8"/>
      <c r="N1255" s="8"/>
      <c r="O1255" s="8"/>
      <c r="P1255" s="8"/>
      <c r="Q1255" s="8"/>
      <c r="R1255" s="8"/>
      <c r="S1255" s="8"/>
      <c r="T1255" s="8"/>
      <c r="U1255" s="8"/>
      <c r="V1255" s="8"/>
      <c r="W1255" s="8"/>
    </row>
    <row r="1256" spans="1:23" ht="15.75" customHeight="1" x14ac:dyDescent="0.25">
      <c r="A1256" s="6" t="s">
        <v>182</v>
      </c>
      <c r="B1256" s="8"/>
      <c r="C1256" s="8"/>
      <c r="D1256" s="8"/>
      <c r="E1256" s="8"/>
      <c r="F1256" s="8"/>
      <c r="G1256" s="8"/>
      <c r="H1256" s="8"/>
      <c r="I1256" s="8"/>
      <c r="J1256" s="8"/>
      <c r="K1256" s="8"/>
      <c r="L1256" s="8"/>
      <c r="M1256" s="8"/>
      <c r="N1256" s="8"/>
      <c r="O1256" s="8"/>
      <c r="P1256" s="8"/>
      <c r="Q1256" s="8"/>
      <c r="R1256" s="8"/>
      <c r="S1256" s="8"/>
      <c r="T1256" s="8"/>
      <c r="U1256" s="8"/>
      <c r="V1256" s="8"/>
      <c r="W1256" s="8"/>
    </row>
    <row r="1257" spans="1:23" ht="15.75" customHeight="1" x14ac:dyDescent="0.25">
      <c r="A1257" s="6" t="s">
        <v>182</v>
      </c>
      <c r="B1257" s="8"/>
      <c r="C1257" s="8"/>
      <c r="D1257" s="8"/>
      <c r="E1257" s="8"/>
      <c r="F1257" s="8"/>
      <c r="G1257" s="8"/>
      <c r="H1257" s="8"/>
      <c r="I1257" s="8"/>
      <c r="J1257" s="8"/>
      <c r="K1257" s="8"/>
      <c r="L1257" s="8"/>
      <c r="M1257" s="8"/>
      <c r="N1257" s="8"/>
      <c r="O1257" s="8"/>
      <c r="P1257" s="8"/>
      <c r="Q1257" s="8"/>
      <c r="R1257" s="8"/>
      <c r="S1257" s="8"/>
      <c r="T1257" s="8"/>
      <c r="U1257" s="8"/>
      <c r="V1257" s="8"/>
      <c r="W1257" s="8"/>
    </row>
    <row r="1258" spans="1:23" ht="15.75" customHeight="1" x14ac:dyDescent="0.25">
      <c r="A1258" s="6" t="s">
        <v>182</v>
      </c>
      <c r="B1258" s="8"/>
      <c r="C1258" s="8"/>
      <c r="D1258" s="8"/>
      <c r="E1258" s="8"/>
      <c r="F1258" s="8"/>
      <c r="G1258" s="8"/>
      <c r="H1258" s="8"/>
      <c r="I1258" s="8"/>
      <c r="J1258" s="8"/>
      <c r="K1258" s="8"/>
      <c r="L1258" s="8"/>
      <c r="M1258" s="8"/>
      <c r="N1258" s="8"/>
      <c r="O1258" s="8"/>
      <c r="P1258" s="8"/>
      <c r="Q1258" s="8"/>
      <c r="R1258" s="8"/>
      <c r="S1258" s="8"/>
      <c r="T1258" s="8"/>
      <c r="U1258" s="8"/>
      <c r="V1258" s="8"/>
      <c r="W1258" s="8"/>
    </row>
    <row r="1259" spans="1:23" ht="15.75" customHeight="1" x14ac:dyDescent="0.25">
      <c r="A1259" s="8" t="s">
        <v>182</v>
      </c>
      <c r="B1259" s="8"/>
      <c r="C1259" s="8"/>
      <c r="D1259" s="8"/>
      <c r="E1259" s="8"/>
      <c r="F1259" s="8"/>
      <c r="G1259" s="8"/>
      <c r="H1259" s="8"/>
      <c r="I1259" s="8"/>
      <c r="J1259" s="8"/>
      <c r="K1259" s="8"/>
      <c r="L1259" s="8"/>
      <c r="M1259" s="8"/>
      <c r="N1259" s="8"/>
      <c r="O1259" s="8"/>
      <c r="P1259" s="8"/>
      <c r="Q1259" s="8"/>
      <c r="R1259" s="8"/>
      <c r="S1259" s="8"/>
      <c r="T1259" s="8"/>
      <c r="U1259" s="8"/>
      <c r="V1259" s="8"/>
      <c r="W1259" s="8"/>
    </row>
    <row r="1260" spans="1:23" ht="15.75" customHeight="1" x14ac:dyDescent="0.25">
      <c r="A1260" s="6" t="s">
        <v>182</v>
      </c>
      <c r="B1260" s="8"/>
      <c r="C1260" s="8"/>
      <c r="D1260" s="8"/>
      <c r="E1260" s="8"/>
      <c r="F1260" s="8"/>
      <c r="G1260" s="8"/>
      <c r="H1260" s="8"/>
      <c r="I1260" s="8"/>
      <c r="J1260" s="8"/>
      <c r="K1260" s="8"/>
      <c r="L1260" s="8"/>
      <c r="M1260" s="8"/>
      <c r="N1260" s="8"/>
      <c r="O1260" s="8"/>
      <c r="P1260" s="8"/>
      <c r="Q1260" s="8"/>
      <c r="R1260" s="8"/>
      <c r="S1260" s="8"/>
      <c r="T1260" s="8"/>
      <c r="U1260" s="8"/>
      <c r="V1260" s="8"/>
      <c r="W1260" s="8"/>
    </row>
    <row r="1261" spans="1:23" ht="15.75" customHeight="1" x14ac:dyDescent="0.25">
      <c r="A1261" s="6" t="s">
        <v>182</v>
      </c>
      <c r="B1261" s="8"/>
      <c r="C1261" s="8"/>
      <c r="D1261" s="8"/>
      <c r="E1261" s="8"/>
      <c r="F1261" s="8"/>
      <c r="G1261" s="8"/>
      <c r="H1261" s="8"/>
      <c r="I1261" s="8"/>
      <c r="J1261" s="8"/>
      <c r="K1261" s="8"/>
      <c r="L1261" s="8"/>
      <c r="M1261" s="8"/>
      <c r="N1261" s="8"/>
      <c r="O1261" s="8"/>
      <c r="P1261" s="8"/>
      <c r="Q1261" s="8"/>
      <c r="R1261" s="8"/>
      <c r="S1261" s="8"/>
      <c r="T1261" s="8"/>
      <c r="U1261" s="8"/>
      <c r="V1261" s="8"/>
      <c r="W1261" s="8"/>
    </row>
    <row r="1262" spans="1:23" ht="15.75" customHeight="1" x14ac:dyDescent="0.25">
      <c r="A1262" s="6" t="s">
        <v>182</v>
      </c>
      <c r="B1262" s="8"/>
      <c r="C1262" s="8"/>
      <c r="D1262" s="8"/>
      <c r="E1262" s="8"/>
      <c r="F1262" s="8"/>
      <c r="G1262" s="8"/>
      <c r="H1262" s="8"/>
      <c r="I1262" s="8"/>
      <c r="J1262" s="8"/>
      <c r="K1262" s="8"/>
      <c r="L1262" s="8"/>
      <c r="M1262" s="8"/>
      <c r="N1262" s="8"/>
      <c r="O1262" s="8"/>
      <c r="P1262" s="8"/>
      <c r="Q1262" s="8"/>
      <c r="R1262" s="8"/>
      <c r="S1262" s="8"/>
      <c r="T1262" s="8"/>
      <c r="U1262" s="8"/>
      <c r="V1262" s="8"/>
      <c r="W1262" s="8"/>
    </row>
    <row r="1263" spans="1:23" ht="15.75" customHeight="1" x14ac:dyDescent="0.25">
      <c r="A1263" s="6" t="s">
        <v>182</v>
      </c>
      <c r="B1263" s="8"/>
      <c r="C1263" s="8"/>
      <c r="D1263" s="8"/>
      <c r="E1263" s="8"/>
      <c r="F1263" s="8"/>
      <c r="G1263" s="8"/>
      <c r="H1263" s="8"/>
      <c r="I1263" s="8"/>
      <c r="J1263" s="8"/>
      <c r="K1263" s="8"/>
      <c r="L1263" s="8"/>
      <c r="M1263" s="8"/>
      <c r="N1263" s="8"/>
      <c r="O1263" s="8"/>
      <c r="P1263" s="8"/>
      <c r="Q1263" s="8"/>
      <c r="R1263" s="8"/>
      <c r="S1263" s="8"/>
      <c r="T1263" s="8"/>
      <c r="U1263" s="8"/>
      <c r="V1263" s="8"/>
      <c r="W1263" s="8"/>
    </row>
    <row r="1264" spans="1:23" ht="15.75" customHeight="1" x14ac:dyDescent="0.25">
      <c r="A1264" s="6" t="s">
        <v>182</v>
      </c>
      <c r="B1264" s="8"/>
      <c r="C1264" s="8"/>
      <c r="D1264" s="8"/>
      <c r="E1264" s="8"/>
      <c r="F1264" s="8"/>
      <c r="G1264" s="8"/>
      <c r="H1264" s="8"/>
      <c r="I1264" s="8"/>
      <c r="J1264" s="8"/>
      <c r="K1264" s="8"/>
      <c r="L1264" s="8"/>
      <c r="M1264" s="8"/>
      <c r="N1264" s="8"/>
      <c r="O1264" s="8"/>
      <c r="P1264" s="8"/>
      <c r="Q1264" s="8"/>
      <c r="R1264" s="8"/>
      <c r="S1264" s="8"/>
      <c r="T1264" s="8"/>
      <c r="U1264" s="8"/>
      <c r="V1264" s="8"/>
      <c r="W1264" s="8"/>
    </row>
    <row r="1265" spans="1:23" ht="15.75" customHeight="1" x14ac:dyDescent="0.25">
      <c r="A1265" s="6" t="s">
        <v>182</v>
      </c>
      <c r="B1265" s="8"/>
      <c r="C1265" s="8"/>
      <c r="D1265" s="8"/>
      <c r="E1265" s="8"/>
      <c r="F1265" s="8"/>
      <c r="G1265" s="8"/>
      <c r="H1265" s="8"/>
      <c r="I1265" s="8"/>
      <c r="J1265" s="8"/>
      <c r="K1265" s="8"/>
      <c r="L1265" s="8"/>
      <c r="M1265" s="8"/>
      <c r="N1265" s="8"/>
      <c r="O1265" s="8"/>
      <c r="P1265" s="8"/>
      <c r="Q1265" s="8"/>
      <c r="R1265" s="8"/>
      <c r="S1265" s="8"/>
      <c r="T1265" s="8"/>
      <c r="U1265" s="8"/>
      <c r="V1265" s="8"/>
      <c r="W1265" s="8"/>
    </row>
    <row r="1266" spans="1:23" ht="15.75" customHeight="1" x14ac:dyDescent="0.25">
      <c r="A1266" s="6" t="s">
        <v>182</v>
      </c>
      <c r="B1266" s="8"/>
      <c r="C1266" s="8"/>
      <c r="D1266" s="8"/>
      <c r="E1266" s="8"/>
      <c r="F1266" s="8"/>
      <c r="G1266" s="8"/>
      <c r="H1266" s="8"/>
      <c r="I1266" s="8"/>
      <c r="J1266" s="8"/>
      <c r="K1266" s="8"/>
      <c r="L1266" s="8"/>
      <c r="M1266" s="8"/>
      <c r="N1266" s="8"/>
      <c r="O1266" s="8"/>
      <c r="P1266" s="8"/>
      <c r="Q1266" s="8"/>
      <c r="R1266" s="8"/>
      <c r="S1266" s="8"/>
      <c r="T1266" s="8"/>
      <c r="U1266" s="8"/>
      <c r="V1266" s="8"/>
      <c r="W1266" s="8"/>
    </row>
    <row r="1267" spans="1:23" ht="15.75" customHeight="1" x14ac:dyDescent="0.25">
      <c r="A1267" s="6" t="s">
        <v>182</v>
      </c>
      <c r="B1267" s="8"/>
      <c r="C1267" s="8"/>
      <c r="D1267" s="8"/>
      <c r="E1267" s="8"/>
      <c r="F1267" s="8"/>
      <c r="G1267" s="8"/>
      <c r="H1267" s="8"/>
      <c r="I1267" s="8"/>
      <c r="J1267" s="8"/>
      <c r="K1267" s="8"/>
      <c r="L1267" s="8"/>
      <c r="M1267" s="8"/>
      <c r="N1267" s="8"/>
      <c r="O1267" s="8"/>
      <c r="P1267" s="8"/>
      <c r="Q1267" s="8"/>
      <c r="R1267" s="8"/>
      <c r="S1267" s="8"/>
      <c r="T1267" s="8"/>
      <c r="U1267" s="8"/>
      <c r="V1267" s="8"/>
      <c r="W1267" s="8"/>
    </row>
    <row r="1268" spans="1:23" ht="15.75" customHeight="1" x14ac:dyDescent="0.25">
      <c r="A1268" s="6" t="s">
        <v>182</v>
      </c>
      <c r="B1268" s="8"/>
      <c r="C1268" s="8"/>
      <c r="D1268" s="8"/>
      <c r="E1268" s="8"/>
      <c r="F1268" s="8"/>
      <c r="G1268" s="8"/>
      <c r="H1268" s="8"/>
      <c r="I1268" s="8"/>
      <c r="J1268" s="8"/>
      <c r="K1268" s="8"/>
      <c r="L1268" s="8"/>
      <c r="M1268" s="8"/>
      <c r="N1268" s="8"/>
      <c r="O1268" s="8"/>
      <c r="P1268" s="8"/>
      <c r="Q1268" s="8"/>
      <c r="R1268" s="8"/>
      <c r="S1268" s="8"/>
      <c r="T1268" s="8"/>
      <c r="U1268" s="8"/>
      <c r="V1268" s="8"/>
      <c r="W1268" s="8"/>
    </row>
    <row r="1269" spans="1:23" ht="15.75" customHeight="1" x14ac:dyDescent="0.25">
      <c r="A1269" s="6" t="s">
        <v>182</v>
      </c>
      <c r="B1269" s="8"/>
      <c r="C1269" s="8"/>
      <c r="D1269" s="8"/>
      <c r="E1269" s="8"/>
      <c r="F1269" s="8"/>
      <c r="G1269" s="8"/>
      <c r="H1269" s="8"/>
      <c r="I1269" s="8"/>
      <c r="J1269" s="8"/>
      <c r="K1269" s="8"/>
      <c r="L1269" s="8"/>
      <c r="M1269" s="8"/>
      <c r="N1269" s="8"/>
      <c r="O1269" s="8"/>
      <c r="P1269" s="8"/>
      <c r="Q1269" s="8"/>
      <c r="R1269" s="8"/>
      <c r="S1269" s="8"/>
      <c r="T1269" s="8"/>
      <c r="U1269" s="8"/>
      <c r="V1269" s="8"/>
      <c r="W1269" s="8"/>
    </row>
    <row r="1270" spans="1:23" ht="15.75" customHeight="1" x14ac:dyDescent="0.25">
      <c r="A1270" s="6" t="s">
        <v>182</v>
      </c>
      <c r="B1270" s="8"/>
      <c r="C1270" s="8"/>
      <c r="D1270" s="8"/>
      <c r="E1270" s="8"/>
      <c r="F1270" s="8"/>
      <c r="G1270" s="8"/>
      <c r="H1270" s="8"/>
      <c r="I1270" s="8"/>
      <c r="J1270" s="8"/>
      <c r="K1270" s="8"/>
      <c r="L1270" s="8"/>
      <c r="M1270" s="8"/>
      <c r="N1270" s="8"/>
      <c r="O1270" s="8"/>
      <c r="P1270" s="8"/>
      <c r="Q1270" s="8"/>
      <c r="R1270" s="8"/>
      <c r="S1270" s="8"/>
      <c r="T1270" s="8"/>
      <c r="U1270" s="8"/>
      <c r="V1270" s="8"/>
      <c r="W1270" s="8"/>
    </row>
    <row r="1271" spans="1:23" ht="15.75" customHeight="1" x14ac:dyDescent="0.25">
      <c r="A1271" s="6" t="s">
        <v>182</v>
      </c>
      <c r="B1271" s="8"/>
      <c r="C1271" s="8"/>
      <c r="D1271" s="8"/>
      <c r="E1271" s="8"/>
      <c r="F1271" s="8"/>
      <c r="G1271" s="8"/>
      <c r="H1271" s="8"/>
      <c r="I1271" s="8"/>
      <c r="J1271" s="8"/>
      <c r="K1271" s="8"/>
      <c r="L1271" s="8"/>
      <c r="M1271" s="8"/>
      <c r="N1271" s="8"/>
      <c r="O1271" s="8"/>
      <c r="P1271" s="8"/>
      <c r="Q1271" s="8"/>
      <c r="R1271" s="8"/>
      <c r="S1271" s="8"/>
      <c r="T1271" s="8"/>
      <c r="U1271" s="8"/>
      <c r="V1271" s="8"/>
      <c r="W1271" s="8"/>
    </row>
    <row r="1272" spans="1:23" ht="15.75" customHeight="1" x14ac:dyDescent="0.25">
      <c r="A1272" s="6" t="s">
        <v>182</v>
      </c>
      <c r="B1272" s="8"/>
      <c r="C1272" s="8"/>
      <c r="D1272" s="8"/>
      <c r="E1272" s="8"/>
      <c r="F1272" s="8"/>
      <c r="G1272" s="8"/>
      <c r="H1272" s="8"/>
      <c r="I1272" s="8"/>
      <c r="J1272" s="8"/>
      <c r="K1272" s="8"/>
      <c r="L1272" s="8"/>
      <c r="M1272" s="8"/>
      <c r="N1272" s="8"/>
      <c r="O1272" s="8"/>
      <c r="P1272" s="8"/>
      <c r="Q1272" s="8"/>
      <c r="R1272" s="8"/>
      <c r="S1272" s="8"/>
      <c r="T1272" s="8"/>
      <c r="U1272" s="8"/>
      <c r="V1272" s="8"/>
      <c r="W1272" s="8"/>
    </row>
    <row r="1273" spans="1:23" ht="15.75" customHeight="1" x14ac:dyDescent="0.25">
      <c r="A1273" s="6" t="s">
        <v>182</v>
      </c>
      <c r="B1273" s="8"/>
      <c r="C1273" s="8"/>
      <c r="D1273" s="8"/>
      <c r="E1273" s="8"/>
      <c r="F1273" s="8"/>
      <c r="G1273" s="8"/>
      <c r="H1273" s="8"/>
      <c r="I1273" s="8"/>
      <c r="J1273" s="8"/>
      <c r="K1273" s="8"/>
      <c r="L1273" s="8"/>
      <c r="M1273" s="8"/>
      <c r="N1273" s="8"/>
      <c r="O1273" s="8"/>
      <c r="P1273" s="8"/>
      <c r="Q1273" s="8"/>
      <c r="R1273" s="8"/>
      <c r="S1273" s="8"/>
      <c r="T1273" s="8"/>
      <c r="U1273" s="8"/>
      <c r="V1273" s="8"/>
      <c r="W1273" s="8"/>
    </row>
    <row r="1274" spans="1:23" ht="15.75" customHeight="1" x14ac:dyDescent="0.25">
      <c r="A1274" s="6" t="s">
        <v>182</v>
      </c>
      <c r="B1274" s="8"/>
      <c r="C1274" s="8"/>
      <c r="D1274" s="8"/>
      <c r="E1274" s="8"/>
      <c r="F1274" s="8"/>
      <c r="G1274" s="8"/>
      <c r="H1274" s="8"/>
      <c r="I1274" s="8"/>
      <c r="J1274" s="8"/>
      <c r="K1274" s="8"/>
      <c r="L1274" s="8"/>
      <c r="M1274" s="8"/>
      <c r="N1274" s="8"/>
      <c r="O1274" s="8"/>
      <c r="P1274" s="8"/>
      <c r="Q1274" s="8"/>
      <c r="R1274" s="8"/>
      <c r="S1274" s="8"/>
      <c r="T1274" s="8"/>
      <c r="U1274" s="8"/>
      <c r="V1274" s="8"/>
      <c r="W1274" s="8"/>
    </row>
    <row r="1275" spans="1:23" ht="15.75" customHeight="1" x14ac:dyDescent="0.25">
      <c r="A1275" s="6" t="s">
        <v>182</v>
      </c>
      <c r="B1275" s="8"/>
      <c r="C1275" s="8"/>
      <c r="D1275" s="8"/>
      <c r="E1275" s="8"/>
      <c r="F1275" s="8"/>
      <c r="G1275" s="8"/>
      <c r="H1275" s="8"/>
      <c r="I1275" s="8"/>
      <c r="J1275" s="8"/>
      <c r="K1275" s="8"/>
      <c r="L1275" s="8"/>
      <c r="M1275" s="8"/>
      <c r="N1275" s="8"/>
      <c r="O1275" s="8"/>
      <c r="P1275" s="8"/>
      <c r="Q1275" s="8"/>
      <c r="R1275" s="8"/>
      <c r="S1275" s="8"/>
      <c r="T1275" s="8"/>
      <c r="U1275" s="8"/>
      <c r="V1275" s="8"/>
      <c r="W1275" s="8"/>
    </row>
    <row r="1276" spans="1:23" ht="15.75" customHeight="1" x14ac:dyDescent="0.25">
      <c r="A1276" s="6" t="s">
        <v>182</v>
      </c>
      <c r="B1276" s="8"/>
      <c r="C1276" s="8"/>
      <c r="D1276" s="8"/>
      <c r="E1276" s="8"/>
      <c r="F1276" s="8"/>
      <c r="G1276" s="8"/>
      <c r="H1276" s="8"/>
      <c r="I1276" s="8"/>
      <c r="J1276" s="8"/>
      <c r="K1276" s="8"/>
      <c r="L1276" s="8"/>
      <c r="M1276" s="8"/>
      <c r="N1276" s="8"/>
      <c r="O1276" s="8"/>
      <c r="P1276" s="8"/>
      <c r="Q1276" s="8"/>
      <c r="R1276" s="8"/>
      <c r="S1276" s="8"/>
      <c r="T1276" s="8"/>
      <c r="U1276" s="8"/>
      <c r="V1276" s="8"/>
      <c r="W1276" s="8"/>
    </row>
    <row r="1277" spans="1:23" ht="15.75" customHeight="1" x14ac:dyDescent="0.25">
      <c r="A1277" s="6" t="s">
        <v>182</v>
      </c>
      <c r="B1277" s="8"/>
      <c r="C1277" s="8"/>
      <c r="D1277" s="8"/>
      <c r="E1277" s="8"/>
      <c r="F1277" s="8"/>
      <c r="G1277" s="8"/>
      <c r="H1277" s="8"/>
      <c r="I1277" s="8"/>
      <c r="J1277" s="8"/>
      <c r="K1277" s="8"/>
      <c r="L1277" s="8"/>
      <c r="M1277" s="8"/>
      <c r="N1277" s="8"/>
      <c r="O1277" s="8"/>
      <c r="P1277" s="8"/>
      <c r="Q1277" s="8"/>
      <c r="R1277" s="8"/>
      <c r="S1277" s="8"/>
      <c r="T1277" s="8"/>
      <c r="U1277" s="8"/>
      <c r="V1277" s="8"/>
      <c r="W1277" s="8"/>
    </row>
    <row r="1278" spans="1:23" ht="15.75" customHeight="1" x14ac:dyDescent="0.25">
      <c r="A1278" s="6" t="s">
        <v>182</v>
      </c>
      <c r="B1278" s="8"/>
      <c r="C1278" s="8"/>
      <c r="D1278" s="8"/>
      <c r="E1278" s="8"/>
      <c r="F1278" s="8"/>
      <c r="G1278" s="8"/>
      <c r="H1278" s="8"/>
      <c r="I1278" s="8"/>
      <c r="J1278" s="8"/>
      <c r="K1278" s="8"/>
      <c r="L1278" s="8"/>
      <c r="M1278" s="8"/>
      <c r="N1278" s="8"/>
      <c r="O1278" s="8"/>
      <c r="P1278" s="8"/>
      <c r="Q1278" s="8"/>
      <c r="R1278" s="8"/>
      <c r="S1278" s="8"/>
      <c r="T1278" s="8"/>
      <c r="U1278" s="8"/>
      <c r="V1278" s="8"/>
      <c r="W1278" s="8"/>
    </row>
    <row r="1279" spans="1:23" ht="15.75" customHeight="1" x14ac:dyDescent="0.25">
      <c r="A1279" s="6" t="s">
        <v>182</v>
      </c>
      <c r="B1279" s="8"/>
      <c r="C1279" s="8"/>
      <c r="D1279" s="8"/>
      <c r="E1279" s="8"/>
      <c r="F1279" s="8"/>
      <c r="G1279" s="8"/>
      <c r="H1279" s="8"/>
      <c r="I1279" s="8"/>
      <c r="J1279" s="8"/>
      <c r="K1279" s="8"/>
      <c r="L1279" s="8"/>
      <c r="M1279" s="8"/>
      <c r="N1279" s="8"/>
      <c r="O1279" s="8"/>
      <c r="P1279" s="8"/>
      <c r="Q1279" s="8"/>
      <c r="R1279" s="8"/>
      <c r="S1279" s="8"/>
      <c r="T1279" s="8"/>
      <c r="U1279" s="8"/>
      <c r="V1279" s="8"/>
      <c r="W1279" s="8"/>
    </row>
    <row r="1280" spans="1:23" ht="15.75" customHeight="1" x14ac:dyDescent="0.25">
      <c r="A1280" s="6" t="s">
        <v>182</v>
      </c>
      <c r="B1280" s="8"/>
      <c r="C1280" s="8"/>
      <c r="D1280" s="8"/>
      <c r="E1280" s="8"/>
      <c r="F1280" s="8"/>
      <c r="G1280" s="8"/>
      <c r="H1280" s="8"/>
      <c r="I1280" s="8"/>
      <c r="J1280" s="8"/>
      <c r="K1280" s="8"/>
      <c r="L1280" s="8"/>
      <c r="M1280" s="8"/>
      <c r="N1280" s="8"/>
      <c r="O1280" s="8"/>
      <c r="P1280" s="8"/>
      <c r="Q1280" s="8"/>
      <c r="R1280" s="8"/>
      <c r="S1280" s="8"/>
      <c r="T1280" s="8"/>
      <c r="U1280" s="8"/>
      <c r="V1280" s="8"/>
      <c r="W1280" s="8"/>
    </row>
    <row r="1281" spans="1:23" ht="15.75" customHeight="1" x14ac:dyDescent="0.25">
      <c r="A1281" s="6" t="s">
        <v>182</v>
      </c>
      <c r="B1281" s="8"/>
      <c r="C1281" s="8"/>
      <c r="D1281" s="8"/>
      <c r="E1281" s="8"/>
      <c r="F1281" s="8"/>
      <c r="G1281" s="8"/>
      <c r="H1281" s="8"/>
      <c r="I1281" s="8"/>
      <c r="J1281" s="8"/>
      <c r="K1281" s="8"/>
      <c r="L1281" s="8"/>
      <c r="M1281" s="8"/>
      <c r="N1281" s="8"/>
      <c r="O1281" s="8"/>
      <c r="P1281" s="8"/>
      <c r="Q1281" s="8"/>
      <c r="R1281" s="8"/>
      <c r="S1281" s="8"/>
      <c r="T1281" s="8"/>
      <c r="U1281" s="8"/>
      <c r="V1281" s="8"/>
      <c r="W1281" s="8"/>
    </row>
    <row r="1282" spans="1:23" ht="15.75" customHeight="1" x14ac:dyDescent="0.25">
      <c r="A1282" s="6" t="s">
        <v>182</v>
      </c>
      <c r="B1282" s="8"/>
      <c r="C1282" s="8"/>
      <c r="D1282" s="8"/>
      <c r="E1282" s="8"/>
      <c r="F1282" s="8"/>
      <c r="G1282" s="8"/>
      <c r="H1282" s="8"/>
      <c r="I1282" s="8"/>
      <c r="J1282" s="8"/>
      <c r="K1282" s="8"/>
      <c r="L1282" s="8"/>
      <c r="M1282" s="8"/>
      <c r="N1282" s="8"/>
      <c r="O1282" s="8"/>
      <c r="P1282" s="8"/>
      <c r="Q1282" s="8"/>
      <c r="R1282" s="8"/>
      <c r="S1282" s="8"/>
      <c r="T1282" s="8"/>
      <c r="U1282" s="8"/>
      <c r="V1282" s="8"/>
      <c r="W1282" s="8"/>
    </row>
    <row r="1283" spans="1:23" ht="15.75" customHeight="1" x14ac:dyDescent="0.25">
      <c r="A1283" s="6" t="s">
        <v>182</v>
      </c>
      <c r="B1283" s="8"/>
      <c r="C1283" s="8"/>
      <c r="D1283" s="8"/>
      <c r="E1283" s="8"/>
      <c r="F1283" s="8"/>
      <c r="G1283" s="8"/>
      <c r="H1283" s="8"/>
      <c r="I1283" s="8"/>
      <c r="J1283" s="8"/>
      <c r="K1283" s="8"/>
      <c r="L1283" s="8"/>
      <c r="M1283" s="8"/>
      <c r="N1283" s="8"/>
      <c r="O1283" s="8"/>
      <c r="P1283" s="8"/>
      <c r="Q1283" s="8"/>
      <c r="R1283" s="8"/>
      <c r="S1283" s="8"/>
      <c r="T1283" s="8"/>
      <c r="U1283" s="8"/>
      <c r="V1283" s="8"/>
      <c r="W1283" s="8"/>
    </row>
    <row r="1284" spans="1:23" ht="15.75" customHeight="1" x14ac:dyDescent="0.25">
      <c r="A1284" s="6" t="s">
        <v>182</v>
      </c>
      <c r="B1284" s="8"/>
      <c r="C1284" s="8"/>
      <c r="D1284" s="8"/>
      <c r="E1284" s="8"/>
      <c r="F1284" s="8"/>
      <c r="G1284" s="8"/>
      <c r="H1284" s="8"/>
      <c r="I1284" s="8"/>
      <c r="J1284" s="8"/>
      <c r="K1284" s="8"/>
      <c r="L1284" s="8"/>
      <c r="M1284" s="8"/>
      <c r="N1284" s="8"/>
      <c r="O1284" s="8"/>
      <c r="P1284" s="8"/>
      <c r="Q1284" s="8"/>
      <c r="R1284" s="8"/>
      <c r="S1284" s="8"/>
      <c r="T1284" s="8"/>
      <c r="U1284" s="8"/>
      <c r="V1284" s="8"/>
      <c r="W1284" s="8"/>
    </row>
    <row r="1285" spans="1:23" ht="15.75" customHeight="1" x14ac:dyDescent="0.25">
      <c r="A1285" s="6" t="s">
        <v>182</v>
      </c>
      <c r="B1285" s="8"/>
      <c r="C1285" s="8"/>
      <c r="D1285" s="8"/>
      <c r="E1285" s="8"/>
      <c r="F1285" s="8"/>
      <c r="G1285" s="8"/>
      <c r="H1285" s="8"/>
      <c r="I1285" s="8"/>
      <c r="J1285" s="8"/>
      <c r="K1285" s="8"/>
      <c r="L1285" s="8"/>
      <c r="M1285" s="8"/>
      <c r="N1285" s="8"/>
      <c r="O1285" s="8"/>
      <c r="P1285" s="8"/>
      <c r="Q1285" s="8"/>
      <c r="R1285" s="8"/>
      <c r="S1285" s="8"/>
      <c r="T1285" s="8"/>
      <c r="U1285" s="8"/>
      <c r="V1285" s="8"/>
      <c r="W1285" s="8"/>
    </row>
    <row r="1286" spans="1:23" ht="15.75" customHeight="1" x14ac:dyDescent="0.25">
      <c r="A1286" s="6" t="s">
        <v>182</v>
      </c>
      <c r="B1286" s="8"/>
      <c r="C1286" s="8"/>
      <c r="D1286" s="8"/>
      <c r="E1286" s="8"/>
      <c r="F1286" s="8"/>
      <c r="G1286" s="8"/>
      <c r="H1286" s="8"/>
      <c r="I1286" s="8"/>
      <c r="J1286" s="8"/>
      <c r="K1286" s="8"/>
      <c r="L1286" s="8"/>
      <c r="M1286" s="8"/>
      <c r="N1286" s="8"/>
      <c r="O1286" s="8"/>
      <c r="P1286" s="8"/>
      <c r="Q1286" s="8"/>
      <c r="R1286" s="8"/>
      <c r="S1286" s="8"/>
      <c r="T1286" s="8"/>
      <c r="U1286" s="8"/>
      <c r="V1286" s="8"/>
      <c r="W1286" s="8"/>
    </row>
    <row r="1287" spans="1:23" ht="15.75" customHeight="1" x14ac:dyDescent="0.25">
      <c r="A1287" s="6" t="s">
        <v>182</v>
      </c>
      <c r="B1287" s="8"/>
      <c r="C1287" s="8"/>
      <c r="D1287" s="8"/>
      <c r="E1287" s="8"/>
      <c r="F1287" s="8"/>
      <c r="G1287" s="8"/>
      <c r="H1287" s="8"/>
      <c r="I1287" s="8"/>
      <c r="J1287" s="8"/>
      <c r="K1287" s="8"/>
      <c r="L1287" s="8"/>
      <c r="M1287" s="8"/>
      <c r="N1287" s="8"/>
      <c r="O1287" s="8"/>
      <c r="P1287" s="8"/>
      <c r="Q1287" s="8"/>
      <c r="R1287" s="8"/>
      <c r="S1287" s="8"/>
      <c r="T1287" s="8"/>
      <c r="U1287" s="8"/>
      <c r="V1287" s="8"/>
      <c r="W1287" s="8"/>
    </row>
    <row r="1288" spans="1:23" ht="15.75" customHeight="1" x14ac:dyDescent="0.25">
      <c r="A1288" s="6" t="s">
        <v>182</v>
      </c>
      <c r="B1288" s="8"/>
      <c r="C1288" s="8"/>
      <c r="D1288" s="8"/>
      <c r="E1288" s="8"/>
      <c r="F1288" s="8"/>
      <c r="G1288" s="8"/>
      <c r="H1288" s="8"/>
      <c r="I1288" s="8"/>
      <c r="J1288" s="8"/>
      <c r="K1288" s="8"/>
      <c r="L1288" s="8"/>
      <c r="M1288" s="8"/>
      <c r="N1288" s="8"/>
      <c r="O1288" s="8"/>
      <c r="P1288" s="8"/>
      <c r="Q1288" s="8"/>
      <c r="R1288" s="8"/>
      <c r="S1288" s="8"/>
      <c r="T1288" s="8"/>
      <c r="U1288" s="8"/>
      <c r="V1288" s="8"/>
      <c r="W1288" s="8"/>
    </row>
    <row r="1289" spans="1:23" ht="15.75" customHeight="1" x14ac:dyDescent="0.25">
      <c r="A1289" s="6" t="s">
        <v>182</v>
      </c>
      <c r="B1289" s="8"/>
      <c r="C1289" s="8"/>
      <c r="D1289" s="8"/>
      <c r="E1289" s="8"/>
      <c r="F1289" s="8"/>
      <c r="G1289" s="8"/>
      <c r="H1289" s="8"/>
      <c r="I1289" s="8"/>
      <c r="J1289" s="8"/>
      <c r="K1289" s="8"/>
      <c r="L1289" s="8"/>
      <c r="M1289" s="8"/>
      <c r="N1289" s="8"/>
      <c r="O1289" s="8"/>
      <c r="P1289" s="8"/>
      <c r="Q1289" s="8"/>
      <c r="R1289" s="8"/>
      <c r="S1289" s="8"/>
      <c r="T1289" s="8"/>
      <c r="U1289" s="8"/>
      <c r="V1289" s="8"/>
      <c r="W1289" s="8"/>
    </row>
    <row r="1290" spans="1:23" ht="15.75" customHeight="1" x14ac:dyDescent="0.25">
      <c r="A1290" s="6" t="s">
        <v>182</v>
      </c>
      <c r="B1290" s="8"/>
      <c r="C1290" s="8"/>
      <c r="D1290" s="8"/>
      <c r="E1290" s="8"/>
      <c r="F1290" s="8"/>
      <c r="G1290" s="8"/>
      <c r="H1290" s="8"/>
      <c r="I1290" s="8"/>
      <c r="J1290" s="8"/>
      <c r="K1290" s="8"/>
      <c r="L1290" s="8"/>
      <c r="M1290" s="8"/>
      <c r="N1290" s="8"/>
      <c r="O1290" s="8"/>
      <c r="P1290" s="8"/>
      <c r="Q1290" s="8"/>
      <c r="R1290" s="8"/>
      <c r="S1290" s="8"/>
      <c r="T1290" s="8"/>
      <c r="U1290" s="8"/>
      <c r="V1290" s="8"/>
      <c r="W1290" s="8"/>
    </row>
    <row r="1291" spans="1:23" ht="15.75" customHeight="1" x14ac:dyDescent="0.25">
      <c r="A1291" s="6" t="s">
        <v>182</v>
      </c>
      <c r="B1291" s="8"/>
      <c r="C1291" s="8"/>
      <c r="D1291" s="8"/>
      <c r="E1291" s="8"/>
      <c r="F1291" s="8"/>
      <c r="G1291" s="8"/>
      <c r="H1291" s="8"/>
      <c r="I1291" s="8"/>
      <c r="J1291" s="8"/>
      <c r="K1291" s="8"/>
      <c r="L1291" s="8"/>
      <c r="M1291" s="8"/>
      <c r="N1291" s="8"/>
      <c r="O1291" s="8"/>
      <c r="P1291" s="8"/>
      <c r="Q1291" s="8"/>
      <c r="R1291" s="8"/>
      <c r="S1291" s="8"/>
      <c r="T1291" s="8"/>
      <c r="U1291" s="8"/>
      <c r="V1291" s="8"/>
      <c r="W1291" s="8"/>
    </row>
    <row r="1292" spans="1:23" ht="15.75" customHeight="1" x14ac:dyDescent="0.25">
      <c r="A1292" s="6" t="s">
        <v>182</v>
      </c>
      <c r="B1292" s="8"/>
      <c r="C1292" s="8"/>
      <c r="D1292" s="8"/>
      <c r="E1292" s="8"/>
      <c r="F1292" s="8"/>
      <c r="G1292" s="8"/>
      <c r="H1292" s="8"/>
      <c r="I1292" s="8"/>
      <c r="J1292" s="8"/>
      <c r="K1292" s="8"/>
      <c r="L1292" s="8"/>
      <c r="M1292" s="8"/>
      <c r="N1292" s="8"/>
      <c r="O1292" s="8"/>
      <c r="P1292" s="8"/>
      <c r="Q1292" s="8"/>
      <c r="R1292" s="8"/>
      <c r="S1292" s="8"/>
      <c r="T1292" s="8"/>
      <c r="U1292" s="8"/>
      <c r="V1292" s="8"/>
      <c r="W1292" s="8"/>
    </row>
    <row r="1293" spans="1:23" ht="15.75" customHeight="1" x14ac:dyDescent="0.25">
      <c r="A1293" s="6" t="s">
        <v>182</v>
      </c>
      <c r="B1293" s="8"/>
      <c r="C1293" s="8"/>
      <c r="D1293" s="8"/>
      <c r="E1293" s="8"/>
      <c r="F1293" s="8"/>
      <c r="G1293" s="8"/>
      <c r="H1293" s="8"/>
      <c r="I1293" s="8"/>
      <c r="J1293" s="8"/>
      <c r="K1293" s="8"/>
      <c r="L1293" s="8"/>
      <c r="M1293" s="8"/>
      <c r="N1293" s="8"/>
      <c r="O1293" s="8"/>
      <c r="P1293" s="8"/>
      <c r="Q1293" s="8"/>
      <c r="R1293" s="8"/>
      <c r="S1293" s="8"/>
      <c r="T1293" s="8"/>
      <c r="U1293" s="8"/>
      <c r="V1293" s="8"/>
      <c r="W1293" s="8"/>
    </row>
    <row r="1294" spans="1:23" ht="15.75" customHeight="1" x14ac:dyDescent="0.25">
      <c r="A1294" s="6" t="s">
        <v>182</v>
      </c>
      <c r="B1294" s="8"/>
      <c r="C1294" s="8"/>
      <c r="D1294" s="8"/>
      <c r="E1294" s="8"/>
      <c r="F1294" s="8"/>
      <c r="G1294" s="8"/>
      <c r="H1294" s="8"/>
      <c r="I1294" s="8"/>
      <c r="J1294" s="8"/>
      <c r="K1294" s="8"/>
      <c r="L1294" s="8"/>
      <c r="M1294" s="8"/>
      <c r="N1294" s="8"/>
      <c r="O1294" s="8"/>
      <c r="P1294" s="8"/>
      <c r="Q1294" s="8"/>
      <c r="R1294" s="8"/>
      <c r="S1294" s="8"/>
      <c r="T1294" s="8"/>
      <c r="U1294" s="8"/>
      <c r="V1294" s="8"/>
      <c r="W1294" s="8"/>
    </row>
    <row r="1295" spans="1:23" ht="15.75" customHeight="1" x14ac:dyDescent="0.25">
      <c r="A1295" s="6" t="s">
        <v>182</v>
      </c>
      <c r="B1295" s="8"/>
      <c r="C1295" s="8"/>
      <c r="D1295" s="8"/>
      <c r="E1295" s="8"/>
      <c r="F1295" s="8"/>
      <c r="G1295" s="8"/>
      <c r="H1295" s="8"/>
      <c r="I1295" s="8"/>
      <c r="J1295" s="8"/>
      <c r="K1295" s="8"/>
      <c r="L1295" s="8"/>
      <c r="M1295" s="8"/>
      <c r="N1295" s="8"/>
      <c r="O1295" s="8"/>
      <c r="P1295" s="8"/>
      <c r="Q1295" s="8"/>
      <c r="R1295" s="8"/>
      <c r="S1295" s="8"/>
      <c r="T1295" s="8"/>
      <c r="U1295" s="8"/>
      <c r="V1295" s="8"/>
      <c r="W1295" s="8"/>
    </row>
    <row r="1296" spans="1:23" ht="15.75" customHeight="1" x14ac:dyDescent="0.25">
      <c r="A1296" s="6" t="s">
        <v>182</v>
      </c>
      <c r="B1296" s="8"/>
      <c r="C1296" s="8"/>
      <c r="D1296" s="8"/>
      <c r="E1296" s="8"/>
      <c r="F1296" s="8"/>
      <c r="G1296" s="8"/>
      <c r="H1296" s="8"/>
      <c r="I1296" s="8"/>
      <c r="J1296" s="8"/>
      <c r="K1296" s="8"/>
      <c r="L1296" s="8"/>
      <c r="M1296" s="8"/>
      <c r="N1296" s="8"/>
      <c r="O1296" s="8"/>
      <c r="P1296" s="8"/>
      <c r="Q1296" s="8"/>
      <c r="R1296" s="8"/>
      <c r="S1296" s="8"/>
      <c r="T1296" s="8"/>
      <c r="U1296" s="8"/>
      <c r="V1296" s="8"/>
      <c r="W1296" s="8"/>
    </row>
    <row r="1297" spans="1:23" ht="15.75" customHeight="1" x14ac:dyDescent="0.25">
      <c r="A1297" s="6" t="s">
        <v>182</v>
      </c>
      <c r="B1297" s="8"/>
      <c r="C1297" s="8"/>
      <c r="D1297" s="8"/>
      <c r="E1297" s="8"/>
      <c r="F1297" s="8"/>
      <c r="G1297" s="8"/>
      <c r="H1297" s="8"/>
      <c r="I1297" s="8"/>
      <c r="J1297" s="8"/>
      <c r="K1297" s="8"/>
      <c r="L1297" s="8"/>
      <c r="M1297" s="8"/>
      <c r="N1297" s="8"/>
      <c r="O1297" s="8"/>
      <c r="P1297" s="8"/>
      <c r="Q1297" s="8"/>
      <c r="R1297" s="8"/>
      <c r="S1297" s="8"/>
      <c r="T1297" s="8"/>
      <c r="U1297" s="8"/>
      <c r="V1297" s="8"/>
      <c r="W1297" s="8"/>
    </row>
    <row r="1298" spans="1:23" ht="15.75" customHeight="1" x14ac:dyDescent="0.25">
      <c r="A1298" s="6" t="s">
        <v>182</v>
      </c>
      <c r="B1298" s="8"/>
      <c r="C1298" s="8"/>
      <c r="D1298" s="8"/>
      <c r="E1298" s="8"/>
      <c r="F1298" s="8"/>
      <c r="G1298" s="8"/>
      <c r="H1298" s="8"/>
      <c r="I1298" s="8"/>
      <c r="J1298" s="8"/>
      <c r="K1298" s="8"/>
      <c r="L1298" s="8"/>
      <c r="M1298" s="8"/>
      <c r="N1298" s="8"/>
      <c r="O1298" s="8"/>
      <c r="P1298" s="8"/>
      <c r="Q1298" s="8"/>
      <c r="R1298" s="8"/>
      <c r="S1298" s="8"/>
      <c r="T1298" s="8"/>
      <c r="U1298" s="8"/>
      <c r="V1298" s="8"/>
      <c r="W1298" s="8"/>
    </row>
    <row r="1299" spans="1:23" ht="15.75" customHeight="1" x14ac:dyDescent="0.25">
      <c r="A1299" s="6" t="s">
        <v>182</v>
      </c>
      <c r="B1299" s="8"/>
      <c r="C1299" s="8"/>
      <c r="D1299" s="8"/>
      <c r="E1299" s="8"/>
      <c r="F1299" s="8"/>
      <c r="G1299" s="8"/>
      <c r="H1299" s="8"/>
      <c r="I1299" s="8"/>
      <c r="J1299" s="8"/>
      <c r="K1299" s="8"/>
      <c r="L1299" s="8"/>
      <c r="M1299" s="8"/>
      <c r="N1299" s="8"/>
      <c r="O1299" s="8"/>
      <c r="P1299" s="8"/>
      <c r="Q1299" s="8"/>
      <c r="R1299" s="8"/>
      <c r="S1299" s="8"/>
      <c r="T1299" s="8"/>
      <c r="U1299" s="8"/>
      <c r="V1299" s="8"/>
      <c r="W1299" s="8"/>
    </row>
    <row r="1300" spans="1:23" ht="15.75" customHeight="1" x14ac:dyDescent="0.25">
      <c r="A1300" s="6" t="s">
        <v>182</v>
      </c>
      <c r="B1300" s="8"/>
      <c r="C1300" s="8"/>
      <c r="D1300" s="8"/>
      <c r="E1300" s="8"/>
      <c r="F1300" s="8"/>
      <c r="G1300" s="8"/>
      <c r="H1300" s="8"/>
      <c r="I1300" s="8"/>
      <c r="J1300" s="8"/>
      <c r="K1300" s="8"/>
      <c r="L1300" s="8"/>
      <c r="M1300" s="8"/>
      <c r="N1300" s="8"/>
      <c r="O1300" s="8"/>
      <c r="P1300" s="8"/>
      <c r="Q1300" s="8"/>
      <c r="R1300" s="8"/>
      <c r="S1300" s="8"/>
      <c r="T1300" s="8"/>
      <c r="U1300" s="8"/>
      <c r="V1300" s="8"/>
      <c r="W1300" s="8"/>
    </row>
    <row r="1301" spans="1:23" ht="15.75" customHeight="1" x14ac:dyDescent="0.25">
      <c r="A1301" s="6" t="s">
        <v>182</v>
      </c>
      <c r="B1301" s="8"/>
      <c r="C1301" s="8"/>
      <c r="D1301" s="8"/>
      <c r="E1301" s="8"/>
      <c r="F1301" s="8"/>
      <c r="G1301" s="8"/>
      <c r="H1301" s="8"/>
      <c r="I1301" s="8"/>
      <c r="J1301" s="8"/>
      <c r="K1301" s="8"/>
      <c r="L1301" s="8"/>
      <c r="M1301" s="8"/>
      <c r="N1301" s="8"/>
      <c r="O1301" s="8"/>
      <c r="P1301" s="8"/>
      <c r="Q1301" s="8"/>
      <c r="R1301" s="8"/>
      <c r="S1301" s="8"/>
      <c r="T1301" s="8"/>
      <c r="U1301" s="8"/>
      <c r="V1301" s="8"/>
      <c r="W1301" s="8"/>
    </row>
    <row r="1302" spans="1:23" ht="15.75" customHeight="1" x14ac:dyDescent="0.25">
      <c r="A1302" s="6" t="s">
        <v>182</v>
      </c>
      <c r="B1302" s="8"/>
      <c r="C1302" s="8"/>
      <c r="D1302" s="8"/>
      <c r="E1302" s="8"/>
      <c r="F1302" s="8"/>
      <c r="G1302" s="8"/>
      <c r="H1302" s="8"/>
      <c r="I1302" s="8"/>
      <c r="J1302" s="8"/>
      <c r="K1302" s="8"/>
      <c r="L1302" s="8"/>
      <c r="M1302" s="8"/>
      <c r="N1302" s="8"/>
      <c r="O1302" s="8"/>
      <c r="P1302" s="8"/>
      <c r="Q1302" s="8"/>
      <c r="R1302" s="8"/>
      <c r="S1302" s="8"/>
      <c r="T1302" s="8"/>
      <c r="U1302" s="8"/>
      <c r="V1302" s="8"/>
      <c r="W1302" s="8"/>
    </row>
    <row r="1303" spans="1:23" ht="15.75" customHeight="1" x14ac:dyDescent="0.25">
      <c r="A1303" s="6" t="s">
        <v>182</v>
      </c>
      <c r="B1303" s="8"/>
      <c r="C1303" s="8"/>
      <c r="D1303" s="8"/>
      <c r="E1303" s="8"/>
      <c r="F1303" s="8"/>
      <c r="G1303" s="8"/>
      <c r="H1303" s="8"/>
      <c r="I1303" s="8"/>
      <c r="J1303" s="8"/>
      <c r="K1303" s="8"/>
      <c r="L1303" s="8"/>
      <c r="M1303" s="8"/>
      <c r="N1303" s="8"/>
      <c r="O1303" s="8"/>
      <c r="P1303" s="8"/>
      <c r="Q1303" s="8"/>
      <c r="R1303" s="8"/>
      <c r="S1303" s="8"/>
      <c r="T1303" s="8"/>
      <c r="U1303" s="8"/>
      <c r="V1303" s="8"/>
      <c r="W1303" s="8"/>
    </row>
    <row r="1304" spans="1:23" ht="15.75" customHeight="1" x14ac:dyDescent="0.25">
      <c r="A1304" s="6" t="s">
        <v>182</v>
      </c>
      <c r="B1304" s="8"/>
      <c r="C1304" s="8"/>
      <c r="D1304" s="8"/>
      <c r="E1304" s="8"/>
      <c r="F1304" s="8"/>
      <c r="G1304" s="8"/>
      <c r="H1304" s="8"/>
      <c r="I1304" s="8"/>
      <c r="J1304" s="8"/>
      <c r="K1304" s="8"/>
      <c r="L1304" s="8"/>
      <c r="M1304" s="8"/>
      <c r="N1304" s="8"/>
      <c r="O1304" s="8"/>
      <c r="P1304" s="8"/>
      <c r="Q1304" s="8"/>
      <c r="R1304" s="8"/>
      <c r="S1304" s="8"/>
      <c r="T1304" s="8"/>
      <c r="U1304" s="8"/>
      <c r="V1304" s="8"/>
      <c r="W1304" s="8"/>
    </row>
    <row r="1305" spans="1:23" ht="15.75" customHeight="1" x14ac:dyDescent="0.25">
      <c r="A1305" s="6" t="s">
        <v>182</v>
      </c>
      <c r="B1305" s="8"/>
      <c r="C1305" s="8"/>
      <c r="D1305" s="8"/>
      <c r="E1305" s="8"/>
      <c r="F1305" s="8"/>
      <c r="G1305" s="8"/>
      <c r="H1305" s="8"/>
      <c r="I1305" s="8"/>
      <c r="J1305" s="8"/>
      <c r="K1305" s="8"/>
      <c r="L1305" s="8"/>
      <c r="M1305" s="8"/>
      <c r="N1305" s="8"/>
      <c r="O1305" s="8"/>
      <c r="P1305" s="8"/>
      <c r="Q1305" s="8"/>
      <c r="R1305" s="8"/>
      <c r="S1305" s="8"/>
      <c r="T1305" s="8"/>
      <c r="U1305" s="8"/>
      <c r="V1305" s="8"/>
      <c r="W1305" s="8"/>
    </row>
    <row r="1306" spans="1:23" ht="15.75" customHeight="1" x14ac:dyDescent="0.25">
      <c r="A1306" s="6" t="s">
        <v>182</v>
      </c>
      <c r="B1306" s="8"/>
      <c r="C1306" s="8"/>
      <c r="D1306" s="8"/>
      <c r="E1306" s="8"/>
      <c r="F1306" s="8"/>
      <c r="G1306" s="8"/>
      <c r="H1306" s="8"/>
      <c r="I1306" s="8"/>
      <c r="J1306" s="8"/>
      <c r="K1306" s="8"/>
      <c r="L1306" s="8"/>
      <c r="M1306" s="8"/>
      <c r="N1306" s="8"/>
      <c r="O1306" s="8"/>
      <c r="P1306" s="8"/>
      <c r="Q1306" s="8"/>
      <c r="R1306" s="8"/>
      <c r="S1306" s="8"/>
      <c r="T1306" s="8"/>
      <c r="U1306" s="8"/>
      <c r="V1306" s="8"/>
      <c r="W1306" s="8"/>
    </row>
    <row r="1307" spans="1:23" ht="15.75" customHeight="1" x14ac:dyDescent="0.25">
      <c r="A1307" s="6" t="s">
        <v>182</v>
      </c>
      <c r="B1307" s="8"/>
      <c r="C1307" s="8"/>
      <c r="D1307" s="8"/>
      <c r="E1307" s="8"/>
      <c r="F1307" s="8"/>
      <c r="G1307" s="8"/>
      <c r="H1307" s="8"/>
      <c r="I1307" s="8"/>
      <c r="J1307" s="8"/>
      <c r="K1307" s="8"/>
      <c r="L1307" s="8"/>
      <c r="M1307" s="8"/>
      <c r="N1307" s="8"/>
      <c r="O1307" s="8"/>
      <c r="P1307" s="8"/>
      <c r="Q1307" s="8"/>
      <c r="R1307" s="8"/>
      <c r="S1307" s="8"/>
      <c r="T1307" s="8"/>
      <c r="U1307" s="8"/>
      <c r="V1307" s="8"/>
      <c r="W1307" s="8"/>
    </row>
    <row r="1308" spans="1:23" ht="15.75" customHeight="1" x14ac:dyDescent="0.25">
      <c r="A1308" s="6" t="s">
        <v>182</v>
      </c>
      <c r="B1308" s="8"/>
      <c r="C1308" s="8"/>
      <c r="D1308" s="8"/>
      <c r="E1308" s="8"/>
      <c r="F1308" s="8"/>
      <c r="G1308" s="8"/>
      <c r="H1308" s="8"/>
      <c r="I1308" s="8"/>
      <c r="J1308" s="8"/>
      <c r="K1308" s="8"/>
      <c r="L1308" s="8"/>
      <c r="M1308" s="8"/>
      <c r="N1308" s="8"/>
      <c r="O1308" s="8"/>
      <c r="P1308" s="8"/>
      <c r="Q1308" s="8"/>
      <c r="R1308" s="8"/>
      <c r="S1308" s="8"/>
      <c r="T1308" s="8"/>
      <c r="U1308" s="8"/>
      <c r="V1308" s="8"/>
      <c r="W1308" s="8"/>
    </row>
    <row r="1309" spans="1:23" ht="15.75" customHeight="1" x14ac:dyDescent="0.25">
      <c r="A1309" s="6" t="s">
        <v>182</v>
      </c>
      <c r="B1309" s="8"/>
      <c r="C1309" s="8"/>
      <c r="D1309" s="8"/>
      <c r="E1309" s="8"/>
      <c r="F1309" s="8"/>
      <c r="G1309" s="8"/>
      <c r="H1309" s="8"/>
      <c r="I1309" s="8"/>
      <c r="J1309" s="8"/>
      <c r="K1309" s="8"/>
      <c r="L1309" s="8"/>
      <c r="M1309" s="8"/>
      <c r="N1309" s="8"/>
      <c r="O1309" s="8"/>
      <c r="P1309" s="8"/>
      <c r="Q1309" s="8"/>
      <c r="R1309" s="8"/>
      <c r="S1309" s="8"/>
      <c r="T1309" s="8"/>
      <c r="U1309" s="8"/>
      <c r="V1309" s="8"/>
      <c r="W1309" s="8"/>
    </row>
    <row r="1310" spans="1:23" ht="15.75" customHeight="1" x14ac:dyDescent="0.25">
      <c r="A1310" s="6" t="s">
        <v>182</v>
      </c>
      <c r="B1310" s="8"/>
      <c r="C1310" s="8"/>
      <c r="D1310" s="8"/>
      <c r="E1310" s="8"/>
      <c r="F1310" s="8"/>
      <c r="G1310" s="8"/>
      <c r="H1310" s="8"/>
      <c r="I1310" s="8"/>
      <c r="J1310" s="8"/>
      <c r="K1310" s="8"/>
      <c r="L1310" s="8"/>
      <c r="M1310" s="8"/>
      <c r="N1310" s="8"/>
      <c r="O1310" s="8"/>
      <c r="P1310" s="8"/>
      <c r="Q1310" s="8"/>
      <c r="R1310" s="8"/>
      <c r="S1310" s="8"/>
      <c r="T1310" s="8"/>
      <c r="U1310" s="8"/>
      <c r="V1310" s="8"/>
      <c r="W1310" s="8"/>
    </row>
    <row r="1311" spans="1:23" ht="15.75" customHeight="1" x14ac:dyDescent="0.25">
      <c r="A1311" s="6" t="s">
        <v>182</v>
      </c>
      <c r="B1311" s="8"/>
      <c r="C1311" s="8"/>
      <c r="D1311" s="8"/>
      <c r="E1311" s="8"/>
      <c r="F1311" s="8"/>
      <c r="G1311" s="8"/>
      <c r="H1311" s="8"/>
      <c r="I1311" s="8"/>
      <c r="J1311" s="8"/>
      <c r="K1311" s="8"/>
      <c r="L1311" s="8"/>
      <c r="M1311" s="8"/>
      <c r="N1311" s="8"/>
      <c r="O1311" s="8"/>
      <c r="P1311" s="8"/>
      <c r="Q1311" s="8"/>
      <c r="R1311" s="8"/>
      <c r="S1311" s="8"/>
      <c r="T1311" s="8"/>
      <c r="U1311" s="8"/>
      <c r="V1311" s="8"/>
      <c r="W1311" s="8"/>
    </row>
    <row r="1312" spans="1:23" ht="15.75" customHeight="1" x14ac:dyDescent="0.25">
      <c r="A1312" s="6" t="s">
        <v>182</v>
      </c>
      <c r="B1312" s="8"/>
      <c r="C1312" s="8"/>
      <c r="D1312" s="8"/>
      <c r="E1312" s="8"/>
      <c r="F1312" s="8"/>
      <c r="G1312" s="8"/>
      <c r="H1312" s="8"/>
      <c r="I1312" s="8"/>
      <c r="J1312" s="8"/>
      <c r="K1312" s="8"/>
      <c r="L1312" s="8"/>
      <c r="M1312" s="8"/>
      <c r="N1312" s="8"/>
      <c r="O1312" s="8"/>
      <c r="P1312" s="8"/>
      <c r="Q1312" s="8"/>
      <c r="R1312" s="8"/>
      <c r="S1312" s="8"/>
      <c r="T1312" s="8"/>
      <c r="U1312" s="8"/>
      <c r="V1312" s="8"/>
      <c r="W1312" s="8"/>
    </row>
    <row r="1313" spans="1:23" ht="15.75" customHeight="1" x14ac:dyDescent="0.25">
      <c r="A1313" s="6" t="s">
        <v>182</v>
      </c>
      <c r="B1313" s="8"/>
      <c r="C1313" s="8"/>
      <c r="D1313" s="8"/>
      <c r="E1313" s="8"/>
      <c r="F1313" s="8"/>
      <c r="G1313" s="8"/>
      <c r="H1313" s="8"/>
      <c r="I1313" s="8"/>
      <c r="J1313" s="8"/>
      <c r="K1313" s="8"/>
      <c r="L1313" s="8"/>
      <c r="M1313" s="8"/>
      <c r="N1313" s="8"/>
      <c r="O1313" s="8"/>
      <c r="P1313" s="8"/>
      <c r="Q1313" s="8"/>
      <c r="R1313" s="8"/>
      <c r="S1313" s="8"/>
      <c r="T1313" s="8"/>
      <c r="U1313" s="8"/>
      <c r="V1313" s="8"/>
      <c r="W1313" s="8"/>
    </row>
    <row r="1314" spans="1:23" ht="15.75" customHeight="1" x14ac:dyDescent="0.25">
      <c r="A1314" s="6" t="s">
        <v>182</v>
      </c>
      <c r="B1314" s="8"/>
      <c r="C1314" s="8"/>
      <c r="D1314" s="8"/>
      <c r="E1314" s="8"/>
      <c r="F1314" s="8"/>
      <c r="G1314" s="8"/>
      <c r="H1314" s="8"/>
      <c r="I1314" s="8"/>
      <c r="J1314" s="8"/>
      <c r="K1314" s="8"/>
      <c r="L1314" s="8"/>
      <c r="M1314" s="8"/>
      <c r="N1314" s="8"/>
      <c r="O1314" s="8"/>
      <c r="P1314" s="8"/>
      <c r="Q1314" s="8"/>
      <c r="R1314" s="8"/>
      <c r="S1314" s="8"/>
      <c r="T1314" s="8"/>
      <c r="U1314" s="8"/>
      <c r="V1314" s="8"/>
      <c r="W1314" s="8"/>
    </row>
    <row r="1315" spans="1:23" ht="15.75" customHeight="1" x14ac:dyDescent="0.25">
      <c r="A1315" s="6" t="s">
        <v>182</v>
      </c>
      <c r="B1315" s="8"/>
      <c r="C1315" s="8"/>
      <c r="D1315" s="8"/>
      <c r="E1315" s="8"/>
      <c r="F1315" s="8"/>
      <c r="G1315" s="8"/>
      <c r="H1315" s="8"/>
      <c r="I1315" s="8"/>
      <c r="J1315" s="8"/>
      <c r="K1315" s="8"/>
      <c r="L1315" s="8"/>
      <c r="M1315" s="8"/>
      <c r="N1315" s="8"/>
      <c r="O1315" s="8"/>
      <c r="P1315" s="8"/>
      <c r="Q1315" s="8"/>
      <c r="R1315" s="8"/>
      <c r="S1315" s="8"/>
      <c r="T1315" s="8"/>
      <c r="U1315" s="8"/>
      <c r="V1315" s="8"/>
      <c r="W1315" s="8"/>
    </row>
    <row r="1316" spans="1:23" ht="15.75" customHeight="1" x14ac:dyDescent="0.25">
      <c r="A1316" s="8" t="s">
        <v>182</v>
      </c>
      <c r="B1316" s="8"/>
      <c r="C1316" s="8"/>
      <c r="D1316" s="8"/>
      <c r="E1316" s="8"/>
      <c r="F1316" s="8"/>
      <c r="G1316" s="8"/>
      <c r="H1316" s="8"/>
      <c r="I1316" s="8"/>
      <c r="J1316" s="8"/>
      <c r="K1316" s="8"/>
      <c r="L1316" s="8"/>
      <c r="M1316" s="8"/>
      <c r="N1316" s="8"/>
      <c r="O1316" s="8"/>
      <c r="P1316" s="8"/>
      <c r="Q1316" s="8"/>
      <c r="R1316" s="8"/>
      <c r="S1316" s="8"/>
      <c r="T1316" s="8"/>
      <c r="U1316" s="8"/>
      <c r="V1316" s="8"/>
      <c r="W1316" s="8"/>
    </row>
    <row r="1317" spans="1:23" ht="15.75" customHeight="1" x14ac:dyDescent="0.25">
      <c r="A1317" s="6" t="s">
        <v>182</v>
      </c>
      <c r="B1317" s="8"/>
      <c r="C1317" s="8"/>
      <c r="D1317" s="8"/>
      <c r="E1317" s="8"/>
      <c r="F1317" s="8"/>
      <c r="G1317" s="8"/>
      <c r="H1317" s="8"/>
      <c r="I1317" s="8"/>
      <c r="J1317" s="8"/>
      <c r="K1317" s="8"/>
      <c r="L1317" s="8"/>
      <c r="M1317" s="8"/>
      <c r="N1317" s="8"/>
      <c r="O1317" s="8"/>
      <c r="P1317" s="8"/>
      <c r="Q1317" s="8"/>
      <c r="R1317" s="8"/>
      <c r="S1317" s="8"/>
      <c r="T1317" s="8"/>
      <c r="U1317" s="8"/>
      <c r="V1317" s="8"/>
      <c r="W1317" s="8"/>
    </row>
    <row r="1318" spans="1:23" ht="15.75" customHeight="1" x14ac:dyDescent="0.25">
      <c r="A1318" s="6" t="s">
        <v>182</v>
      </c>
      <c r="B1318" s="8"/>
      <c r="C1318" s="8"/>
      <c r="D1318" s="8"/>
      <c r="E1318" s="8"/>
      <c r="F1318" s="8"/>
      <c r="G1318" s="8"/>
      <c r="H1318" s="8"/>
      <c r="I1318" s="8"/>
      <c r="J1318" s="8"/>
      <c r="K1318" s="8"/>
      <c r="L1318" s="8"/>
      <c r="M1318" s="8"/>
      <c r="N1318" s="8"/>
      <c r="O1318" s="8"/>
      <c r="P1318" s="8"/>
      <c r="Q1318" s="8"/>
      <c r="R1318" s="8"/>
      <c r="S1318" s="8"/>
      <c r="T1318" s="8"/>
      <c r="U1318" s="8"/>
      <c r="V1318" s="8"/>
      <c r="W1318" s="8"/>
    </row>
    <row r="1319" spans="1:23" ht="15.75" customHeight="1" x14ac:dyDescent="0.25">
      <c r="A1319" s="8" t="s">
        <v>182</v>
      </c>
      <c r="B1319" s="8"/>
      <c r="C1319" s="8"/>
      <c r="D1319" s="8"/>
      <c r="E1319" s="8"/>
      <c r="F1319" s="8"/>
      <c r="G1319" s="8"/>
      <c r="H1319" s="8"/>
      <c r="I1319" s="8"/>
      <c r="J1319" s="8"/>
      <c r="K1319" s="8"/>
      <c r="L1319" s="8"/>
      <c r="M1319" s="8"/>
      <c r="N1319" s="8"/>
      <c r="O1319" s="8"/>
      <c r="P1319" s="8"/>
      <c r="Q1319" s="8"/>
      <c r="R1319" s="8"/>
      <c r="S1319" s="8"/>
      <c r="T1319" s="8"/>
      <c r="U1319" s="8"/>
      <c r="V1319" s="8"/>
      <c r="W1319" s="8"/>
    </row>
    <row r="1320" spans="1:23" ht="15.75" customHeight="1" x14ac:dyDescent="0.25">
      <c r="A1320" s="6" t="s">
        <v>182</v>
      </c>
      <c r="B1320" s="8"/>
      <c r="C1320" s="8"/>
      <c r="D1320" s="8"/>
      <c r="E1320" s="8"/>
      <c r="F1320" s="8"/>
      <c r="G1320" s="8"/>
      <c r="H1320" s="8"/>
      <c r="I1320" s="8"/>
      <c r="J1320" s="8"/>
      <c r="K1320" s="8"/>
      <c r="L1320" s="8"/>
      <c r="M1320" s="8"/>
      <c r="N1320" s="8"/>
      <c r="O1320" s="8"/>
      <c r="P1320" s="8"/>
      <c r="Q1320" s="8"/>
      <c r="R1320" s="8"/>
      <c r="S1320" s="8"/>
      <c r="T1320" s="8"/>
      <c r="U1320" s="8"/>
      <c r="V1320" s="8"/>
      <c r="W1320" s="8"/>
    </row>
    <row r="1321" spans="1:23" ht="15.75" customHeight="1" x14ac:dyDescent="0.25">
      <c r="A1321" s="6" t="s">
        <v>182</v>
      </c>
      <c r="B1321" s="8"/>
      <c r="C1321" s="8"/>
      <c r="D1321" s="8"/>
      <c r="E1321" s="8"/>
      <c r="F1321" s="8"/>
      <c r="G1321" s="8"/>
      <c r="H1321" s="8"/>
      <c r="I1321" s="8"/>
      <c r="J1321" s="8"/>
      <c r="K1321" s="8"/>
      <c r="L1321" s="8"/>
      <c r="M1321" s="8"/>
      <c r="N1321" s="8"/>
      <c r="O1321" s="8"/>
      <c r="P1321" s="8"/>
      <c r="Q1321" s="8"/>
      <c r="R1321" s="8"/>
      <c r="S1321" s="8"/>
      <c r="T1321" s="8"/>
      <c r="U1321" s="8"/>
      <c r="V1321" s="8"/>
      <c r="W1321" s="8"/>
    </row>
    <row r="1322" spans="1:23" ht="15.75" customHeight="1" x14ac:dyDescent="0.25">
      <c r="A1322" s="8" t="s">
        <v>182</v>
      </c>
      <c r="B1322" s="8"/>
      <c r="C1322" s="8"/>
      <c r="D1322" s="8"/>
      <c r="E1322" s="8"/>
      <c r="F1322" s="8"/>
      <c r="G1322" s="8"/>
      <c r="H1322" s="8"/>
      <c r="I1322" s="8"/>
      <c r="J1322" s="8"/>
      <c r="K1322" s="8"/>
      <c r="L1322" s="8"/>
      <c r="M1322" s="8"/>
      <c r="N1322" s="8"/>
      <c r="O1322" s="8"/>
      <c r="P1322" s="8"/>
      <c r="Q1322" s="8"/>
      <c r="R1322" s="8"/>
      <c r="S1322" s="8"/>
      <c r="T1322" s="8"/>
      <c r="U1322" s="8"/>
      <c r="V1322" s="8"/>
      <c r="W1322" s="8"/>
    </row>
    <row r="1323" spans="1:23" ht="15.75" customHeight="1" x14ac:dyDescent="0.25">
      <c r="A1323" s="6" t="s">
        <v>182</v>
      </c>
      <c r="B1323" s="8"/>
      <c r="C1323" s="8"/>
      <c r="D1323" s="8"/>
      <c r="E1323" s="8"/>
      <c r="F1323" s="8"/>
      <c r="G1323" s="8"/>
      <c r="H1323" s="8"/>
      <c r="I1323" s="8"/>
      <c r="J1323" s="8"/>
      <c r="K1323" s="8"/>
      <c r="L1323" s="8"/>
      <c r="M1323" s="8"/>
      <c r="N1323" s="8"/>
      <c r="O1323" s="8"/>
      <c r="P1323" s="8"/>
      <c r="Q1323" s="8"/>
      <c r="R1323" s="8"/>
      <c r="S1323" s="8"/>
      <c r="T1323" s="8"/>
      <c r="U1323" s="8"/>
      <c r="V1323" s="8"/>
      <c r="W1323" s="8"/>
    </row>
    <row r="1324" spans="1:23" ht="15.75" customHeight="1" x14ac:dyDescent="0.25">
      <c r="A1324" s="6" t="s">
        <v>182</v>
      </c>
      <c r="B1324" s="8"/>
      <c r="C1324" s="8"/>
      <c r="D1324" s="8"/>
      <c r="E1324" s="8"/>
      <c r="F1324" s="8"/>
      <c r="G1324" s="8"/>
      <c r="H1324" s="8"/>
      <c r="I1324" s="8"/>
      <c r="J1324" s="8"/>
      <c r="K1324" s="8"/>
      <c r="L1324" s="8"/>
      <c r="M1324" s="8"/>
      <c r="N1324" s="8"/>
      <c r="O1324" s="8"/>
      <c r="P1324" s="8"/>
      <c r="Q1324" s="8"/>
      <c r="R1324" s="8"/>
      <c r="S1324" s="8"/>
      <c r="T1324" s="8"/>
      <c r="U1324" s="8"/>
      <c r="V1324" s="8"/>
      <c r="W1324" s="8"/>
    </row>
    <row r="1325" spans="1:23" ht="15.75" customHeight="1" x14ac:dyDescent="0.25">
      <c r="A1325" s="6" t="s">
        <v>182</v>
      </c>
      <c r="B1325" s="8"/>
      <c r="C1325" s="8"/>
      <c r="D1325" s="8"/>
      <c r="E1325" s="8"/>
      <c r="F1325" s="8"/>
      <c r="G1325" s="8"/>
      <c r="H1325" s="8"/>
      <c r="I1325" s="8"/>
      <c r="J1325" s="8"/>
      <c r="K1325" s="8"/>
      <c r="L1325" s="8"/>
      <c r="M1325" s="8"/>
      <c r="N1325" s="8"/>
      <c r="O1325" s="8"/>
      <c r="P1325" s="8"/>
      <c r="Q1325" s="8"/>
      <c r="R1325" s="8"/>
      <c r="S1325" s="8"/>
      <c r="T1325" s="8"/>
      <c r="U1325" s="8"/>
      <c r="V1325" s="8"/>
      <c r="W1325" s="8"/>
    </row>
    <row r="1326" spans="1:23" ht="15.75" customHeight="1" x14ac:dyDescent="0.25">
      <c r="A1326" s="8" t="s">
        <v>182</v>
      </c>
      <c r="B1326" s="8"/>
      <c r="C1326" s="8"/>
      <c r="D1326" s="8"/>
      <c r="E1326" s="8"/>
      <c r="F1326" s="8"/>
      <c r="G1326" s="8"/>
      <c r="H1326" s="8"/>
      <c r="I1326" s="8"/>
      <c r="J1326" s="8"/>
      <c r="K1326" s="8"/>
      <c r="L1326" s="8"/>
      <c r="M1326" s="8"/>
      <c r="N1326" s="8"/>
      <c r="O1326" s="8"/>
      <c r="P1326" s="8"/>
      <c r="Q1326" s="8"/>
      <c r="R1326" s="8"/>
      <c r="S1326" s="8"/>
      <c r="T1326" s="8"/>
      <c r="U1326" s="8"/>
      <c r="V1326" s="8"/>
      <c r="W1326" s="8"/>
    </row>
    <row r="1327" spans="1:23" ht="15.75" customHeight="1" x14ac:dyDescent="0.25">
      <c r="A1327" s="6" t="s">
        <v>182</v>
      </c>
      <c r="B1327" s="8"/>
      <c r="C1327" s="8"/>
      <c r="D1327" s="8"/>
      <c r="E1327" s="8"/>
      <c r="F1327" s="8"/>
      <c r="G1327" s="8"/>
      <c r="H1327" s="8"/>
      <c r="I1327" s="8"/>
      <c r="J1327" s="8"/>
      <c r="K1327" s="8"/>
      <c r="L1327" s="8"/>
      <c r="M1327" s="8"/>
      <c r="N1327" s="8"/>
      <c r="O1327" s="8"/>
      <c r="P1327" s="8"/>
      <c r="Q1327" s="8"/>
      <c r="R1327" s="8"/>
      <c r="S1327" s="8"/>
      <c r="T1327" s="8"/>
      <c r="U1327" s="8"/>
      <c r="V1327" s="8"/>
      <c r="W1327" s="8"/>
    </row>
    <row r="1328" spans="1:23" ht="15.75" customHeight="1" x14ac:dyDescent="0.25">
      <c r="A1328" s="6" t="s">
        <v>182</v>
      </c>
      <c r="B1328" s="8"/>
      <c r="C1328" s="8"/>
      <c r="D1328" s="8"/>
      <c r="E1328" s="8"/>
      <c r="F1328" s="8"/>
      <c r="G1328" s="8"/>
      <c r="H1328" s="8"/>
      <c r="I1328" s="8"/>
      <c r="J1328" s="8"/>
      <c r="K1328" s="8"/>
      <c r="L1328" s="8"/>
      <c r="M1328" s="8"/>
      <c r="N1328" s="8"/>
      <c r="O1328" s="8"/>
      <c r="P1328" s="8"/>
      <c r="Q1328" s="8"/>
      <c r="R1328" s="8"/>
      <c r="S1328" s="8"/>
      <c r="T1328" s="8"/>
      <c r="U1328" s="8"/>
      <c r="V1328" s="8"/>
      <c r="W1328" s="8"/>
    </row>
    <row r="1329" spans="1:23" ht="15.75" customHeight="1" x14ac:dyDescent="0.25">
      <c r="A1329" s="6" t="s">
        <v>182</v>
      </c>
      <c r="B1329" s="8"/>
      <c r="C1329" s="8"/>
      <c r="D1329" s="8"/>
      <c r="E1329" s="8"/>
      <c r="F1329" s="8"/>
      <c r="G1329" s="8"/>
      <c r="H1329" s="8"/>
      <c r="I1329" s="8"/>
      <c r="J1329" s="8"/>
      <c r="K1329" s="8"/>
      <c r="L1329" s="8"/>
      <c r="M1329" s="8"/>
      <c r="N1329" s="8"/>
      <c r="O1329" s="8"/>
      <c r="P1329" s="8"/>
      <c r="Q1329" s="8"/>
      <c r="R1329" s="8"/>
      <c r="S1329" s="8"/>
      <c r="T1329" s="8"/>
      <c r="U1329" s="8"/>
      <c r="V1329" s="8"/>
      <c r="W1329" s="8"/>
    </row>
    <row r="1330" spans="1:23" ht="15.75" customHeight="1" x14ac:dyDescent="0.25">
      <c r="A1330" s="6" t="s">
        <v>182</v>
      </c>
      <c r="B1330" s="8"/>
      <c r="C1330" s="8"/>
      <c r="D1330" s="8"/>
      <c r="E1330" s="8"/>
      <c r="F1330" s="8"/>
      <c r="G1330" s="8"/>
      <c r="H1330" s="8"/>
      <c r="I1330" s="8"/>
      <c r="J1330" s="8"/>
      <c r="K1330" s="8"/>
      <c r="L1330" s="8"/>
      <c r="M1330" s="8"/>
      <c r="N1330" s="8"/>
      <c r="O1330" s="8"/>
      <c r="P1330" s="8"/>
      <c r="Q1330" s="8"/>
      <c r="R1330" s="8"/>
      <c r="S1330" s="8"/>
      <c r="T1330" s="8"/>
      <c r="U1330" s="8"/>
      <c r="V1330" s="8"/>
      <c r="W1330" s="8"/>
    </row>
    <row r="1331" spans="1:23" ht="15.75" customHeight="1" x14ac:dyDescent="0.25">
      <c r="A1331" s="6" t="s">
        <v>182</v>
      </c>
      <c r="B1331" s="8"/>
      <c r="C1331" s="8"/>
      <c r="D1331" s="8"/>
      <c r="E1331" s="8"/>
      <c r="F1331" s="8"/>
      <c r="G1331" s="8"/>
      <c r="H1331" s="8"/>
      <c r="I1331" s="8"/>
      <c r="J1331" s="8"/>
      <c r="K1331" s="8"/>
      <c r="L1331" s="8"/>
      <c r="M1331" s="8"/>
      <c r="N1331" s="8"/>
      <c r="O1331" s="8"/>
      <c r="P1331" s="8"/>
      <c r="Q1331" s="8"/>
      <c r="R1331" s="8"/>
      <c r="S1331" s="8"/>
      <c r="T1331" s="8"/>
      <c r="U1331" s="8"/>
      <c r="V1331" s="8"/>
      <c r="W1331" s="8"/>
    </row>
    <row r="1332" spans="1:23" ht="15.75" customHeight="1" x14ac:dyDescent="0.25">
      <c r="A1332" s="8" t="s">
        <v>182</v>
      </c>
      <c r="B1332" s="8"/>
      <c r="C1332" s="8"/>
      <c r="D1332" s="8"/>
      <c r="E1332" s="8"/>
      <c r="F1332" s="8"/>
      <c r="G1332" s="8"/>
      <c r="H1332" s="8"/>
      <c r="I1332" s="8"/>
      <c r="J1332" s="8"/>
      <c r="K1332" s="8"/>
      <c r="L1332" s="8"/>
      <c r="M1332" s="8"/>
      <c r="N1332" s="8"/>
      <c r="O1332" s="8"/>
      <c r="P1332" s="8"/>
      <c r="Q1332" s="8"/>
      <c r="R1332" s="8"/>
      <c r="S1332" s="8"/>
      <c r="T1332" s="8"/>
      <c r="U1332" s="8"/>
      <c r="V1332" s="8"/>
      <c r="W1332" s="8"/>
    </row>
    <row r="1333" spans="1:23" ht="15.75" customHeight="1" x14ac:dyDescent="0.25">
      <c r="A1333" s="6" t="s">
        <v>182</v>
      </c>
      <c r="B1333" s="8"/>
      <c r="C1333" s="8"/>
      <c r="D1333" s="8"/>
      <c r="E1333" s="8"/>
      <c r="F1333" s="8"/>
      <c r="G1333" s="8"/>
      <c r="H1333" s="8"/>
      <c r="I1333" s="8"/>
      <c r="J1333" s="8"/>
      <c r="K1333" s="8"/>
      <c r="L1333" s="8"/>
      <c r="M1333" s="8"/>
      <c r="N1333" s="8"/>
      <c r="O1333" s="8"/>
      <c r="P1333" s="8"/>
      <c r="Q1333" s="8"/>
      <c r="R1333" s="8"/>
      <c r="S1333" s="8"/>
      <c r="T1333" s="8"/>
      <c r="U1333" s="8"/>
      <c r="V1333" s="8"/>
      <c r="W1333" s="8"/>
    </row>
    <row r="1334" spans="1:23" ht="15.75" customHeight="1" x14ac:dyDescent="0.25">
      <c r="A1334" s="6" t="s">
        <v>182</v>
      </c>
      <c r="B1334" s="8"/>
      <c r="C1334" s="8"/>
      <c r="D1334" s="8"/>
      <c r="E1334" s="8"/>
      <c r="F1334" s="8"/>
      <c r="G1334" s="8"/>
      <c r="H1334" s="8"/>
      <c r="I1334" s="8"/>
      <c r="J1334" s="8"/>
      <c r="K1334" s="8"/>
      <c r="L1334" s="8"/>
      <c r="M1334" s="8"/>
      <c r="N1334" s="8"/>
      <c r="O1334" s="8"/>
      <c r="P1334" s="8"/>
      <c r="Q1334" s="8"/>
      <c r="R1334" s="8"/>
      <c r="S1334" s="8"/>
      <c r="T1334" s="8"/>
      <c r="U1334" s="8"/>
      <c r="V1334" s="8"/>
      <c r="W1334" s="8"/>
    </row>
    <row r="1335" spans="1:23" ht="15.75" customHeight="1" x14ac:dyDescent="0.25">
      <c r="A1335" s="6" t="s">
        <v>182</v>
      </c>
      <c r="B1335" s="8"/>
      <c r="C1335" s="8"/>
      <c r="D1335" s="8"/>
      <c r="E1335" s="8"/>
      <c r="F1335" s="8"/>
      <c r="G1335" s="8"/>
      <c r="H1335" s="8"/>
      <c r="I1335" s="8"/>
      <c r="J1335" s="8"/>
      <c r="K1335" s="8"/>
      <c r="L1335" s="8"/>
      <c r="M1335" s="8"/>
      <c r="N1335" s="8"/>
      <c r="O1335" s="8"/>
      <c r="P1335" s="8"/>
      <c r="Q1335" s="8"/>
      <c r="R1335" s="8"/>
      <c r="S1335" s="8"/>
      <c r="T1335" s="8"/>
      <c r="U1335" s="8"/>
      <c r="V1335" s="8"/>
      <c r="W1335" s="8"/>
    </row>
    <row r="1336" spans="1:23" ht="15.75" customHeight="1" x14ac:dyDescent="0.25">
      <c r="A1336" s="6" t="s">
        <v>182</v>
      </c>
      <c r="B1336" s="8"/>
      <c r="C1336" s="8"/>
      <c r="D1336" s="8"/>
      <c r="E1336" s="8"/>
      <c r="F1336" s="8"/>
      <c r="G1336" s="8"/>
      <c r="H1336" s="8"/>
      <c r="I1336" s="8"/>
      <c r="J1336" s="8"/>
      <c r="K1336" s="8"/>
      <c r="L1336" s="8"/>
      <c r="M1336" s="8"/>
      <c r="N1336" s="8"/>
      <c r="O1336" s="8"/>
      <c r="P1336" s="8"/>
      <c r="Q1336" s="8"/>
      <c r="R1336" s="8"/>
      <c r="S1336" s="8"/>
      <c r="T1336" s="8"/>
      <c r="U1336" s="8"/>
      <c r="V1336" s="8"/>
      <c r="W1336" s="8"/>
    </row>
    <row r="1337" spans="1:23" ht="15.75" customHeight="1" x14ac:dyDescent="0.25">
      <c r="A1337" s="6" t="s">
        <v>182</v>
      </c>
      <c r="B1337" s="8"/>
      <c r="C1337" s="8"/>
      <c r="D1337" s="8"/>
      <c r="E1337" s="8"/>
      <c r="F1337" s="8"/>
      <c r="G1337" s="8"/>
      <c r="H1337" s="8"/>
      <c r="I1337" s="8"/>
      <c r="J1337" s="8"/>
      <c r="K1337" s="8"/>
      <c r="L1337" s="8"/>
      <c r="M1337" s="8"/>
      <c r="N1337" s="8"/>
      <c r="O1337" s="8"/>
      <c r="P1337" s="8"/>
      <c r="Q1337" s="8"/>
      <c r="R1337" s="8"/>
      <c r="S1337" s="8"/>
      <c r="T1337" s="8"/>
      <c r="U1337" s="8"/>
      <c r="V1337" s="8"/>
      <c r="W1337" s="8"/>
    </row>
    <row r="1338" spans="1:23" ht="15.75" customHeight="1" x14ac:dyDescent="0.25">
      <c r="A1338" s="6" t="s">
        <v>182</v>
      </c>
      <c r="B1338" s="8"/>
      <c r="C1338" s="8"/>
      <c r="D1338" s="8"/>
      <c r="E1338" s="8"/>
      <c r="F1338" s="8"/>
      <c r="G1338" s="8"/>
      <c r="H1338" s="8"/>
      <c r="I1338" s="8"/>
      <c r="J1338" s="8"/>
      <c r="K1338" s="8"/>
      <c r="L1338" s="8"/>
      <c r="M1338" s="8"/>
      <c r="N1338" s="8"/>
      <c r="O1338" s="8"/>
      <c r="P1338" s="8"/>
      <c r="Q1338" s="8"/>
      <c r="R1338" s="8"/>
      <c r="S1338" s="8"/>
      <c r="T1338" s="8"/>
      <c r="U1338" s="8"/>
      <c r="V1338" s="8"/>
      <c r="W1338" s="8"/>
    </row>
    <row r="1339" spans="1:23" ht="15.75" customHeight="1" x14ac:dyDescent="0.25">
      <c r="A1339" s="6" t="s">
        <v>182</v>
      </c>
      <c r="B1339" s="8"/>
      <c r="C1339" s="8"/>
      <c r="D1339" s="8"/>
      <c r="E1339" s="8"/>
      <c r="F1339" s="8"/>
      <c r="G1339" s="8"/>
      <c r="H1339" s="8"/>
      <c r="I1339" s="8"/>
      <c r="J1339" s="8"/>
      <c r="K1339" s="8"/>
      <c r="L1339" s="8"/>
      <c r="M1339" s="8"/>
      <c r="N1339" s="8"/>
      <c r="O1339" s="8"/>
      <c r="P1339" s="8"/>
      <c r="Q1339" s="8"/>
      <c r="R1339" s="8"/>
      <c r="S1339" s="8"/>
      <c r="T1339" s="8"/>
      <c r="U1339" s="8"/>
      <c r="V1339" s="8"/>
      <c r="W1339" s="8"/>
    </row>
    <row r="1340" spans="1:23" ht="15.75" customHeight="1" x14ac:dyDescent="0.25">
      <c r="A1340" s="6" t="s">
        <v>182</v>
      </c>
      <c r="B1340" s="8"/>
      <c r="C1340" s="8"/>
      <c r="D1340" s="8"/>
      <c r="E1340" s="8"/>
      <c r="F1340" s="8"/>
      <c r="G1340" s="8"/>
      <c r="H1340" s="8"/>
      <c r="I1340" s="8"/>
      <c r="J1340" s="8"/>
      <c r="K1340" s="8"/>
      <c r="L1340" s="8"/>
      <c r="M1340" s="8"/>
      <c r="N1340" s="8"/>
      <c r="O1340" s="8"/>
      <c r="P1340" s="8"/>
      <c r="Q1340" s="8"/>
      <c r="R1340" s="8"/>
      <c r="S1340" s="8"/>
      <c r="T1340" s="8"/>
      <c r="U1340" s="8"/>
      <c r="V1340" s="8"/>
      <c r="W1340" s="8"/>
    </row>
    <row r="1341" spans="1:23" ht="15.75" customHeight="1" x14ac:dyDescent="0.25">
      <c r="A1341" s="6" t="s">
        <v>182</v>
      </c>
      <c r="B1341" s="8"/>
      <c r="C1341" s="8"/>
      <c r="D1341" s="8"/>
      <c r="E1341" s="8"/>
      <c r="F1341" s="8"/>
      <c r="G1341" s="8"/>
      <c r="H1341" s="8"/>
      <c r="I1341" s="8"/>
      <c r="J1341" s="8"/>
      <c r="K1341" s="8"/>
      <c r="L1341" s="8"/>
      <c r="M1341" s="8"/>
      <c r="N1341" s="8"/>
      <c r="O1341" s="8"/>
      <c r="P1341" s="8"/>
      <c r="Q1341" s="8"/>
      <c r="R1341" s="8"/>
      <c r="S1341" s="8"/>
      <c r="T1341" s="8"/>
      <c r="U1341" s="8"/>
      <c r="V1341" s="8"/>
      <c r="W1341" s="8"/>
    </row>
    <row r="1342" spans="1:23" ht="15.75" customHeight="1" x14ac:dyDescent="0.25">
      <c r="A1342" s="6" t="s">
        <v>182</v>
      </c>
      <c r="B1342" s="8"/>
      <c r="C1342" s="8"/>
      <c r="D1342" s="8"/>
      <c r="E1342" s="8"/>
      <c r="F1342" s="8"/>
      <c r="G1342" s="8"/>
      <c r="H1342" s="8"/>
      <c r="I1342" s="8"/>
      <c r="J1342" s="8"/>
      <c r="K1342" s="8"/>
      <c r="L1342" s="8"/>
      <c r="M1342" s="8"/>
      <c r="N1342" s="8"/>
      <c r="O1342" s="8"/>
      <c r="P1342" s="8"/>
      <c r="Q1342" s="8"/>
      <c r="R1342" s="8"/>
      <c r="S1342" s="8"/>
      <c r="T1342" s="8"/>
      <c r="U1342" s="8"/>
      <c r="V1342" s="8"/>
      <c r="W1342" s="8"/>
    </row>
    <row r="1343" spans="1:23" ht="15.75" customHeight="1" x14ac:dyDescent="0.25">
      <c r="A1343" s="6" t="s">
        <v>182</v>
      </c>
      <c r="B1343" s="8"/>
      <c r="C1343" s="8"/>
      <c r="D1343" s="8"/>
      <c r="E1343" s="8"/>
      <c r="F1343" s="8"/>
      <c r="G1343" s="8"/>
      <c r="H1343" s="8"/>
      <c r="I1343" s="8"/>
      <c r="J1343" s="8"/>
      <c r="K1343" s="8"/>
      <c r="L1343" s="8"/>
      <c r="M1343" s="8"/>
      <c r="N1343" s="8"/>
      <c r="O1343" s="8"/>
      <c r="P1343" s="8"/>
      <c r="Q1343" s="8"/>
      <c r="R1343" s="8"/>
      <c r="S1343" s="8"/>
      <c r="T1343" s="8"/>
      <c r="U1343" s="8"/>
      <c r="V1343" s="8"/>
      <c r="W1343" s="8"/>
    </row>
    <row r="1344" spans="1:23" ht="15.75" customHeight="1" x14ac:dyDescent="0.25">
      <c r="A1344" s="6" t="s">
        <v>182</v>
      </c>
      <c r="B1344" s="8"/>
      <c r="C1344" s="8"/>
      <c r="D1344" s="8"/>
      <c r="E1344" s="8"/>
      <c r="F1344" s="8"/>
      <c r="G1344" s="8"/>
      <c r="H1344" s="8"/>
      <c r="I1344" s="8"/>
      <c r="J1344" s="8"/>
      <c r="K1344" s="8"/>
      <c r="L1344" s="8"/>
      <c r="M1344" s="8"/>
      <c r="N1344" s="8"/>
      <c r="O1344" s="8"/>
      <c r="P1344" s="8"/>
      <c r="Q1344" s="8"/>
      <c r="R1344" s="8"/>
      <c r="S1344" s="8"/>
      <c r="T1344" s="8"/>
      <c r="U1344" s="8"/>
      <c r="V1344" s="8"/>
      <c r="W1344" s="8"/>
    </row>
    <row r="1345" spans="1:23" ht="15.75" customHeight="1" x14ac:dyDescent="0.25">
      <c r="A1345" s="6" t="s">
        <v>182</v>
      </c>
      <c r="B1345" s="8"/>
      <c r="C1345" s="8"/>
      <c r="D1345" s="8"/>
      <c r="E1345" s="8"/>
      <c r="F1345" s="8"/>
      <c r="G1345" s="8"/>
      <c r="H1345" s="8"/>
      <c r="I1345" s="8"/>
      <c r="J1345" s="8"/>
      <c r="K1345" s="8"/>
      <c r="L1345" s="8"/>
      <c r="M1345" s="8"/>
      <c r="N1345" s="8"/>
      <c r="O1345" s="8"/>
      <c r="P1345" s="8"/>
      <c r="Q1345" s="8"/>
      <c r="R1345" s="8"/>
      <c r="S1345" s="8"/>
      <c r="T1345" s="8"/>
      <c r="U1345" s="8"/>
      <c r="V1345" s="8"/>
      <c r="W1345" s="8"/>
    </row>
    <row r="1346" spans="1:23" ht="15.75" customHeight="1" x14ac:dyDescent="0.25">
      <c r="A1346" s="8" t="s">
        <v>182</v>
      </c>
      <c r="B1346" s="8"/>
      <c r="C1346" s="8"/>
      <c r="D1346" s="8"/>
      <c r="E1346" s="8"/>
      <c r="F1346" s="8"/>
      <c r="G1346" s="8"/>
      <c r="H1346" s="8"/>
      <c r="I1346" s="8"/>
      <c r="J1346" s="8"/>
      <c r="K1346" s="8"/>
      <c r="L1346" s="8"/>
      <c r="M1346" s="8"/>
      <c r="N1346" s="8"/>
      <c r="O1346" s="8"/>
      <c r="P1346" s="8"/>
      <c r="Q1346" s="8"/>
      <c r="R1346" s="8"/>
      <c r="S1346" s="8"/>
      <c r="T1346" s="8"/>
      <c r="U1346" s="8"/>
      <c r="V1346" s="8"/>
      <c r="W1346" s="8"/>
    </row>
    <row r="1347" spans="1:23" ht="15.75" customHeight="1" x14ac:dyDescent="0.25">
      <c r="A1347" s="8" t="s">
        <v>182</v>
      </c>
      <c r="B1347" s="8"/>
      <c r="C1347" s="8"/>
      <c r="D1347" s="8"/>
      <c r="E1347" s="8"/>
      <c r="F1347" s="8"/>
      <c r="G1347" s="8"/>
      <c r="H1347" s="8"/>
      <c r="I1347" s="8"/>
      <c r="J1347" s="8"/>
      <c r="K1347" s="8"/>
      <c r="L1347" s="8"/>
      <c r="M1347" s="8"/>
      <c r="N1347" s="8"/>
      <c r="O1347" s="8"/>
      <c r="P1347" s="8"/>
      <c r="Q1347" s="8"/>
      <c r="R1347" s="8"/>
      <c r="S1347" s="8"/>
      <c r="T1347" s="8"/>
      <c r="U1347" s="8"/>
      <c r="V1347" s="8"/>
      <c r="W1347" s="8"/>
    </row>
    <row r="1348" spans="1:23" ht="15.75" customHeight="1" x14ac:dyDescent="0.25">
      <c r="A1348" s="6" t="s">
        <v>3714</v>
      </c>
      <c r="B1348" s="8"/>
      <c r="C1348" s="8"/>
      <c r="D1348" s="8"/>
      <c r="E1348" s="8"/>
      <c r="F1348" s="8"/>
      <c r="G1348" s="8"/>
      <c r="H1348" s="8"/>
      <c r="I1348" s="8"/>
      <c r="J1348" s="8"/>
      <c r="K1348" s="8"/>
      <c r="L1348" s="8"/>
      <c r="M1348" s="8"/>
      <c r="N1348" s="8"/>
      <c r="O1348" s="8"/>
      <c r="P1348" s="8"/>
      <c r="Q1348" s="8"/>
      <c r="R1348" s="8"/>
      <c r="S1348" s="8"/>
      <c r="T1348" s="8"/>
      <c r="U1348" s="8"/>
      <c r="V1348" s="8"/>
      <c r="W1348" s="8"/>
    </row>
    <row r="1349" spans="1:23" ht="15.75" customHeight="1" x14ac:dyDescent="0.25">
      <c r="A1349" s="6" t="s">
        <v>3714</v>
      </c>
      <c r="B1349" s="8"/>
      <c r="C1349" s="8"/>
      <c r="D1349" s="8"/>
      <c r="E1349" s="8"/>
      <c r="F1349" s="8"/>
      <c r="G1349" s="8"/>
      <c r="H1349" s="8"/>
      <c r="I1349" s="8"/>
      <c r="J1349" s="8"/>
      <c r="K1349" s="8"/>
      <c r="L1349" s="8"/>
      <c r="M1349" s="8"/>
      <c r="N1349" s="8"/>
      <c r="O1349" s="8"/>
      <c r="P1349" s="8"/>
      <c r="Q1349" s="8"/>
      <c r="R1349" s="8"/>
      <c r="S1349" s="8"/>
      <c r="T1349" s="8"/>
      <c r="U1349" s="8"/>
      <c r="V1349" s="8"/>
      <c r="W1349" s="8"/>
    </row>
    <row r="1350" spans="1:23" ht="15.75" customHeight="1" x14ac:dyDescent="0.25">
      <c r="A1350" s="6" t="s">
        <v>3714</v>
      </c>
      <c r="B1350" s="8"/>
      <c r="C1350" s="8"/>
      <c r="D1350" s="8"/>
      <c r="E1350" s="8"/>
      <c r="F1350" s="8"/>
      <c r="G1350" s="8"/>
      <c r="H1350" s="8"/>
      <c r="I1350" s="8"/>
      <c r="J1350" s="8"/>
      <c r="K1350" s="8"/>
      <c r="L1350" s="8"/>
      <c r="M1350" s="8"/>
      <c r="N1350" s="8"/>
      <c r="O1350" s="8"/>
      <c r="P1350" s="8"/>
      <c r="Q1350" s="8"/>
      <c r="R1350" s="8"/>
      <c r="S1350" s="8"/>
      <c r="T1350" s="8"/>
      <c r="U1350" s="8"/>
      <c r="V1350" s="8"/>
      <c r="W1350" s="8"/>
    </row>
    <row r="1351" spans="1:23" ht="15.75" customHeight="1" x14ac:dyDescent="0.25">
      <c r="A1351" s="6" t="s">
        <v>4212</v>
      </c>
      <c r="B1351" s="8"/>
      <c r="C1351" s="8"/>
      <c r="D1351" s="8"/>
      <c r="E1351" s="8"/>
      <c r="F1351" s="8"/>
      <c r="G1351" s="8"/>
      <c r="H1351" s="8"/>
      <c r="I1351" s="8"/>
      <c r="J1351" s="8"/>
      <c r="K1351" s="8"/>
      <c r="L1351" s="8"/>
      <c r="M1351" s="8"/>
      <c r="N1351" s="8"/>
      <c r="O1351" s="8"/>
      <c r="P1351" s="8"/>
      <c r="Q1351" s="8"/>
      <c r="R1351" s="8"/>
      <c r="S1351" s="8"/>
      <c r="T1351" s="8"/>
      <c r="U1351" s="8"/>
      <c r="V1351" s="8"/>
      <c r="W1351" s="8"/>
    </row>
    <row r="1352" spans="1:23" ht="15.75" customHeight="1" x14ac:dyDescent="0.25">
      <c r="A1352" s="6" t="s">
        <v>4213</v>
      </c>
      <c r="B1352" s="8"/>
      <c r="C1352" s="8"/>
      <c r="D1352" s="8"/>
      <c r="E1352" s="8"/>
      <c r="F1352" s="8"/>
      <c r="G1352" s="8"/>
      <c r="H1352" s="8"/>
      <c r="I1352" s="8"/>
      <c r="J1352" s="8"/>
      <c r="K1352" s="8"/>
      <c r="L1352" s="8"/>
      <c r="M1352" s="8"/>
      <c r="N1352" s="8"/>
      <c r="O1352" s="8"/>
      <c r="P1352" s="8"/>
      <c r="Q1352" s="8"/>
      <c r="R1352" s="8"/>
      <c r="S1352" s="8"/>
      <c r="T1352" s="8"/>
      <c r="U1352" s="8"/>
      <c r="V1352" s="8"/>
      <c r="W1352" s="8"/>
    </row>
    <row r="1353" spans="1:23" ht="15.75" customHeight="1" x14ac:dyDescent="0.25">
      <c r="A1353" s="6" t="s">
        <v>4214</v>
      </c>
      <c r="B1353" s="8"/>
      <c r="C1353" s="8"/>
      <c r="D1353" s="8"/>
      <c r="E1353" s="8"/>
      <c r="F1353" s="8"/>
      <c r="G1353" s="8"/>
      <c r="H1353" s="8"/>
      <c r="I1353" s="8"/>
      <c r="J1353" s="8"/>
      <c r="K1353" s="8"/>
      <c r="L1353" s="8"/>
      <c r="M1353" s="8"/>
      <c r="N1353" s="8"/>
      <c r="O1353" s="8"/>
      <c r="P1353" s="8"/>
      <c r="Q1353" s="8"/>
      <c r="R1353" s="8"/>
      <c r="S1353" s="8"/>
      <c r="T1353" s="8"/>
      <c r="U1353" s="8"/>
      <c r="V1353" s="8"/>
      <c r="W1353" s="8"/>
    </row>
    <row r="1354" spans="1:23" ht="15.75" customHeight="1" x14ac:dyDescent="0.25">
      <c r="A1354" s="6" t="s">
        <v>3904</v>
      </c>
      <c r="B1354" s="8"/>
      <c r="C1354" s="8"/>
      <c r="D1354" s="8"/>
      <c r="E1354" s="8"/>
      <c r="F1354" s="8"/>
      <c r="G1354" s="8"/>
      <c r="H1354" s="8"/>
      <c r="I1354" s="8"/>
      <c r="J1354" s="8"/>
      <c r="K1354" s="8"/>
      <c r="L1354" s="8"/>
      <c r="M1354" s="8"/>
      <c r="N1354" s="8"/>
      <c r="O1354" s="8"/>
      <c r="P1354" s="8"/>
      <c r="Q1354" s="8"/>
      <c r="R1354" s="8"/>
      <c r="S1354" s="8"/>
      <c r="T1354" s="8"/>
      <c r="U1354" s="8"/>
      <c r="V1354" s="8"/>
      <c r="W1354" s="8"/>
    </row>
    <row r="1355" spans="1:23" ht="15.75" customHeight="1" x14ac:dyDescent="0.25">
      <c r="A1355" s="6" t="s">
        <v>3904</v>
      </c>
      <c r="B1355" s="8"/>
      <c r="C1355" s="8"/>
      <c r="D1355" s="8"/>
      <c r="E1355" s="8"/>
      <c r="F1355" s="8"/>
      <c r="G1355" s="8"/>
      <c r="H1355" s="8"/>
      <c r="I1355" s="8"/>
      <c r="J1355" s="8"/>
      <c r="K1355" s="8"/>
      <c r="L1355" s="8"/>
      <c r="M1355" s="8"/>
      <c r="N1355" s="8"/>
      <c r="O1355" s="8"/>
      <c r="P1355" s="8"/>
      <c r="Q1355" s="8"/>
      <c r="R1355" s="8"/>
      <c r="S1355" s="8"/>
      <c r="T1355" s="8"/>
      <c r="U1355" s="8"/>
      <c r="V1355" s="8"/>
      <c r="W1355" s="8"/>
    </row>
    <row r="1356" spans="1:23" ht="15.75" customHeight="1" x14ac:dyDescent="0.25">
      <c r="A1356" s="6" t="s">
        <v>3719</v>
      </c>
      <c r="B1356" s="8"/>
      <c r="C1356" s="8"/>
      <c r="D1356" s="8"/>
      <c r="E1356" s="8"/>
      <c r="F1356" s="8"/>
      <c r="G1356" s="8"/>
      <c r="H1356" s="8"/>
      <c r="I1356" s="8"/>
      <c r="J1356" s="8"/>
      <c r="K1356" s="8"/>
      <c r="L1356" s="8"/>
      <c r="M1356" s="8"/>
      <c r="N1356" s="8"/>
      <c r="O1356" s="8"/>
      <c r="P1356" s="8"/>
      <c r="Q1356" s="8"/>
      <c r="R1356" s="8"/>
      <c r="S1356" s="8"/>
      <c r="T1356" s="8"/>
      <c r="U1356" s="8"/>
      <c r="V1356" s="8"/>
      <c r="W1356" s="8"/>
    </row>
    <row r="1357" spans="1:23" ht="15.75" customHeight="1" x14ac:dyDescent="0.25">
      <c r="A1357" s="6" t="s">
        <v>3719</v>
      </c>
      <c r="B1357" s="8"/>
      <c r="C1357" s="8"/>
      <c r="D1357" s="8"/>
      <c r="E1357" s="8"/>
      <c r="F1357" s="8"/>
      <c r="G1357" s="8"/>
      <c r="H1357" s="8"/>
      <c r="I1357" s="8"/>
      <c r="J1357" s="8"/>
      <c r="K1357" s="8"/>
      <c r="L1357" s="8"/>
      <c r="M1357" s="8"/>
      <c r="N1357" s="8"/>
      <c r="O1357" s="8"/>
      <c r="P1357" s="8"/>
      <c r="Q1357" s="8"/>
      <c r="R1357" s="8"/>
      <c r="S1357" s="8"/>
      <c r="T1357" s="8"/>
      <c r="U1357" s="8"/>
      <c r="V1357" s="8"/>
      <c r="W1357" s="8"/>
    </row>
    <row r="1358" spans="1:23" ht="15.75" customHeight="1" x14ac:dyDescent="0.25">
      <c r="A1358" s="6" t="s">
        <v>3719</v>
      </c>
      <c r="B1358" s="8"/>
      <c r="C1358" s="8"/>
      <c r="D1358" s="8"/>
      <c r="E1358" s="8"/>
      <c r="F1358" s="8"/>
      <c r="G1358" s="8"/>
      <c r="H1358" s="8"/>
      <c r="I1358" s="8"/>
      <c r="J1358" s="8"/>
      <c r="K1358" s="8"/>
      <c r="L1358" s="8"/>
      <c r="M1358" s="8"/>
      <c r="N1358" s="8"/>
      <c r="O1358" s="8"/>
      <c r="P1358" s="8"/>
      <c r="Q1358" s="8"/>
      <c r="R1358" s="8"/>
      <c r="S1358" s="8"/>
      <c r="T1358" s="8"/>
      <c r="U1358" s="8"/>
      <c r="V1358" s="8"/>
      <c r="W1358" s="8"/>
    </row>
    <row r="1359" spans="1:23" ht="15.75" customHeight="1" x14ac:dyDescent="0.25">
      <c r="A1359" s="6" t="s">
        <v>201</v>
      </c>
      <c r="B1359" s="8"/>
      <c r="C1359" s="8"/>
      <c r="D1359" s="8"/>
      <c r="E1359" s="8"/>
      <c r="F1359" s="8"/>
      <c r="G1359" s="8"/>
      <c r="H1359" s="8"/>
      <c r="I1359" s="8"/>
      <c r="J1359" s="8"/>
      <c r="K1359" s="8"/>
      <c r="L1359" s="8"/>
      <c r="M1359" s="8"/>
      <c r="N1359" s="8"/>
      <c r="O1359" s="8"/>
      <c r="P1359" s="8"/>
      <c r="Q1359" s="8"/>
      <c r="R1359" s="8"/>
      <c r="S1359" s="8"/>
      <c r="T1359" s="8"/>
      <c r="U1359" s="8"/>
      <c r="V1359" s="8"/>
      <c r="W1359" s="8"/>
    </row>
    <row r="1360" spans="1:23" ht="15.75" customHeight="1" x14ac:dyDescent="0.25">
      <c r="A1360" s="6" t="s">
        <v>201</v>
      </c>
      <c r="B1360" s="8"/>
      <c r="C1360" s="8"/>
      <c r="D1360" s="8"/>
      <c r="E1360" s="8"/>
      <c r="F1360" s="8"/>
      <c r="G1360" s="8"/>
      <c r="H1360" s="8"/>
      <c r="I1360" s="8"/>
      <c r="J1360" s="8"/>
      <c r="K1360" s="8"/>
      <c r="L1360" s="8"/>
      <c r="M1360" s="8"/>
      <c r="N1360" s="8"/>
      <c r="O1360" s="8"/>
      <c r="P1360" s="8"/>
      <c r="Q1360" s="8"/>
      <c r="R1360" s="8"/>
      <c r="S1360" s="8"/>
      <c r="T1360" s="8"/>
      <c r="U1360" s="8"/>
      <c r="V1360" s="8"/>
      <c r="W1360" s="8"/>
    </row>
    <row r="1361" spans="1:23" ht="15.75" customHeight="1" x14ac:dyDescent="0.25">
      <c r="A1361" s="6" t="s">
        <v>201</v>
      </c>
      <c r="B1361" s="8"/>
      <c r="C1361" s="8"/>
      <c r="D1361" s="8"/>
      <c r="E1361" s="8"/>
      <c r="F1361" s="8"/>
      <c r="G1361" s="8"/>
      <c r="H1361" s="8"/>
      <c r="I1361" s="8"/>
      <c r="J1361" s="8"/>
      <c r="K1361" s="8"/>
      <c r="L1361" s="8"/>
      <c r="M1361" s="8"/>
      <c r="N1361" s="8"/>
      <c r="O1361" s="8"/>
      <c r="P1361" s="8"/>
      <c r="Q1361" s="8"/>
      <c r="R1361" s="8"/>
      <c r="S1361" s="8"/>
      <c r="T1361" s="8"/>
      <c r="U1361" s="8"/>
      <c r="V1361" s="8"/>
      <c r="W1361" s="8"/>
    </row>
    <row r="1362" spans="1:23" ht="15.75" customHeight="1" x14ac:dyDescent="0.25">
      <c r="A1362" s="6" t="s">
        <v>201</v>
      </c>
      <c r="B1362" s="8"/>
      <c r="C1362" s="8"/>
      <c r="D1362" s="8"/>
      <c r="E1362" s="8"/>
      <c r="F1362" s="8"/>
      <c r="G1362" s="8"/>
      <c r="H1362" s="8"/>
      <c r="I1362" s="8"/>
      <c r="J1362" s="8"/>
      <c r="K1362" s="8"/>
      <c r="L1362" s="8"/>
      <c r="M1362" s="8"/>
      <c r="N1362" s="8"/>
      <c r="O1362" s="8"/>
      <c r="P1362" s="8"/>
      <c r="Q1362" s="8"/>
      <c r="R1362" s="8"/>
      <c r="S1362" s="8"/>
      <c r="T1362" s="8"/>
      <c r="U1362" s="8"/>
      <c r="V1362" s="8"/>
      <c r="W1362" s="8"/>
    </row>
    <row r="1363" spans="1:23" ht="15.75" customHeight="1" x14ac:dyDescent="0.25">
      <c r="A1363" s="6" t="s">
        <v>201</v>
      </c>
      <c r="B1363" s="8"/>
      <c r="C1363" s="8"/>
      <c r="D1363" s="8"/>
      <c r="E1363" s="8"/>
      <c r="F1363" s="8"/>
      <c r="G1363" s="8"/>
      <c r="H1363" s="8"/>
      <c r="I1363" s="8"/>
      <c r="J1363" s="8"/>
      <c r="K1363" s="8"/>
      <c r="L1363" s="8"/>
      <c r="M1363" s="8"/>
      <c r="N1363" s="8"/>
      <c r="O1363" s="8"/>
      <c r="P1363" s="8"/>
      <c r="Q1363" s="8"/>
      <c r="R1363" s="8"/>
      <c r="S1363" s="8"/>
      <c r="T1363" s="8"/>
      <c r="U1363" s="8"/>
      <c r="V1363" s="8"/>
      <c r="W1363" s="8"/>
    </row>
    <row r="1364" spans="1:23" ht="15.75" customHeight="1" x14ac:dyDescent="0.25">
      <c r="A1364" s="6" t="s">
        <v>201</v>
      </c>
      <c r="B1364" s="8"/>
      <c r="C1364" s="8"/>
      <c r="D1364" s="8"/>
      <c r="E1364" s="8"/>
      <c r="F1364" s="8"/>
      <c r="G1364" s="8"/>
      <c r="H1364" s="8"/>
      <c r="I1364" s="8"/>
      <c r="J1364" s="8"/>
      <c r="K1364" s="8"/>
      <c r="L1364" s="8"/>
      <c r="M1364" s="8"/>
      <c r="N1364" s="8"/>
      <c r="O1364" s="8"/>
      <c r="P1364" s="8"/>
      <c r="Q1364" s="8"/>
      <c r="R1364" s="8"/>
      <c r="S1364" s="8"/>
      <c r="T1364" s="8"/>
      <c r="U1364" s="8"/>
      <c r="V1364" s="8"/>
      <c r="W1364" s="8"/>
    </row>
    <row r="1365" spans="1:23" ht="15.75" customHeight="1" x14ac:dyDescent="0.25">
      <c r="A1365" s="6" t="s">
        <v>201</v>
      </c>
      <c r="B1365" s="8"/>
      <c r="C1365" s="8"/>
      <c r="D1365" s="8"/>
      <c r="E1365" s="8"/>
      <c r="F1365" s="8"/>
      <c r="G1365" s="8"/>
      <c r="H1365" s="8"/>
      <c r="I1365" s="8"/>
      <c r="J1365" s="8"/>
      <c r="K1365" s="8"/>
      <c r="L1365" s="8"/>
      <c r="M1365" s="8"/>
      <c r="N1365" s="8"/>
      <c r="O1365" s="8"/>
      <c r="P1365" s="8"/>
      <c r="Q1365" s="8"/>
      <c r="R1365" s="8"/>
      <c r="S1365" s="8"/>
      <c r="T1365" s="8"/>
      <c r="U1365" s="8"/>
      <c r="V1365" s="8"/>
      <c r="W1365" s="8"/>
    </row>
    <row r="1366" spans="1:23" ht="15.75" customHeight="1" x14ac:dyDescent="0.25">
      <c r="A1366" s="6" t="s">
        <v>201</v>
      </c>
      <c r="B1366" s="8"/>
      <c r="C1366" s="8"/>
      <c r="D1366" s="8"/>
      <c r="E1366" s="8"/>
      <c r="F1366" s="8"/>
      <c r="G1366" s="8"/>
      <c r="H1366" s="8"/>
      <c r="I1366" s="8"/>
      <c r="J1366" s="8"/>
      <c r="K1366" s="8"/>
      <c r="L1366" s="8"/>
      <c r="M1366" s="8"/>
      <c r="N1366" s="8"/>
      <c r="O1366" s="8"/>
      <c r="P1366" s="8"/>
      <c r="Q1366" s="8"/>
      <c r="R1366" s="8"/>
      <c r="S1366" s="8"/>
      <c r="T1366" s="8"/>
      <c r="U1366" s="8"/>
      <c r="V1366" s="8"/>
      <c r="W1366" s="8"/>
    </row>
    <row r="1367" spans="1:23" ht="15.75" customHeight="1" x14ac:dyDescent="0.25">
      <c r="A1367" s="6" t="s">
        <v>201</v>
      </c>
      <c r="B1367" s="8"/>
      <c r="C1367" s="8"/>
      <c r="D1367" s="8"/>
      <c r="E1367" s="8"/>
      <c r="F1367" s="8"/>
      <c r="G1367" s="8"/>
      <c r="H1367" s="8"/>
      <c r="I1367" s="8"/>
      <c r="J1367" s="8"/>
      <c r="K1367" s="8"/>
      <c r="L1367" s="8"/>
      <c r="M1367" s="8"/>
      <c r="N1367" s="8"/>
      <c r="O1367" s="8"/>
      <c r="P1367" s="8"/>
      <c r="Q1367" s="8"/>
      <c r="R1367" s="8"/>
      <c r="S1367" s="8"/>
      <c r="T1367" s="8"/>
      <c r="U1367" s="8"/>
      <c r="V1367" s="8"/>
      <c r="W1367" s="8"/>
    </row>
    <row r="1368" spans="1:23" ht="15.75" customHeight="1" x14ac:dyDescent="0.25">
      <c r="A1368" s="6" t="s">
        <v>201</v>
      </c>
      <c r="B1368" s="8"/>
      <c r="C1368" s="8"/>
      <c r="D1368" s="8"/>
      <c r="E1368" s="8"/>
      <c r="F1368" s="8"/>
      <c r="G1368" s="8"/>
      <c r="H1368" s="8"/>
      <c r="I1368" s="8"/>
      <c r="J1368" s="8"/>
      <c r="K1368" s="8"/>
      <c r="L1368" s="8"/>
      <c r="M1368" s="8"/>
      <c r="N1368" s="8"/>
      <c r="O1368" s="8"/>
      <c r="P1368" s="8"/>
      <c r="Q1368" s="8"/>
      <c r="R1368" s="8"/>
      <c r="S1368" s="8"/>
      <c r="T1368" s="8"/>
      <c r="U1368" s="8"/>
      <c r="V1368" s="8"/>
      <c r="W1368" s="8"/>
    </row>
    <row r="1369" spans="1:23" ht="15.75" customHeight="1" x14ac:dyDescent="0.25">
      <c r="A1369" s="6" t="s">
        <v>201</v>
      </c>
      <c r="B1369" s="8"/>
      <c r="C1369" s="8"/>
      <c r="D1369" s="8"/>
      <c r="E1369" s="8"/>
      <c r="F1369" s="8"/>
      <c r="G1369" s="8"/>
      <c r="H1369" s="8"/>
      <c r="I1369" s="8"/>
      <c r="J1369" s="8"/>
      <c r="K1369" s="8"/>
      <c r="L1369" s="8"/>
      <c r="M1369" s="8"/>
      <c r="N1369" s="8"/>
      <c r="O1369" s="8"/>
      <c r="P1369" s="8"/>
      <c r="Q1369" s="8"/>
      <c r="R1369" s="8"/>
      <c r="S1369" s="8"/>
      <c r="T1369" s="8"/>
      <c r="U1369" s="8"/>
      <c r="V1369" s="8"/>
      <c r="W1369" s="8"/>
    </row>
    <row r="1370" spans="1:23" ht="15.75" customHeight="1" x14ac:dyDescent="0.25">
      <c r="A1370" s="6" t="s">
        <v>201</v>
      </c>
      <c r="B1370" s="8"/>
      <c r="C1370" s="8"/>
      <c r="D1370" s="8"/>
      <c r="E1370" s="8"/>
      <c r="F1370" s="8"/>
      <c r="G1370" s="8"/>
      <c r="H1370" s="8"/>
      <c r="I1370" s="8"/>
      <c r="J1370" s="8"/>
      <c r="K1370" s="8"/>
      <c r="L1370" s="8"/>
      <c r="M1370" s="8"/>
      <c r="N1370" s="8"/>
      <c r="O1370" s="8"/>
      <c r="P1370" s="8"/>
      <c r="Q1370" s="8"/>
      <c r="R1370" s="8"/>
      <c r="S1370" s="8"/>
      <c r="T1370" s="8"/>
      <c r="U1370" s="8"/>
      <c r="V1370" s="8"/>
      <c r="W1370" s="8"/>
    </row>
    <row r="1371" spans="1:23" ht="15.75" customHeight="1" x14ac:dyDescent="0.25">
      <c r="A1371" s="6" t="s">
        <v>201</v>
      </c>
      <c r="B1371" s="8"/>
      <c r="C1371" s="8"/>
      <c r="D1371" s="8"/>
      <c r="E1371" s="8"/>
      <c r="F1371" s="8"/>
      <c r="G1371" s="8"/>
      <c r="H1371" s="8"/>
      <c r="I1371" s="8"/>
      <c r="J1371" s="8"/>
      <c r="K1371" s="8"/>
      <c r="L1371" s="8"/>
      <c r="M1371" s="8"/>
      <c r="N1371" s="8"/>
      <c r="O1371" s="8"/>
      <c r="P1371" s="8"/>
      <c r="Q1371" s="8"/>
      <c r="R1371" s="8"/>
      <c r="S1371" s="8"/>
      <c r="T1371" s="8"/>
      <c r="U1371" s="8"/>
      <c r="V1371" s="8"/>
      <c r="W1371" s="8"/>
    </row>
    <row r="1372" spans="1:23" ht="15.75" customHeight="1" x14ac:dyDescent="0.25">
      <c r="A1372" s="6" t="s">
        <v>201</v>
      </c>
      <c r="B1372" s="8"/>
      <c r="C1372" s="8"/>
      <c r="D1372" s="8"/>
      <c r="E1372" s="8"/>
      <c r="F1372" s="8"/>
      <c r="G1372" s="8"/>
      <c r="H1372" s="8"/>
      <c r="I1372" s="8"/>
      <c r="J1372" s="8"/>
      <c r="K1372" s="8"/>
      <c r="L1372" s="8"/>
      <c r="M1372" s="8"/>
      <c r="N1372" s="8"/>
      <c r="O1372" s="8"/>
      <c r="P1372" s="8"/>
      <c r="Q1372" s="8"/>
      <c r="R1372" s="8"/>
      <c r="S1372" s="8"/>
      <c r="T1372" s="8"/>
      <c r="U1372" s="8"/>
      <c r="V1372" s="8"/>
      <c r="W1372" s="8"/>
    </row>
    <row r="1373" spans="1:23" ht="15.75" customHeight="1" x14ac:dyDescent="0.25">
      <c r="A1373" s="6" t="s">
        <v>201</v>
      </c>
      <c r="B1373" s="8"/>
      <c r="C1373" s="8"/>
      <c r="D1373" s="8"/>
      <c r="E1373" s="8"/>
      <c r="F1373" s="8"/>
      <c r="G1373" s="8"/>
      <c r="H1373" s="8"/>
      <c r="I1373" s="8"/>
      <c r="J1373" s="8"/>
      <c r="K1373" s="8"/>
      <c r="L1373" s="8"/>
      <c r="M1373" s="8"/>
      <c r="N1373" s="8"/>
      <c r="O1373" s="8"/>
      <c r="P1373" s="8"/>
      <c r="Q1373" s="8"/>
      <c r="R1373" s="8"/>
      <c r="S1373" s="8"/>
      <c r="T1373" s="8"/>
      <c r="U1373" s="8"/>
      <c r="V1373" s="8"/>
      <c r="W1373" s="8"/>
    </row>
    <row r="1374" spans="1:23" ht="15.75" customHeight="1" x14ac:dyDescent="0.25">
      <c r="A1374" s="6" t="s">
        <v>201</v>
      </c>
      <c r="B1374" s="8"/>
      <c r="C1374" s="8"/>
      <c r="D1374" s="8"/>
      <c r="E1374" s="8"/>
      <c r="F1374" s="8"/>
      <c r="G1374" s="8"/>
      <c r="H1374" s="8"/>
      <c r="I1374" s="8"/>
      <c r="J1374" s="8"/>
      <c r="K1374" s="8"/>
      <c r="L1374" s="8"/>
      <c r="M1374" s="8"/>
      <c r="N1374" s="8"/>
      <c r="O1374" s="8"/>
      <c r="P1374" s="8"/>
      <c r="Q1374" s="8"/>
      <c r="R1374" s="8"/>
      <c r="S1374" s="8"/>
      <c r="T1374" s="8"/>
      <c r="U1374" s="8"/>
      <c r="V1374" s="8"/>
      <c r="W1374" s="8"/>
    </row>
    <row r="1375" spans="1:23" ht="15.75" customHeight="1" x14ac:dyDescent="0.25">
      <c r="A1375" s="6" t="s">
        <v>201</v>
      </c>
      <c r="B1375" s="8"/>
      <c r="C1375" s="8"/>
      <c r="D1375" s="8"/>
      <c r="E1375" s="8"/>
      <c r="F1375" s="8"/>
      <c r="G1375" s="8"/>
      <c r="H1375" s="8"/>
      <c r="I1375" s="8"/>
      <c r="J1375" s="8"/>
      <c r="K1375" s="8"/>
      <c r="L1375" s="8"/>
      <c r="M1375" s="8"/>
      <c r="N1375" s="8"/>
      <c r="O1375" s="8"/>
      <c r="P1375" s="8"/>
      <c r="Q1375" s="8"/>
      <c r="R1375" s="8"/>
      <c r="S1375" s="8"/>
      <c r="T1375" s="8"/>
      <c r="U1375" s="8"/>
      <c r="V1375" s="8"/>
      <c r="W1375" s="8"/>
    </row>
    <row r="1376" spans="1:23" ht="15.75" customHeight="1" x14ac:dyDescent="0.25">
      <c r="A1376" s="6" t="s">
        <v>201</v>
      </c>
      <c r="B1376" s="8"/>
      <c r="C1376" s="8"/>
      <c r="D1376" s="8"/>
      <c r="E1376" s="8"/>
      <c r="F1376" s="8"/>
      <c r="G1376" s="8"/>
      <c r="H1376" s="8"/>
      <c r="I1376" s="8"/>
      <c r="J1376" s="8"/>
      <c r="K1376" s="8"/>
      <c r="L1376" s="8"/>
      <c r="M1376" s="8"/>
      <c r="N1376" s="8"/>
      <c r="O1376" s="8"/>
      <c r="P1376" s="8"/>
      <c r="Q1376" s="8"/>
      <c r="R1376" s="8"/>
      <c r="S1376" s="8"/>
      <c r="T1376" s="8"/>
      <c r="U1376" s="8"/>
      <c r="V1376" s="8"/>
      <c r="W1376" s="8"/>
    </row>
    <row r="1377" spans="1:23" ht="15.75" customHeight="1" x14ac:dyDescent="0.25">
      <c r="A1377" s="6" t="s">
        <v>201</v>
      </c>
      <c r="B1377" s="8"/>
      <c r="C1377" s="8"/>
      <c r="D1377" s="8"/>
      <c r="E1377" s="8"/>
      <c r="F1377" s="8"/>
      <c r="G1377" s="8"/>
      <c r="H1377" s="8"/>
      <c r="I1377" s="8"/>
      <c r="J1377" s="8"/>
      <c r="K1377" s="8"/>
      <c r="L1377" s="8"/>
      <c r="M1377" s="8"/>
      <c r="N1377" s="8"/>
      <c r="O1377" s="8"/>
      <c r="P1377" s="8"/>
      <c r="Q1377" s="8"/>
      <c r="R1377" s="8"/>
      <c r="S1377" s="8"/>
      <c r="T1377" s="8"/>
      <c r="U1377" s="8"/>
      <c r="V1377" s="8"/>
      <c r="W1377" s="8"/>
    </row>
    <row r="1378" spans="1:23" ht="15.75" customHeight="1" x14ac:dyDescent="0.25">
      <c r="A1378" s="6" t="s">
        <v>201</v>
      </c>
      <c r="B1378" s="8"/>
      <c r="C1378" s="8"/>
      <c r="D1378" s="8"/>
      <c r="E1378" s="8"/>
      <c r="F1378" s="8"/>
      <c r="G1378" s="8"/>
      <c r="H1378" s="8"/>
      <c r="I1378" s="8"/>
      <c r="J1378" s="8"/>
      <c r="K1378" s="8"/>
      <c r="L1378" s="8"/>
      <c r="M1378" s="8"/>
      <c r="N1378" s="8"/>
      <c r="O1378" s="8"/>
      <c r="P1378" s="8"/>
      <c r="Q1378" s="8"/>
      <c r="R1378" s="8"/>
      <c r="S1378" s="8"/>
      <c r="T1378" s="8"/>
      <c r="U1378" s="8"/>
      <c r="V1378" s="8"/>
      <c r="W1378" s="8"/>
    </row>
    <row r="1379" spans="1:23" ht="15.75" customHeight="1" x14ac:dyDescent="0.25">
      <c r="A1379" s="6" t="s">
        <v>201</v>
      </c>
      <c r="B1379" s="8"/>
      <c r="C1379" s="8"/>
      <c r="D1379" s="8"/>
      <c r="E1379" s="8"/>
      <c r="F1379" s="8"/>
      <c r="G1379" s="8"/>
      <c r="H1379" s="8"/>
      <c r="I1379" s="8"/>
      <c r="J1379" s="8"/>
      <c r="K1379" s="8"/>
      <c r="L1379" s="8"/>
      <c r="M1379" s="8"/>
      <c r="N1379" s="8"/>
      <c r="O1379" s="8"/>
      <c r="P1379" s="8"/>
      <c r="Q1379" s="8"/>
      <c r="R1379" s="8"/>
      <c r="S1379" s="8"/>
      <c r="T1379" s="8"/>
      <c r="U1379" s="8"/>
      <c r="V1379" s="8"/>
      <c r="W1379" s="8"/>
    </row>
    <row r="1380" spans="1:23" ht="15.75" customHeight="1" x14ac:dyDescent="0.25">
      <c r="A1380" s="6" t="s">
        <v>201</v>
      </c>
      <c r="B1380" s="8"/>
      <c r="C1380" s="8"/>
      <c r="D1380" s="8"/>
      <c r="E1380" s="8"/>
      <c r="F1380" s="8"/>
      <c r="G1380" s="8"/>
      <c r="H1380" s="8"/>
      <c r="I1380" s="8"/>
      <c r="J1380" s="8"/>
      <c r="K1380" s="8"/>
      <c r="L1380" s="8"/>
      <c r="M1380" s="8"/>
      <c r="N1380" s="8"/>
      <c r="O1380" s="8"/>
      <c r="P1380" s="8"/>
      <c r="Q1380" s="8"/>
      <c r="R1380" s="8"/>
      <c r="S1380" s="8"/>
      <c r="T1380" s="8"/>
      <c r="U1380" s="8"/>
      <c r="V1380" s="8"/>
      <c r="W1380" s="8"/>
    </row>
    <row r="1381" spans="1:23" ht="15.75" customHeight="1" x14ac:dyDescent="0.25">
      <c r="A1381" s="6" t="s">
        <v>201</v>
      </c>
      <c r="B1381" s="8"/>
      <c r="C1381" s="8"/>
      <c r="D1381" s="8"/>
      <c r="E1381" s="8"/>
      <c r="F1381" s="8"/>
      <c r="G1381" s="8"/>
      <c r="H1381" s="8"/>
      <c r="I1381" s="8"/>
      <c r="J1381" s="8"/>
      <c r="K1381" s="8"/>
      <c r="L1381" s="8"/>
      <c r="M1381" s="8"/>
      <c r="N1381" s="8"/>
      <c r="O1381" s="8"/>
      <c r="P1381" s="8"/>
      <c r="Q1381" s="8"/>
      <c r="R1381" s="8"/>
      <c r="S1381" s="8"/>
      <c r="T1381" s="8"/>
      <c r="U1381" s="8"/>
      <c r="V1381" s="8"/>
      <c r="W1381" s="8"/>
    </row>
    <row r="1382" spans="1:23" ht="15.75" customHeight="1" x14ac:dyDescent="0.25">
      <c r="A1382" s="6" t="s">
        <v>201</v>
      </c>
      <c r="B1382" s="8"/>
      <c r="C1382" s="8"/>
      <c r="D1382" s="8"/>
      <c r="E1382" s="8"/>
      <c r="F1382" s="8"/>
      <c r="G1382" s="8"/>
      <c r="H1382" s="8"/>
      <c r="I1382" s="8"/>
      <c r="J1382" s="8"/>
      <c r="K1382" s="8"/>
      <c r="L1382" s="8"/>
      <c r="M1382" s="8"/>
      <c r="N1382" s="8"/>
      <c r="O1382" s="8"/>
      <c r="P1382" s="8"/>
      <c r="Q1382" s="8"/>
      <c r="R1382" s="8"/>
      <c r="S1382" s="8"/>
      <c r="T1382" s="8"/>
      <c r="U1382" s="8"/>
      <c r="V1382" s="8"/>
      <c r="W1382" s="8"/>
    </row>
    <row r="1383" spans="1:23" ht="15.75" customHeight="1" x14ac:dyDescent="0.25">
      <c r="A1383" s="6" t="s">
        <v>201</v>
      </c>
      <c r="B1383" s="8"/>
      <c r="C1383" s="8"/>
      <c r="D1383" s="8"/>
      <c r="E1383" s="8"/>
      <c r="F1383" s="8"/>
      <c r="G1383" s="8"/>
      <c r="H1383" s="8"/>
      <c r="I1383" s="8"/>
      <c r="J1383" s="8"/>
      <c r="K1383" s="8"/>
      <c r="L1383" s="8"/>
      <c r="M1383" s="8"/>
      <c r="N1383" s="8"/>
      <c r="O1383" s="8"/>
      <c r="P1383" s="8"/>
      <c r="Q1383" s="8"/>
      <c r="R1383" s="8"/>
      <c r="S1383" s="8"/>
      <c r="T1383" s="8"/>
      <c r="U1383" s="8"/>
      <c r="V1383" s="8"/>
      <c r="W1383" s="8"/>
    </row>
    <row r="1384" spans="1:23" ht="15.75" customHeight="1" x14ac:dyDescent="0.25">
      <c r="A1384" s="6" t="s">
        <v>201</v>
      </c>
      <c r="B1384" s="8"/>
      <c r="C1384" s="8"/>
      <c r="D1384" s="8"/>
      <c r="E1384" s="8"/>
      <c r="F1384" s="8"/>
      <c r="G1384" s="8"/>
      <c r="H1384" s="8"/>
      <c r="I1384" s="8"/>
      <c r="J1384" s="8"/>
      <c r="K1384" s="8"/>
      <c r="L1384" s="8"/>
      <c r="M1384" s="8"/>
      <c r="N1384" s="8"/>
      <c r="O1384" s="8"/>
      <c r="P1384" s="8"/>
      <c r="Q1384" s="8"/>
      <c r="R1384" s="8"/>
      <c r="S1384" s="8"/>
      <c r="T1384" s="8"/>
      <c r="U1384" s="8"/>
      <c r="V1384" s="8"/>
      <c r="W1384" s="8"/>
    </row>
    <row r="1385" spans="1:23" ht="15.75" customHeight="1" x14ac:dyDescent="0.25">
      <c r="A1385" s="6" t="s">
        <v>201</v>
      </c>
      <c r="B1385" s="8"/>
      <c r="C1385" s="8"/>
      <c r="D1385" s="8"/>
      <c r="E1385" s="8"/>
      <c r="F1385" s="8"/>
      <c r="G1385" s="8"/>
      <c r="H1385" s="8"/>
      <c r="I1385" s="8"/>
      <c r="J1385" s="8"/>
      <c r="K1385" s="8"/>
      <c r="L1385" s="8"/>
      <c r="M1385" s="8"/>
      <c r="N1385" s="8"/>
      <c r="O1385" s="8"/>
      <c r="P1385" s="8"/>
      <c r="Q1385" s="8"/>
      <c r="R1385" s="8"/>
      <c r="S1385" s="8"/>
      <c r="T1385" s="8"/>
      <c r="U1385" s="8"/>
      <c r="V1385" s="8"/>
      <c r="W1385" s="8"/>
    </row>
    <row r="1386" spans="1:23" ht="15.75" customHeight="1" x14ac:dyDescent="0.25">
      <c r="A1386" s="6" t="s">
        <v>201</v>
      </c>
      <c r="B1386" s="8"/>
      <c r="C1386" s="8"/>
      <c r="D1386" s="8"/>
      <c r="E1386" s="8"/>
      <c r="F1386" s="8"/>
      <c r="G1386" s="8"/>
      <c r="H1386" s="8"/>
      <c r="I1386" s="8"/>
      <c r="J1386" s="8"/>
      <c r="K1386" s="8"/>
      <c r="L1386" s="8"/>
      <c r="M1386" s="8"/>
      <c r="N1386" s="8"/>
      <c r="O1386" s="8"/>
      <c r="P1386" s="8"/>
      <c r="Q1386" s="8"/>
      <c r="R1386" s="8"/>
      <c r="S1386" s="8"/>
      <c r="T1386" s="8"/>
      <c r="U1386" s="8"/>
      <c r="V1386" s="8"/>
      <c r="W1386" s="8"/>
    </row>
    <row r="1387" spans="1:23" ht="15.75" customHeight="1" x14ac:dyDescent="0.25">
      <c r="A1387" s="6" t="s">
        <v>201</v>
      </c>
      <c r="B1387" s="8"/>
      <c r="C1387" s="8"/>
      <c r="D1387" s="8"/>
      <c r="E1387" s="8"/>
      <c r="F1387" s="8"/>
      <c r="G1387" s="8"/>
      <c r="H1387" s="8"/>
      <c r="I1387" s="8"/>
      <c r="J1387" s="8"/>
      <c r="K1387" s="8"/>
      <c r="L1387" s="8"/>
      <c r="M1387" s="8"/>
      <c r="N1387" s="8"/>
      <c r="O1387" s="8"/>
      <c r="P1387" s="8"/>
      <c r="Q1387" s="8"/>
      <c r="R1387" s="8"/>
      <c r="S1387" s="8"/>
      <c r="T1387" s="8"/>
      <c r="U1387" s="8"/>
      <c r="V1387" s="8"/>
      <c r="W1387" s="8"/>
    </row>
    <row r="1388" spans="1:23" ht="15.75" customHeight="1" x14ac:dyDescent="0.25">
      <c r="A1388" s="6" t="s">
        <v>201</v>
      </c>
      <c r="B1388" s="8"/>
      <c r="C1388" s="8"/>
      <c r="D1388" s="8"/>
      <c r="E1388" s="8"/>
      <c r="F1388" s="8"/>
      <c r="G1388" s="8"/>
      <c r="H1388" s="8"/>
      <c r="I1388" s="8"/>
      <c r="J1388" s="8"/>
      <c r="K1388" s="8"/>
      <c r="L1388" s="8"/>
      <c r="M1388" s="8"/>
      <c r="N1388" s="8"/>
      <c r="O1388" s="8"/>
      <c r="P1388" s="8"/>
      <c r="Q1388" s="8"/>
      <c r="R1388" s="8"/>
      <c r="S1388" s="8"/>
      <c r="T1388" s="8"/>
      <c r="U1388" s="8"/>
      <c r="V1388" s="8"/>
      <c r="W1388" s="8"/>
    </row>
    <row r="1389" spans="1:23" ht="15.75" customHeight="1" x14ac:dyDescent="0.25">
      <c r="A1389" s="6" t="s">
        <v>201</v>
      </c>
      <c r="B1389" s="8"/>
      <c r="C1389" s="8"/>
      <c r="D1389" s="8"/>
      <c r="E1389" s="8"/>
      <c r="F1389" s="8"/>
      <c r="G1389" s="8"/>
      <c r="H1389" s="8"/>
      <c r="I1389" s="8"/>
      <c r="J1389" s="8"/>
      <c r="K1389" s="8"/>
      <c r="L1389" s="8"/>
      <c r="M1389" s="8"/>
      <c r="N1389" s="8"/>
      <c r="O1389" s="8"/>
      <c r="P1389" s="8"/>
      <c r="Q1389" s="8"/>
      <c r="R1389" s="8"/>
      <c r="S1389" s="8"/>
      <c r="T1389" s="8"/>
      <c r="U1389" s="8"/>
      <c r="V1389" s="8"/>
      <c r="W1389" s="8"/>
    </row>
    <row r="1390" spans="1:23" ht="15.75" customHeight="1" x14ac:dyDescent="0.25">
      <c r="A1390" s="6" t="s">
        <v>201</v>
      </c>
      <c r="B1390" s="8"/>
      <c r="C1390" s="8"/>
      <c r="D1390" s="8"/>
      <c r="E1390" s="8"/>
      <c r="F1390" s="8"/>
      <c r="G1390" s="8"/>
      <c r="H1390" s="8"/>
      <c r="I1390" s="8"/>
      <c r="J1390" s="8"/>
      <c r="K1390" s="8"/>
      <c r="L1390" s="8"/>
      <c r="M1390" s="8"/>
      <c r="N1390" s="8"/>
      <c r="O1390" s="8"/>
      <c r="P1390" s="8"/>
      <c r="Q1390" s="8"/>
      <c r="R1390" s="8"/>
      <c r="S1390" s="8"/>
      <c r="T1390" s="8"/>
      <c r="U1390" s="8"/>
      <c r="V1390" s="8"/>
      <c r="W1390" s="8"/>
    </row>
    <row r="1391" spans="1:23" ht="15.75" customHeight="1" x14ac:dyDescent="0.25">
      <c r="A1391" s="6" t="s">
        <v>201</v>
      </c>
      <c r="B1391" s="8"/>
      <c r="C1391" s="8"/>
      <c r="D1391" s="8"/>
      <c r="E1391" s="8"/>
      <c r="F1391" s="8"/>
      <c r="G1391" s="8"/>
      <c r="H1391" s="8"/>
      <c r="I1391" s="8"/>
      <c r="J1391" s="8"/>
      <c r="K1391" s="8"/>
      <c r="L1391" s="8"/>
      <c r="M1391" s="8"/>
      <c r="N1391" s="8"/>
      <c r="O1391" s="8"/>
      <c r="P1391" s="8"/>
      <c r="Q1391" s="8"/>
      <c r="R1391" s="8"/>
      <c r="S1391" s="8"/>
      <c r="T1391" s="8"/>
      <c r="U1391" s="8"/>
      <c r="V1391" s="8"/>
      <c r="W1391" s="8"/>
    </row>
    <row r="1392" spans="1:23" ht="15.75" customHeight="1" x14ac:dyDescent="0.25">
      <c r="A1392" s="6" t="s">
        <v>201</v>
      </c>
      <c r="B1392" s="8"/>
      <c r="C1392" s="8"/>
      <c r="D1392" s="8"/>
      <c r="E1392" s="8"/>
      <c r="F1392" s="8"/>
      <c r="G1392" s="8"/>
      <c r="H1392" s="8"/>
      <c r="I1392" s="8"/>
      <c r="J1392" s="8"/>
      <c r="K1392" s="8"/>
      <c r="L1392" s="8"/>
      <c r="M1392" s="8"/>
      <c r="N1392" s="8"/>
      <c r="O1392" s="8"/>
      <c r="P1392" s="8"/>
      <c r="Q1392" s="8"/>
      <c r="R1392" s="8"/>
      <c r="S1392" s="8"/>
      <c r="T1392" s="8"/>
      <c r="U1392" s="8"/>
      <c r="V1392" s="8"/>
      <c r="W1392" s="8"/>
    </row>
    <row r="1393" spans="1:23" ht="15.75" customHeight="1" x14ac:dyDescent="0.25">
      <c r="A1393" s="6" t="s">
        <v>201</v>
      </c>
      <c r="B1393" s="8"/>
      <c r="C1393" s="8"/>
      <c r="D1393" s="8"/>
      <c r="E1393" s="8"/>
      <c r="F1393" s="8"/>
      <c r="G1393" s="8"/>
      <c r="H1393" s="8"/>
      <c r="I1393" s="8"/>
      <c r="J1393" s="8"/>
      <c r="K1393" s="8"/>
      <c r="L1393" s="8"/>
      <c r="M1393" s="8"/>
      <c r="N1393" s="8"/>
      <c r="O1393" s="8"/>
      <c r="P1393" s="8"/>
      <c r="Q1393" s="8"/>
      <c r="R1393" s="8"/>
      <c r="S1393" s="8"/>
      <c r="T1393" s="8"/>
      <c r="U1393" s="8"/>
      <c r="V1393" s="8"/>
      <c r="W1393" s="8"/>
    </row>
    <row r="1394" spans="1:23" ht="15.75" customHeight="1" x14ac:dyDescent="0.25">
      <c r="A1394" s="6" t="s">
        <v>201</v>
      </c>
      <c r="B1394" s="8"/>
      <c r="C1394" s="8"/>
      <c r="D1394" s="8"/>
      <c r="E1394" s="8"/>
      <c r="F1394" s="8"/>
      <c r="G1394" s="8"/>
      <c r="H1394" s="8"/>
      <c r="I1394" s="8"/>
      <c r="J1394" s="8"/>
      <c r="K1394" s="8"/>
      <c r="L1394" s="8"/>
      <c r="M1394" s="8"/>
      <c r="N1394" s="8"/>
      <c r="O1394" s="8"/>
      <c r="P1394" s="8"/>
      <c r="Q1394" s="8"/>
      <c r="R1394" s="8"/>
      <c r="S1394" s="8"/>
      <c r="T1394" s="8"/>
      <c r="U1394" s="8"/>
      <c r="V1394" s="8"/>
      <c r="W1394" s="8"/>
    </row>
    <row r="1395" spans="1:23" ht="15.75" customHeight="1" x14ac:dyDescent="0.25">
      <c r="A1395" s="6" t="s">
        <v>201</v>
      </c>
      <c r="B1395" s="8"/>
      <c r="C1395" s="8"/>
      <c r="D1395" s="8"/>
      <c r="E1395" s="8"/>
      <c r="F1395" s="8"/>
      <c r="G1395" s="8"/>
      <c r="H1395" s="8"/>
      <c r="I1395" s="8"/>
      <c r="J1395" s="8"/>
      <c r="K1395" s="8"/>
      <c r="L1395" s="8"/>
      <c r="M1395" s="8"/>
      <c r="N1395" s="8"/>
      <c r="O1395" s="8"/>
      <c r="P1395" s="8"/>
      <c r="Q1395" s="8"/>
      <c r="R1395" s="8"/>
      <c r="S1395" s="8"/>
      <c r="T1395" s="8"/>
      <c r="U1395" s="8"/>
      <c r="V1395" s="8"/>
      <c r="W1395" s="8"/>
    </row>
    <row r="1396" spans="1:23" ht="15.75" customHeight="1" x14ac:dyDescent="0.25">
      <c r="A1396" s="6" t="s">
        <v>201</v>
      </c>
      <c r="B1396" s="8"/>
      <c r="C1396" s="8"/>
      <c r="D1396" s="8"/>
      <c r="E1396" s="8"/>
      <c r="F1396" s="8"/>
      <c r="G1396" s="8"/>
      <c r="H1396" s="8"/>
      <c r="I1396" s="8"/>
      <c r="J1396" s="8"/>
      <c r="K1396" s="8"/>
      <c r="L1396" s="8"/>
      <c r="M1396" s="8"/>
      <c r="N1396" s="8"/>
      <c r="O1396" s="8"/>
      <c r="P1396" s="8"/>
      <c r="Q1396" s="8"/>
      <c r="R1396" s="8"/>
      <c r="S1396" s="8"/>
      <c r="T1396" s="8"/>
      <c r="U1396" s="8"/>
      <c r="V1396" s="8"/>
      <c r="W1396" s="8"/>
    </row>
    <row r="1397" spans="1:23" ht="15.75" customHeight="1" x14ac:dyDescent="0.25">
      <c r="A1397" s="6" t="s">
        <v>201</v>
      </c>
      <c r="B1397" s="8"/>
      <c r="C1397" s="8"/>
      <c r="D1397" s="8"/>
      <c r="E1397" s="8"/>
      <c r="F1397" s="8"/>
      <c r="G1397" s="8"/>
      <c r="H1397" s="8"/>
      <c r="I1397" s="8"/>
      <c r="J1397" s="8"/>
      <c r="K1397" s="8"/>
      <c r="L1397" s="8"/>
      <c r="M1397" s="8"/>
      <c r="N1397" s="8"/>
      <c r="O1397" s="8"/>
      <c r="P1397" s="8"/>
      <c r="Q1397" s="8"/>
      <c r="R1397" s="8"/>
      <c r="S1397" s="8"/>
      <c r="T1397" s="8"/>
      <c r="U1397" s="8"/>
      <c r="V1397" s="8"/>
      <c r="W1397" s="8"/>
    </row>
    <row r="1398" spans="1:23" ht="15.75" customHeight="1" x14ac:dyDescent="0.25">
      <c r="A1398" s="6" t="s">
        <v>201</v>
      </c>
      <c r="B1398" s="8"/>
      <c r="C1398" s="8"/>
      <c r="D1398" s="8"/>
      <c r="E1398" s="8"/>
      <c r="F1398" s="8"/>
      <c r="G1398" s="8"/>
      <c r="H1398" s="8"/>
      <c r="I1398" s="8"/>
      <c r="J1398" s="8"/>
      <c r="K1398" s="8"/>
      <c r="L1398" s="8"/>
      <c r="M1398" s="8"/>
      <c r="N1398" s="8"/>
      <c r="O1398" s="8"/>
      <c r="P1398" s="8"/>
      <c r="Q1398" s="8"/>
      <c r="R1398" s="8"/>
      <c r="S1398" s="8"/>
      <c r="T1398" s="8"/>
      <c r="U1398" s="8"/>
      <c r="V1398" s="8"/>
      <c r="W1398" s="8"/>
    </row>
    <row r="1399" spans="1:23" ht="15.75" customHeight="1" x14ac:dyDescent="0.25">
      <c r="A1399" s="6" t="s">
        <v>201</v>
      </c>
      <c r="B1399" s="8"/>
      <c r="C1399" s="8"/>
      <c r="D1399" s="8"/>
      <c r="E1399" s="8"/>
      <c r="F1399" s="8"/>
      <c r="G1399" s="8"/>
      <c r="H1399" s="8"/>
      <c r="I1399" s="8"/>
      <c r="J1399" s="8"/>
      <c r="K1399" s="8"/>
      <c r="L1399" s="8"/>
      <c r="M1399" s="8"/>
      <c r="N1399" s="8"/>
      <c r="O1399" s="8"/>
      <c r="P1399" s="8"/>
      <c r="Q1399" s="8"/>
      <c r="R1399" s="8"/>
      <c r="S1399" s="8"/>
      <c r="T1399" s="8"/>
      <c r="U1399" s="8"/>
      <c r="V1399" s="8"/>
      <c r="W1399" s="8"/>
    </row>
    <row r="1400" spans="1:23" ht="15.75" customHeight="1" x14ac:dyDescent="0.25">
      <c r="A1400" s="6" t="s">
        <v>201</v>
      </c>
      <c r="B1400" s="8"/>
      <c r="C1400" s="8"/>
      <c r="D1400" s="8"/>
      <c r="E1400" s="8"/>
      <c r="F1400" s="8"/>
      <c r="G1400" s="8"/>
      <c r="H1400" s="8"/>
      <c r="I1400" s="8"/>
      <c r="J1400" s="8"/>
      <c r="K1400" s="8"/>
      <c r="L1400" s="8"/>
      <c r="M1400" s="8"/>
      <c r="N1400" s="8"/>
      <c r="O1400" s="8"/>
      <c r="P1400" s="8"/>
      <c r="Q1400" s="8"/>
      <c r="R1400" s="8"/>
      <c r="S1400" s="8"/>
      <c r="T1400" s="8"/>
      <c r="U1400" s="8"/>
      <c r="V1400" s="8"/>
      <c r="W1400" s="8"/>
    </row>
    <row r="1401" spans="1:23" ht="15.75" customHeight="1" x14ac:dyDescent="0.25">
      <c r="A1401" s="6" t="s">
        <v>201</v>
      </c>
      <c r="B1401" s="8"/>
      <c r="C1401" s="8"/>
      <c r="D1401" s="8"/>
      <c r="E1401" s="8"/>
      <c r="F1401" s="8"/>
      <c r="G1401" s="8"/>
      <c r="H1401" s="8"/>
      <c r="I1401" s="8"/>
      <c r="J1401" s="8"/>
      <c r="K1401" s="8"/>
      <c r="L1401" s="8"/>
      <c r="M1401" s="8"/>
      <c r="N1401" s="8"/>
      <c r="O1401" s="8"/>
      <c r="P1401" s="8"/>
      <c r="Q1401" s="8"/>
      <c r="R1401" s="8"/>
      <c r="S1401" s="8"/>
      <c r="T1401" s="8"/>
      <c r="U1401" s="8"/>
      <c r="V1401" s="8"/>
      <c r="W1401" s="8"/>
    </row>
    <row r="1402" spans="1:23" ht="15.75" customHeight="1" x14ac:dyDescent="0.25">
      <c r="A1402" s="6" t="s">
        <v>201</v>
      </c>
      <c r="B1402" s="8"/>
      <c r="C1402" s="8"/>
      <c r="D1402" s="8"/>
      <c r="E1402" s="8"/>
      <c r="F1402" s="8"/>
      <c r="G1402" s="8"/>
      <c r="H1402" s="8"/>
      <c r="I1402" s="8"/>
      <c r="J1402" s="8"/>
      <c r="K1402" s="8"/>
      <c r="L1402" s="8"/>
      <c r="M1402" s="8"/>
      <c r="N1402" s="8"/>
      <c r="O1402" s="8"/>
      <c r="P1402" s="8"/>
      <c r="Q1402" s="8"/>
      <c r="R1402" s="8"/>
      <c r="S1402" s="8"/>
      <c r="T1402" s="8"/>
      <c r="U1402" s="8"/>
      <c r="V1402" s="8"/>
      <c r="W1402" s="8"/>
    </row>
    <row r="1403" spans="1:23" ht="15.75" customHeight="1" x14ac:dyDescent="0.25">
      <c r="A1403" s="6" t="s">
        <v>201</v>
      </c>
      <c r="B1403" s="8"/>
      <c r="C1403" s="8"/>
      <c r="D1403" s="8"/>
      <c r="E1403" s="8"/>
      <c r="F1403" s="8"/>
      <c r="G1403" s="8"/>
      <c r="H1403" s="8"/>
      <c r="I1403" s="8"/>
      <c r="J1403" s="8"/>
      <c r="K1403" s="8"/>
      <c r="L1403" s="8"/>
      <c r="M1403" s="8"/>
      <c r="N1403" s="8"/>
      <c r="O1403" s="8"/>
      <c r="P1403" s="8"/>
      <c r="Q1403" s="8"/>
      <c r="R1403" s="8"/>
      <c r="S1403" s="8"/>
      <c r="T1403" s="8"/>
      <c r="U1403" s="8"/>
      <c r="V1403" s="8"/>
      <c r="W1403" s="8"/>
    </row>
    <row r="1404" spans="1:23" ht="15.75" customHeight="1" x14ac:dyDescent="0.25">
      <c r="A1404" s="6" t="s">
        <v>201</v>
      </c>
      <c r="B1404" s="8"/>
      <c r="C1404" s="8"/>
      <c r="D1404" s="8"/>
      <c r="E1404" s="8"/>
      <c r="F1404" s="8"/>
      <c r="G1404" s="8"/>
      <c r="H1404" s="8"/>
      <c r="I1404" s="8"/>
      <c r="J1404" s="8"/>
      <c r="K1404" s="8"/>
      <c r="L1404" s="8"/>
      <c r="M1404" s="8"/>
      <c r="N1404" s="8"/>
      <c r="O1404" s="8"/>
      <c r="P1404" s="8"/>
      <c r="Q1404" s="8"/>
      <c r="R1404" s="8"/>
      <c r="S1404" s="8"/>
      <c r="T1404" s="8"/>
      <c r="U1404" s="8"/>
      <c r="V1404" s="8"/>
      <c r="W1404" s="8"/>
    </row>
    <row r="1405" spans="1:23" ht="15.75" customHeight="1" x14ac:dyDescent="0.25">
      <c r="A1405" s="6" t="s">
        <v>201</v>
      </c>
      <c r="B1405" s="8"/>
      <c r="C1405" s="8"/>
      <c r="D1405" s="8"/>
      <c r="E1405" s="8"/>
      <c r="F1405" s="8"/>
      <c r="G1405" s="8"/>
      <c r="H1405" s="8"/>
      <c r="I1405" s="8"/>
      <c r="J1405" s="8"/>
      <c r="K1405" s="8"/>
      <c r="L1405" s="8"/>
      <c r="M1405" s="8"/>
      <c r="N1405" s="8"/>
      <c r="O1405" s="8"/>
      <c r="P1405" s="8"/>
      <c r="Q1405" s="8"/>
      <c r="R1405" s="8"/>
      <c r="S1405" s="8"/>
      <c r="T1405" s="8"/>
      <c r="U1405" s="8"/>
      <c r="V1405" s="8"/>
      <c r="W1405" s="8"/>
    </row>
    <row r="1406" spans="1:23" ht="15.75" customHeight="1" x14ac:dyDescent="0.25">
      <c r="A1406" s="6" t="s">
        <v>201</v>
      </c>
      <c r="B1406" s="8"/>
      <c r="C1406" s="8"/>
      <c r="D1406" s="8"/>
      <c r="E1406" s="8"/>
      <c r="F1406" s="8"/>
      <c r="G1406" s="8"/>
      <c r="H1406" s="8"/>
      <c r="I1406" s="8"/>
      <c r="J1406" s="8"/>
      <c r="K1406" s="8"/>
      <c r="L1406" s="8"/>
      <c r="M1406" s="8"/>
      <c r="N1406" s="8"/>
      <c r="O1406" s="8"/>
      <c r="P1406" s="8"/>
      <c r="Q1406" s="8"/>
      <c r="R1406" s="8"/>
      <c r="S1406" s="8"/>
      <c r="T1406" s="8"/>
      <c r="U1406" s="8"/>
      <c r="V1406" s="8"/>
      <c r="W1406" s="8"/>
    </row>
    <row r="1407" spans="1:23" ht="15.75" customHeight="1" x14ac:dyDescent="0.25">
      <c r="A1407" s="6" t="s">
        <v>201</v>
      </c>
      <c r="B1407" s="8"/>
      <c r="C1407" s="8"/>
      <c r="D1407" s="8"/>
      <c r="E1407" s="8"/>
      <c r="F1407" s="8"/>
      <c r="G1407" s="8"/>
      <c r="H1407" s="8"/>
      <c r="I1407" s="8"/>
      <c r="J1407" s="8"/>
      <c r="K1407" s="8"/>
      <c r="L1407" s="8"/>
      <c r="M1407" s="8"/>
      <c r="N1407" s="8"/>
      <c r="O1407" s="8"/>
      <c r="P1407" s="8"/>
      <c r="Q1407" s="8"/>
      <c r="R1407" s="8"/>
      <c r="S1407" s="8"/>
      <c r="T1407" s="8"/>
      <c r="U1407" s="8"/>
      <c r="V1407" s="8"/>
      <c r="W1407" s="8"/>
    </row>
    <row r="1408" spans="1:23" ht="15.75" customHeight="1" x14ac:dyDescent="0.25">
      <c r="A1408" s="6" t="s">
        <v>201</v>
      </c>
      <c r="B1408" s="8"/>
      <c r="C1408" s="8"/>
      <c r="D1408" s="8"/>
      <c r="E1408" s="8"/>
      <c r="F1408" s="8"/>
      <c r="G1408" s="8"/>
      <c r="H1408" s="8"/>
      <c r="I1408" s="8"/>
      <c r="J1408" s="8"/>
      <c r="K1408" s="8"/>
      <c r="L1408" s="8"/>
      <c r="M1408" s="8"/>
      <c r="N1408" s="8"/>
      <c r="O1408" s="8"/>
      <c r="P1408" s="8"/>
      <c r="Q1408" s="8"/>
      <c r="R1408" s="8"/>
      <c r="S1408" s="8"/>
      <c r="T1408" s="8"/>
      <c r="U1408" s="8"/>
      <c r="V1408" s="8"/>
      <c r="W1408" s="8"/>
    </row>
    <row r="1409" spans="1:23" ht="15.75" customHeight="1" x14ac:dyDescent="0.25">
      <c r="A1409" s="6" t="s">
        <v>201</v>
      </c>
      <c r="B1409" s="8"/>
      <c r="C1409" s="8"/>
      <c r="D1409" s="8"/>
      <c r="E1409" s="8"/>
      <c r="F1409" s="8"/>
      <c r="G1409" s="8"/>
      <c r="H1409" s="8"/>
      <c r="I1409" s="8"/>
      <c r="J1409" s="8"/>
      <c r="K1409" s="8"/>
      <c r="L1409" s="8"/>
      <c r="M1409" s="8"/>
      <c r="N1409" s="8"/>
      <c r="O1409" s="8"/>
      <c r="P1409" s="8"/>
      <c r="Q1409" s="8"/>
      <c r="R1409" s="8"/>
      <c r="S1409" s="8"/>
      <c r="T1409" s="8"/>
      <c r="U1409" s="8"/>
      <c r="V1409" s="8"/>
      <c r="W1409" s="8"/>
    </row>
    <row r="1410" spans="1:23" ht="15.75" customHeight="1" x14ac:dyDescent="0.25">
      <c r="A1410" s="6" t="s">
        <v>201</v>
      </c>
      <c r="B1410" s="8"/>
      <c r="C1410" s="8"/>
      <c r="D1410" s="8"/>
      <c r="E1410" s="8"/>
      <c r="F1410" s="8"/>
      <c r="G1410" s="8"/>
      <c r="H1410" s="8"/>
      <c r="I1410" s="8"/>
      <c r="J1410" s="8"/>
      <c r="K1410" s="8"/>
      <c r="L1410" s="8"/>
      <c r="M1410" s="8"/>
      <c r="N1410" s="8"/>
      <c r="O1410" s="8"/>
      <c r="P1410" s="8"/>
      <c r="Q1410" s="8"/>
      <c r="R1410" s="8"/>
      <c r="S1410" s="8"/>
      <c r="T1410" s="8"/>
      <c r="U1410" s="8"/>
      <c r="V1410" s="8"/>
      <c r="W1410" s="8"/>
    </row>
    <row r="1411" spans="1:23" ht="15.75" customHeight="1" x14ac:dyDescent="0.25">
      <c r="A1411" s="6" t="s">
        <v>201</v>
      </c>
      <c r="B1411" s="8"/>
      <c r="C1411" s="8"/>
      <c r="D1411" s="8"/>
      <c r="E1411" s="8"/>
      <c r="F1411" s="8"/>
      <c r="G1411" s="8"/>
      <c r="H1411" s="8"/>
      <c r="I1411" s="8"/>
      <c r="J1411" s="8"/>
      <c r="K1411" s="8"/>
      <c r="L1411" s="8"/>
      <c r="M1411" s="8"/>
      <c r="N1411" s="8"/>
      <c r="O1411" s="8"/>
      <c r="P1411" s="8"/>
      <c r="Q1411" s="8"/>
      <c r="R1411" s="8"/>
      <c r="S1411" s="8"/>
      <c r="T1411" s="8"/>
      <c r="U1411" s="8"/>
      <c r="V1411" s="8"/>
      <c r="W1411" s="8"/>
    </row>
    <row r="1412" spans="1:23" ht="15.75" customHeight="1" x14ac:dyDescent="0.25">
      <c r="A1412" s="6" t="s">
        <v>201</v>
      </c>
      <c r="B1412" s="8"/>
      <c r="C1412" s="8"/>
      <c r="D1412" s="8"/>
      <c r="E1412" s="8"/>
      <c r="F1412" s="8"/>
      <c r="G1412" s="8"/>
      <c r="H1412" s="8"/>
      <c r="I1412" s="8"/>
      <c r="J1412" s="8"/>
      <c r="K1412" s="8"/>
      <c r="L1412" s="8"/>
      <c r="M1412" s="8"/>
      <c r="N1412" s="8"/>
      <c r="O1412" s="8"/>
      <c r="P1412" s="8"/>
      <c r="Q1412" s="8"/>
      <c r="R1412" s="8"/>
      <c r="S1412" s="8"/>
      <c r="T1412" s="8"/>
      <c r="U1412" s="8"/>
      <c r="V1412" s="8"/>
      <c r="W1412" s="8"/>
    </row>
    <row r="1413" spans="1:23" ht="15.75" customHeight="1" x14ac:dyDescent="0.25">
      <c r="A1413" s="6" t="s">
        <v>201</v>
      </c>
      <c r="B1413" s="8"/>
      <c r="C1413" s="8"/>
      <c r="D1413" s="8"/>
      <c r="E1413" s="8"/>
      <c r="F1413" s="8"/>
      <c r="G1413" s="8"/>
      <c r="H1413" s="8"/>
      <c r="I1413" s="8"/>
      <c r="J1413" s="8"/>
      <c r="K1413" s="8"/>
      <c r="L1413" s="8"/>
      <c r="M1413" s="8"/>
      <c r="N1413" s="8"/>
      <c r="O1413" s="8"/>
      <c r="P1413" s="8"/>
      <c r="Q1413" s="8"/>
      <c r="R1413" s="8"/>
      <c r="S1413" s="8"/>
      <c r="T1413" s="8"/>
      <c r="U1413" s="8"/>
      <c r="V1413" s="8"/>
      <c r="W1413" s="8"/>
    </row>
    <row r="1414" spans="1:23" ht="15.75" customHeight="1" x14ac:dyDescent="0.25">
      <c r="A1414" s="6" t="s">
        <v>201</v>
      </c>
      <c r="B1414" s="8"/>
      <c r="C1414" s="8"/>
      <c r="D1414" s="8"/>
      <c r="E1414" s="8"/>
      <c r="F1414" s="8"/>
      <c r="G1414" s="8"/>
      <c r="H1414" s="8"/>
      <c r="I1414" s="8"/>
      <c r="J1414" s="8"/>
      <c r="K1414" s="8"/>
      <c r="L1414" s="8"/>
      <c r="M1414" s="8"/>
      <c r="N1414" s="8"/>
      <c r="O1414" s="8"/>
      <c r="P1414" s="8"/>
      <c r="Q1414" s="8"/>
      <c r="R1414" s="8"/>
      <c r="S1414" s="8"/>
      <c r="T1414" s="8"/>
      <c r="U1414" s="8"/>
      <c r="V1414" s="8"/>
      <c r="W1414" s="8"/>
    </row>
    <row r="1415" spans="1:23" ht="15.75" customHeight="1" x14ac:dyDescent="0.25">
      <c r="A1415" s="6" t="s">
        <v>201</v>
      </c>
      <c r="B1415" s="8"/>
      <c r="C1415" s="8"/>
      <c r="D1415" s="8"/>
      <c r="E1415" s="8"/>
      <c r="F1415" s="8"/>
      <c r="G1415" s="8"/>
      <c r="H1415" s="8"/>
      <c r="I1415" s="8"/>
      <c r="J1415" s="8"/>
      <c r="K1415" s="8"/>
      <c r="L1415" s="8"/>
      <c r="M1415" s="8"/>
      <c r="N1415" s="8"/>
      <c r="O1415" s="8"/>
      <c r="P1415" s="8"/>
      <c r="Q1415" s="8"/>
      <c r="R1415" s="8"/>
      <c r="S1415" s="8"/>
      <c r="T1415" s="8"/>
      <c r="U1415" s="8"/>
      <c r="V1415" s="8"/>
      <c r="W1415" s="8"/>
    </row>
    <row r="1416" spans="1:23" ht="15.75" customHeight="1" x14ac:dyDescent="0.25">
      <c r="A1416" s="6" t="s">
        <v>201</v>
      </c>
      <c r="B1416" s="8"/>
      <c r="C1416" s="8"/>
      <c r="D1416" s="8"/>
      <c r="E1416" s="8"/>
      <c r="F1416" s="8"/>
      <c r="G1416" s="8"/>
      <c r="H1416" s="8"/>
      <c r="I1416" s="8"/>
      <c r="J1416" s="8"/>
      <c r="K1416" s="8"/>
      <c r="L1416" s="8"/>
      <c r="M1416" s="8"/>
      <c r="N1416" s="8"/>
      <c r="O1416" s="8"/>
      <c r="P1416" s="8"/>
      <c r="Q1416" s="8"/>
      <c r="R1416" s="8"/>
      <c r="S1416" s="8"/>
      <c r="T1416" s="8"/>
      <c r="U1416" s="8"/>
      <c r="V1416" s="8"/>
      <c r="W1416" s="8"/>
    </row>
    <row r="1417" spans="1:23" ht="15.75" customHeight="1" x14ac:dyDescent="0.25">
      <c r="A1417" s="6" t="s">
        <v>201</v>
      </c>
      <c r="B1417" s="8"/>
      <c r="C1417" s="8"/>
      <c r="D1417" s="8"/>
      <c r="E1417" s="8"/>
      <c r="F1417" s="8"/>
      <c r="G1417" s="8"/>
      <c r="H1417" s="8"/>
      <c r="I1417" s="8"/>
      <c r="J1417" s="8"/>
      <c r="K1417" s="8"/>
      <c r="L1417" s="8"/>
      <c r="M1417" s="8"/>
      <c r="N1417" s="8"/>
      <c r="O1417" s="8"/>
      <c r="P1417" s="8"/>
      <c r="Q1417" s="8"/>
      <c r="R1417" s="8"/>
      <c r="S1417" s="8"/>
      <c r="T1417" s="8"/>
      <c r="U1417" s="8"/>
      <c r="V1417" s="8"/>
      <c r="W1417" s="8"/>
    </row>
    <row r="1418" spans="1:23" ht="15.75" customHeight="1" x14ac:dyDescent="0.25">
      <c r="A1418" s="6" t="s">
        <v>201</v>
      </c>
      <c r="B1418" s="8"/>
      <c r="C1418" s="8"/>
      <c r="D1418" s="8"/>
      <c r="E1418" s="8"/>
      <c r="F1418" s="8"/>
      <c r="G1418" s="8"/>
      <c r="H1418" s="8"/>
      <c r="I1418" s="8"/>
      <c r="J1418" s="8"/>
      <c r="K1418" s="8"/>
      <c r="L1418" s="8"/>
      <c r="M1418" s="8"/>
      <c r="N1418" s="8"/>
      <c r="O1418" s="8"/>
      <c r="P1418" s="8"/>
      <c r="Q1418" s="8"/>
      <c r="R1418" s="8"/>
      <c r="S1418" s="8"/>
      <c r="T1418" s="8"/>
      <c r="U1418" s="8"/>
      <c r="V1418" s="8"/>
      <c r="W1418" s="8"/>
    </row>
    <row r="1419" spans="1:23" ht="15.75" customHeight="1" x14ac:dyDescent="0.25">
      <c r="A1419" s="6" t="s">
        <v>201</v>
      </c>
      <c r="B1419" s="8"/>
      <c r="C1419" s="8"/>
      <c r="D1419" s="8"/>
      <c r="E1419" s="8"/>
      <c r="F1419" s="8"/>
      <c r="G1419" s="8"/>
      <c r="H1419" s="8"/>
      <c r="I1419" s="8"/>
      <c r="J1419" s="8"/>
      <c r="K1419" s="8"/>
      <c r="L1419" s="8"/>
      <c r="M1419" s="8"/>
      <c r="N1419" s="8"/>
      <c r="O1419" s="8"/>
      <c r="P1419" s="8"/>
      <c r="Q1419" s="8"/>
      <c r="R1419" s="8"/>
      <c r="S1419" s="8"/>
      <c r="T1419" s="8"/>
      <c r="U1419" s="8"/>
      <c r="V1419" s="8"/>
      <c r="W1419" s="8"/>
    </row>
    <row r="1420" spans="1:23" ht="15.75" customHeight="1" x14ac:dyDescent="0.25">
      <c r="A1420" s="6" t="s">
        <v>201</v>
      </c>
      <c r="B1420" s="8"/>
      <c r="C1420" s="8"/>
      <c r="D1420" s="8"/>
      <c r="E1420" s="8"/>
      <c r="F1420" s="8"/>
      <c r="G1420" s="8"/>
      <c r="H1420" s="8"/>
      <c r="I1420" s="8"/>
      <c r="J1420" s="8"/>
      <c r="K1420" s="8"/>
      <c r="L1420" s="8"/>
      <c r="M1420" s="8"/>
      <c r="N1420" s="8"/>
      <c r="O1420" s="8"/>
      <c r="P1420" s="8"/>
      <c r="Q1420" s="8"/>
      <c r="R1420" s="8"/>
      <c r="S1420" s="8"/>
      <c r="T1420" s="8"/>
      <c r="U1420" s="8"/>
      <c r="V1420" s="8"/>
      <c r="W1420" s="8"/>
    </row>
    <row r="1421" spans="1:23" ht="15.75" customHeight="1" x14ac:dyDescent="0.25">
      <c r="A1421" s="6" t="s">
        <v>201</v>
      </c>
      <c r="B1421" s="8"/>
      <c r="C1421" s="8"/>
      <c r="D1421" s="8"/>
      <c r="E1421" s="8"/>
      <c r="F1421" s="8"/>
      <c r="G1421" s="8"/>
      <c r="H1421" s="8"/>
      <c r="I1421" s="8"/>
      <c r="J1421" s="8"/>
      <c r="K1421" s="8"/>
      <c r="L1421" s="8"/>
      <c r="M1421" s="8"/>
      <c r="N1421" s="8"/>
      <c r="O1421" s="8"/>
      <c r="P1421" s="8"/>
      <c r="Q1421" s="8"/>
      <c r="R1421" s="8"/>
      <c r="S1421" s="8"/>
      <c r="T1421" s="8"/>
      <c r="U1421" s="8"/>
      <c r="V1421" s="8"/>
      <c r="W1421" s="8"/>
    </row>
    <row r="1422" spans="1:23" ht="15.75" customHeight="1" x14ac:dyDescent="0.25">
      <c r="A1422" s="6" t="s">
        <v>201</v>
      </c>
      <c r="B1422" s="8"/>
      <c r="C1422" s="8"/>
      <c r="D1422" s="8"/>
      <c r="E1422" s="8"/>
      <c r="F1422" s="8"/>
      <c r="G1422" s="8"/>
      <c r="H1422" s="8"/>
      <c r="I1422" s="8"/>
      <c r="J1422" s="8"/>
      <c r="K1422" s="8"/>
      <c r="L1422" s="8"/>
      <c r="M1422" s="8"/>
      <c r="N1422" s="8"/>
      <c r="O1422" s="8"/>
      <c r="P1422" s="8"/>
      <c r="Q1422" s="8"/>
      <c r="R1422" s="8"/>
      <c r="S1422" s="8"/>
      <c r="T1422" s="8"/>
      <c r="U1422" s="8"/>
      <c r="V1422" s="8"/>
      <c r="W1422" s="8"/>
    </row>
    <row r="1423" spans="1:23" ht="15.75" customHeight="1" x14ac:dyDescent="0.25">
      <c r="A1423" s="6" t="s">
        <v>201</v>
      </c>
      <c r="B1423" s="8"/>
      <c r="C1423" s="8"/>
      <c r="D1423" s="8"/>
      <c r="E1423" s="8"/>
      <c r="F1423" s="8"/>
      <c r="G1423" s="8"/>
      <c r="H1423" s="8"/>
      <c r="I1423" s="8"/>
      <c r="J1423" s="8"/>
      <c r="K1423" s="8"/>
      <c r="L1423" s="8"/>
      <c r="M1423" s="8"/>
      <c r="N1423" s="8"/>
      <c r="O1423" s="8"/>
      <c r="P1423" s="8"/>
      <c r="Q1423" s="8"/>
      <c r="R1423" s="8"/>
      <c r="S1423" s="8"/>
      <c r="T1423" s="8"/>
      <c r="U1423" s="8"/>
      <c r="V1423" s="8"/>
      <c r="W1423" s="8"/>
    </row>
    <row r="1424" spans="1:23" ht="15.75" customHeight="1" x14ac:dyDescent="0.25">
      <c r="A1424" s="6" t="s">
        <v>201</v>
      </c>
      <c r="B1424" s="8"/>
      <c r="C1424" s="8"/>
      <c r="D1424" s="8"/>
      <c r="E1424" s="8"/>
      <c r="F1424" s="8"/>
      <c r="G1424" s="8"/>
      <c r="H1424" s="8"/>
      <c r="I1424" s="8"/>
      <c r="J1424" s="8"/>
      <c r="K1424" s="8"/>
      <c r="L1424" s="8"/>
      <c r="M1424" s="8"/>
      <c r="N1424" s="8"/>
      <c r="O1424" s="8"/>
      <c r="P1424" s="8"/>
      <c r="Q1424" s="8"/>
      <c r="R1424" s="8"/>
      <c r="S1424" s="8"/>
      <c r="T1424" s="8"/>
      <c r="U1424" s="8"/>
      <c r="V1424" s="8"/>
      <c r="W1424" s="8"/>
    </row>
    <row r="1425" spans="1:23" ht="15.75" customHeight="1" x14ac:dyDescent="0.25">
      <c r="A1425" s="6" t="s">
        <v>201</v>
      </c>
      <c r="B1425" s="8"/>
      <c r="C1425" s="8"/>
      <c r="D1425" s="8"/>
      <c r="E1425" s="8"/>
      <c r="F1425" s="8"/>
      <c r="G1425" s="8"/>
      <c r="H1425" s="8"/>
      <c r="I1425" s="8"/>
      <c r="J1425" s="8"/>
      <c r="K1425" s="8"/>
      <c r="L1425" s="8"/>
      <c r="M1425" s="8"/>
      <c r="N1425" s="8"/>
      <c r="O1425" s="8"/>
      <c r="P1425" s="8"/>
      <c r="Q1425" s="8"/>
      <c r="R1425" s="8"/>
      <c r="S1425" s="8"/>
      <c r="T1425" s="8"/>
      <c r="U1425" s="8"/>
      <c r="V1425" s="8"/>
      <c r="W1425" s="8"/>
    </row>
    <row r="1426" spans="1:23" ht="15.75" customHeight="1" x14ac:dyDescent="0.25">
      <c r="A1426" s="6" t="s">
        <v>201</v>
      </c>
      <c r="B1426" s="8"/>
      <c r="C1426" s="8"/>
      <c r="D1426" s="8"/>
      <c r="E1426" s="8"/>
      <c r="F1426" s="8"/>
      <c r="G1426" s="8"/>
      <c r="H1426" s="8"/>
      <c r="I1426" s="8"/>
      <c r="J1426" s="8"/>
      <c r="K1426" s="8"/>
      <c r="L1426" s="8"/>
      <c r="M1426" s="8"/>
      <c r="N1426" s="8"/>
      <c r="O1426" s="8"/>
      <c r="P1426" s="8"/>
      <c r="Q1426" s="8"/>
      <c r="R1426" s="8"/>
      <c r="S1426" s="8"/>
      <c r="T1426" s="8"/>
      <c r="U1426" s="8"/>
      <c r="V1426" s="8"/>
      <c r="W1426" s="8"/>
    </row>
    <row r="1427" spans="1:23" ht="15.75" customHeight="1" x14ac:dyDescent="0.25">
      <c r="A1427" s="6" t="s">
        <v>201</v>
      </c>
      <c r="B1427" s="8"/>
      <c r="C1427" s="8"/>
      <c r="D1427" s="8"/>
      <c r="E1427" s="8"/>
      <c r="F1427" s="8"/>
      <c r="G1427" s="8"/>
      <c r="H1427" s="8"/>
      <c r="I1427" s="8"/>
      <c r="J1427" s="8"/>
      <c r="K1427" s="8"/>
      <c r="L1427" s="8"/>
      <c r="M1427" s="8"/>
      <c r="N1427" s="8"/>
      <c r="O1427" s="8"/>
      <c r="P1427" s="8"/>
      <c r="Q1427" s="8"/>
      <c r="R1427" s="8"/>
      <c r="S1427" s="8"/>
      <c r="T1427" s="8"/>
      <c r="U1427" s="8"/>
      <c r="V1427" s="8"/>
      <c r="W1427" s="8"/>
    </row>
    <row r="1428" spans="1:23" ht="15.75" customHeight="1" x14ac:dyDescent="0.25">
      <c r="A1428" s="6" t="s">
        <v>201</v>
      </c>
      <c r="B1428" s="8"/>
      <c r="C1428" s="8"/>
      <c r="D1428" s="8"/>
      <c r="E1428" s="8"/>
      <c r="F1428" s="8"/>
      <c r="G1428" s="8"/>
      <c r="H1428" s="8"/>
      <c r="I1428" s="8"/>
      <c r="J1428" s="8"/>
      <c r="K1428" s="8"/>
      <c r="L1428" s="8"/>
      <c r="M1428" s="8"/>
      <c r="N1428" s="8"/>
      <c r="O1428" s="8"/>
      <c r="P1428" s="8"/>
      <c r="Q1428" s="8"/>
      <c r="R1428" s="8"/>
      <c r="S1428" s="8"/>
      <c r="T1428" s="8"/>
      <c r="U1428" s="8"/>
      <c r="V1428" s="8"/>
      <c r="W1428" s="8"/>
    </row>
    <row r="1429" spans="1:23" ht="15.75" customHeight="1" x14ac:dyDescent="0.25">
      <c r="A1429" s="6" t="s">
        <v>201</v>
      </c>
      <c r="B1429" s="8"/>
      <c r="C1429" s="8"/>
      <c r="D1429" s="8"/>
      <c r="E1429" s="8"/>
      <c r="F1429" s="8"/>
      <c r="G1429" s="8"/>
      <c r="H1429" s="8"/>
      <c r="I1429" s="8"/>
      <c r="J1429" s="8"/>
      <c r="K1429" s="8"/>
      <c r="L1429" s="8"/>
      <c r="M1429" s="8"/>
      <c r="N1429" s="8"/>
      <c r="O1429" s="8"/>
      <c r="P1429" s="8"/>
      <c r="Q1429" s="8"/>
      <c r="R1429" s="8"/>
      <c r="S1429" s="8"/>
      <c r="T1429" s="8"/>
      <c r="U1429" s="8"/>
      <c r="V1429" s="8"/>
      <c r="W1429" s="8"/>
    </row>
    <row r="1430" spans="1:23" ht="15.75" customHeight="1" x14ac:dyDescent="0.25">
      <c r="A1430" s="6" t="s">
        <v>201</v>
      </c>
      <c r="B1430" s="8"/>
      <c r="C1430" s="8"/>
      <c r="D1430" s="8"/>
      <c r="E1430" s="8"/>
      <c r="F1430" s="8"/>
      <c r="G1430" s="8"/>
      <c r="H1430" s="8"/>
      <c r="I1430" s="8"/>
      <c r="J1430" s="8"/>
      <c r="K1430" s="8"/>
      <c r="L1430" s="8"/>
      <c r="M1430" s="8"/>
      <c r="N1430" s="8"/>
      <c r="O1430" s="8"/>
      <c r="P1430" s="8"/>
      <c r="Q1430" s="8"/>
      <c r="R1430" s="8"/>
      <c r="S1430" s="8"/>
      <c r="T1430" s="8"/>
      <c r="U1430" s="8"/>
      <c r="V1430" s="8"/>
      <c r="W1430" s="8"/>
    </row>
    <row r="1431" spans="1:23" ht="15.75" customHeight="1" x14ac:dyDescent="0.25">
      <c r="A1431" s="6" t="s">
        <v>201</v>
      </c>
      <c r="B1431" s="8"/>
      <c r="C1431" s="8"/>
      <c r="D1431" s="8"/>
      <c r="E1431" s="8"/>
      <c r="F1431" s="8"/>
      <c r="G1431" s="8"/>
      <c r="H1431" s="8"/>
      <c r="I1431" s="8"/>
      <c r="J1431" s="8"/>
      <c r="K1431" s="8"/>
      <c r="L1431" s="8"/>
      <c r="M1431" s="8"/>
      <c r="N1431" s="8"/>
      <c r="O1431" s="8"/>
      <c r="P1431" s="8"/>
      <c r="Q1431" s="8"/>
      <c r="R1431" s="8"/>
      <c r="S1431" s="8"/>
      <c r="T1431" s="8"/>
      <c r="U1431" s="8"/>
      <c r="V1431" s="8"/>
      <c r="W1431" s="8"/>
    </row>
    <row r="1432" spans="1:23" ht="15.75" customHeight="1" x14ac:dyDescent="0.25">
      <c r="A1432" s="6" t="s">
        <v>201</v>
      </c>
      <c r="B1432" s="8"/>
      <c r="C1432" s="8"/>
      <c r="D1432" s="8"/>
      <c r="E1432" s="8"/>
      <c r="F1432" s="8"/>
      <c r="G1432" s="8"/>
      <c r="H1432" s="8"/>
      <c r="I1432" s="8"/>
      <c r="J1432" s="8"/>
      <c r="K1432" s="8"/>
      <c r="L1432" s="8"/>
      <c r="M1432" s="8"/>
      <c r="N1432" s="8"/>
      <c r="O1432" s="8"/>
      <c r="P1432" s="8"/>
      <c r="Q1432" s="8"/>
      <c r="R1432" s="8"/>
      <c r="S1432" s="8"/>
      <c r="T1432" s="8"/>
      <c r="U1432" s="8"/>
      <c r="V1432" s="8"/>
      <c r="W1432" s="8"/>
    </row>
    <row r="1433" spans="1:23" ht="15.75" customHeight="1" x14ac:dyDescent="0.25">
      <c r="A1433" s="6" t="s">
        <v>201</v>
      </c>
      <c r="B1433" s="8"/>
      <c r="C1433" s="8"/>
      <c r="D1433" s="8"/>
      <c r="E1433" s="8"/>
      <c r="F1433" s="8"/>
      <c r="G1433" s="8"/>
      <c r="H1433" s="8"/>
      <c r="I1433" s="8"/>
      <c r="J1433" s="8"/>
      <c r="K1433" s="8"/>
      <c r="L1433" s="8"/>
      <c r="M1433" s="8"/>
      <c r="N1433" s="8"/>
      <c r="O1433" s="8"/>
      <c r="P1433" s="8"/>
      <c r="Q1433" s="8"/>
      <c r="R1433" s="8"/>
      <c r="S1433" s="8"/>
      <c r="T1433" s="8"/>
      <c r="U1433" s="8"/>
      <c r="V1433" s="8"/>
      <c r="W1433" s="8"/>
    </row>
    <row r="1434" spans="1:23" ht="15.75" customHeight="1" x14ac:dyDescent="0.25">
      <c r="A1434" s="8" t="s">
        <v>201</v>
      </c>
      <c r="B1434" s="8"/>
      <c r="C1434" s="8"/>
      <c r="D1434" s="8"/>
      <c r="E1434" s="8"/>
      <c r="F1434" s="8"/>
      <c r="G1434" s="8"/>
      <c r="H1434" s="8"/>
      <c r="I1434" s="8"/>
      <c r="J1434" s="8"/>
      <c r="K1434" s="8"/>
      <c r="L1434" s="8"/>
      <c r="M1434" s="8"/>
      <c r="N1434" s="8"/>
      <c r="O1434" s="8"/>
      <c r="P1434" s="8"/>
      <c r="Q1434" s="8"/>
      <c r="R1434" s="8"/>
      <c r="S1434" s="8"/>
      <c r="T1434" s="8"/>
      <c r="U1434" s="8"/>
      <c r="V1434" s="8"/>
      <c r="W1434" s="8"/>
    </row>
    <row r="1435" spans="1:23" ht="15.75" customHeight="1" x14ac:dyDescent="0.25">
      <c r="A1435" s="6" t="s">
        <v>201</v>
      </c>
      <c r="B1435" s="8"/>
      <c r="C1435" s="8"/>
      <c r="D1435" s="8"/>
      <c r="E1435" s="8"/>
      <c r="F1435" s="8"/>
      <c r="G1435" s="8"/>
      <c r="H1435" s="8"/>
      <c r="I1435" s="8"/>
      <c r="J1435" s="8"/>
      <c r="K1435" s="8"/>
      <c r="L1435" s="8"/>
      <c r="M1435" s="8"/>
      <c r="N1435" s="8"/>
      <c r="O1435" s="8"/>
      <c r="P1435" s="8"/>
      <c r="Q1435" s="8"/>
      <c r="R1435" s="8"/>
      <c r="S1435" s="8"/>
      <c r="T1435" s="8"/>
      <c r="U1435" s="8"/>
      <c r="V1435" s="8"/>
      <c r="W1435" s="8"/>
    </row>
    <row r="1436" spans="1:23" ht="15.75" customHeight="1" x14ac:dyDescent="0.25">
      <c r="A1436" s="6" t="s">
        <v>201</v>
      </c>
      <c r="B1436" s="8"/>
      <c r="C1436" s="8"/>
      <c r="D1436" s="8"/>
      <c r="E1436" s="8"/>
      <c r="F1436" s="8"/>
      <c r="G1436" s="8"/>
      <c r="H1436" s="8"/>
      <c r="I1436" s="8"/>
      <c r="J1436" s="8"/>
      <c r="K1436" s="8"/>
      <c r="L1436" s="8"/>
      <c r="M1436" s="8"/>
      <c r="N1436" s="8"/>
      <c r="O1436" s="8"/>
      <c r="P1436" s="8"/>
      <c r="Q1436" s="8"/>
      <c r="R1436" s="8"/>
      <c r="S1436" s="8"/>
      <c r="T1436" s="8"/>
      <c r="U1436" s="8"/>
      <c r="V1436" s="8"/>
      <c r="W1436" s="8"/>
    </row>
    <row r="1437" spans="1:23" ht="15.75" customHeight="1" x14ac:dyDescent="0.25">
      <c r="A1437" s="6" t="s">
        <v>201</v>
      </c>
      <c r="B1437" s="8"/>
      <c r="C1437" s="8"/>
      <c r="D1437" s="8"/>
      <c r="E1437" s="8"/>
      <c r="F1437" s="8"/>
      <c r="G1437" s="8"/>
      <c r="H1437" s="8"/>
      <c r="I1437" s="8"/>
      <c r="J1437" s="8"/>
      <c r="K1437" s="8"/>
      <c r="L1437" s="8"/>
      <c r="M1437" s="8"/>
      <c r="N1437" s="8"/>
      <c r="O1437" s="8"/>
      <c r="P1437" s="8"/>
      <c r="Q1437" s="8"/>
      <c r="R1437" s="8"/>
      <c r="S1437" s="8"/>
      <c r="T1437" s="8"/>
      <c r="U1437" s="8"/>
      <c r="V1437" s="8"/>
      <c r="W1437" s="8"/>
    </row>
    <row r="1438" spans="1:23" ht="15.75" customHeight="1" x14ac:dyDescent="0.25">
      <c r="A1438" s="6" t="s">
        <v>201</v>
      </c>
      <c r="B1438" s="8"/>
      <c r="C1438" s="8"/>
      <c r="D1438" s="8"/>
      <c r="E1438" s="8"/>
      <c r="F1438" s="8"/>
      <c r="G1438" s="8"/>
      <c r="H1438" s="8"/>
      <c r="I1438" s="8"/>
      <c r="J1438" s="8"/>
      <c r="K1438" s="8"/>
      <c r="L1438" s="8"/>
      <c r="M1438" s="8"/>
      <c r="N1438" s="8"/>
      <c r="O1438" s="8"/>
      <c r="P1438" s="8"/>
      <c r="Q1438" s="8"/>
      <c r="R1438" s="8"/>
      <c r="S1438" s="8"/>
      <c r="T1438" s="8"/>
      <c r="U1438" s="8"/>
      <c r="V1438" s="8"/>
      <c r="W1438" s="8"/>
    </row>
    <row r="1439" spans="1:23" ht="15.75" customHeight="1" x14ac:dyDescent="0.25">
      <c r="A1439" s="6" t="s">
        <v>201</v>
      </c>
      <c r="B1439" s="8"/>
      <c r="C1439" s="8"/>
      <c r="D1439" s="8"/>
      <c r="E1439" s="8"/>
      <c r="F1439" s="8"/>
      <c r="G1439" s="8"/>
      <c r="H1439" s="8"/>
      <c r="I1439" s="8"/>
      <c r="J1439" s="8"/>
      <c r="K1439" s="8"/>
      <c r="L1439" s="8"/>
      <c r="M1439" s="8"/>
      <c r="N1439" s="8"/>
      <c r="O1439" s="8"/>
      <c r="P1439" s="8"/>
      <c r="Q1439" s="8"/>
      <c r="R1439" s="8"/>
      <c r="S1439" s="8"/>
      <c r="T1439" s="8"/>
      <c r="U1439" s="8"/>
      <c r="V1439" s="8"/>
      <c r="W1439" s="8"/>
    </row>
    <row r="1440" spans="1:23" ht="15.75" customHeight="1" x14ac:dyDescent="0.25">
      <c r="A1440" s="6" t="s">
        <v>201</v>
      </c>
      <c r="B1440" s="8"/>
      <c r="C1440" s="8"/>
      <c r="D1440" s="8"/>
      <c r="E1440" s="8"/>
      <c r="F1440" s="8"/>
      <c r="G1440" s="8"/>
      <c r="H1440" s="8"/>
      <c r="I1440" s="8"/>
      <c r="J1440" s="8"/>
      <c r="K1440" s="8"/>
      <c r="L1440" s="8"/>
      <c r="M1440" s="8"/>
      <c r="N1440" s="8"/>
      <c r="O1440" s="8"/>
      <c r="P1440" s="8"/>
      <c r="Q1440" s="8"/>
      <c r="R1440" s="8"/>
      <c r="S1440" s="8"/>
      <c r="T1440" s="8"/>
      <c r="U1440" s="8"/>
      <c r="V1440" s="8"/>
      <c r="W1440" s="8"/>
    </row>
    <row r="1441" spans="1:23" ht="15.75" customHeight="1" x14ac:dyDescent="0.25">
      <c r="A1441" s="6" t="s">
        <v>201</v>
      </c>
      <c r="B1441" s="8"/>
      <c r="C1441" s="8"/>
      <c r="D1441" s="8"/>
      <c r="E1441" s="8"/>
      <c r="F1441" s="8"/>
      <c r="G1441" s="8"/>
      <c r="H1441" s="8"/>
      <c r="I1441" s="8"/>
      <c r="J1441" s="8"/>
      <c r="K1441" s="8"/>
      <c r="L1441" s="8"/>
      <c r="M1441" s="8"/>
      <c r="N1441" s="8"/>
      <c r="O1441" s="8"/>
      <c r="P1441" s="8"/>
      <c r="Q1441" s="8"/>
      <c r="R1441" s="8"/>
      <c r="S1441" s="8"/>
      <c r="T1441" s="8"/>
      <c r="U1441" s="8"/>
      <c r="V1441" s="8"/>
      <c r="W1441" s="8"/>
    </row>
    <row r="1442" spans="1:23" ht="15.75" customHeight="1" x14ac:dyDescent="0.25">
      <c r="A1442" s="6" t="s">
        <v>201</v>
      </c>
      <c r="B1442" s="8"/>
      <c r="C1442" s="8"/>
      <c r="D1442" s="8"/>
      <c r="E1442" s="8"/>
      <c r="F1442" s="8"/>
      <c r="G1442" s="8"/>
      <c r="H1442" s="8"/>
      <c r="I1442" s="8"/>
      <c r="J1442" s="8"/>
      <c r="K1442" s="8"/>
      <c r="L1442" s="8"/>
      <c r="M1442" s="8"/>
      <c r="N1442" s="8"/>
      <c r="O1442" s="8"/>
      <c r="P1442" s="8"/>
      <c r="Q1442" s="8"/>
      <c r="R1442" s="8"/>
      <c r="S1442" s="8"/>
      <c r="T1442" s="8"/>
      <c r="U1442" s="8"/>
      <c r="V1442" s="8"/>
      <c r="W1442" s="8"/>
    </row>
    <row r="1443" spans="1:23" ht="15.75" customHeight="1" x14ac:dyDescent="0.25">
      <c r="A1443" s="6" t="s">
        <v>201</v>
      </c>
      <c r="B1443" s="8"/>
      <c r="C1443" s="8"/>
      <c r="D1443" s="8"/>
      <c r="E1443" s="8"/>
      <c r="F1443" s="8"/>
      <c r="G1443" s="8"/>
      <c r="H1443" s="8"/>
      <c r="I1443" s="8"/>
      <c r="J1443" s="8"/>
      <c r="K1443" s="8"/>
      <c r="L1443" s="8"/>
      <c r="M1443" s="8"/>
      <c r="N1443" s="8"/>
      <c r="O1443" s="8"/>
      <c r="P1443" s="8"/>
      <c r="Q1443" s="8"/>
      <c r="R1443" s="8"/>
      <c r="S1443" s="8"/>
      <c r="T1443" s="8"/>
      <c r="U1443" s="8"/>
      <c r="V1443" s="8"/>
      <c r="W1443" s="8"/>
    </row>
    <row r="1444" spans="1:23" ht="15.75" customHeight="1" x14ac:dyDescent="0.25">
      <c r="A1444" s="6" t="s">
        <v>201</v>
      </c>
      <c r="B1444" s="8"/>
      <c r="C1444" s="8"/>
      <c r="D1444" s="8"/>
      <c r="E1444" s="8"/>
      <c r="F1444" s="8"/>
      <c r="G1444" s="8"/>
      <c r="H1444" s="8"/>
      <c r="I1444" s="8"/>
      <c r="J1444" s="8"/>
      <c r="K1444" s="8"/>
      <c r="L1444" s="8"/>
      <c r="M1444" s="8"/>
      <c r="N1444" s="8"/>
      <c r="O1444" s="8"/>
      <c r="P1444" s="8"/>
      <c r="Q1444" s="8"/>
      <c r="R1444" s="8"/>
      <c r="S1444" s="8"/>
      <c r="T1444" s="8"/>
      <c r="U1444" s="8"/>
      <c r="V1444" s="8"/>
      <c r="W1444" s="8"/>
    </row>
    <row r="1445" spans="1:23" ht="15.75" customHeight="1" x14ac:dyDescent="0.25">
      <c r="A1445" s="6" t="s">
        <v>201</v>
      </c>
      <c r="B1445" s="8"/>
      <c r="C1445" s="8"/>
      <c r="D1445" s="8"/>
      <c r="E1445" s="8"/>
      <c r="F1445" s="8"/>
      <c r="G1445" s="8"/>
      <c r="H1445" s="8"/>
      <c r="I1445" s="8"/>
      <c r="J1445" s="8"/>
      <c r="K1445" s="8"/>
      <c r="L1445" s="8"/>
      <c r="M1445" s="8"/>
      <c r="N1445" s="8"/>
      <c r="O1445" s="8"/>
      <c r="P1445" s="8"/>
      <c r="Q1445" s="8"/>
      <c r="R1445" s="8"/>
      <c r="S1445" s="8"/>
      <c r="T1445" s="8"/>
      <c r="U1445" s="8"/>
      <c r="V1445" s="8"/>
      <c r="W1445" s="8"/>
    </row>
    <row r="1446" spans="1:23" ht="15.75" customHeight="1" x14ac:dyDescent="0.25">
      <c r="A1446" s="6" t="s">
        <v>201</v>
      </c>
      <c r="B1446" s="8"/>
      <c r="C1446" s="8"/>
      <c r="D1446" s="8"/>
      <c r="E1446" s="8"/>
      <c r="F1446" s="8"/>
      <c r="G1446" s="8"/>
      <c r="H1446" s="8"/>
      <c r="I1446" s="8"/>
      <c r="J1446" s="8"/>
      <c r="K1446" s="8"/>
      <c r="L1446" s="8"/>
      <c r="M1446" s="8"/>
      <c r="N1446" s="8"/>
      <c r="O1446" s="8"/>
      <c r="P1446" s="8"/>
      <c r="Q1446" s="8"/>
      <c r="R1446" s="8"/>
      <c r="S1446" s="8"/>
      <c r="T1446" s="8"/>
      <c r="U1446" s="8"/>
      <c r="V1446" s="8"/>
      <c r="W1446" s="8"/>
    </row>
    <row r="1447" spans="1:23" ht="15.75" customHeight="1" x14ac:dyDescent="0.25">
      <c r="A1447" s="6" t="s">
        <v>201</v>
      </c>
      <c r="B1447" s="8"/>
      <c r="C1447" s="8"/>
      <c r="D1447" s="8"/>
      <c r="E1447" s="8"/>
      <c r="F1447" s="8"/>
      <c r="G1447" s="8"/>
      <c r="H1447" s="8"/>
      <c r="I1447" s="8"/>
      <c r="J1447" s="8"/>
      <c r="K1447" s="8"/>
      <c r="L1447" s="8"/>
      <c r="M1447" s="8"/>
      <c r="N1447" s="8"/>
      <c r="O1447" s="8"/>
      <c r="P1447" s="8"/>
      <c r="Q1447" s="8"/>
      <c r="R1447" s="8"/>
      <c r="S1447" s="8"/>
      <c r="T1447" s="8"/>
      <c r="U1447" s="8"/>
      <c r="V1447" s="8"/>
      <c r="W1447" s="8"/>
    </row>
    <row r="1448" spans="1:23" ht="15.75" customHeight="1" x14ac:dyDescent="0.25">
      <c r="A1448" s="6" t="s">
        <v>201</v>
      </c>
      <c r="B1448" s="8"/>
      <c r="C1448" s="8"/>
      <c r="D1448" s="8"/>
      <c r="E1448" s="8"/>
      <c r="F1448" s="8"/>
      <c r="G1448" s="8"/>
      <c r="H1448" s="8"/>
      <c r="I1448" s="8"/>
      <c r="J1448" s="8"/>
      <c r="K1448" s="8"/>
      <c r="L1448" s="8"/>
      <c r="M1448" s="8"/>
      <c r="N1448" s="8"/>
      <c r="O1448" s="8"/>
      <c r="P1448" s="8"/>
      <c r="Q1448" s="8"/>
      <c r="R1448" s="8"/>
      <c r="S1448" s="8"/>
      <c r="T1448" s="8"/>
      <c r="U1448" s="8"/>
      <c r="V1448" s="8"/>
      <c r="W1448" s="8"/>
    </row>
    <row r="1449" spans="1:23" ht="15.75" customHeight="1" x14ac:dyDescent="0.25">
      <c r="A1449" s="6" t="s">
        <v>201</v>
      </c>
      <c r="B1449" s="8"/>
      <c r="C1449" s="8"/>
      <c r="D1449" s="8"/>
      <c r="E1449" s="8"/>
      <c r="F1449" s="8"/>
      <c r="G1449" s="8"/>
      <c r="H1449" s="8"/>
      <c r="I1449" s="8"/>
      <c r="J1449" s="8"/>
      <c r="K1449" s="8"/>
      <c r="L1449" s="8"/>
      <c r="M1449" s="8"/>
      <c r="N1449" s="8"/>
      <c r="O1449" s="8"/>
      <c r="P1449" s="8"/>
      <c r="Q1449" s="8"/>
      <c r="R1449" s="8"/>
      <c r="S1449" s="8"/>
      <c r="T1449" s="8"/>
      <c r="U1449" s="8"/>
      <c r="V1449" s="8"/>
      <c r="W1449" s="8"/>
    </row>
    <row r="1450" spans="1:23" ht="15.75" customHeight="1" x14ac:dyDescent="0.25">
      <c r="A1450" s="6" t="s">
        <v>201</v>
      </c>
      <c r="B1450" s="8"/>
      <c r="C1450" s="8"/>
      <c r="D1450" s="8"/>
      <c r="E1450" s="8"/>
      <c r="F1450" s="8"/>
      <c r="G1450" s="8"/>
      <c r="H1450" s="8"/>
      <c r="I1450" s="8"/>
      <c r="J1450" s="8"/>
      <c r="K1450" s="8"/>
      <c r="L1450" s="8"/>
      <c r="M1450" s="8"/>
      <c r="N1450" s="8"/>
      <c r="O1450" s="8"/>
      <c r="P1450" s="8"/>
      <c r="Q1450" s="8"/>
      <c r="R1450" s="8"/>
      <c r="S1450" s="8"/>
      <c r="T1450" s="8"/>
      <c r="U1450" s="8"/>
      <c r="V1450" s="8"/>
      <c r="W1450" s="8"/>
    </row>
    <row r="1451" spans="1:23" ht="15.75" customHeight="1" x14ac:dyDescent="0.25">
      <c r="A1451" s="6" t="s">
        <v>201</v>
      </c>
      <c r="B1451" s="8"/>
      <c r="C1451" s="8"/>
      <c r="D1451" s="8"/>
      <c r="E1451" s="8"/>
      <c r="F1451" s="8"/>
      <c r="G1451" s="8"/>
      <c r="H1451" s="8"/>
      <c r="I1451" s="8"/>
      <c r="J1451" s="8"/>
      <c r="K1451" s="8"/>
      <c r="L1451" s="8"/>
      <c r="M1451" s="8"/>
      <c r="N1451" s="8"/>
      <c r="O1451" s="8"/>
      <c r="P1451" s="8"/>
      <c r="Q1451" s="8"/>
      <c r="R1451" s="8"/>
      <c r="S1451" s="8"/>
      <c r="T1451" s="8"/>
      <c r="U1451" s="8"/>
      <c r="V1451" s="8"/>
      <c r="W1451" s="8"/>
    </row>
    <row r="1452" spans="1:23" ht="15.75" customHeight="1" x14ac:dyDescent="0.25">
      <c r="A1452" s="6" t="s">
        <v>201</v>
      </c>
      <c r="B1452" s="8"/>
      <c r="C1452" s="8"/>
      <c r="D1452" s="8"/>
      <c r="E1452" s="8"/>
      <c r="F1452" s="8"/>
      <c r="G1452" s="8"/>
      <c r="H1452" s="8"/>
      <c r="I1452" s="8"/>
      <c r="J1452" s="8"/>
      <c r="K1452" s="8"/>
      <c r="L1452" s="8"/>
      <c r="M1452" s="8"/>
      <c r="N1452" s="8"/>
      <c r="O1452" s="8"/>
      <c r="P1452" s="8"/>
      <c r="Q1452" s="8"/>
      <c r="R1452" s="8"/>
      <c r="S1452" s="8"/>
      <c r="T1452" s="8"/>
      <c r="U1452" s="8"/>
      <c r="V1452" s="8"/>
      <c r="W1452" s="8"/>
    </row>
    <row r="1453" spans="1:23" ht="15.75" customHeight="1" x14ac:dyDescent="0.25">
      <c r="A1453" s="6" t="s">
        <v>201</v>
      </c>
      <c r="B1453" s="8"/>
      <c r="C1453" s="8"/>
      <c r="D1453" s="8"/>
      <c r="E1453" s="8"/>
      <c r="F1453" s="8"/>
      <c r="G1453" s="8"/>
      <c r="H1453" s="8"/>
      <c r="I1453" s="8"/>
      <c r="J1453" s="8"/>
      <c r="K1453" s="8"/>
      <c r="L1453" s="8"/>
      <c r="M1453" s="8"/>
      <c r="N1453" s="8"/>
      <c r="O1453" s="8"/>
      <c r="P1453" s="8"/>
      <c r="Q1453" s="8"/>
      <c r="R1453" s="8"/>
      <c r="S1453" s="8"/>
      <c r="T1453" s="8"/>
      <c r="U1453" s="8"/>
      <c r="V1453" s="8"/>
      <c r="W1453" s="8"/>
    </row>
    <row r="1454" spans="1:23" ht="15.75" customHeight="1" x14ac:dyDescent="0.25">
      <c r="A1454" s="6" t="s">
        <v>201</v>
      </c>
      <c r="B1454" s="8"/>
      <c r="C1454" s="8"/>
      <c r="D1454" s="8"/>
      <c r="E1454" s="8"/>
      <c r="F1454" s="8"/>
      <c r="G1454" s="8"/>
      <c r="H1454" s="8"/>
      <c r="I1454" s="8"/>
      <c r="J1454" s="8"/>
      <c r="K1454" s="8"/>
      <c r="L1454" s="8"/>
      <c r="M1454" s="8"/>
      <c r="N1454" s="8"/>
      <c r="O1454" s="8"/>
      <c r="P1454" s="8"/>
      <c r="Q1454" s="8"/>
      <c r="R1454" s="8"/>
      <c r="S1454" s="8"/>
      <c r="T1454" s="8"/>
      <c r="U1454" s="8"/>
      <c r="V1454" s="8"/>
      <c r="W1454" s="8"/>
    </row>
    <row r="1455" spans="1:23" ht="15.75" customHeight="1" x14ac:dyDescent="0.25">
      <c r="A1455" s="6" t="s">
        <v>201</v>
      </c>
      <c r="B1455" s="8"/>
      <c r="C1455" s="8"/>
      <c r="D1455" s="8"/>
      <c r="E1455" s="8"/>
      <c r="F1455" s="8"/>
      <c r="G1455" s="8"/>
      <c r="H1455" s="8"/>
      <c r="I1455" s="8"/>
      <c r="J1455" s="8"/>
      <c r="K1455" s="8"/>
      <c r="L1455" s="8"/>
      <c r="M1455" s="8"/>
      <c r="N1455" s="8"/>
      <c r="O1455" s="8"/>
      <c r="P1455" s="8"/>
      <c r="Q1455" s="8"/>
      <c r="R1455" s="8"/>
      <c r="S1455" s="8"/>
      <c r="T1455" s="8"/>
      <c r="U1455" s="8"/>
      <c r="V1455" s="8"/>
      <c r="W1455" s="8"/>
    </row>
    <row r="1456" spans="1:23" ht="15.75" customHeight="1" x14ac:dyDescent="0.25">
      <c r="A1456" s="6" t="s">
        <v>201</v>
      </c>
      <c r="B1456" s="8"/>
      <c r="C1456" s="8"/>
      <c r="D1456" s="8"/>
      <c r="E1456" s="8"/>
      <c r="F1456" s="8"/>
      <c r="G1456" s="8"/>
      <c r="H1456" s="8"/>
      <c r="I1456" s="8"/>
      <c r="J1456" s="8"/>
      <c r="K1456" s="8"/>
      <c r="L1456" s="8"/>
      <c r="M1456" s="8"/>
      <c r="N1456" s="8"/>
      <c r="O1456" s="8"/>
      <c r="P1456" s="8"/>
      <c r="Q1456" s="8"/>
      <c r="R1456" s="8"/>
      <c r="S1456" s="8"/>
      <c r="T1456" s="8"/>
      <c r="U1456" s="8"/>
      <c r="V1456" s="8"/>
      <c r="W1456" s="8"/>
    </row>
    <row r="1457" spans="1:23" ht="15.75" customHeight="1" x14ac:dyDescent="0.25">
      <c r="A1457" s="6" t="s">
        <v>201</v>
      </c>
      <c r="B1457" s="8"/>
      <c r="C1457" s="8"/>
      <c r="D1457" s="8"/>
      <c r="E1457" s="8"/>
      <c r="F1457" s="8"/>
      <c r="G1457" s="8"/>
      <c r="H1457" s="8"/>
      <c r="I1457" s="8"/>
      <c r="J1457" s="8"/>
      <c r="K1457" s="8"/>
      <c r="L1457" s="8"/>
      <c r="M1457" s="8"/>
      <c r="N1457" s="8"/>
      <c r="O1457" s="8"/>
      <c r="P1457" s="8"/>
      <c r="Q1457" s="8"/>
      <c r="R1457" s="8"/>
      <c r="S1457" s="8"/>
      <c r="T1457" s="8"/>
      <c r="U1457" s="8"/>
      <c r="V1457" s="8"/>
      <c r="W1457" s="8"/>
    </row>
    <row r="1458" spans="1:23" ht="15.75" customHeight="1" x14ac:dyDescent="0.25">
      <c r="A1458" s="6" t="s">
        <v>201</v>
      </c>
      <c r="B1458" s="8"/>
      <c r="C1458" s="8"/>
      <c r="D1458" s="8"/>
      <c r="E1458" s="8"/>
      <c r="F1458" s="8"/>
      <c r="G1458" s="8"/>
      <c r="H1458" s="8"/>
      <c r="I1458" s="8"/>
      <c r="J1458" s="8"/>
      <c r="K1458" s="8"/>
      <c r="L1458" s="8"/>
      <c r="M1458" s="8"/>
      <c r="N1458" s="8"/>
      <c r="O1458" s="8"/>
      <c r="P1458" s="8"/>
      <c r="Q1458" s="8"/>
      <c r="R1458" s="8"/>
      <c r="S1458" s="8"/>
      <c r="T1458" s="8"/>
      <c r="U1458" s="8"/>
      <c r="V1458" s="8"/>
      <c r="W1458" s="8"/>
    </row>
    <row r="1459" spans="1:23" ht="15.75" customHeight="1" x14ac:dyDescent="0.25">
      <c r="A1459" s="6" t="s">
        <v>201</v>
      </c>
      <c r="B1459" s="8"/>
      <c r="C1459" s="8"/>
      <c r="D1459" s="8"/>
      <c r="E1459" s="8"/>
      <c r="F1459" s="8"/>
      <c r="G1459" s="8"/>
      <c r="H1459" s="8"/>
      <c r="I1459" s="8"/>
      <c r="J1459" s="8"/>
      <c r="K1459" s="8"/>
      <c r="L1459" s="8"/>
      <c r="M1459" s="8"/>
      <c r="N1459" s="8"/>
      <c r="O1459" s="8"/>
      <c r="P1459" s="8"/>
      <c r="Q1459" s="8"/>
      <c r="R1459" s="8"/>
      <c r="S1459" s="8"/>
      <c r="T1459" s="8"/>
      <c r="U1459" s="8"/>
      <c r="V1459" s="8"/>
      <c r="W1459" s="8"/>
    </row>
    <row r="1460" spans="1:23" ht="15.75" customHeight="1" x14ac:dyDescent="0.25">
      <c r="A1460" s="6" t="s">
        <v>201</v>
      </c>
      <c r="B1460" s="8"/>
      <c r="C1460" s="8"/>
      <c r="D1460" s="8"/>
      <c r="E1460" s="8"/>
      <c r="F1460" s="8"/>
      <c r="G1460" s="8"/>
      <c r="H1460" s="8"/>
      <c r="I1460" s="8"/>
      <c r="J1460" s="8"/>
      <c r="K1460" s="8"/>
      <c r="L1460" s="8"/>
      <c r="M1460" s="8"/>
      <c r="N1460" s="8"/>
      <c r="O1460" s="8"/>
      <c r="P1460" s="8"/>
      <c r="Q1460" s="8"/>
      <c r="R1460" s="8"/>
      <c r="S1460" s="8"/>
      <c r="T1460" s="8"/>
      <c r="U1460" s="8"/>
      <c r="V1460" s="8"/>
      <c r="W1460" s="8"/>
    </row>
    <row r="1461" spans="1:23" ht="15.75" customHeight="1" x14ac:dyDescent="0.25">
      <c r="A1461" s="6" t="s">
        <v>201</v>
      </c>
      <c r="B1461" s="8"/>
      <c r="C1461" s="8"/>
      <c r="D1461" s="8"/>
      <c r="E1461" s="8"/>
      <c r="F1461" s="8"/>
      <c r="G1461" s="8"/>
      <c r="H1461" s="8"/>
      <c r="I1461" s="8"/>
      <c r="J1461" s="8"/>
      <c r="K1461" s="8"/>
      <c r="L1461" s="8"/>
      <c r="M1461" s="8"/>
      <c r="N1461" s="8"/>
      <c r="O1461" s="8"/>
      <c r="P1461" s="8"/>
      <c r="Q1461" s="8"/>
      <c r="R1461" s="8"/>
      <c r="S1461" s="8"/>
      <c r="T1461" s="8"/>
      <c r="U1461" s="8"/>
      <c r="V1461" s="8"/>
      <c r="W1461" s="8"/>
    </row>
    <row r="1462" spans="1:23" ht="15.75" customHeight="1" x14ac:dyDescent="0.25">
      <c r="A1462" s="6" t="s">
        <v>201</v>
      </c>
      <c r="B1462" s="8"/>
      <c r="C1462" s="8"/>
      <c r="D1462" s="8"/>
      <c r="E1462" s="8"/>
      <c r="F1462" s="8"/>
      <c r="G1462" s="8"/>
      <c r="H1462" s="8"/>
      <c r="I1462" s="8"/>
      <c r="J1462" s="8"/>
      <c r="K1462" s="8"/>
      <c r="L1462" s="8"/>
      <c r="M1462" s="8"/>
      <c r="N1462" s="8"/>
      <c r="O1462" s="8"/>
      <c r="P1462" s="8"/>
      <c r="Q1462" s="8"/>
      <c r="R1462" s="8"/>
      <c r="S1462" s="8"/>
      <c r="T1462" s="8"/>
      <c r="U1462" s="8"/>
      <c r="V1462" s="8"/>
      <c r="W1462" s="8"/>
    </row>
    <row r="1463" spans="1:23" ht="15.75" customHeight="1" x14ac:dyDescent="0.25">
      <c r="A1463" s="6" t="s">
        <v>201</v>
      </c>
      <c r="B1463" s="8"/>
      <c r="C1463" s="8"/>
      <c r="D1463" s="8"/>
      <c r="E1463" s="8"/>
      <c r="F1463" s="8"/>
      <c r="G1463" s="8"/>
      <c r="H1463" s="8"/>
      <c r="I1463" s="8"/>
      <c r="J1463" s="8"/>
      <c r="K1463" s="8"/>
      <c r="L1463" s="8"/>
      <c r="M1463" s="8"/>
      <c r="N1463" s="8"/>
      <c r="O1463" s="8"/>
      <c r="P1463" s="8"/>
      <c r="Q1463" s="8"/>
      <c r="R1463" s="8"/>
      <c r="S1463" s="8"/>
      <c r="T1463" s="8"/>
      <c r="U1463" s="8"/>
      <c r="V1463" s="8"/>
      <c r="W1463" s="8"/>
    </row>
    <row r="1464" spans="1:23" ht="15.75" customHeight="1" x14ac:dyDescent="0.25">
      <c r="A1464" s="6" t="s">
        <v>3505</v>
      </c>
      <c r="B1464" s="8"/>
      <c r="C1464" s="8"/>
      <c r="D1464" s="8"/>
      <c r="E1464" s="8"/>
      <c r="F1464" s="8"/>
      <c r="G1464" s="8"/>
      <c r="H1464" s="8"/>
      <c r="I1464" s="8"/>
      <c r="J1464" s="8"/>
      <c r="K1464" s="8"/>
      <c r="L1464" s="8"/>
      <c r="M1464" s="8"/>
      <c r="N1464" s="8"/>
      <c r="O1464" s="8"/>
      <c r="P1464" s="8"/>
      <c r="Q1464" s="8"/>
      <c r="R1464" s="8"/>
      <c r="S1464" s="8"/>
      <c r="T1464" s="8"/>
      <c r="U1464" s="8"/>
      <c r="V1464" s="8"/>
      <c r="W1464" s="8"/>
    </row>
    <row r="1465" spans="1:23" ht="15.75" customHeight="1" x14ac:dyDescent="0.25">
      <c r="A1465" s="6" t="s">
        <v>3505</v>
      </c>
      <c r="B1465" s="8"/>
      <c r="C1465" s="8"/>
      <c r="D1465" s="8"/>
      <c r="E1465" s="8"/>
      <c r="F1465" s="8"/>
      <c r="G1465" s="8"/>
      <c r="H1465" s="8"/>
      <c r="I1465" s="8"/>
      <c r="J1465" s="8"/>
      <c r="K1465" s="8"/>
      <c r="L1465" s="8"/>
      <c r="M1465" s="8"/>
      <c r="N1465" s="8"/>
      <c r="O1465" s="8"/>
      <c r="P1465" s="8"/>
      <c r="Q1465" s="8"/>
      <c r="R1465" s="8"/>
      <c r="S1465" s="8"/>
      <c r="T1465" s="8"/>
      <c r="U1465" s="8"/>
      <c r="V1465" s="8"/>
      <c r="W1465" s="8"/>
    </row>
    <row r="1466" spans="1:23" ht="15.75" customHeight="1" x14ac:dyDescent="0.25">
      <c r="A1466" s="6" t="s">
        <v>3505</v>
      </c>
      <c r="B1466" s="8"/>
      <c r="C1466" s="8"/>
      <c r="D1466" s="8"/>
      <c r="E1466" s="8"/>
      <c r="F1466" s="8"/>
      <c r="G1466" s="8"/>
      <c r="H1466" s="8"/>
      <c r="I1466" s="8"/>
      <c r="J1466" s="8"/>
      <c r="K1466" s="8"/>
      <c r="L1466" s="8"/>
      <c r="M1466" s="8"/>
      <c r="N1466" s="8"/>
      <c r="O1466" s="8"/>
      <c r="P1466" s="8"/>
      <c r="Q1466" s="8"/>
      <c r="R1466" s="8"/>
      <c r="S1466" s="8"/>
      <c r="T1466" s="8"/>
      <c r="U1466" s="8"/>
      <c r="V1466" s="8"/>
      <c r="W1466" s="8"/>
    </row>
    <row r="1467" spans="1:23" ht="15.75" customHeight="1" x14ac:dyDescent="0.25">
      <c r="A1467" s="6" t="s">
        <v>3505</v>
      </c>
      <c r="B1467" s="8"/>
      <c r="C1467" s="8"/>
      <c r="D1467" s="8"/>
      <c r="E1467" s="8"/>
      <c r="F1467" s="8"/>
      <c r="G1467" s="8"/>
      <c r="H1467" s="8"/>
      <c r="I1467" s="8"/>
      <c r="J1467" s="8"/>
      <c r="K1467" s="8"/>
      <c r="L1467" s="8"/>
      <c r="M1467" s="8"/>
      <c r="N1467" s="8"/>
      <c r="O1467" s="8"/>
      <c r="P1467" s="8"/>
      <c r="Q1467" s="8"/>
      <c r="R1467" s="8"/>
      <c r="S1467" s="8"/>
      <c r="T1467" s="8"/>
      <c r="U1467" s="8"/>
      <c r="V1467" s="8"/>
      <c r="W1467" s="8"/>
    </row>
    <row r="1468" spans="1:23" ht="15.75" customHeight="1" x14ac:dyDescent="0.25">
      <c r="A1468" s="6" t="s">
        <v>3505</v>
      </c>
      <c r="B1468" s="8"/>
      <c r="C1468" s="8"/>
      <c r="D1468" s="8"/>
      <c r="E1468" s="8"/>
      <c r="F1468" s="8"/>
      <c r="G1468" s="8"/>
      <c r="H1468" s="8"/>
      <c r="I1468" s="8"/>
      <c r="J1468" s="8"/>
      <c r="K1468" s="8"/>
      <c r="L1468" s="8"/>
      <c r="M1468" s="8"/>
      <c r="N1468" s="8"/>
      <c r="O1468" s="8"/>
      <c r="P1468" s="8"/>
      <c r="Q1468" s="8"/>
      <c r="R1468" s="8"/>
      <c r="S1468" s="8"/>
      <c r="T1468" s="8"/>
      <c r="U1468" s="8"/>
      <c r="V1468" s="8"/>
      <c r="W1468" s="8"/>
    </row>
    <row r="1469" spans="1:23" ht="15.75" customHeight="1" x14ac:dyDescent="0.25">
      <c r="A1469" s="6" t="s">
        <v>3505</v>
      </c>
      <c r="B1469" s="8"/>
      <c r="C1469" s="8"/>
      <c r="D1469" s="8"/>
      <c r="E1469" s="8"/>
      <c r="F1469" s="8"/>
      <c r="G1469" s="8"/>
      <c r="H1469" s="8"/>
      <c r="I1469" s="8"/>
      <c r="J1469" s="8"/>
      <c r="K1469" s="8"/>
      <c r="L1469" s="8"/>
      <c r="M1469" s="8"/>
      <c r="N1469" s="8"/>
      <c r="O1469" s="8"/>
      <c r="P1469" s="8"/>
      <c r="Q1469" s="8"/>
      <c r="R1469" s="8"/>
      <c r="S1469" s="8"/>
      <c r="T1469" s="8"/>
      <c r="U1469" s="8"/>
      <c r="V1469" s="8"/>
      <c r="W1469" s="8"/>
    </row>
    <row r="1470" spans="1:23" ht="15.75" customHeight="1" x14ac:dyDescent="0.25">
      <c r="A1470" s="6" t="s">
        <v>3721</v>
      </c>
      <c r="B1470" s="8"/>
      <c r="C1470" s="8"/>
      <c r="D1470" s="8"/>
      <c r="E1470" s="8"/>
      <c r="F1470" s="8"/>
      <c r="G1470" s="8"/>
      <c r="H1470" s="8"/>
      <c r="I1470" s="8"/>
      <c r="J1470" s="8"/>
      <c r="K1470" s="8"/>
      <c r="L1470" s="8"/>
      <c r="M1470" s="8"/>
      <c r="N1470" s="8"/>
      <c r="O1470" s="8"/>
      <c r="P1470" s="8"/>
      <c r="Q1470" s="8"/>
      <c r="R1470" s="8"/>
      <c r="S1470" s="8"/>
      <c r="T1470" s="8"/>
      <c r="U1470" s="8"/>
      <c r="V1470" s="8"/>
      <c r="W1470" s="8"/>
    </row>
    <row r="1471" spans="1:23" ht="15.75" customHeight="1" x14ac:dyDescent="0.25">
      <c r="A1471" s="8" t="s">
        <v>3721</v>
      </c>
      <c r="B1471" s="8"/>
      <c r="C1471" s="8"/>
      <c r="D1471" s="8"/>
      <c r="E1471" s="8"/>
      <c r="F1471" s="8"/>
      <c r="G1471" s="8"/>
      <c r="H1471" s="8"/>
      <c r="I1471" s="8"/>
      <c r="J1471" s="8"/>
      <c r="K1471" s="8"/>
      <c r="L1471" s="8"/>
      <c r="M1471" s="8"/>
      <c r="N1471" s="8"/>
      <c r="O1471" s="8"/>
      <c r="P1471" s="8"/>
      <c r="Q1471" s="8"/>
      <c r="R1471" s="8"/>
      <c r="S1471" s="8"/>
      <c r="T1471" s="8"/>
      <c r="U1471" s="8"/>
      <c r="V1471" s="8"/>
      <c r="W1471" s="8"/>
    </row>
    <row r="1472" spans="1:23" ht="15.75" customHeight="1" x14ac:dyDescent="0.25">
      <c r="A1472" s="6" t="s">
        <v>3721</v>
      </c>
      <c r="B1472" s="8"/>
      <c r="C1472" s="8"/>
      <c r="D1472" s="8"/>
      <c r="E1472" s="8"/>
      <c r="F1472" s="8"/>
      <c r="G1472" s="8"/>
      <c r="H1472" s="8"/>
      <c r="I1472" s="8"/>
      <c r="J1472" s="8"/>
      <c r="K1472" s="8"/>
      <c r="L1472" s="8"/>
      <c r="M1472" s="8"/>
      <c r="N1472" s="8"/>
      <c r="O1472" s="8"/>
      <c r="P1472" s="8"/>
      <c r="Q1472" s="8"/>
      <c r="R1472" s="8"/>
      <c r="S1472" s="8"/>
      <c r="T1472" s="8"/>
      <c r="U1472" s="8"/>
      <c r="V1472" s="8"/>
      <c r="W1472" s="8"/>
    </row>
    <row r="1473" spans="1:23" ht="15.75" customHeight="1" x14ac:dyDescent="0.25">
      <c r="A1473" s="6" t="s">
        <v>4215</v>
      </c>
      <c r="B1473" s="8"/>
      <c r="C1473" s="8"/>
      <c r="D1473" s="8"/>
      <c r="E1473" s="8"/>
      <c r="F1473" s="8"/>
      <c r="G1473" s="8"/>
      <c r="H1473" s="8"/>
      <c r="I1473" s="8"/>
      <c r="J1473" s="8"/>
      <c r="K1473" s="8"/>
      <c r="L1473" s="8"/>
      <c r="M1473" s="8"/>
      <c r="N1473" s="8"/>
      <c r="O1473" s="8"/>
      <c r="P1473" s="8"/>
      <c r="Q1473" s="8"/>
      <c r="R1473" s="8"/>
      <c r="S1473" s="8"/>
      <c r="T1473" s="8"/>
      <c r="U1473" s="8"/>
      <c r="V1473" s="8"/>
      <c r="W1473" s="8"/>
    </row>
    <row r="1474" spans="1:23" ht="15.75" customHeight="1" x14ac:dyDescent="0.25">
      <c r="A1474" s="6" t="s">
        <v>3905</v>
      </c>
      <c r="B1474" s="8"/>
      <c r="C1474" s="8"/>
      <c r="D1474" s="8"/>
      <c r="E1474" s="8"/>
      <c r="F1474" s="8"/>
      <c r="G1474" s="8"/>
      <c r="H1474" s="8"/>
      <c r="I1474" s="8"/>
      <c r="J1474" s="8"/>
      <c r="K1474" s="8"/>
      <c r="L1474" s="8"/>
      <c r="M1474" s="8"/>
      <c r="N1474" s="8"/>
      <c r="O1474" s="8"/>
      <c r="P1474" s="8"/>
      <c r="Q1474" s="8"/>
      <c r="R1474" s="8"/>
      <c r="S1474" s="8"/>
      <c r="T1474" s="8"/>
      <c r="U1474" s="8"/>
      <c r="V1474" s="8"/>
      <c r="W1474" s="8"/>
    </row>
    <row r="1475" spans="1:23" ht="15.75" customHeight="1" x14ac:dyDescent="0.25">
      <c r="A1475" s="6" t="s">
        <v>3905</v>
      </c>
      <c r="B1475" s="8"/>
      <c r="C1475" s="8"/>
      <c r="D1475" s="8"/>
      <c r="E1475" s="8"/>
      <c r="F1475" s="8"/>
      <c r="G1475" s="8"/>
      <c r="H1475" s="8"/>
      <c r="I1475" s="8"/>
      <c r="J1475" s="8"/>
      <c r="K1475" s="8"/>
      <c r="L1475" s="8"/>
      <c r="M1475" s="8"/>
      <c r="N1475" s="8"/>
      <c r="O1475" s="8"/>
      <c r="P1475" s="8"/>
      <c r="Q1475" s="8"/>
      <c r="R1475" s="8"/>
      <c r="S1475" s="8"/>
      <c r="T1475" s="8"/>
      <c r="U1475" s="8"/>
      <c r="V1475" s="8"/>
      <c r="W1475" s="8"/>
    </row>
    <row r="1476" spans="1:23" ht="15.75" customHeight="1" x14ac:dyDescent="0.25">
      <c r="A1476" s="6" t="s">
        <v>3723</v>
      </c>
      <c r="B1476" s="8"/>
      <c r="C1476" s="8"/>
      <c r="D1476" s="8"/>
      <c r="E1476" s="8"/>
      <c r="F1476" s="8"/>
      <c r="G1476" s="8"/>
      <c r="H1476" s="8"/>
      <c r="I1476" s="8"/>
      <c r="J1476" s="8"/>
      <c r="K1476" s="8"/>
      <c r="L1476" s="8"/>
      <c r="M1476" s="8"/>
      <c r="N1476" s="8"/>
      <c r="O1476" s="8"/>
      <c r="P1476" s="8"/>
      <c r="Q1476" s="8"/>
      <c r="R1476" s="8"/>
      <c r="S1476" s="8"/>
      <c r="T1476" s="8"/>
      <c r="U1476" s="8"/>
      <c r="V1476" s="8"/>
      <c r="W1476" s="8"/>
    </row>
    <row r="1477" spans="1:23" ht="15.75" customHeight="1" x14ac:dyDescent="0.25">
      <c r="A1477" s="6" t="s">
        <v>3723</v>
      </c>
      <c r="B1477" s="8"/>
      <c r="C1477" s="8"/>
      <c r="D1477" s="8"/>
      <c r="E1477" s="8"/>
      <c r="F1477" s="8"/>
      <c r="G1477" s="8"/>
      <c r="H1477" s="8"/>
      <c r="I1477" s="8"/>
      <c r="J1477" s="8"/>
      <c r="K1477" s="8"/>
      <c r="L1477" s="8"/>
      <c r="M1477" s="8"/>
      <c r="N1477" s="8"/>
      <c r="O1477" s="8"/>
      <c r="P1477" s="8"/>
      <c r="Q1477" s="8"/>
      <c r="R1477" s="8"/>
      <c r="S1477" s="8"/>
      <c r="T1477" s="8"/>
      <c r="U1477" s="8"/>
      <c r="V1477" s="8"/>
      <c r="W1477" s="8"/>
    </row>
    <row r="1478" spans="1:23" ht="15.75" customHeight="1" x14ac:dyDescent="0.25">
      <c r="A1478" s="6" t="s">
        <v>3723</v>
      </c>
      <c r="B1478" s="8"/>
      <c r="C1478" s="8"/>
      <c r="D1478" s="8"/>
      <c r="E1478" s="8"/>
      <c r="F1478" s="8"/>
      <c r="G1478" s="8"/>
      <c r="H1478" s="8"/>
      <c r="I1478" s="8"/>
      <c r="J1478" s="8"/>
      <c r="K1478" s="8"/>
      <c r="L1478" s="8"/>
      <c r="M1478" s="8"/>
      <c r="N1478" s="8"/>
      <c r="O1478" s="8"/>
      <c r="P1478" s="8"/>
      <c r="Q1478" s="8"/>
      <c r="R1478" s="8"/>
      <c r="S1478" s="8"/>
      <c r="T1478" s="8"/>
      <c r="U1478" s="8"/>
      <c r="V1478" s="8"/>
      <c r="W1478" s="8"/>
    </row>
    <row r="1479" spans="1:23" ht="15.75" customHeight="1" x14ac:dyDescent="0.25">
      <c r="A1479" s="6" t="s">
        <v>4216</v>
      </c>
      <c r="B1479" s="8"/>
      <c r="C1479" s="8"/>
      <c r="D1479" s="8"/>
      <c r="E1479" s="8"/>
      <c r="F1479" s="8"/>
      <c r="G1479" s="8"/>
      <c r="H1479" s="8"/>
      <c r="I1479" s="8"/>
      <c r="J1479" s="8"/>
      <c r="K1479" s="8"/>
      <c r="L1479" s="8"/>
      <c r="M1479" s="8"/>
      <c r="N1479" s="8"/>
      <c r="O1479" s="8"/>
      <c r="P1479" s="8"/>
      <c r="Q1479" s="8"/>
      <c r="R1479" s="8"/>
      <c r="S1479" s="8"/>
      <c r="T1479" s="8"/>
      <c r="U1479" s="8"/>
      <c r="V1479" s="8"/>
      <c r="W1479" s="8"/>
    </row>
    <row r="1480" spans="1:23" ht="15.75" customHeight="1" x14ac:dyDescent="0.25">
      <c r="A1480" s="6" t="s">
        <v>4217</v>
      </c>
      <c r="B1480" s="8"/>
      <c r="C1480" s="8"/>
      <c r="D1480" s="8"/>
      <c r="E1480" s="8"/>
      <c r="F1480" s="8"/>
      <c r="G1480" s="8"/>
      <c r="H1480" s="8"/>
      <c r="I1480" s="8"/>
      <c r="J1480" s="8"/>
      <c r="K1480" s="8"/>
      <c r="L1480" s="8"/>
      <c r="M1480" s="8"/>
      <c r="N1480" s="8"/>
      <c r="O1480" s="8"/>
      <c r="P1480" s="8"/>
      <c r="Q1480" s="8"/>
      <c r="R1480" s="8"/>
      <c r="S1480" s="8"/>
      <c r="T1480" s="8"/>
      <c r="U1480" s="8"/>
      <c r="V1480" s="8"/>
      <c r="W1480" s="8"/>
    </row>
    <row r="1481" spans="1:23" ht="15.75" customHeight="1" x14ac:dyDescent="0.25">
      <c r="A1481" s="6" t="s">
        <v>3630</v>
      </c>
      <c r="B1481" s="8"/>
      <c r="C1481" s="8"/>
      <c r="D1481" s="8"/>
      <c r="E1481" s="8"/>
      <c r="F1481" s="8"/>
      <c r="G1481" s="8"/>
      <c r="H1481" s="8"/>
      <c r="I1481" s="8"/>
      <c r="J1481" s="8"/>
      <c r="K1481" s="8"/>
      <c r="L1481" s="8"/>
      <c r="M1481" s="8"/>
      <c r="N1481" s="8"/>
      <c r="O1481" s="8"/>
      <c r="P1481" s="8"/>
      <c r="Q1481" s="8"/>
      <c r="R1481" s="8"/>
      <c r="S1481" s="8"/>
      <c r="T1481" s="8"/>
      <c r="U1481" s="8"/>
      <c r="V1481" s="8"/>
      <c r="W1481" s="8"/>
    </row>
    <row r="1482" spans="1:23" ht="15.75" customHeight="1" x14ac:dyDescent="0.25">
      <c r="A1482" s="6" t="s">
        <v>3630</v>
      </c>
      <c r="B1482" s="8"/>
      <c r="C1482" s="8"/>
      <c r="D1482" s="8"/>
      <c r="E1482" s="8"/>
      <c r="F1482" s="8"/>
      <c r="G1482" s="8"/>
      <c r="H1482" s="8"/>
      <c r="I1482" s="8"/>
      <c r="J1482" s="8"/>
      <c r="K1482" s="8"/>
      <c r="L1482" s="8"/>
      <c r="M1482" s="8"/>
      <c r="N1482" s="8"/>
      <c r="O1482" s="8"/>
      <c r="P1482" s="8"/>
      <c r="Q1482" s="8"/>
      <c r="R1482" s="8"/>
      <c r="S1482" s="8"/>
      <c r="T1482" s="8"/>
      <c r="U1482" s="8"/>
      <c r="V1482" s="8"/>
      <c r="W1482" s="8"/>
    </row>
    <row r="1483" spans="1:23" ht="15.75" customHeight="1" x14ac:dyDescent="0.25">
      <c r="A1483" s="6" t="s">
        <v>3630</v>
      </c>
      <c r="B1483" s="8"/>
      <c r="C1483" s="8"/>
      <c r="D1483" s="8"/>
      <c r="E1483" s="8"/>
      <c r="F1483" s="8"/>
      <c r="G1483" s="8"/>
      <c r="H1483" s="8"/>
      <c r="I1483" s="8"/>
      <c r="J1483" s="8"/>
      <c r="K1483" s="8"/>
      <c r="L1483" s="8"/>
      <c r="M1483" s="8"/>
      <c r="N1483" s="8"/>
      <c r="O1483" s="8"/>
      <c r="P1483" s="8"/>
      <c r="Q1483" s="8"/>
      <c r="R1483" s="8"/>
      <c r="S1483" s="8"/>
      <c r="T1483" s="8"/>
      <c r="U1483" s="8"/>
      <c r="V1483" s="8"/>
      <c r="W1483" s="8"/>
    </row>
    <row r="1484" spans="1:23" ht="15.75" customHeight="1" x14ac:dyDescent="0.25">
      <c r="A1484" s="6" t="s">
        <v>3630</v>
      </c>
      <c r="B1484" s="8"/>
      <c r="C1484" s="8"/>
      <c r="D1484" s="8"/>
      <c r="E1484" s="8"/>
      <c r="F1484" s="8"/>
      <c r="G1484" s="8"/>
      <c r="H1484" s="8"/>
      <c r="I1484" s="8"/>
      <c r="J1484" s="8"/>
      <c r="K1484" s="8"/>
      <c r="L1484" s="8"/>
      <c r="M1484" s="8"/>
      <c r="N1484" s="8"/>
      <c r="O1484" s="8"/>
      <c r="P1484" s="8"/>
      <c r="Q1484" s="8"/>
      <c r="R1484" s="8"/>
      <c r="S1484" s="8"/>
      <c r="T1484" s="8"/>
      <c r="U1484" s="8"/>
      <c r="V1484" s="8"/>
      <c r="W1484" s="8"/>
    </row>
    <row r="1485" spans="1:23" ht="15.75" customHeight="1" x14ac:dyDescent="0.25">
      <c r="A1485" s="6" t="s">
        <v>4218</v>
      </c>
      <c r="B1485" s="8"/>
      <c r="C1485" s="8"/>
      <c r="D1485" s="8"/>
      <c r="E1485" s="8"/>
      <c r="F1485" s="8"/>
      <c r="G1485" s="8"/>
      <c r="H1485" s="8"/>
      <c r="I1485" s="8"/>
      <c r="J1485" s="8"/>
      <c r="K1485" s="8"/>
      <c r="L1485" s="8"/>
      <c r="M1485" s="8"/>
      <c r="N1485" s="8"/>
      <c r="O1485" s="8"/>
      <c r="P1485" s="8"/>
      <c r="Q1485" s="8"/>
      <c r="R1485" s="8"/>
      <c r="S1485" s="8"/>
      <c r="T1485" s="8"/>
      <c r="U1485" s="8"/>
      <c r="V1485" s="8"/>
      <c r="W1485" s="8"/>
    </row>
    <row r="1486" spans="1:23" ht="15.75" customHeight="1" x14ac:dyDescent="0.25">
      <c r="A1486" s="6" t="s">
        <v>4219</v>
      </c>
      <c r="B1486" s="8"/>
      <c r="C1486" s="8"/>
      <c r="D1486" s="8"/>
      <c r="E1486" s="8"/>
      <c r="F1486" s="8"/>
      <c r="G1486" s="8"/>
      <c r="H1486" s="8"/>
      <c r="I1486" s="8"/>
      <c r="J1486" s="8"/>
      <c r="K1486" s="8"/>
      <c r="L1486" s="8"/>
      <c r="M1486" s="8"/>
      <c r="N1486" s="8"/>
      <c r="O1486" s="8"/>
      <c r="P1486" s="8"/>
      <c r="Q1486" s="8"/>
      <c r="R1486" s="8"/>
      <c r="S1486" s="8"/>
      <c r="T1486" s="8"/>
      <c r="U1486" s="8"/>
      <c r="V1486" s="8"/>
      <c r="W1486" s="8"/>
    </row>
    <row r="1487" spans="1:23" ht="15.75" customHeight="1" x14ac:dyDescent="0.25">
      <c r="A1487" s="8" t="s">
        <v>4220</v>
      </c>
      <c r="B1487" s="8"/>
      <c r="C1487" s="8"/>
      <c r="D1487" s="8"/>
      <c r="E1487" s="8"/>
      <c r="F1487" s="8"/>
      <c r="G1487" s="8"/>
      <c r="H1487" s="8"/>
      <c r="I1487" s="8"/>
      <c r="J1487" s="8"/>
      <c r="K1487" s="8"/>
      <c r="L1487" s="8"/>
      <c r="M1487" s="8"/>
      <c r="N1487" s="8"/>
      <c r="O1487" s="8"/>
      <c r="P1487" s="8"/>
      <c r="Q1487" s="8"/>
      <c r="R1487" s="8"/>
      <c r="S1487" s="8"/>
      <c r="T1487" s="8"/>
      <c r="U1487" s="8"/>
      <c r="V1487" s="8"/>
      <c r="W1487" s="8"/>
    </row>
    <row r="1488" spans="1:23" ht="15.75" customHeight="1" x14ac:dyDescent="0.25">
      <c r="A1488" s="6" t="s">
        <v>4221</v>
      </c>
      <c r="B1488" s="8"/>
      <c r="C1488" s="8"/>
      <c r="D1488" s="8"/>
      <c r="E1488" s="8"/>
      <c r="F1488" s="8"/>
      <c r="G1488" s="8"/>
      <c r="H1488" s="8"/>
      <c r="I1488" s="8"/>
      <c r="J1488" s="8"/>
      <c r="K1488" s="8"/>
      <c r="L1488" s="8"/>
      <c r="M1488" s="8"/>
      <c r="N1488" s="8"/>
      <c r="O1488" s="8"/>
      <c r="P1488" s="8"/>
      <c r="Q1488" s="8"/>
      <c r="R1488" s="8"/>
      <c r="S1488" s="8"/>
      <c r="T1488" s="8"/>
      <c r="U1488" s="8"/>
      <c r="V1488" s="8"/>
      <c r="W1488" s="8"/>
    </row>
    <row r="1489" spans="1:23" ht="15.75" customHeight="1" x14ac:dyDescent="0.25">
      <c r="A1489" s="6" t="s">
        <v>3469</v>
      </c>
      <c r="B1489" s="8"/>
      <c r="C1489" s="8"/>
      <c r="D1489" s="8"/>
      <c r="E1489" s="8"/>
      <c r="F1489" s="8"/>
      <c r="G1489" s="8"/>
      <c r="H1489" s="8"/>
      <c r="I1489" s="8"/>
      <c r="J1489" s="8"/>
      <c r="K1489" s="8"/>
      <c r="L1489" s="8"/>
      <c r="M1489" s="8"/>
      <c r="N1489" s="8"/>
      <c r="O1489" s="8"/>
      <c r="P1489" s="8"/>
      <c r="Q1489" s="8"/>
      <c r="R1489" s="8"/>
      <c r="S1489" s="8"/>
      <c r="T1489" s="8"/>
      <c r="U1489" s="8"/>
      <c r="V1489" s="8"/>
      <c r="W1489" s="8"/>
    </row>
    <row r="1490" spans="1:23" ht="15.75" customHeight="1" x14ac:dyDescent="0.25">
      <c r="A1490" s="6" t="s">
        <v>3469</v>
      </c>
      <c r="B1490" s="8"/>
      <c r="C1490" s="8"/>
      <c r="D1490" s="8"/>
      <c r="E1490" s="8"/>
      <c r="F1490" s="8"/>
      <c r="G1490" s="8"/>
      <c r="H1490" s="8"/>
      <c r="I1490" s="8"/>
      <c r="J1490" s="8"/>
      <c r="K1490" s="8"/>
      <c r="L1490" s="8"/>
      <c r="M1490" s="8"/>
      <c r="N1490" s="8"/>
      <c r="O1490" s="8"/>
      <c r="P1490" s="8"/>
      <c r="Q1490" s="8"/>
      <c r="R1490" s="8"/>
      <c r="S1490" s="8"/>
      <c r="T1490" s="8"/>
      <c r="U1490" s="8"/>
      <c r="V1490" s="8"/>
      <c r="W1490" s="8"/>
    </row>
    <row r="1491" spans="1:23" ht="15.75" customHeight="1" x14ac:dyDescent="0.25">
      <c r="A1491" s="6" t="s">
        <v>3469</v>
      </c>
      <c r="B1491" s="8"/>
      <c r="C1491" s="8"/>
      <c r="D1491" s="8"/>
      <c r="E1491" s="8"/>
      <c r="F1491" s="8"/>
      <c r="G1491" s="8"/>
      <c r="H1491" s="8"/>
      <c r="I1491" s="8"/>
      <c r="J1491" s="8"/>
      <c r="K1491" s="8"/>
      <c r="L1491" s="8"/>
      <c r="M1491" s="8"/>
      <c r="N1491" s="8"/>
      <c r="O1491" s="8"/>
      <c r="P1491" s="8"/>
      <c r="Q1491" s="8"/>
      <c r="R1491" s="8"/>
      <c r="S1491" s="8"/>
      <c r="T1491" s="8"/>
      <c r="U1491" s="8"/>
      <c r="V1491" s="8"/>
      <c r="W1491" s="8"/>
    </row>
    <row r="1492" spans="1:23" ht="15.75" customHeight="1" x14ac:dyDescent="0.25">
      <c r="A1492" s="6" t="s">
        <v>3469</v>
      </c>
      <c r="B1492" s="8"/>
      <c r="C1492" s="8"/>
      <c r="D1492" s="8"/>
      <c r="E1492" s="8"/>
      <c r="F1492" s="8"/>
      <c r="G1492" s="8"/>
      <c r="H1492" s="8"/>
      <c r="I1492" s="8"/>
      <c r="J1492" s="8"/>
      <c r="K1492" s="8"/>
      <c r="L1492" s="8"/>
      <c r="M1492" s="8"/>
      <c r="N1492" s="8"/>
      <c r="O1492" s="8"/>
      <c r="P1492" s="8"/>
      <c r="Q1492" s="8"/>
      <c r="R1492" s="8"/>
      <c r="S1492" s="8"/>
      <c r="T1492" s="8"/>
      <c r="U1492" s="8"/>
      <c r="V1492" s="8"/>
      <c r="W1492" s="8"/>
    </row>
    <row r="1493" spans="1:23" ht="15.75" customHeight="1" x14ac:dyDescent="0.25">
      <c r="A1493" s="6" t="s">
        <v>3469</v>
      </c>
      <c r="B1493" s="8"/>
      <c r="C1493" s="8"/>
      <c r="D1493" s="8"/>
      <c r="E1493" s="8"/>
      <c r="F1493" s="8"/>
      <c r="G1493" s="8"/>
      <c r="H1493" s="8"/>
      <c r="I1493" s="8"/>
      <c r="J1493" s="8"/>
      <c r="K1493" s="8"/>
      <c r="L1493" s="8"/>
      <c r="M1493" s="8"/>
      <c r="N1493" s="8"/>
      <c r="O1493" s="8"/>
      <c r="P1493" s="8"/>
      <c r="Q1493" s="8"/>
      <c r="R1493" s="8"/>
      <c r="S1493" s="8"/>
      <c r="T1493" s="8"/>
      <c r="U1493" s="8"/>
      <c r="V1493" s="8"/>
      <c r="W1493" s="8"/>
    </row>
    <row r="1494" spans="1:23" ht="15.75" customHeight="1" x14ac:dyDescent="0.25">
      <c r="A1494" s="6" t="s">
        <v>3469</v>
      </c>
      <c r="B1494" s="8"/>
      <c r="C1494" s="8"/>
      <c r="D1494" s="8"/>
      <c r="E1494" s="8"/>
      <c r="F1494" s="8"/>
      <c r="G1494" s="8"/>
      <c r="H1494" s="8"/>
      <c r="I1494" s="8"/>
      <c r="J1494" s="8"/>
      <c r="K1494" s="8"/>
      <c r="L1494" s="8"/>
      <c r="M1494" s="8"/>
      <c r="N1494" s="8"/>
      <c r="O1494" s="8"/>
      <c r="P1494" s="8"/>
      <c r="Q1494" s="8"/>
      <c r="R1494" s="8"/>
      <c r="S1494" s="8"/>
      <c r="T1494" s="8"/>
      <c r="U1494" s="8"/>
      <c r="V1494" s="8"/>
      <c r="W1494" s="8"/>
    </row>
    <row r="1495" spans="1:23" ht="15.75" customHeight="1" x14ac:dyDescent="0.25">
      <c r="A1495" s="6" t="s">
        <v>3469</v>
      </c>
      <c r="B1495" s="8"/>
      <c r="C1495" s="8"/>
      <c r="D1495" s="8"/>
      <c r="E1495" s="8"/>
      <c r="F1495" s="8"/>
      <c r="G1495" s="8"/>
      <c r="H1495" s="8"/>
      <c r="I1495" s="8"/>
      <c r="J1495" s="8"/>
      <c r="K1495" s="8"/>
      <c r="L1495" s="8"/>
      <c r="M1495" s="8"/>
      <c r="N1495" s="8"/>
      <c r="O1495" s="8"/>
      <c r="P1495" s="8"/>
      <c r="Q1495" s="8"/>
      <c r="R1495" s="8"/>
      <c r="S1495" s="8"/>
      <c r="T1495" s="8"/>
      <c r="U1495" s="8"/>
      <c r="V1495" s="8"/>
      <c r="W1495" s="8"/>
    </row>
    <row r="1496" spans="1:23" ht="15.75" customHeight="1" x14ac:dyDescent="0.25">
      <c r="A1496" s="6" t="s">
        <v>4222</v>
      </c>
      <c r="B1496" s="8"/>
      <c r="C1496" s="8"/>
      <c r="D1496" s="8"/>
      <c r="E1496" s="8"/>
      <c r="F1496" s="8"/>
      <c r="G1496" s="8"/>
      <c r="H1496" s="8"/>
      <c r="I1496" s="8"/>
      <c r="J1496" s="8"/>
      <c r="K1496" s="8"/>
      <c r="L1496" s="8"/>
      <c r="M1496" s="8"/>
      <c r="N1496" s="8"/>
      <c r="O1496" s="8"/>
      <c r="P1496" s="8"/>
      <c r="Q1496" s="8"/>
      <c r="R1496" s="8"/>
      <c r="S1496" s="8"/>
      <c r="T1496" s="8"/>
      <c r="U1496" s="8"/>
      <c r="V1496" s="8"/>
      <c r="W1496" s="8"/>
    </row>
    <row r="1497" spans="1:23" ht="15.75" customHeight="1" x14ac:dyDescent="0.25">
      <c r="A1497" s="6" t="s">
        <v>3907</v>
      </c>
      <c r="B1497" s="8"/>
      <c r="C1497" s="8"/>
      <c r="D1497" s="8"/>
      <c r="E1497" s="8"/>
      <c r="F1497" s="8"/>
      <c r="G1497" s="8"/>
      <c r="H1497" s="8"/>
      <c r="I1497" s="8"/>
      <c r="J1497" s="8"/>
      <c r="K1497" s="8"/>
      <c r="L1497" s="8"/>
      <c r="M1497" s="8"/>
      <c r="N1497" s="8"/>
      <c r="O1497" s="8"/>
      <c r="P1497" s="8"/>
      <c r="Q1497" s="8"/>
      <c r="R1497" s="8"/>
      <c r="S1497" s="8"/>
      <c r="T1497" s="8"/>
      <c r="U1497" s="8"/>
      <c r="V1497" s="8"/>
      <c r="W1497" s="8"/>
    </row>
    <row r="1498" spans="1:23" ht="15.75" customHeight="1" x14ac:dyDescent="0.25">
      <c r="A1498" s="6" t="s">
        <v>3907</v>
      </c>
      <c r="B1498" s="8"/>
      <c r="C1498" s="8"/>
      <c r="D1498" s="8"/>
      <c r="E1498" s="8"/>
      <c r="F1498" s="8"/>
      <c r="G1498" s="8"/>
      <c r="H1498" s="8"/>
      <c r="I1498" s="8"/>
      <c r="J1498" s="8"/>
      <c r="K1498" s="8"/>
      <c r="L1498" s="8"/>
      <c r="M1498" s="8"/>
      <c r="N1498" s="8"/>
      <c r="O1498" s="8"/>
      <c r="P1498" s="8"/>
      <c r="Q1498" s="8"/>
      <c r="R1498" s="8"/>
      <c r="S1498" s="8"/>
      <c r="T1498" s="8"/>
      <c r="U1498" s="8"/>
      <c r="V1498" s="8"/>
      <c r="W1498" s="8"/>
    </row>
    <row r="1499" spans="1:23" ht="15.75" customHeight="1" x14ac:dyDescent="0.25">
      <c r="A1499" s="6" t="s">
        <v>4223</v>
      </c>
      <c r="B1499" s="8"/>
      <c r="C1499" s="8"/>
      <c r="D1499" s="8"/>
      <c r="E1499" s="8"/>
      <c r="F1499" s="8"/>
      <c r="G1499" s="8"/>
      <c r="H1499" s="8"/>
      <c r="I1499" s="8"/>
      <c r="J1499" s="8"/>
      <c r="K1499" s="8"/>
      <c r="L1499" s="8"/>
      <c r="M1499" s="8"/>
      <c r="N1499" s="8"/>
      <c r="O1499" s="8"/>
      <c r="P1499" s="8"/>
      <c r="Q1499" s="8"/>
      <c r="R1499" s="8"/>
      <c r="S1499" s="8"/>
      <c r="T1499" s="8"/>
      <c r="U1499" s="8"/>
      <c r="V1499" s="8"/>
      <c r="W1499" s="8"/>
    </row>
    <row r="1500" spans="1:23" ht="15.75" customHeight="1" x14ac:dyDescent="0.25">
      <c r="A1500" s="6" t="s">
        <v>4224</v>
      </c>
      <c r="B1500" s="8"/>
      <c r="C1500" s="8"/>
      <c r="D1500" s="8"/>
      <c r="E1500" s="8"/>
      <c r="F1500" s="8"/>
      <c r="G1500" s="8"/>
      <c r="H1500" s="8"/>
      <c r="I1500" s="8"/>
      <c r="J1500" s="8"/>
      <c r="K1500" s="8"/>
      <c r="L1500" s="8"/>
      <c r="M1500" s="8"/>
      <c r="N1500" s="8"/>
      <c r="O1500" s="8"/>
      <c r="P1500" s="8"/>
      <c r="Q1500" s="8"/>
      <c r="R1500" s="8"/>
      <c r="S1500" s="8"/>
      <c r="T1500" s="8"/>
      <c r="U1500" s="8"/>
      <c r="V1500" s="8"/>
      <c r="W1500" s="8"/>
    </row>
    <row r="1501" spans="1:23" ht="15.75" customHeight="1" x14ac:dyDescent="0.25">
      <c r="A1501" s="6" t="s">
        <v>4225</v>
      </c>
      <c r="B1501" s="8"/>
      <c r="C1501" s="8"/>
      <c r="D1501" s="8"/>
      <c r="E1501" s="8"/>
      <c r="F1501" s="8"/>
      <c r="G1501" s="8"/>
      <c r="H1501" s="8"/>
      <c r="I1501" s="8"/>
      <c r="J1501" s="8"/>
      <c r="K1501" s="8"/>
      <c r="L1501" s="8"/>
      <c r="M1501" s="8"/>
      <c r="N1501" s="8"/>
      <c r="O1501" s="8"/>
      <c r="P1501" s="8"/>
      <c r="Q1501" s="8"/>
      <c r="R1501" s="8"/>
      <c r="S1501" s="8"/>
      <c r="T1501" s="8"/>
      <c r="U1501" s="8"/>
      <c r="V1501" s="8"/>
      <c r="W1501" s="8"/>
    </row>
    <row r="1502" spans="1:23" ht="15.75" customHeight="1" x14ac:dyDescent="0.25">
      <c r="A1502" s="6" t="s">
        <v>4226</v>
      </c>
      <c r="B1502" s="8"/>
      <c r="C1502" s="8"/>
      <c r="D1502" s="8"/>
      <c r="E1502" s="8"/>
      <c r="F1502" s="8"/>
      <c r="G1502" s="8"/>
      <c r="H1502" s="8"/>
      <c r="I1502" s="8"/>
      <c r="J1502" s="8"/>
      <c r="K1502" s="8"/>
      <c r="L1502" s="8"/>
      <c r="M1502" s="8"/>
      <c r="N1502" s="8"/>
      <c r="O1502" s="8"/>
      <c r="P1502" s="8"/>
      <c r="Q1502" s="8"/>
      <c r="R1502" s="8"/>
      <c r="S1502" s="8"/>
      <c r="T1502" s="8"/>
      <c r="U1502" s="8"/>
      <c r="V1502" s="8"/>
      <c r="W1502" s="8"/>
    </row>
    <row r="1503" spans="1:23" ht="15.75" customHeight="1" x14ac:dyDescent="0.25">
      <c r="A1503" s="6" t="s">
        <v>4227</v>
      </c>
      <c r="B1503" s="8"/>
      <c r="C1503" s="8"/>
      <c r="D1503" s="8"/>
      <c r="E1503" s="8"/>
      <c r="F1503" s="8"/>
      <c r="G1503" s="8"/>
      <c r="H1503" s="8"/>
      <c r="I1503" s="8"/>
      <c r="J1503" s="8"/>
      <c r="K1503" s="8"/>
      <c r="L1503" s="8"/>
      <c r="M1503" s="8"/>
      <c r="N1503" s="8"/>
      <c r="O1503" s="8"/>
      <c r="P1503" s="8"/>
      <c r="Q1503" s="8"/>
      <c r="R1503" s="8"/>
      <c r="S1503" s="8"/>
      <c r="T1503" s="8"/>
      <c r="U1503" s="8"/>
      <c r="V1503" s="8"/>
      <c r="W1503" s="8"/>
    </row>
    <row r="1504" spans="1:23" ht="15.75" customHeight="1" x14ac:dyDescent="0.25">
      <c r="A1504" s="8" t="s">
        <v>4228</v>
      </c>
      <c r="B1504" s="8"/>
      <c r="C1504" s="8"/>
      <c r="D1504" s="8"/>
      <c r="E1504" s="8"/>
      <c r="F1504" s="8"/>
      <c r="G1504" s="8"/>
      <c r="H1504" s="8"/>
      <c r="I1504" s="8"/>
      <c r="J1504" s="8"/>
      <c r="K1504" s="8"/>
      <c r="L1504" s="8"/>
      <c r="M1504" s="8"/>
      <c r="N1504" s="8"/>
      <c r="O1504" s="8"/>
      <c r="P1504" s="8"/>
      <c r="Q1504" s="8"/>
      <c r="R1504" s="8"/>
      <c r="S1504" s="8"/>
      <c r="T1504" s="8"/>
      <c r="U1504" s="8"/>
      <c r="V1504" s="8"/>
      <c r="W1504" s="8"/>
    </row>
    <row r="1505" spans="1:23" ht="15.75" customHeight="1" x14ac:dyDescent="0.25">
      <c r="A1505" s="6" t="s">
        <v>4229</v>
      </c>
      <c r="B1505" s="8"/>
      <c r="C1505" s="8"/>
      <c r="D1505" s="8"/>
      <c r="E1505" s="8"/>
      <c r="F1505" s="8"/>
      <c r="G1505" s="8"/>
      <c r="H1505" s="8"/>
      <c r="I1505" s="8"/>
      <c r="J1505" s="8"/>
      <c r="K1505" s="8"/>
      <c r="L1505" s="8"/>
      <c r="M1505" s="8"/>
      <c r="N1505" s="8"/>
      <c r="O1505" s="8"/>
      <c r="P1505" s="8"/>
      <c r="Q1505" s="8"/>
      <c r="R1505" s="8"/>
      <c r="S1505" s="8"/>
      <c r="T1505" s="8"/>
      <c r="U1505" s="8"/>
      <c r="V1505" s="8"/>
      <c r="W1505" s="8"/>
    </row>
    <row r="1506" spans="1:23" ht="15.75" customHeight="1" x14ac:dyDescent="0.25">
      <c r="A1506" s="6" t="s">
        <v>4230</v>
      </c>
      <c r="B1506" s="8"/>
      <c r="C1506" s="8"/>
      <c r="D1506" s="8"/>
      <c r="E1506" s="8"/>
      <c r="F1506" s="8"/>
      <c r="G1506" s="8"/>
      <c r="H1506" s="8"/>
      <c r="I1506" s="8"/>
      <c r="J1506" s="8"/>
      <c r="K1506" s="8"/>
      <c r="L1506" s="8"/>
      <c r="M1506" s="8"/>
      <c r="N1506" s="8"/>
      <c r="O1506" s="8"/>
      <c r="P1506" s="8"/>
      <c r="Q1506" s="8"/>
      <c r="R1506" s="8"/>
      <c r="S1506" s="8"/>
      <c r="T1506" s="8"/>
      <c r="U1506" s="8"/>
      <c r="V1506" s="8"/>
      <c r="W1506" s="8"/>
    </row>
    <row r="1507" spans="1:23" ht="15.75" customHeight="1" x14ac:dyDescent="0.25">
      <c r="A1507" s="6" t="s">
        <v>4231</v>
      </c>
      <c r="B1507" s="8"/>
      <c r="C1507" s="8"/>
      <c r="D1507" s="8"/>
      <c r="E1507" s="8"/>
      <c r="F1507" s="8"/>
      <c r="G1507" s="8"/>
      <c r="H1507" s="8"/>
      <c r="I1507" s="8"/>
      <c r="J1507" s="8"/>
      <c r="K1507" s="8"/>
      <c r="L1507" s="8"/>
      <c r="M1507" s="8"/>
      <c r="N1507" s="8"/>
      <c r="O1507" s="8"/>
      <c r="P1507" s="8"/>
      <c r="Q1507" s="8"/>
      <c r="R1507" s="8"/>
      <c r="S1507" s="8"/>
      <c r="T1507" s="8"/>
      <c r="U1507" s="8"/>
      <c r="V1507" s="8"/>
      <c r="W1507" s="8"/>
    </row>
    <row r="1508" spans="1:23" ht="15.75" customHeight="1" x14ac:dyDescent="0.25">
      <c r="A1508" s="6" t="s">
        <v>4232</v>
      </c>
      <c r="B1508" s="8"/>
      <c r="C1508" s="8"/>
      <c r="D1508" s="8"/>
      <c r="E1508" s="8"/>
      <c r="F1508" s="8"/>
      <c r="G1508" s="8"/>
      <c r="H1508" s="8"/>
      <c r="I1508" s="8"/>
      <c r="J1508" s="8"/>
      <c r="K1508" s="8"/>
      <c r="L1508" s="8"/>
      <c r="M1508" s="8"/>
      <c r="N1508" s="8"/>
      <c r="O1508" s="8"/>
      <c r="P1508" s="8"/>
      <c r="Q1508" s="8"/>
      <c r="R1508" s="8"/>
      <c r="S1508" s="8"/>
      <c r="T1508" s="8"/>
      <c r="U1508" s="8"/>
      <c r="V1508" s="8"/>
      <c r="W1508" s="8"/>
    </row>
    <row r="1509" spans="1:23" ht="15.75" customHeight="1" x14ac:dyDescent="0.25">
      <c r="A1509" s="6" t="s">
        <v>3349</v>
      </c>
      <c r="B1509" s="8"/>
      <c r="C1509" s="8"/>
      <c r="D1509" s="8"/>
      <c r="E1509" s="8"/>
      <c r="F1509" s="8"/>
      <c r="G1509" s="8"/>
      <c r="H1509" s="8"/>
      <c r="I1509" s="8"/>
      <c r="J1509" s="8"/>
      <c r="K1509" s="8"/>
      <c r="L1509" s="8"/>
      <c r="M1509" s="8"/>
      <c r="N1509" s="8"/>
      <c r="O1509" s="8"/>
      <c r="P1509" s="8"/>
      <c r="Q1509" s="8"/>
      <c r="R1509" s="8"/>
      <c r="S1509" s="8"/>
      <c r="T1509" s="8"/>
      <c r="U1509" s="8"/>
      <c r="V1509" s="8"/>
      <c r="W1509" s="8"/>
    </row>
    <row r="1510" spans="1:23" ht="15.75" customHeight="1" x14ac:dyDescent="0.25">
      <c r="A1510" s="6" t="s">
        <v>3349</v>
      </c>
      <c r="B1510" s="8"/>
      <c r="C1510" s="8"/>
      <c r="D1510" s="8"/>
      <c r="E1510" s="8"/>
      <c r="F1510" s="8"/>
      <c r="G1510" s="8"/>
      <c r="H1510" s="8"/>
      <c r="I1510" s="8"/>
      <c r="J1510" s="8"/>
      <c r="K1510" s="8"/>
      <c r="L1510" s="8"/>
      <c r="M1510" s="8"/>
      <c r="N1510" s="8"/>
      <c r="O1510" s="8"/>
      <c r="P1510" s="8"/>
      <c r="Q1510" s="8"/>
      <c r="R1510" s="8"/>
      <c r="S1510" s="8"/>
      <c r="T1510" s="8"/>
      <c r="U1510" s="8"/>
      <c r="V1510" s="8"/>
      <c r="W1510" s="8"/>
    </row>
    <row r="1511" spans="1:23" ht="15.75" customHeight="1" x14ac:dyDescent="0.25">
      <c r="A1511" s="8" t="s">
        <v>3349</v>
      </c>
      <c r="B1511" s="8"/>
      <c r="C1511" s="8"/>
      <c r="D1511" s="8"/>
      <c r="E1511" s="8"/>
      <c r="F1511" s="8"/>
      <c r="G1511" s="8"/>
      <c r="H1511" s="8"/>
      <c r="I1511" s="8"/>
      <c r="J1511" s="8"/>
      <c r="K1511" s="8"/>
      <c r="L1511" s="8"/>
      <c r="M1511" s="8"/>
      <c r="N1511" s="8"/>
      <c r="O1511" s="8"/>
      <c r="P1511" s="8"/>
      <c r="Q1511" s="8"/>
      <c r="R1511" s="8"/>
      <c r="S1511" s="8"/>
      <c r="T1511" s="8"/>
      <c r="U1511" s="8"/>
      <c r="V1511" s="8"/>
      <c r="W1511" s="8"/>
    </row>
    <row r="1512" spans="1:23" ht="15.75" customHeight="1" x14ac:dyDescent="0.25">
      <c r="A1512" s="6" t="s">
        <v>3349</v>
      </c>
      <c r="B1512" s="8"/>
      <c r="C1512" s="8"/>
      <c r="D1512" s="8"/>
      <c r="E1512" s="8"/>
      <c r="F1512" s="8"/>
      <c r="G1512" s="8"/>
      <c r="H1512" s="8"/>
      <c r="I1512" s="8"/>
      <c r="J1512" s="8"/>
      <c r="K1512" s="8"/>
      <c r="L1512" s="8"/>
      <c r="M1512" s="8"/>
      <c r="N1512" s="8"/>
      <c r="O1512" s="8"/>
      <c r="P1512" s="8"/>
      <c r="Q1512" s="8"/>
      <c r="R1512" s="8"/>
      <c r="S1512" s="8"/>
      <c r="T1512" s="8"/>
      <c r="U1512" s="8"/>
      <c r="V1512" s="8"/>
      <c r="W1512" s="8"/>
    </row>
    <row r="1513" spans="1:23" ht="15.75" customHeight="1" x14ac:dyDescent="0.25">
      <c r="A1513" s="6" t="s">
        <v>3349</v>
      </c>
      <c r="B1513" s="8"/>
      <c r="C1513" s="8"/>
      <c r="D1513" s="8"/>
      <c r="E1513" s="8"/>
      <c r="F1513" s="8"/>
      <c r="G1513" s="8"/>
      <c r="H1513" s="8"/>
      <c r="I1513" s="8"/>
      <c r="J1513" s="8"/>
      <c r="K1513" s="8"/>
      <c r="L1513" s="8"/>
      <c r="M1513" s="8"/>
      <c r="N1513" s="8"/>
      <c r="O1513" s="8"/>
      <c r="P1513" s="8"/>
      <c r="Q1513" s="8"/>
      <c r="R1513" s="8"/>
      <c r="S1513" s="8"/>
      <c r="T1513" s="8"/>
      <c r="U1513" s="8"/>
      <c r="V1513" s="8"/>
      <c r="W1513" s="8"/>
    </row>
    <row r="1514" spans="1:23" ht="15.75" customHeight="1" x14ac:dyDescent="0.25">
      <c r="A1514" s="6" t="s">
        <v>3349</v>
      </c>
      <c r="B1514" s="8"/>
      <c r="C1514" s="8"/>
      <c r="D1514" s="8"/>
      <c r="E1514" s="8"/>
      <c r="F1514" s="8"/>
      <c r="G1514" s="8"/>
      <c r="H1514" s="8"/>
      <c r="I1514" s="8"/>
      <c r="J1514" s="8"/>
      <c r="K1514" s="8"/>
      <c r="L1514" s="8"/>
      <c r="M1514" s="8"/>
      <c r="N1514" s="8"/>
      <c r="O1514" s="8"/>
      <c r="P1514" s="8"/>
      <c r="Q1514" s="8"/>
      <c r="R1514" s="8"/>
      <c r="S1514" s="8"/>
      <c r="T1514" s="8"/>
      <c r="U1514" s="8"/>
      <c r="V1514" s="8"/>
      <c r="W1514" s="8"/>
    </row>
    <row r="1515" spans="1:23" ht="15.75" customHeight="1" x14ac:dyDescent="0.25">
      <c r="A1515" s="6" t="s">
        <v>3349</v>
      </c>
      <c r="B1515" s="8"/>
      <c r="C1515" s="8"/>
      <c r="D1515" s="8"/>
      <c r="E1515" s="8"/>
      <c r="F1515" s="8"/>
      <c r="G1515" s="8"/>
      <c r="H1515" s="8"/>
      <c r="I1515" s="8"/>
      <c r="J1515" s="8"/>
      <c r="K1515" s="8"/>
      <c r="L1515" s="8"/>
      <c r="M1515" s="8"/>
      <c r="N1515" s="8"/>
      <c r="O1515" s="8"/>
      <c r="P1515" s="8"/>
      <c r="Q1515" s="8"/>
      <c r="R1515" s="8"/>
      <c r="S1515" s="8"/>
      <c r="T1515" s="8"/>
      <c r="U1515" s="8"/>
      <c r="V1515" s="8"/>
      <c r="W1515" s="8"/>
    </row>
    <row r="1516" spans="1:23" ht="15.75" customHeight="1" x14ac:dyDescent="0.25">
      <c r="A1516" s="8" t="s">
        <v>3349</v>
      </c>
      <c r="B1516" s="8"/>
      <c r="C1516" s="8"/>
      <c r="D1516" s="8"/>
      <c r="E1516" s="8"/>
      <c r="F1516" s="8"/>
      <c r="G1516" s="8"/>
      <c r="H1516" s="8"/>
      <c r="I1516" s="8"/>
      <c r="J1516" s="8"/>
      <c r="K1516" s="8"/>
      <c r="L1516" s="8"/>
      <c r="M1516" s="8"/>
      <c r="N1516" s="8"/>
      <c r="O1516" s="8"/>
      <c r="P1516" s="8"/>
      <c r="Q1516" s="8"/>
      <c r="R1516" s="8"/>
      <c r="S1516" s="8"/>
      <c r="T1516" s="8"/>
      <c r="U1516" s="8"/>
      <c r="V1516" s="8"/>
      <c r="W1516" s="8"/>
    </row>
    <row r="1517" spans="1:23" ht="15.75" customHeight="1" x14ac:dyDescent="0.25">
      <c r="A1517" s="6" t="s">
        <v>3349</v>
      </c>
      <c r="B1517" s="8"/>
      <c r="C1517" s="8"/>
      <c r="D1517" s="8"/>
      <c r="E1517" s="8"/>
      <c r="F1517" s="8"/>
      <c r="G1517" s="8"/>
      <c r="H1517" s="8"/>
      <c r="I1517" s="8"/>
      <c r="J1517" s="8"/>
      <c r="K1517" s="8"/>
      <c r="L1517" s="8"/>
      <c r="M1517" s="8"/>
      <c r="N1517" s="8"/>
      <c r="O1517" s="8"/>
      <c r="P1517" s="8"/>
      <c r="Q1517" s="8"/>
      <c r="R1517" s="8"/>
      <c r="S1517" s="8"/>
      <c r="T1517" s="8"/>
      <c r="U1517" s="8"/>
      <c r="V1517" s="8"/>
      <c r="W1517" s="8"/>
    </row>
    <row r="1518" spans="1:23" ht="15.75" customHeight="1" x14ac:dyDescent="0.25">
      <c r="A1518" s="6" t="s">
        <v>3349</v>
      </c>
      <c r="B1518" s="8"/>
      <c r="C1518" s="8"/>
      <c r="D1518" s="8"/>
      <c r="E1518" s="8"/>
      <c r="F1518" s="8"/>
      <c r="G1518" s="8"/>
      <c r="H1518" s="8"/>
      <c r="I1518" s="8"/>
      <c r="J1518" s="8"/>
      <c r="K1518" s="8"/>
      <c r="L1518" s="8"/>
      <c r="M1518" s="8"/>
      <c r="N1518" s="8"/>
      <c r="O1518" s="8"/>
      <c r="P1518" s="8"/>
      <c r="Q1518" s="8"/>
      <c r="R1518" s="8"/>
      <c r="S1518" s="8"/>
      <c r="T1518" s="8"/>
      <c r="U1518" s="8"/>
      <c r="V1518" s="8"/>
      <c r="W1518" s="8"/>
    </row>
    <row r="1519" spans="1:23" ht="15.75" customHeight="1" x14ac:dyDescent="0.25">
      <c r="A1519" s="6" t="s">
        <v>3349</v>
      </c>
      <c r="B1519" s="8"/>
      <c r="C1519" s="8"/>
      <c r="D1519" s="8"/>
      <c r="E1519" s="8"/>
      <c r="F1519" s="8"/>
      <c r="G1519" s="8"/>
      <c r="H1519" s="8"/>
      <c r="I1519" s="8"/>
      <c r="J1519" s="8"/>
      <c r="K1519" s="8"/>
      <c r="L1519" s="8"/>
      <c r="M1519" s="8"/>
      <c r="N1519" s="8"/>
      <c r="O1519" s="8"/>
      <c r="P1519" s="8"/>
      <c r="Q1519" s="8"/>
      <c r="R1519" s="8"/>
      <c r="S1519" s="8"/>
      <c r="T1519" s="8"/>
      <c r="U1519" s="8"/>
      <c r="V1519" s="8"/>
      <c r="W1519" s="8"/>
    </row>
    <row r="1520" spans="1:23" ht="15.75" customHeight="1" x14ac:dyDescent="0.25">
      <c r="A1520" s="6" t="s">
        <v>3349</v>
      </c>
      <c r="B1520" s="8"/>
      <c r="C1520" s="8"/>
      <c r="D1520" s="8"/>
      <c r="E1520" s="8"/>
      <c r="F1520" s="8"/>
      <c r="G1520" s="8"/>
      <c r="H1520" s="8"/>
      <c r="I1520" s="8"/>
      <c r="J1520" s="8"/>
      <c r="K1520" s="8"/>
      <c r="L1520" s="8"/>
      <c r="M1520" s="8"/>
      <c r="N1520" s="8"/>
      <c r="O1520" s="8"/>
      <c r="P1520" s="8"/>
      <c r="Q1520" s="8"/>
      <c r="R1520" s="8"/>
      <c r="S1520" s="8"/>
      <c r="T1520" s="8"/>
      <c r="U1520" s="8"/>
      <c r="V1520" s="8"/>
      <c r="W1520" s="8"/>
    </row>
    <row r="1521" spans="1:23" ht="15.75" customHeight="1" x14ac:dyDescent="0.25">
      <c r="A1521" s="6" t="s">
        <v>3349</v>
      </c>
      <c r="B1521" s="8"/>
      <c r="C1521" s="8"/>
      <c r="D1521" s="8"/>
      <c r="E1521" s="8"/>
      <c r="F1521" s="8"/>
      <c r="G1521" s="8"/>
      <c r="H1521" s="8"/>
      <c r="I1521" s="8"/>
      <c r="J1521" s="8"/>
      <c r="K1521" s="8"/>
      <c r="L1521" s="8"/>
      <c r="M1521" s="8"/>
      <c r="N1521" s="8"/>
      <c r="O1521" s="8"/>
      <c r="P1521" s="8"/>
      <c r="Q1521" s="8"/>
      <c r="R1521" s="8"/>
      <c r="S1521" s="8"/>
      <c r="T1521" s="8"/>
      <c r="U1521" s="8"/>
      <c r="V1521" s="8"/>
      <c r="W1521" s="8"/>
    </row>
    <row r="1522" spans="1:23" ht="15.75" customHeight="1" x14ac:dyDescent="0.25">
      <c r="A1522" s="6" t="s">
        <v>4233</v>
      </c>
      <c r="B1522" s="8"/>
      <c r="C1522" s="8"/>
      <c r="D1522" s="8"/>
      <c r="E1522" s="8"/>
      <c r="F1522" s="8"/>
      <c r="G1522" s="8"/>
      <c r="H1522" s="8"/>
      <c r="I1522" s="8"/>
      <c r="J1522" s="8"/>
      <c r="K1522" s="8"/>
      <c r="L1522" s="8"/>
      <c r="M1522" s="8"/>
      <c r="N1522" s="8"/>
      <c r="O1522" s="8"/>
      <c r="P1522" s="8"/>
      <c r="Q1522" s="8"/>
      <c r="R1522" s="8"/>
      <c r="S1522" s="8"/>
      <c r="T1522" s="8"/>
      <c r="U1522" s="8"/>
      <c r="V1522" s="8"/>
      <c r="W1522" s="8"/>
    </row>
    <row r="1523" spans="1:23" ht="15.75" customHeight="1" x14ac:dyDescent="0.25">
      <c r="A1523" s="8" t="s">
        <v>3910</v>
      </c>
      <c r="B1523" s="8"/>
      <c r="C1523" s="8"/>
      <c r="D1523" s="8"/>
      <c r="E1523" s="8"/>
      <c r="F1523" s="8"/>
      <c r="G1523" s="8"/>
      <c r="H1523" s="8"/>
      <c r="I1523" s="8"/>
      <c r="J1523" s="8"/>
      <c r="K1523" s="8"/>
      <c r="L1523" s="8"/>
      <c r="M1523" s="8"/>
      <c r="N1523" s="8"/>
      <c r="O1523" s="8"/>
      <c r="P1523" s="8"/>
      <c r="Q1523" s="8"/>
      <c r="R1523" s="8"/>
      <c r="S1523" s="8"/>
      <c r="T1523" s="8"/>
      <c r="U1523" s="8"/>
      <c r="V1523" s="8"/>
      <c r="W1523" s="8"/>
    </row>
    <row r="1524" spans="1:23" ht="15.75" customHeight="1" x14ac:dyDescent="0.25">
      <c r="A1524" s="6" t="s">
        <v>3910</v>
      </c>
      <c r="B1524" s="8"/>
      <c r="C1524" s="8"/>
      <c r="D1524" s="8"/>
      <c r="E1524" s="8"/>
      <c r="F1524" s="8"/>
      <c r="G1524" s="8"/>
      <c r="H1524" s="8"/>
      <c r="I1524" s="8"/>
      <c r="J1524" s="8"/>
      <c r="K1524" s="8"/>
      <c r="L1524" s="8"/>
      <c r="M1524" s="8"/>
      <c r="N1524" s="8"/>
      <c r="O1524" s="8"/>
      <c r="P1524" s="8"/>
      <c r="Q1524" s="8"/>
      <c r="R1524" s="8"/>
      <c r="S1524" s="8"/>
      <c r="T1524" s="8"/>
      <c r="U1524" s="8"/>
      <c r="V1524" s="8"/>
      <c r="W1524" s="8"/>
    </row>
    <row r="1525" spans="1:23" ht="15.75" customHeight="1" x14ac:dyDescent="0.25">
      <c r="A1525" s="8" t="s">
        <v>4234</v>
      </c>
      <c r="B1525" s="8"/>
      <c r="C1525" s="8"/>
      <c r="D1525" s="8"/>
      <c r="E1525" s="8"/>
      <c r="F1525" s="8"/>
      <c r="G1525" s="8"/>
      <c r="H1525" s="8"/>
      <c r="I1525" s="8"/>
      <c r="J1525" s="8"/>
      <c r="K1525" s="8"/>
      <c r="L1525" s="8"/>
      <c r="M1525" s="8"/>
      <c r="N1525" s="8"/>
      <c r="O1525" s="8"/>
      <c r="P1525" s="8"/>
      <c r="Q1525" s="8"/>
      <c r="R1525" s="8"/>
      <c r="S1525" s="8"/>
      <c r="T1525" s="8"/>
      <c r="U1525" s="8"/>
      <c r="V1525" s="8"/>
      <c r="W1525" s="8"/>
    </row>
    <row r="1526" spans="1:23" ht="15.75" customHeight="1" x14ac:dyDescent="0.25">
      <c r="A1526" s="6" t="s">
        <v>4235</v>
      </c>
      <c r="B1526" s="8"/>
      <c r="C1526" s="8"/>
      <c r="D1526" s="8"/>
      <c r="E1526" s="8"/>
      <c r="F1526" s="8"/>
      <c r="G1526" s="8"/>
      <c r="H1526" s="8"/>
      <c r="I1526" s="8"/>
      <c r="J1526" s="8"/>
      <c r="K1526" s="8"/>
      <c r="L1526" s="8"/>
      <c r="M1526" s="8"/>
      <c r="N1526" s="8"/>
      <c r="O1526" s="8"/>
      <c r="P1526" s="8"/>
      <c r="Q1526" s="8"/>
      <c r="R1526" s="8"/>
      <c r="S1526" s="8"/>
      <c r="T1526" s="8"/>
      <c r="U1526" s="8"/>
      <c r="V1526" s="8"/>
      <c r="W1526" s="8"/>
    </row>
    <row r="1527" spans="1:23" ht="15.75" customHeight="1" x14ac:dyDescent="0.25">
      <c r="A1527" s="6" t="s">
        <v>3913</v>
      </c>
      <c r="B1527" s="8"/>
      <c r="C1527" s="8"/>
      <c r="D1527" s="8"/>
      <c r="E1527" s="8"/>
      <c r="F1527" s="8"/>
      <c r="G1527" s="8"/>
      <c r="H1527" s="8"/>
      <c r="I1527" s="8"/>
      <c r="J1527" s="8"/>
      <c r="K1527" s="8"/>
      <c r="L1527" s="8"/>
      <c r="M1527" s="8"/>
      <c r="N1527" s="8"/>
      <c r="O1527" s="8"/>
      <c r="P1527" s="8"/>
      <c r="Q1527" s="8"/>
      <c r="R1527" s="8"/>
      <c r="S1527" s="8"/>
      <c r="T1527" s="8"/>
      <c r="U1527" s="8"/>
      <c r="V1527" s="8"/>
      <c r="W1527" s="8"/>
    </row>
    <row r="1528" spans="1:23" ht="15.75" customHeight="1" x14ac:dyDescent="0.25">
      <c r="A1528" s="6" t="s">
        <v>3913</v>
      </c>
      <c r="B1528" s="8"/>
      <c r="C1528" s="8"/>
      <c r="D1528" s="8"/>
      <c r="E1528" s="8"/>
      <c r="F1528" s="8"/>
      <c r="G1528" s="8"/>
      <c r="H1528" s="8"/>
      <c r="I1528" s="8"/>
      <c r="J1528" s="8"/>
      <c r="K1528" s="8"/>
      <c r="L1528" s="8"/>
      <c r="M1528" s="8"/>
      <c r="N1528" s="8"/>
      <c r="O1528" s="8"/>
      <c r="P1528" s="8"/>
      <c r="Q1528" s="8"/>
      <c r="R1528" s="8"/>
      <c r="S1528" s="8"/>
      <c r="T1528" s="8"/>
      <c r="U1528" s="8"/>
      <c r="V1528" s="8"/>
      <c r="W1528" s="8"/>
    </row>
    <row r="1529" spans="1:23" ht="15.75" customHeight="1" x14ac:dyDescent="0.25">
      <c r="A1529" s="8" t="s">
        <v>4236</v>
      </c>
      <c r="B1529" s="8"/>
      <c r="C1529" s="8"/>
      <c r="D1529" s="8"/>
      <c r="E1529" s="8"/>
      <c r="F1529" s="8"/>
      <c r="G1529" s="8"/>
      <c r="H1529" s="8"/>
      <c r="I1529" s="8"/>
      <c r="J1529" s="8"/>
      <c r="K1529" s="8"/>
      <c r="L1529" s="8"/>
      <c r="M1529" s="8"/>
      <c r="N1529" s="8"/>
      <c r="O1529" s="8"/>
      <c r="P1529" s="8"/>
      <c r="Q1529" s="8"/>
      <c r="R1529" s="8"/>
      <c r="S1529" s="8"/>
      <c r="T1529" s="8"/>
      <c r="U1529" s="8"/>
      <c r="V1529" s="8"/>
      <c r="W1529" s="8"/>
    </row>
    <row r="1530" spans="1:23" ht="15.75" customHeight="1" x14ac:dyDescent="0.25">
      <c r="A1530" s="6" t="s">
        <v>4237</v>
      </c>
      <c r="B1530" s="8"/>
      <c r="C1530" s="8"/>
      <c r="D1530" s="8"/>
      <c r="E1530" s="8"/>
      <c r="F1530" s="8"/>
      <c r="G1530" s="8"/>
      <c r="H1530" s="8"/>
      <c r="I1530" s="8"/>
      <c r="J1530" s="8"/>
      <c r="K1530" s="8"/>
      <c r="L1530" s="8"/>
      <c r="M1530" s="8"/>
      <c r="N1530" s="8"/>
      <c r="O1530" s="8"/>
      <c r="P1530" s="8"/>
      <c r="Q1530" s="8"/>
      <c r="R1530" s="8"/>
      <c r="S1530" s="8"/>
      <c r="T1530" s="8"/>
      <c r="U1530" s="8"/>
      <c r="V1530" s="8"/>
      <c r="W1530" s="8"/>
    </row>
    <row r="1531" spans="1:23" ht="15.75" customHeight="1" x14ac:dyDescent="0.25">
      <c r="A1531" s="6" t="s">
        <v>4238</v>
      </c>
      <c r="B1531" s="8"/>
      <c r="C1531" s="8"/>
      <c r="D1531" s="8"/>
      <c r="E1531" s="8"/>
      <c r="F1531" s="8"/>
      <c r="G1531" s="8"/>
      <c r="H1531" s="8"/>
      <c r="I1531" s="8"/>
      <c r="J1531" s="8"/>
      <c r="K1531" s="8"/>
      <c r="L1531" s="8"/>
      <c r="M1531" s="8"/>
      <c r="N1531" s="8"/>
      <c r="O1531" s="8"/>
      <c r="P1531" s="8"/>
      <c r="Q1531" s="8"/>
      <c r="R1531" s="8"/>
      <c r="S1531" s="8"/>
      <c r="T1531" s="8"/>
      <c r="U1531" s="8"/>
      <c r="V1531" s="8"/>
      <c r="W1531" s="8"/>
    </row>
    <row r="1532" spans="1:23" ht="15.75" customHeight="1" x14ac:dyDescent="0.25">
      <c r="A1532" s="6" t="s">
        <v>4239</v>
      </c>
      <c r="B1532" s="8"/>
      <c r="C1532" s="8"/>
      <c r="D1532" s="8"/>
      <c r="E1532" s="8"/>
      <c r="F1532" s="8"/>
      <c r="G1532" s="8"/>
      <c r="H1532" s="8"/>
      <c r="I1532" s="8"/>
      <c r="J1532" s="8"/>
      <c r="K1532" s="8"/>
      <c r="L1532" s="8"/>
      <c r="M1532" s="8"/>
      <c r="N1532" s="8"/>
      <c r="O1532" s="8"/>
      <c r="P1532" s="8"/>
      <c r="Q1532" s="8"/>
      <c r="R1532" s="8"/>
      <c r="S1532" s="8"/>
      <c r="T1532" s="8"/>
      <c r="U1532" s="8"/>
      <c r="V1532" s="8"/>
      <c r="W1532" s="8"/>
    </row>
    <row r="1533" spans="1:23" ht="15.75" customHeight="1" x14ac:dyDescent="0.25">
      <c r="A1533" s="6" t="s">
        <v>4240</v>
      </c>
      <c r="B1533" s="8"/>
      <c r="C1533" s="8"/>
      <c r="D1533" s="8"/>
      <c r="E1533" s="8"/>
      <c r="F1533" s="8"/>
      <c r="G1533" s="8"/>
      <c r="H1533" s="8"/>
      <c r="I1533" s="8"/>
      <c r="J1533" s="8"/>
      <c r="K1533" s="8"/>
      <c r="L1533" s="8"/>
      <c r="M1533" s="8"/>
      <c r="N1533" s="8"/>
      <c r="O1533" s="8"/>
      <c r="P1533" s="8"/>
      <c r="Q1533" s="8"/>
      <c r="R1533" s="8"/>
      <c r="S1533" s="8"/>
      <c r="T1533" s="8"/>
      <c r="U1533" s="8"/>
      <c r="V1533" s="8"/>
      <c r="W1533" s="8"/>
    </row>
    <row r="1534" spans="1:23" ht="15.75" customHeight="1" x14ac:dyDescent="0.25">
      <c r="A1534" s="6" t="s">
        <v>644</v>
      </c>
      <c r="B1534" s="8"/>
      <c r="C1534" s="8"/>
      <c r="D1534" s="8"/>
      <c r="E1534" s="8"/>
      <c r="F1534" s="8"/>
      <c r="G1534" s="8"/>
      <c r="H1534" s="8"/>
      <c r="I1534" s="8"/>
      <c r="J1534" s="8"/>
      <c r="K1534" s="8"/>
      <c r="L1534" s="8"/>
      <c r="M1534" s="8"/>
      <c r="N1534" s="8"/>
      <c r="O1534" s="8"/>
      <c r="P1534" s="8"/>
      <c r="Q1534" s="8"/>
      <c r="R1534" s="8"/>
      <c r="S1534" s="8"/>
      <c r="T1534" s="8"/>
      <c r="U1534" s="8"/>
      <c r="V1534" s="8"/>
      <c r="W1534" s="8"/>
    </row>
    <row r="1535" spans="1:23" ht="15.75" customHeight="1" x14ac:dyDescent="0.25">
      <c r="A1535" s="6" t="s">
        <v>644</v>
      </c>
      <c r="B1535" s="8"/>
      <c r="C1535" s="8"/>
      <c r="D1535" s="8"/>
      <c r="E1535" s="8"/>
      <c r="F1535" s="8"/>
      <c r="G1535" s="8"/>
      <c r="H1535" s="8"/>
      <c r="I1535" s="8"/>
      <c r="J1535" s="8"/>
      <c r="K1535" s="8"/>
      <c r="L1535" s="8"/>
      <c r="M1535" s="8"/>
      <c r="N1535" s="8"/>
      <c r="O1535" s="8"/>
      <c r="P1535" s="8"/>
      <c r="Q1535" s="8"/>
      <c r="R1535" s="8"/>
      <c r="S1535" s="8"/>
      <c r="T1535" s="8"/>
      <c r="U1535" s="8"/>
      <c r="V1535" s="8"/>
      <c r="W1535" s="8"/>
    </row>
    <row r="1536" spans="1:23" ht="15.75" customHeight="1" x14ac:dyDescent="0.25">
      <c r="A1536" s="6" t="s">
        <v>3918</v>
      </c>
      <c r="B1536" s="8"/>
      <c r="C1536" s="8"/>
      <c r="D1536" s="8"/>
      <c r="E1536" s="8"/>
      <c r="F1536" s="8"/>
      <c r="G1536" s="8"/>
      <c r="H1536" s="8"/>
      <c r="I1536" s="8"/>
      <c r="J1536" s="8"/>
      <c r="K1536" s="8"/>
      <c r="L1536" s="8"/>
      <c r="M1536" s="8"/>
      <c r="N1536" s="8"/>
      <c r="O1536" s="8"/>
      <c r="P1536" s="8"/>
      <c r="Q1536" s="8"/>
      <c r="R1536" s="8"/>
      <c r="S1536" s="8"/>
      <c r="T1536" s="8"/>
      <c r="U1536" s="8"/>
      <c r="V1536" s="8"/>
      <c r="W1536" s="8"/>
    </row>
    <row r="1537" spans="1:23" ht="15.75" customHeight="1" x14ac:dyDescent="0.25">
      <c r="A1537" s="6" t="s">
        <v>3918</v>
      </c>
      <c r="B1537" s="8"/>
      <c r="C1537" s="8"/>
      <c r="D1537" s="8"/>
      <c r="E1537" s="8"/>
      <c r="F1537" s="8"/>
      <c r="G1537" s="8"/>
      <c r="H1537" s="8"/>
      <c r="I1537" s="8"/>
      <c r="J1537" s="8"/>
      <c r="K1537" s="8"/>
      <c r="L1537" s="8"/>
      <c r="M1537" s="8"/>
      <c r="N1537" s="8"/>
      <c r="O1537" s="8"/>
      <c r="P1537" s="8"/>
      <c r="Q1537" s="8"/>
      <c r="R1537" s="8"/>
      <c r="S1537" s="8"/>
      <c r="T1537" s="8"/>
      <c r="U1537" s="8"/>
      <c r="V1537" s="8"/>
      <c r="W1537" s="8"/>
    </row>
    <row r="1538" spans="1:23" ht="15.75" customHeight="1" x14ac:dyDescent="0.25">
      <c r="A1538" s="6" t="s">
        <v>4241</v>
      </c>
      <c r="B1538" s="8"/>
      <c r="C1538" s="8"/>
      <c r="D1538" s="8"/>
      <c r="E1538" s="8"/>
      <c r="F1538" s="8"/>
      <c r="G1538" s="8"/>
      <c r="H1538" s="8"/>
      <c r="I1538" s="8"/>
      <c r="J1538" s="8"/>
      <c r="K1538" s="8"/>
      <c r="L1538" s="8"/>
      <c r="M1538" s="8"/>
      <c r="N1538" s="8"/>
      <c r="O1538" s="8"/>
      <c r="P1538" s="8"/>
      <c r="Q1538" s="8"/>
      <c r="R1538" s="8"/>
      <c r="S1538" s="8"/>
      <c r="T1538" s="8"/>
      <c r="U1538" s="8"/>
      <c r="V1538" s="8"/>
      <c r="W1538" s="8"/>
    </row>
    <row r="1539" spans="1:23" ht="15.75" customHeight="1" x14ac:dyDescent="0.25">
      <c r="A1539" s="8" t="s">
        <v>149</v>
      </c>
      <c r="B1539" s="8"/>
      <c r="C1539" s="8"/>
      <c r="D1539" s="8"/>
      <c r="E1539" s="8"/>
      <c r="F1539" s="8"/>
      <c r="G1539" s="8"/>
      <c r="H1539" s="8"/>
      <c r="I1539" s="8"/>
      <c r="J1539" s="8"/>
      <c r="K1539" s="8"/>
      <c r="L1539" s="8"/>
      <c r="M1539" s="8"/>
      <c r="N1539" s="8"/>
      <c r="O1539" s="8"/>
      <c r="P1539" s="8"/>
      <c r="Q1539" s="8"/>
      <c r="R1539" s="8"/>
      <c r="S1539" s="8"/>
      <c r="T1539" s="8"/>
      <c r="U1539" s="8"/>
      <c r="V1539" s="8"/>
      <c r="W1539" s="8"/>
    </row>
    <row r="1540" spans="1:23" ht="15.75" customHeight="1" x14ac:dyDescent="0.25">
      <c r="A1540" s="8" t="s">
        <v>149</v>
      </c>
      <c r="B1540" s="8"/>
      <c r="C1540" s="8"/>
      <c r="D1540" s="8"/>
      <c r="E1540" s="8"/>
      <c r="F1540" s="8"/>
      <c r="G1540" s="8"/>
      <c r="H1540" s="8"/>
      <c r="I1540" s="8"/>
      <c r="J1540" s="8"/>
      <c r="K1540" s="8"/>
      <c r="L1540" s="8"/>
      <c r="M1540" s="8"/>
      <c r="N1540" s="8"/>
      <c r="O1540" s="8"/>
      <c r="P1540" s="8"/>
      <c r="Q1540" s="8"/>
      <c r="R1540" s="8"/>
      <c r="S1540" s="8"/>
      <c r="T1540" s="8"/>
      <c r="U1540" s="8"/>
      <c r="V1540" s="8"/>
      <c r="W1540" s="8"/>
    </row>
    <row r="1541" spans="1:23" ht="15.75" customHeight="1" x14ac:dyDescent="0.25">
      <c r="A1541" s="8" t="s">
        <v>149</v>
      </c>
      <c r="B1541" s="8"/>
      <c r="C1541" s="8"/>
      <c r="D1541" s="8"/>
      <c r="E1541" s="8"/>
      <c r="F1541" s="8"/>
      <c r="G1541" s="8"/>
      <c r="H1541" s="8"/>
      <c r="I1541" s="8"/>
      <c r="J1541" s="8"/>
      <c r="K1541" s="8"/>
      <c r="L1541" s="8"/>
      <c r="M1541" s="8"/>
      <c r="N1541" s="8"/>
      <c r="O1541" s="8"/>
      <c r="P1541" s="8"/>
      <c r="Q1541" s="8"/>
      <c r="R1541" s="8"/>
      <c r="S1541" s="8"/>
      <c r="T1541" s="8"/>
      <c r="U1541" s="8"/>
      <c r="V1541" s="8"/>
      <c r="W1541" s="8"/>
    </row>
    <row r="1542" spans="1:23" ht="15.75" customHeight="1" x14ac:dyDescent="0.25">
      <c r="A1542" s="6" t="s">
        <v>149</v>
      </c>
      <c r="B1542" s="8"/>
      <c r="C1542" s="8"/>
      <c r="D1542" s="8"/>
      <c r="E1542" s="8"/>
      <c r="F1542" s="8"/>
      <c r="G1542" s="8"/>
      <c r="H1542" s="8"/>
      <c r="I1542" s="8"/>
      <c r="J1542" s="8"/>
      <c r="K1542" s="8"/>
      <c r="L1542" s="8"/>
      <c r="M1542" s="8"/>
      <c r="N1542" s="8"/>
      <c r="O1542" s="8"/>
      <c r="P1542" s="8"/>
      <c r="Q1542" s="8"/>
      <c r="R1542" s="8"/>
      <c r="S1542" s="8"/>
      <c r="T1542" s="8"/>
      <c r="U1542" s="8"/>
      <c r="V1542" s="8"/>
      <c r="W1542" s="8"/>
    </row>
    <row r="1543" spans="1:23" ht="15.75" customHeight="1" x14ac:dyDescent="0.25">
      <c r="A1543" s="6" t="s">
        <v>149</v>
      </c>
      <c r="B1543" s="8"/>
      <c r="C1543" s="8"/>
      <c r="D1543" s="8"/>
      <c r="E1543" s="8"/>
      <c r="F1543" s="8"/>
      <c r="G1543" s="8"/>
      <c r="H1543" s="8"/>
      <c r="I1543" s="8"/>
      <c r="J1543" s="8"/>
      <c r="K1543" s="8"/>
      <c r="L1543" s="8"/>
      <c r="M1543" s="8"/>
      <c r="N1543" s="8"/>
      <c r="O1543" s="8"/>
      <c r="P1543" s="8"/>
      <c r="Q1543" s="8"/>
      <c r="R1543" s="8"/>
      <c r="S1543" s="8"/>
      <c r="T1543" s="8"/>
      <c r="U1543" s="8"/>
      <c r="V1543" s="8"/>
      <c r="W1543" s="8"/>
    </row>
    <row r="1544" spans="1:23" ht="15.75" customHeight="1" x14ac:dyDescent="0.25">
      <c r="A1544" s="6" t="s">
        <v>149</v>
      </c>
      <c r="B1544" s="8"/>
      <c r="C1544" s="8"/>
      <c r="D1544" s="8"/>
      <c r="E1544" s="8"/>
      <c r="F1544" s="8"/>
      <c r="G1544" s="8"/>
      <c r="H1544" s="8"/>
      <c r="I1544" s="8"/>
      <c r="J1544" s="8"/>
      <c r="K1544" s="8"/>
      <c r="L1544" s="8"/>
      <c r="M1544" s="8"/>
      <c r="N1544" s="8"/>
      <c r="O1544" s="8"/>
      <c r="P1544" s="8"/>
      <c r="Q1544" s="8"/>
      <c r="R1544" s="8"/>
      <c r="S1544" s="8"/>
      <c r="T1544" s="8"/>
      <c r="U1544" s="8"/>
      <c r="V1544" s="8"/>
      <c r="W1544" s="8"/>
    </row>
    <row r="1545" spans="1:23" ht="15.75" customHeight="1" x14ac:dyDescent="0.25">
      <c r="A1545" s="6" t="s">
        <v>149</v>
      </c>
      <c r="B1545" s="8"/>
      <c r="C1545" s="8"/>
      <c r="D1545" s="8"/>
      <c r="E1545" s="8"/>
      <c r="F1545" s="8"/>
      <c r="G1545" s="8"/>
      <c r="H1545" s="8"/>
      <c r="I1545" s="8"/>
      <c r="J1545" s="8"/>
      <c r="K1545" s="8"/>
      <c r="L1545" s="8"/>
      <c r="M1545" s="8"/>
      <c r="N1545" s="8"/>
      <c r="O1545" s="8"/>
      <c r="P1545" s="8"/>
      <c r="Q1545" s="8"/>
      <c r="R1545" s="8"/>
      <c r="S1545" s="8"/>
      <c r="T1545" s="8"/>
      <c r="U1545" s="8"/>
      <c r="V1545" s="8"/>
      <c r="W1545" s="8"/>
    </row>
    <row r="1546" spans="1:23" ht="15.75" customHeight="1" x14ac:dyDescent="0.25">
      <c r="A1546" s="6" t="s">
        <v>149</v>
      </c>
      <c r="B1546" s="8"/>
      <c r="C1546" s="8"/>
      <c r="D1546" s="8"/>
      <c r="E1546" s="8"/>
      <c r="F1546" s="8"/>
      <c r="G1546" s="8"/>
      <c r="H1546" s="8"/>
      <c r="I1546" s="8"/>
      <c r="J1546" s="8"/>
      <c r="K1546" s="8"/>
      <c r="L1546" s="8"/>
      <c r="M1546" s="8"/>
      <c r="N1546" s="8"/>
      <c r="O1546" s="8"/>
      <c r="P1546" s="8"/>
      <c r="Q1546" s="8"/>
      <c r="R1546" s="8"/>
      <c r="S1546" s="8"/>
      <c r="T1546" s="8"/>
      <c r="U1546" s="8"/>
      <c r="V1546" s="8"/>
      <c r="W1546" s="8"/>
    </row>
    <row r="1547" spans="1:23" ht="15.75" customHeight="1" x14ac:dyDescent="0.25">
      <c r="A1547" s="6" t="s">
        <v>149</v>
      </c>
      <c r="B1547" s="8"/>
      <c r="C1547" s="8"/>
      <c r="D1547" s="8"/>
      <c r="E1547" s="8"/>
      <c r="F1547" s="8"/>
      <c r="G1547" s="8"/>
      <c r="H1547" s="8"/>
      <c r="I1547" s="8"/>
      <c r="J1547" s="8"/>
      <c r="K1547" s="8"/>
      <c r="L1547" s="8"/>
      <c r="M1547" s="8"/>
      <c r="N1547" s="8"/>
      <c r="O1547" s="8"/>
      <c r="P1547" s="8"/>
      <c r="Q1547" s="8"/>
      <c r="R1547" s="8"/>
      <c r="S1547" s="8"/>
      <c r="T1547" s="8"/>
      <c r="U1547" s="8"/>
      <c r="V1547" s="8"/>
      <c r="W1547" s="8"/>
    </row>
    <row r="1548" spans="1:23" ht="15.75" customHeight="1" x14ac:dyDescent="0.25">
      <c r="A1548" s="6" t="s">
        <v>149</v>
      </c>
      <c r="B1548" s="8"/>
      <c r="C1548" s="8"/>
      <c r="D1548" s="8"/>
      <c r="E1548" s="8"/>
      <c r="F1548" s="8"/>
      <c r="G1548" s="8"/>
      <c r="H1548" s="8"/>
      <c r="I1548" s="8"/>
      <c r="J1548" s="8"/>
      <c r="K1548" s="8"/>
      <c r="L1548" s="8"/>
      <c r="M1548" s="8"/>
      <c r="N1548" s="8"/>
      <c r="O1548" s="8"/>
      <c r="P1548" s="8"/>
      <c r="Q1548" s="8"/>
      <c r="R1548" s="8"/>
      <c r="S1548" s="8"/>
      <c r="T1548" s="8"/>
      <c r="U1548" s="8"/>
      <c r="V1548" s="8"/>
      <c r="W1548" s="8"/>
    </row>
    <row r="1549" spans="1:23" ht="15.75" customHeight="1" x14ac:dyDescent="0.25">
      <c r="A1549" s="6" t="s">
        <v>149</v>
      </c>
      <c r="B1549" s="8"/>
      <c r="C1549" s="8"/>
      <c r="D1549" s="8"/>
      <c r="E1549" s="8"/>
      <c r="F1549" s="8"/>
      <c r="G1549" s="8"/>
      <c r="H1549" s="8"/>
      <c r="I1549" s="8"/>
      <c r="J1549" s="8"/>
      <c r="K1549" s="8"/>
      <c r="L1549" s="8"/>
      <c r="M1549" s="8"/>
      <c r="N1549" s="8"/>
      <c r="O1549" s="8"/>
      <c r="P1549" s="8"/>
      <c r="Q1549" s="8"/>
      <c r="R1549" s="8"/>
      <c r="S1549" s="8"/>
      <c r="T1549" s="8"/>
      <c r="U1549" s="8"/>
      <c r="V1549" s="8"/>
      <c r="W1549" s="8"/>
    </row>
    <row r="1550" spans="1:23" ht="15.75" customHeight="1" x14ac:dyDescent="0.25">
      <c r="A1550" s="6" t="s">
        <v>149</v>
      </c>
      <c r="B1550" s="8"/>
      <c r="C1550" s="8"/>
      <c r="D1550" s="8"/>
      <c r="E1550" s="8"/>
      <c r="F1550" s="8"/>
      <c r="G1550" s="8"/>
      <c r="H1550" s="8"/>
      <c r="I1550" s="8"/>
      <c r="J1550" s="8"/>
      <c r="K1550" s="8"/>
      <c r="L1550" s="8"/>
      <c r="M1550" s="8"/>
      <c r="N1550" s="8"/>
      <c r="O1550" s="8"/>
      <c r="P1550" s="8"/>
      <c r="Q1550" s="8"/>
      <c r="R1550" s="8"/>
      <c r="S1550" s="8"/>
      <c r="T1550" s="8"/>
      <c r="U1550" s="8"/>
      <c r="V1550" s="8"/>
      <c r="W1550" s="8"/>
    </row>
    <row r="1551" spans="1:23" ht="15.75" customHeight="1" x14ac:dyDescent="0.25">
      <c r="A1551" s="6" t="s">
        <v>149</v>
      </c>
      <c r="B1551" s="8"/>
      <c r="C1551" s="8"/>
      <c r="D1551" s="8"/>
      <c r="E1551" s="8"/>
      <c r="F1551" s="8"/>
      <c r="G1551" s="8"/>
      <c r="H1551" s="8"/>
      <c r="I1551" s="8"/>
      <c r="J1551" s="8"/>
      <c r="K1551" s="8"/>
      <c r="L1551" s="8"/>
      <c r="M1551" s="8"/>
      <c r="N1551" s="8"/>
      <c r="O1551" s="8"/>
      <c r="P1551" s="8"/>
      <c r="Q1551" s="8"/>
      <c r="R1551" s="8"/>
      <c r="S1551" s="8"/>
      <c r="T1551" s="8"/>
      <c r="U1551" s="8"/>
      <c r="V1551" s="8"/>
      <c r="W1551" s="8"/>
    </row>
    <row r="1552" spans="1:23" ht="15.75" customHeight="1" x14ac:dyDescent="0.25">
      <c r="A1552" s="6" t="s">
        <v>149</v>
      </c>
      <c r="B1552" s="8"/>
      <c r="C1552" s="8"/>
      <c r="D1552" s="8"/>
      <c r="E1552" s="8"/>
      <c r="F1552" s="8"/>
      <c r="G1552" s="8"/>
      <c r="H1552" s="8"/>
      <c r="I1552" s="8"/>
      <c r="J1552" s="8"/>
      <c r="K1552" s="8"/>
      <c r="L1552" s="8"/>
      <c r="M1552" s="8"/>
      <c r="N1552" s="8"/>
      <c r="O1552" s="8"/>
      <c r="P1552" s="8"/>
      <c r="Q1552" s="8"/>
      <c r="R1552" s="8"/>
      <c r="S1552" s="8"/>
      <c r="T1552" s="8"/>
      <c r="U1552" s="8"/>
      <c r="V1552" s="8"/>
      <c r="W1552" s="8"/>
    </row>
    <row r="1553" spans="1:23" ht="15.75" customHeight="1" x14ac:dyDescent="0.25">
      <c r="A1553" s="6" t="s">
        <v>149</v>
      </c>
      <c r="B1553" s="8"/>
      <c r="C1553" s="8"/>
      <c r="D1553" s="8"/>
      <c r="E1553" s="8"/>
      <c r="F1553" s="8"/>
      <c r="G1553" s="8"/>
      <c r="H1553" s="8"/>
      <c r="I1553" s="8"/>
      <c r="J1553" s="8"/>
      <c r="K1553" s="8"/>
      <c r="L1553" s="8"/>
      <c r="M1553" s="8"/>
      <c r="N1553" s="8"/>
      <c r="O1553" s="8"/>
      <c r="P1553" s="8"/>
      <c r="Q1553" s="8"/>
      <c r="R1553" s="8"/>
      <c r="S1553" s="8"/>
      <c r="T1553" s="8"/>
      <c r="U1553" s="8"/>
      <c r="V1553" s="8"/>
      <c r="W1553" s="8"/>
    </row>
    <row r="1554" spans="1:23" ht="15.75" customHeight="1" x14ac:dyDescent="0.25">
      <c r="A1554" s="6" t="s">
        <v>149</v>
      </c>
      <c r="B1554" s="8"/>
      <c r="C1554" s="8"/>
      <c r="D1554" s="8"/>
      <c r="E1554" s="8"/>
      <c r="F1554" s="8"/>
      <c r="G1554" s="8"/>
      <c r="H1554" s="8"/>
      <c r="I1554" s="8"/>
      <c r="J1554" s="8"/>
      <c r="K1554" s="8"/>
      <c r="L1554" s="8"/>
      <c r="M1554" s="8"/>
      <c r="N1554" s="8"/>
      <c r="O1554" s="8"/>
      <c r="P1554" s="8"/>
      <c r="Q1554" s="8"/>
      <c r="R1554" s="8"/>
      <c r="S1554" s="8"/>
      <c r="T1554" s="8"/>
      <c r="U1554" s="8"/>
      <c r="V1554" s="8"/>
      <c r="W1554" s="8"/>
    </row>
    <row r="1555" spans="1:23" ht="15.75" customHeight="1" x14ac:dyDescent="0.25">
      <c r="A1555" s="6" t="s">
        <v>149</v>
      </c>
      <c r="B1555" s="8"/>
      <c r="C1555" s="8"/>
      <c r="D1555" s="8"/>
      <c r="E1555" s="8"/>
      <c r="F1555" s="8"/>
      <c r="G1555" s="8"/>
      <c r="H1555" s="8"/>
      <c r="I1555" s="8"/>
      <c r="J1555" s="8"/>
      <c r="K1555" s="8"/>
      <c r="L1555" s="8"/>
      <c r="M1555" s="8"/>
      <c r="N1555" s="8"/>
      <c r="O1555" s="8"/>
      <c r="P1555" s="8"/>
      <c r="Q1555" s="8"/>
      <c r="R1555" s="8"/>
      <c r="S1555" s="8"/>
      <c r="T1555" s="8"/>
      <c r="U1555" s="8"/>
      <c r="V1555" s="8"/>
      <c r="W1555" s="8"/>
    </row>
    <row r="1556" spans="1:23" ht="15.75" customHeight="1" x14ac:dyDescent="0.25">
      <c r="A1556" s="6" t="s">
        <v>149</v>
      </c>
      <c r="B1556" s="8"/>
      <c r="C1556" s="8"/>
      <c r="D1556" s="8"/>
      <c r="E1556" s="8"/>
      <c r="F1556" s="8"/>
      <c r="G1556" s="8"/>
      <c r="H1556" s="8"/>
      <c r="I1556" s="8"/>
      <c r="J1556" s="8"/>
      <c r="K1556" s="8"/>
      <c r="L1556" s="8"/>
      <c r="M1556" s="8"/>
      <c r="N1556" s="8"/>
      <c r="O1556" s="8"/>
      <c r="P1556" s="8"/>
      <c r="Q1556" s="8"/>
      <c r="R1556" s="8"/>
      <c r="S1556" s="8"/>
      <c r="T1556" s="8"/>
      <c r="U1556" s="8"/>
      <c r="V1556" s="8"/>
      <c r="W1556" s="8"/>
    </row>
    <row r="1557" spans="1:23" ht="15.75" customHeight="1" x14ac:dyDescent="0.25">
      <c r="A1557" s="6" t="s">
        <v>149</v>
      </c>
      <c r="B1557" s="8"/>
      <c r="C1557" s="8"/>
      <c r="D1557" s="8"/>
      <c r="E1557" s="8"/>
      <c r="F1557" s="8"/>
      <c r="G1557" s="8"/>
      <c r="H1557" s="8"/>
      <c r="I1557" s="8"/>
      <c r="J1557" s="8"/>
      <c r="K1557" s="8"/>
      <c r="L1557" s="8"/>
      <c r="M1557" s="8"/>
      <c r="N1557" s="8"/>
      <c r="O1557" s="8"/>
      <c r="P1557" s="8"/>
      <c r="Q1557" s="8"/>
      <c r="R1557" s="8"/>
      <c r="S1557" s="8"/>
      <c r="T1557" s="8"/>
      <c r="U1557" s="8"/>
      <c r="V1557" s="8"/>
      <c r="W1557" s="8"/>
    </row>
    <row r="1558" spans="1:23" ht="15.75" customHeight="1" x14ac:dyDescent="0.25">
      <c r="A1558" s="6" t="s">
        <v>149</v>
      </c>
      <c r="B1558" s="8"/>
      <c r="C1558" s="8"/>
      <c r="D1558" s="8"/>
      <c r="E1558" s="8"/>
      <c r="F1558" s="8"/>
      <c r="G1558" s="8"/>
      <c r="H1558" s="8"/>
      <c r="I1558" s="8"/>
      <c r="J1558" s="8"/>
      <c r="K1558" s="8"/>
      <c r="L1558" s="8"/>
      <c r="M1558" s="8"/>
      <c r="N1558" s="8"/>
      <c r="O1558" s="8"/>
      <c r="P1558" s="8"/>
      <c r="Q1558" s="8"/>
      <c r="R1558" s="8"/>
      <c r="S1558" s="8"/>
      <c r="T1558" s="8"/>
      <c r="U1558" s="8"/>
      <c r="V1558" s="8"/>
      <c r="W1558" s="8"/>
    </row>
    <row r="1559" spans="1:23" ht="15.75" customHeight="1" x14ac:dyDescent="0.25">
      <c r="A1559" s="6" t="s">
        <v>149</v>
      </c>
      <c r="B1559" s="8"/>
      <c r="C1559" s="8"/>
      <c r="D1559" s="8"/>
      <c r="E1559" s="8"/>
      <c r="F1559" s="8"/>
      <c r="G1559" s="8"/>
      <c r="H1559" s="8"/>
      <c r="I1559" s="8"/>
      <c r="J1559" s="8"/>
      <c r="K1559" s="8"/>
      <c r="L1559" s="8"/>
      <c r="M1559" s="8"/>
      <c r="N1559" s="8"/>
      <c r="O1559" s="8"/>
      <c r="P1559" s="8"/>
      <c r="Q1559" s="8"/>
      <c r="R1559" s="8"/>
      <c r="S1559" s="8"/>
      <c r="T1559" s="8"/>
      <c r="U1559" s="8"/>
      <c r="V1559" s="8"/>
      <c r="W1559" s="8"/>
    </row>
    <row r="1560" spans="1:23" ht="15.75" customHeight="1" x14ac:dyDescent="0.25">
      <c r="A1560" s="6" t="s">
        <v>149</v>
      </c>
      <c r="B1560" s="8"/>
      <c r="C1560" s="8"/>
      <c r="D1560" s="8"/>
      <c r="E1560" s="8"/>
      <c r="F1560" s="8"/>
      <c r="G1560" s="8"/>
      <c r="H1560" s="8"/>
      <c r="I1560" s="8"/>
      <c r="J1560" s="8"/>
      <c r="K1560" s="8"/>
      <c r="L1560" s="8"/>
      <c r="M1560" s="8"/>
      <c r="N1560" s="8"/>
      <c r="O1560" s="8"/>
      <c r="P1560" s="8"/>
      <c r="Q1560" s="8"/>
      <c r="R1560" s="8"/>
      <c r="S1560" s="8"/>
      <c r="T1560" s="8"/>
      <c r="U1560" s="8"/>
      <c r="V1560" s="8"/>
      <c r="W1560" s="8"/>
    </row>
    <row r="1561" spans="1:23" ht="15.75" customHeight="1" x14ac:dyDescent="0.25">
      <c r="A1561" s="6" t="s">
        <v>149</v>
      </c>
      <c r="B1561" s="8"/>
      <c r="C1561" s="8"/>
      <c r="D1561" s="8"/>
      <c r="E1561" s="8"/>
      <c r="F1561" s="8"/>
      <c r="G1561" s="8"/>
      <c r="H1561" s="8"/>
      <c r="I1561" s="8"/>
      <c r="J1561" s="8"/>
      <c r="K1561" s="8"/>
      <c r="L1561" s="8"/>
      <c r="M1561" s="8"/>
      <c r="N1561" s="8"/>
      <c r="O1561" s="8"/>
      <c r="P1561" s="8"/>
      <c r="Q1561" s="8"/>
      <c r="R1561" s="8"/>
      <c r="S1561" s="8"/>
      <c r="T1561" s="8"/>
      <c r="U1561" s="8"/>
      <c r="V1561" s="8"/>
      <c r="W1561" s="8"/>
    </row>
    <row r="1562" spans="1:23" ht="15.75" customHeight="1" x14ac:dyDescent="0.25">
      <c r="A1562" s="6" t="s">
        <v>149</v>
      </c>
      <c r="B1562" s="8"/>
      <c r="C1562" s="8"/>
      <c r="D1562" s="8"/>
      <c r="E1562" s="8"/>
      <c r="F1562" s="8"/>
      <c r="G1562" s="8"/>
      <c r="H1562" s="8"/>
      <c r="I1562" s="8"/>
      <c r="J1562" s="8"/>
      <c r="K1562" s="8"/>
      <c r="L1562" s="8"/>
      <c r="M1562" s="8"/>
      <c r="N1562" s="8"/>
      <c r="O1562" s="8"/>
      <c r="P1562" s="8"/>
      <c r="Q1562" s="8"/>
      <c r="R1562" s="8"/>
      <c r="S1562" s="8"/>
      <c r="T1562" s="8"/>
      <c r="U1562" s="8"/>
      <c r="V1562" s="8"/>
      <c r="W1562" s="8"/>
    </row>
    <row r="1563" spans="1:23" ht="15.75" customHeight="1" x14ac:dyDescent="0.25">
      <c r="A1563" s="6" t="s">
        <v>149</v>
      </c>
      <c r="B1563" s="8"/>
      <c r="C1563" s="8"/>
      <c r="D1563" s="8"/>
      <c r="E1563" s="8"/>
      <c r="F1563" s="8"/>
      <c r="G1563" s="8"/>
      <c r="H1563" s="8"/>
      <c r="I1563" s="8"/>
      <c r="J1563" s="8"/>
      <c r="K1563" s="8"/>
      <c r="L1563" s="8"/>
      <c r="M1563" s="8"/>
      <c r="N1563" s="8"/>
      <c r="O1563" s="8"/>
      <c r="P1563" s="8"/>
      <c r="Q1563" s="8"/>
      <c r="R1563" s="8"/>
      <c r="S1563" s="8"/>
      <c r="T1563" s="8"/>
      <c r="U1563" s="8"/>
      <c r="V1563" s="8"/>
      <c r="W1563" s="8"/>
    </row>
    <row r="1564" spans="1:23" ht="15.75" customHeight="1" x14ac:dyDescent="0.25">
      <c r="A1564" s="6" t="s">
        <v>149</v>
      </c>
      <c r="B1564" s="8"/>
      <c r="C1564" s="8"/>
      <c r="D1564" s="8"/>
      <c r="E1564" s="8"/>
      <c r="F1564" s="8"/>
      <c r="G1564" s="8"/>
      <c r="H1564" s="8"/>
      <c r="I1564" s="8"/>
      <c r="J1564" s="8"/>
      <c r="K1564" s="8"/>
      <c r="L1564" s="8"/>
      <c r="M1564" s="8"/>
      <c r="N1564" s="8"/>
      <c r="O1564" s="8"/>
      <c r="P1564" s="8"/>
      <c r="Q1564" s="8"/>
      <c r="R1564" s="8"/>
      <c r="S1564" s="8"/>
      <c r="T1564" s="8"/>
      <c r="U1564" s="8"/>
      <c r="V1564" s="8"/>
      <c r="W1564" s="8"/>
    </row>
    <row r="1565" spans="1:23" ht="15.75" customHeight="1" x14ac:dyDescent="0.25">
      <c r="A1565" s="6" t="s">
        <v>149</v>
      </c>
      <c r="B1565" s="8"/>
      <c r="C1565" s="8"/>
      <c r="D1565" s="8"/>
      <c r="E1565" s="8"/>
      <c r="F1565" s="8"/>
      <c r="G1565" s="8"/>
      <c r="H1565" s="8"/>
      <c r="I1565" s="8"/>
      <c r="J1565" s="8"/>
      <c r="K1565" s="8"/>
      <c r="L1565" s="8"/>
      <c r="M1565" s="8"/>
      <c r="N1565" s="8"/>
      <c r="O1565" s="8"/>
      <c r="P1565" s="8"/>
      <c r="Q1565" s="8"/>
      <c r="R1565" s="8"/>
      <c r="S1565" s="8"/>
      <c r="T1565" s="8"/>
      <c r="U1565" s="8"/>
      <c r="V1565" s="8"/>
      <c r="W1565" s="8"/>
    </row>
    <row r="1566" spans="1:23" ht="15.75" customHeight="1" x14ac:dyDescent="0.25">
      <c r="A1566" s="6" t="s">
        <v>149</v>
      </c>
      <c r="B1566" s="8"/>
      <c r="C1566" s="8"/>
      <c r="D1566" s="8"/>
      <c r="E1566" s="8"/>
      <c r="F1566" s="8"/>
      <c r="G1566" s="8"/>
      <c r="H1566" s="8"/>
      <c r="I1566" s="8"/>
      <c r="J1566" s="8"/>
      <c r="K1566" s="8"/>
      <c r="L1566" s="8"/>
      <c r="M1566" s="8"/>
      <c r="N1566" s="8"/>
      <c r="O1566" s="8"/>
      <c r="P1566" s="8"/>
      <c r="Q1566" s="8"/>
      <c r="R1566" s="8"/>
      <c r="S1566" s="8"/>
      <c r="T1566" s="8"/>
      <c r="U1566" s="8"/>
      <c r="V1566" s="8"/>
      <c r="W1566" s="8"/>
    </row>
    <row r="1567" spans="1:23" ht="15.75" customHeight="1" x14ac:dyDescent="0.25">
      <c r="A1567" s="6" t="s">
        <v>149</v>
      </c>
      <c r="B1567" s="8"/>
      <c r="C1567" s="8"/>
      <c r="D1567" s="8"/>
      <c r="E1567" s="8"/>
      <c r="F1567" s="8"/>
      <c r="G1567" s="8"/>
      <c r="H1567" s="8"/>
      <c r="I1567" s="8"/>
      <c r="J1567" s="8"/>
      <c r="K1567" s="8"/>
      <c r="L1567" s="8"/>
      <c r="M1567" s="8"/>
      <c r="N1567" s="8"/>
      <c r="O1567" s="8"/>
      <c r="P1567" s="8"/>
      <c r="Q1567" s="8"/>
      <c r="R1567" s="8"/>
      <c r="S1567" s="8"/>
      <c r="T1567" s="8"/>
      <c r="U1567" s="8"/>
      <c r="V1567" s="8"/>
      <c r="W1567" s="8"/>
    </row>
    <row r="1568" spans="1:23" ht="15.75" customHeight="1" x14ac:dyDescent="0.25">
      <c r="A1568" s="6" t="s">
        <v>149</v>
      </c>
      <c r="B1568" s="8"/>
      <c r="C1568" s="8"/>
      <c r="D1568" s="8"/>
      <c r="E1568" s="8"/>
      <c r="F1568" s="8"/>
      <c r="G1568" s="8"/>
      <c r="H1568" s="8"/>
      <c r="I1568" s="8"/>
      <c r="J1568" s="8"/>
      <c r="K1568" s="8"/>
      <c r="L1568" s="8"/>
      <c r="M1568" s="8"/>
      <c r="N1568" s="8"/>
      <c r="O1568" s="8"/>
      <c r="P1568" s="8"/>
      <c r="Q1568" s="8"/>
      <c r="R1568" s="8"/>
      <c r="S1568" s="8"/>
      <c r="T1568" s="8"/>
      <c r="U1568" s="8"/>
      <c r="V1568" s="8"/>
      <c r="W1568" s="8"/>
    </row>
    <row r="1569" spans="1:23" ht="15.75" customHeight="1" x14ac:dyDescent="0.25">
      <c r="A1569" s="6" t="s">
        <v>149</v>
      </c>
      <c r="B1569" s="8"/>
      <c r="C1569" s="8"/>
      <c r="D1569" s="8"/>
      <c r="E1569" s="8"/>
      <c r="F1569" s="8"/>
      <c r="G1569" s="8"/>
      <c r="H1569" s="8"/>
      <c r="I1569" s="8"/>
      <c r="J1569" s="8"/>
      <c r="K1569" s="8"/>
      <c r="L1569" s="8"/>
      <c r="M1569" s="8"/>
      <c r="N1569" s="8"/>
      <c r="O1569" s="8"/>
      <c r="P1569" s="8"/>
      <c r="Q1569" s="8"/>
      <c r="R1569" s="8"/>
      <c r="S1569" s="8"/>
      <c r="T1569" s="8"/>
      <c r="U1569" s="8"/>
      <c r="V1569" s="8"/>
      <c r="W1569" s="8"/>
    </row>
    <row r="1570" spans="1:23" ht="15.75" customHeight="1" x14ac:dyDescent="0.25">
      <c r="A1570" s="6" t="s">
        <v>149</v>
      </c>
      <c r="B1570" s="8"/>
      <c r="C1570" s="8"/>
      <c r="D1570" s="8"/>
      <c r="E1570" s="8"/>
      <c r="F1570" s="8"/>
      <c r="G1570" s="8"/>
      <c r="H1570" s="8"/>
      <c r="I1570" s="8"/>
      <c r="J1570" s="8"/>
      <c r="K1570" s="8"/>
      <c r="L1570" s="8"/>
      <c r="M1570" s="8"/>
      <c r="N1570" s="8"/>
      <c r="O1570" s="8"/>
      <c r="P1570" s="8"/>
      <c r="Q1570" s="8"/>
      <c r="R1570" s="8"/>
      <c r="S1570" s="8"/>
      <c r="T1570" s="8"/>
      <c r="U1570" s="8"/>
      <c r="V1570" s="8"/>
      <c r="W1570" s="8"/>
    </row>
    <row r="1571" spans="1:23" ht="15.75" customHeight="1" x14ac:dyDescent="0.25">
      <c r="A1571" s="6" t="s">
        <v>149</v>
      </c>
      <c r="B1571" s="8"/>
      <c r="C1571" s="8"/>
      <c r="D1571" s="8"/>
      <c r="E1571" s="8"/>
      <c r="F1571" s="8"/>
      <c r="G1571" s="8"/>
      <c r="H1571" s="8"/>
      <c r="I1571" s="8"/>
      <c r="J1571" s="8"/>
      <c r="K1571" s="8"/>
      <c r="L1571" s="8"/>
      <c r="M1571" s="8"/>
      <c r="N1571" s="8"/>
      <c r="O1571" s="8"/>
      <c r="P1571" s="8"/>
      <c r="Q1571" s="8"/>
      <c r="R1571" s="8"/>
      <c r="S1571" s="8"/>
      <c r="T1571" s="8"/>
      <c r="U1571" s="8"/>
      <c r="V1571" s="8"/>
      <c r="W1571" s="8"/>
    </row>
    <row r="1572" spans="1:23" ht="15.75" customHeight="1" x14ac:dyDescent="0.25">
      <c r="A1572" s="6" t="s">
        <v>149</v>
      </c>
      <c r="B1572" s="8"/>
      <c r="C1572" s="8"/>
      <c r="D1572" s="8"/>
      <c r="E1572" s="8"/>
      <c r="F1572" s="8"/>
      <c r="G1572" s="8"/>
      <c r="H1572" s="8"/>
      <c r="I1572" s="8"/>
      <c r="J1572" s="8"/>
      <c r="K1572" s="8"/>
      <c r="L1572" s="8"/>
      <c r="M1572" s="8"/>
      <c r="N1572" s="8"/>
      <c r="O1572" s="8"/>
      <c r="P1572" s="8"/>
      <c r="Q1572" s="8"/>
      <c r="R1572" s="8"/>
      <c r="S1572" s="8"/>
      <c r="T1572" s="8"/>
      <c r="U1572" s="8"/>
      <c r="V1572" s="8"/>
      <c r="W1572" s="8"/>
    </row>
    <row r="1573" spans="1:23" ht="15.75" customHeight="1" x14ac:dyDescent="0.25">
      <c r="A1573" s="6" t="s">
        <v>149</v>
      </c>
      <c r="B1573" s="8"/>
      <c r="C1573" s="8"/>
      <c r="D1573" s="8"/>
      <c r="E1573" s="8"/>
      <c r="F1573" s="8"/>
      <c r="G1573" s="8"/>
      <c r="H1573" s="8"/>
      <c r="I1573" s="8"/>
      <c r="J1573" s="8"/>
      <c r="K1573" s="8"/>
      <c r="L1573" s="8"/>
      <c r="M1573" s="8"/>
      <c r="N1573" s="8"/>
      <c r="O1573" s="8"/>
      <c r="P1573" s="8"/>
      <c r="Q1573" s="8"/>
      <c r="R1573" s="8"/>
      <c r="S1573" s="8"/>
      <c r="T1573" s="8"/>
      <c r="U1573" s="8"/>
      <c r="V1573" s="8"/>
      <c r="W1573" s="8"/>
    </row>
    <row r="1574" spans="1:23" ht="15.75" customHeight="1" x14ac:dyDescent="0.25">
      <c r="A1574" s="6" t="s">
        <v>149</v>
      </c>
      <c r="B1574" s="8"/>
      <c r="C1574" s="8"/>
      <c r="D1574" s="8"/>
      <c r="E1574" s="8"/>
      <c r="F1574" s="8"/>
      <c r="G1574" s="8"/>
      <c r="H1574" s="8"/>
      <c r="I1574" s="8"/>
      <c r="J1574" s="8"/>
      <c r="K1574" s="8"/>
      <c r="L1574" s="8"/>
      <c r="M1574" s="8"/>
      <c r="N1574" s="8"/>
      <c r="O1574" s="8"/>
      <c r="P1574" s="8"/>
      <c r="Q1574" s="8"/>
      <c r="R1574" s="8"/>
      <c r="S1574" s="8"/>
      <c r="T1574" s="8"/>
      <c r="U1574" s="8"/>
      <c r="V1574" s="8"/>
      <c r="W1574" s="8"/>
    </row>
    <row r="1575" spans="1:23" ht="15.75" customHeight="1" x14ac:dyDescent="0.25">
      <c r="A1575" s="6" t="s">
        <v>149</v>
      </c>
      <c r="B1575" s="8"/>
      <c r="C1575" s="8"/>
      <c r="D1575" s="8"/>
      <c r="E1575" s="8"/>
      <c r="F1575" s="8"/>
      <c r="G1575" s="8"/>
      <c r="H1575" s="8"/>
      <c r="I1575" s="8"/>
      <c r="J1575" s="8"/>
      <c r="K1575" s="8"/>
      <c r="L1575" s="8"/>
      <c r="M1575" s="8"/>
      <c r="N1575" s="8"/>
      <c r="O1575" s="8"/>
      <c r="P1575" s="8"/>
      <c r="Q1575" s="8"/>
      <c r="R1575" s="8"/>
      <c r="S1575" s="8"/>
      <c r="T1575" s="8"/>
      <c r="U1575" s="8"/>
      <c r="V1575" s="8"/>
      <c r="W1575" s="8"/>
    </row>
    <row r="1576" spans="1:23" ht="15.75" customHeight="1" x14ac:dyDescent="0.25">
      <c r="A1576" s="6" t="s">
        <v>149</v>
      </c>
      <c r="B1576" s="8"/>
      <c r="C1576" s="8"/>
      <c r="D1576" s="8"/>
      <c r="E1576" s="8"/>
      <c r="F1576" s="8"/>
      <c r="G1576" s="8"/>
      <c r="H1576" s="8"/>
      <c r="I1576" s="8"/>
      <c r="J1576" s="8"/>
      <c r="K1576" s="8"/>
      <c r="L1576" s="8"/>
      <c r="M1576" s="8"/>
      <c r="N1576" s="8"/>
      <c r="O1576" s="8"/>
      <c r="P1576" s="8"/>
      <c r="Q1576" s="8"/>
      <c r="R1576" s="8"/>
      <c r="S1576" s="8"/>
      <c r="T1576" s="8"/>
      <c r="U1576" s="8"/>
      <c r="V1576" s="8"/>
      <c r="W1576" s="8"/>
    </row>
    <row r="1577" spans="1:23" ht="15.75" customHeight="1" x14ac:dyDescent="0.25">
      <c r="A1577" s="6" t="s">
        <v>149</v>
      </c>
      <c r="B1577" s="8"/>
      <c r="C1577" s="8"/>
      <c r="D1577" s="8"/>
      <c r="E1577" s="8"/>
      <c r="F1577" s="8"/>
      <c r="G1577" s="8"/>
      <c r="H1577" s="8"/>
      <c r="I1577" s="8"/>
      <c r="J1577" s="8"/>
      <c r="K1577" s="8"/>
      <c r="L1577" s="8"/>
      <c r="M1577" s="8"/>
      <c r="N1577" s="8"/>
      <c r="O1577" s="8"/>
      <c r="P1577" s="8"/>
      <c r="Q1577" s="8"/>
      <c r="R1577" s="8"/>
      <c r="S1577" s="8"/>
      <c r="T1577" s="8"/>
      <c r="U1577" s="8"/>
      <c r="V1577" s="8"/>
      <c r="W1577" s="8"/>
    </row>
    <row r="1578" spans="1:23" ht="15.75" customHeight="1" x14ac:dyDescent="0.25">
      <c r="A1578" s="6" t="s">
        <v>149</v>
      </c>
      <c r="B1578" s="8"/>
      <c r="C1578" s="8"/>
      <c r="D1578" s="8"/>
      <c r="E1578" s="8"/>
      <c r="F1578" s="8"/>
      <c r="G1578" s="8"/>
      <c r="H1578" s="8"/>
      <c r="I1578" s="8"/>
      <c r="J1578" s="8"/>
      <c r="K1578" s="8"/>
      <c r="L1578" s="8"/>
      <c r="M1578" s="8"/>
      <c r="N1578" s="8"/>
      <c r="O1578" s="8"/>
      <c r="P1578" s="8"/>
      <c r="Q1578" s="8"/>
      <c r="R1578" s="8"/>
      <c r="S1578" s="8"/>
      <c r="T1578" s="8"/>
      <c r="U1578" s="8"/>
      <c r="V1578" s="8"/>
      <c r="W1578" s="8"/>
    </row>
    <row r="1579" spans="1:23" ht="15.75" customHeight="1" x14ac:dyDescent="0.25">
      <c r="A1579" s="6" t="s">
        <v>149</v>
      </c>
      <c r="B1579" s="8"/>
      <c r="C1579" s="8"/>
      <c r="D1579" s="8"/>
      <c r="E1579" s="8"/>
      <c r="F1579" s="8"/>
      <c r="G1579" s="8"/>
      <c r="H1579" s="8"/>
      <c r="I1579" s="8"/>
      <c r="J1579" s="8"/>
      <c r="K1579" s="8"/>
      <c r="L1579" s="8"/>
      <c r="M1579" s="8"/>
      <c r="N1579" s="8"/>
      <c r="O1579" s="8"/>
      <c r="P1579" s="8"/>
      <c r="Q1579" s="8"/>
      <c r="R1579" s="8"/>
      <c r="S1579" s="8"/>
      <c r="T1579" s="8"/>
      <c r="U1579" s="8"/>
      <c r="V1579" s="8"/>
      <c r="W1579" s="8"/>
    </row>
    <row r="1580" spans="1:23" ht="15.75" customHeight="1" x14ac:dyDescent="0.25">
      <c r="A1580" s="6" t="s">
        <v>149</v>
      </c>
      <c r="B1580" s="8"/>
      <c r="C1580" s="8"/>
      <c r="D1580" s="8"/>
      <c r="E1580" s="8"/>
      <c r="F1580" s="8"/>
      <c r="G1580" s="8"/>
      <c r="H1580" s="8"/>
      <c r="I1580" s="8"/>
      <c r="J1580" s="8"/>
      <c r="K1580" s="8"/>
      <c r="L1580" s="8"/>
      <c r="M1580" s="8"/>
      <c r="N1580" s="8"/>
      <c r="O1580" s="8"/>
      <c r="P1580" s="8"/>
      <c r="Q1580" s="8"/>
      <c r="R1580" s="8"/>
      <c r="S1580" s="8"/>
      <c r="T1580" s="8"/>
      <c r="U1580" s="8"/>
      <c r="V1580" s="8"/>
      <c r="W1580" s="8"/>
    </row>
    <row r="1581" spans="1:23" ht="15.75" customHeight="1" x14ac:dyDescent="0.25">
      <c r="A1581" s="6" t="s">
        <v>149</v>
      </c>
      <c r="B1581" s="8"/>
      <c r="C1581" s="8"/>
      <c r="D1581" s="8"/>
      <c r="E1581" s="8"/>
      <c r="F1581" s="8"/>
      <c r="G1581" s="8"/>
      <c r="H1581" s="8"/>
      <c r="I1581" s="8"/>
      <c r="J1581" s="8"/>
      <c r="K1581" s="8"/>
      <c r="L1581" s="8"/>
      <c r="M1581" s="8"/>
      <c r="N1581" s="8"/>
      <c r="O1581" s="8"/>
      <c r="P1581" s="8"/>
      <c r="Q1581" s="8"/>
      <c r="R1581" s="8"/>
      <c r="S1581" s="8"/>
      <c r="T1581" s="8"/>
      <c r="U1581" s="8"/>
      <c r="V1581" s="8"/>
      <c r="W1581" s="8"/>
    </row>
    <row r="1582" spans="1:23" ht="15.75" customHeight="1" x14ac:dyDescent="0.25">
      <c r="A1582" s="6" t="s">
        <v>149</v>
      </c>
      <c r="B1582" s="8"/>
      <c r="C1582" s="8"/>
      <c r="D1582" s="8"/>
      <c r="E1582" s="8"/>
      <c r="F1582" s="8"/>
      <c r="G1582" s="8"/>
      <c r="H1582" s="8"/>
      <c r="I1582" s="8"/>
      <c r="J1582" s="8"/>
      <c r="K1582" s="8"/>
      <c r="L1582" s="8"/>
      <c r="M1582" s="8"/>
      <c r="N1582" s="8"/>
      <c r="O1582" s="8"/>
      <c r="P1582" s="8"/>
      <c r="Q1582" s="8"/>
      <c r="R1582" s="8"/>
      <c r="S1582" s="8"/>
      <c r="T1582" s="8"/>
      <c r="U1582" s="8"/>
      <c r="V1582" s="8"/>
      <c r="W1582" s="8"/>
    </row>
    <row r="1583" spans="1:23" ht="15.75" customHeight="1" x14ac:dyDescent="0.25">
      <c r="A1583" s="6" t="s">
        <v>149</v>
      </c>
      <c r="B1583" s="8"/>
      <c r="C1583" s="8"/>
      <c r="D1583" s="8"/>
      <c r="E1583" s="8"/>
      <c r="F1583" s="8"/>
      <c r="G1583" s="8"/>
      <c r="H1583" s="8"/>
      <c r="I1583" s="8"/>
      <c r="J1583" s="8"/>
      <c r="K1583" s="8"/>
      <c r="L1583" s="8"/>
      <c r="M1583" s="8"/>
      <c r="N1583" s="8"/>
      <c r="O1583" s="8"/>
      <c r="P1583" s="8"/>
      <c r="Q1583" s="8"/>
      <c r="R1583" s="8"/>
      <c r="S1583" s="8"/>
      <c r="T1583" s="8"/>
      <c r="U1583" s="8"/>
      <c r="V1583" s="8"/>
      <c r="W1583" s="8"/>
    </row>
    <row r="1584" spans="1:23" ht="15.75" customHeight="1" x14ac:dyDescent="0.25">
      <c r="A1584" s="6" t="s">
        <v>149</v>
      </c>
      <c r="B1584" s="8"/>
      <c r="C1584" s="8"/>
      <c r="D1584" s="8"/>
      <c r="E1584" s="8"/>
      <c r="F1584" s="8"/>
      <c r="G1584" s="8"/>
      <c r="H1584" s="8"/>
      <c r="I1584" s="8"/>
      <c r="J1584" s="8"/>
      <c r="K1584" s="8"/>
      <c r="L1584" s="8"/>
      <c r="M1584" s="8"/>
      <c r="N1584" s="8"/>
      <c r="O1584" s="8"/>
      <c r="P1584" s="8"/>
      <c r="Q1584" s="8"/>
      <c r="R1584" s="8"/>
      <c r="S1584" s="8"/>
      <c r="T1584" s="8"/>
      <c r="U1584" s="8"/>
      <c r="V1584" s="8"/>
      <c r="W1584" s="8"/>
    </row>
    <row r="1585" spans="1:23" ht="15.75" customHeight="1" x14ac:dyDescent="0.25">
      <c r="A1585" s="6" t="s">
        <v>149</v>
      </c>
      <c r="B1585" s="8"/>
      <c r="C1585" s="8"/>
      <c r="D1585" s="8"/>
      <c r="E1585" s="8"/>
      <c r="F1585" s="8"/>
      <c r="G1585" s="8"/>
      <c r="H1585" s="8"/>
      <c r="I1585" s="8"/>
      <c r="J1585" s="8"/>
      <c r="K1585" s="8"/>
      <c r="L1585" s="8"/>
      <c r="M1585" s="8"/>
      <c r="N1585" s="8"/>
      <c r="O1585" s="8"/>
      <c r="P1585" s="8"/>
      <c r="Q1585" s="8"/>
      <c r="R1585" s="8"/>
      <c r="S1585" s="8"/>
      <c r="T1585" s="8"/>
      <c r="U1585" s="8"/>
      <c r="V1585" s="8"/>
      <c r="W1585" s="8"/>
    </row>
    <row r="1586" spans="1:23" ht="15.75" customHeight="1" x14ac:dyDescent="0.25">
      <c r="A1586" s="6" t="s">
        <v>149</v>
      </c>
      <c r="B1586" s="8"/>
      <c r="C1586" s="8"/>
      <c r="D1586" s="8"/>
      <c r="E1586" s="8"/>
      <c r="F1586" s="8"/>
      <c r="G1586" s="8"/>
      <c r="H1586" s="8"/>
      <c r="I1586" s="8"/>
      <c r="J1586" s="8"/>
      <c r="K1586" s="8"/>
      <c r="L1586" s="8"/>
      <c r="M1586" s="8"/>
      <c r="N1586" s="8"/>
      <c r="O1586" s="8"/>
      <c r="P1586" s="8"/>
      <c r="Q1586" s="8"/>
      <c r="R1586" s="8"/>
      <c r="S1586" s="8"/>
      <c r="T1586" s="8"/>
      <c r="U1586" s="8"/>
      <c r="V1586" s="8"/>
      <c r="W1586" s="8"/>
    </row>
    <row r="1587" spans="1:23" ht="15.75" customHeight="1" x14ac:dyDescent="0.25">
      <c r="A1587" s="6" t="s">
        <v>149</v>
      </c>
      <c r="B1587" s="8"/>
      <c r="C1587" s="8"/>
      <c r="D1587" s="8"/>
      <c r="E1587" s="8"/>
      <c r="F1587" s="8"/>
      <c r="G1587" s="8"/>
      <c r="H1587" s="8"/>
      <c r="I1587" s="8"/>
      <c r="J1587" s="8"/>
      <c r="K1587" s="8"/>
      <c r="L1587" s="8"/>
      <c r="M1587" s="8"/>
      <c r="N1587" s="8"/>
      <c r="O1587" s="8"/>
      <c r="P1587" s="8"/>
      <c r="Q1587" s="8"/>
      <c r="R1587" s="8"/>
      <c r="S1587" s="8"/>
      <c r="T1587" s="8"/>
      <c r="U1587" s="8"/>
      <c r="V1587" s="8"/>
      <c r="W1587" s="8"/>
    </row>
    <row r="1588" spans="1:23" ht="15.75" customHeight="1" x14ac:dyDescent="0.25">
      <c r="A1588" s="6" t="s">
        <v>149</v>
      </c>
      <c r="B1588" s="8"/>
      <c r="C1588" s="8"/>
      <c r="D1588" s="8"/>
      <c r="E1588" s="8"/>
      <c r="F1588" s="8"/>
      <c r="G1588" s="8"/>
      <c r="H1588" s="8"/>
      <c r="I1588" s="8"/>
      <c r="J1588" s="8"/>
      <c r="K1588" s="8"/>
      <c r="L1588" s="8"/>
      <c r="M1588" s="8"/>
      <c r="N1588" s="8"/>
      <c r="O1588" s="8"/>
      <c r="P1588" s="8"/>
      <c r="Q1588" s="8"/>
      <c r="R1588" s="8"/>
      <c r="S1588" s="8"/>
      <c r="T1588" s="8"/>
      <c r="U1588" s="8"/>
      <c r="V1588" s="8"/>
      <c r="W1588" s="8"/>
    </row>
    <row r="1589" spans="1:23" ht="15.75" customHeight="1" x14ac:dyDescent="0.25">
      <c r="A1589" s="6" t="s">
        <v>149</v>
      </c>
      <c r="B1589" s="8"/>
      <c r="C1589" s="8"/>
      <c r="D1589" s="8"/>
      <c r="E1589" s="8"/>
      <c r="F1589" s="8"/>
      <c r="G1589" s="8"/>
      <c r="H1589" s="8"/>
      <c r="I1589" s="8"/>
      <c r="J1589" s="8"/>
      <c r="K1589" s="8"/>
      <c r="L1589" s="8"/>
      <c r="M1589" s="8"/>
      <c r="N1589" s="8"/>
      <c r="O1589" s="8"/>
      <c r="P1589" s="8"/>
      <c r="Q1589" s="8"/>
      <c r="R1589" s="8"/>
      <c r="S1589" s="8"/>
      <c r="T1589" s="8"/>
      <c r="U1589" s="8"/>
      <c r="V1589" s="8"/>
      <c r="W1589" s="8"/>
    </row>
    <row r="1590" spans="1:23" ht="15.75" customHeight="1" x14ac:dyDescent="0.25">
      <c r="A1590" s="6" t="s">
        <v>149</v>
      </c>
      <c r="B1590" s="8"/>
      <c r="C1590" s="8"/>
      <c r="D1590" s="8"/>
      <c r="E1590" s="8"/>
      <c r="F1590" s="8"/>
      <c r="G1590" s="8"/>
      <c r="H1590" s="8"/>
      <c r="I1590" s="8"/>
      <c r="J1590" s="8"/>
      <c r="K1590" s="8"/>
      <c r="L1590" s="8"/>
      <c r="M1590" s="8"/>
      <c r="N1590" s="8"/>
      <c r="O1590" s="8"/>
      <c r="P1590" s="8"/>
      <c r="Q1590" s="8"/>
      <c r="R1590" s="8"/>
      <c r="S1590" s="8"/>
      <c r="T1590" s="8"/>
      <c r="U1590" s="8"/>
      <c r="V1590" s="8"/>
      <c r="W1590" s="8"/>
    </row>
    <row r="1591" spans="1:23" ht="15.75" customHeight="1" x14ac:dyDescent="0.25">
      <c r="A1591" s="6" t="s">
        <v>149</v>
      </c>
      <c r="B1591" s="8"/>
      <c r="C1591" s="8"/>
      <c r="D1591" s="8"/>
      <c r="E1591" s="8"/>
      <c r="F1591" s="8"/>
      <c r="G1591" s="8"/>
      <c r="H1591" s="8"/>
      <c r="I1591" s="8"/>
      <c r="J1591" s="8"/>
      <c r="K1591" s="8"/>
      <c r="L1591" s="8"/>
      <c r="M1591" s="8"/>
      <c r="N1591" s="8"/>
      <c r="O1591" s="8"/>
      <c r="P1591" s="8"/>
      <c r="Q1591" s="8"/>
      <c r="R1591" s="8"/>
      <c r="S1591" s="8"/>
      <c r="T1591" s="8"/>
      <c r="U1591" s="8"/>
      <c r="V1591" s="8"/>
      <c r="W1591" s="8"/>
    </row>
    <row r="1592" spans="1:23" ht="15.75" customHeight="1" x14ac:dyDescent="0.25">
      <c r="A1592" s="6" t="s">
        <v>149</v>
      </c>
      <c r="B1592" s="8"/>
      <c r="C1592" s="8"/>
      <c r="D1592" s="8"/>
      <c r="E1592" s="8"/>
      <c r="F1592" s="8"/>
      <c r="G1592" s="8"/>
      <c r="H1592" s="8"/>
      <c r="I1592" s="8"/>
      <c r="J1592" s="8"/>
      <c r="K1592" s="8"/>
      <c r="L1592" s="8"/>
      <c r="M1592" s="8"/>
      <c r="N1592" s="8"/>
      <c r="O1592" s="8"/>
      <c r="P1592" s="8"/>
      <c r="Q1592" s="8"/>
      <c r="R1592" s="8"/>
      <c r="S1592" s="8"/>
      <c r="T1592" s="8"/>
      <c r="U1592" s="8"/>
      <c r="V1592" s="8"/>
      <c r="W1592" s="8"/>
    </row>
    <row r="1593" spans="1:23" ht="15.75" customHeight="1" x14ac:dyDescent="0.25">
      <c r="A1593" s="6" t="s">
        <v>149</v>
      </c>
      <c r="B1593" s="8"/>
      <c r="C1593" s="8"/>
      <c r="D1593" s="8"/>
      <c r="E1593" s="8"/>
      <c r="F1593" s="8"/>
      <c r="G1593" s="8"/>
      <c r="H1593" s="8"/>
      <c r="I1593" s="8"/>
      <c r="J1593" s="8"/>
      <c r="K1593" s="8"/>
      <c r="L1593" s="8"/>
      <c r="M1593" s="8"/>
      <c r="N1593" s="8"/>
      <c r="O1593" s="8"/>
      <c r="P1593" s="8"/>
      <c r="Q1593" s="8"/>
      <c r="R1593" s="8"/>
      <c r="S1593" s="8"/>
      <c r="T1593" s="8"/>
      <c r="U1593" s="8"/>
      <c r="V1593" s="8"/>
      <c r="W1593" s="8"/>
    </row>
    <row r="1594" spans="1:23" ht="15.75" customHeight="1" x14ac:dyDescent="0.25">
      <c r="A1594" s="6" t="s">
        <v>149</v>
      </c>
      <c r="B1594" s="8"/>
      <c r="C1594" s="8"/>
      <c r="D1594" s="8"/>
      <c r="E1594" s="8"/>
      <c r="F1594" s="8"/>
      <c r="G1594" s="8"/>
      <c r="H1594" s="8"/>
      <c r="I1594" s="8"/>
      <c r="J1594" s="8"/>
      <c r="K1594" s="8"/>
      <c r="L1594" s="8"/>
      <c r="M1594" s="8"/>
      <c r="N1594" s="8"/>
      <c r="O1594" s="8"/>
      <c r="P1594" s="8"/>
      <c r="Q1594" s="8"/>
      <c r="R1594" s="8"/>
      <c r="S1594" s="8"/>
      <c r="T1594" s="8"/>
      <c r="U1594" s="8"/>
      <c r="V1594" s="8"/>
      <c r="W1594" s="8"/>
    </row>
    <row r="1595" spans="1:23" ht="15.75" customHeight="1" x14ac:dyDescent="0.25">
      <c r="A1595" s="6" t="s">
        <v>149</v>
      </c>
      <c r="B1595" s="8"/>
      <c r="C1595" s="8"/>
      <c r="D1595" s="8"/>
      <c r="E1595" s="8"/>
      <c r="F1595" s="8"/>
      <c r="G1595" s="8"/>
      <c r="H1595" s="8"/>
      <c r="I1595" s="8"/>
      <c r="J1595" s="8"/>
      <c r="K1595" s="8"/>
      <c r="L1595" s="8"/>
      <c r="M1595" s="8"/>
      <c r="N1595" s="8"/>
      <c r="O1595" s="8"/>
      <c r="P1595" s="8"/>
      <c r="Q1595" s="8"/>
      <c r="R1595" s="8"/>
      <c r="S1595" s="8"/>
      <c r="T1595" s="8"/>
      <c r="U1595" s="8"/>
      <c r="V1595" s="8"/>
      <c r="W1595" s="8"/>
    </row>
    <row r="1596" spans="1:23" ht="15.75" customHeight="1" x14ac:dyDescent="0.25">
      <c r="A1596" s="6" t="s">
        <v>149</v>
      </c>
      <c r="B1596" s="8"/>
      <c r="C1596" s="8"/>
      <c r="D1596" s="8"/>
      <c r="E1596" s="8"/>
      <c r="F1596" s="8"/>
      <c r="G1596" s="8"/>
      <c r="H1596" s="8"/>
      <c r="I1596" s="8"/>
      <c r="J1596" s="8"/>
      <c r="K1596" s="8"/>
      <c r="L1596" s="8"/>
      <c r="M1596" s="8"/>
      <c r="N1596" s="8"/>
      <c r="O1596" s="8"/>
      <c r="P1596" s="8"/>
      <c r="Q1596" s="8"/>
      <c r="R1596" s="8"/>
      <c r="S1596" s="8"/>
      <c r="T1596" s="8"/>
      <c r="U1596" s="8"/>
      <c r="V1596" s="8"/>
      <c r="W1596" s="8"/>
    </row>
    <row r="1597" spans="1:23" ht="15.75" customHeight="1" x14ac:dyDescent="0.25">
      <c r="A1597" s="6" t="s">
        <v>149</v>
      </c>
      <c r="B1597" s="8"/>
      <c r="C1597" s="8"/>
      <c r="D1597" s="8"/>
      <c r="E1597" s="8"/>
      <c r="F1597" s="8"/>
      <c r="G1597" s="8"/>
      <c r="H1597" s="8"/>
      <c r="I1597" s="8"/>
      <c r="J1597" s="8"/>
      <c r="K1597" s="8"/>
      <c r="L1597" s="8"/>
      <c r="M1597" s="8"/>
      <c r="N1597" s="8"/>
      <c r="O1597" s="8"/>
      <c r="P1597" s="8"/>
      <c r="Q1597" s="8"/>
      <c r="R1597" s="8"/>
      <c r="S1597" s="8"/>
      <c r="T1597" s="8"/>
      <c r="U1597" s="8"/>
      <c r="V1597" s="8"/>
      <c r="W1597" s="8"/>
    </row>
    <row r="1598" spans="1:23" ht="15.75" customHeight="1" x14ac:dyDescent="0.25">
      <c r="A1598" s="6" t="s">
        <v>149</v>
      </c>
      <c r="B1598" s="8"/>
      <c r="C1598" s="8"/>
      <c r="D1598" s="8"/>
      <c r="E1598" s="8"/>
      <c r="F1598" s="8"/>
      <c r="G1598" s="8"/>
      <c r="H1598" s="8"/>
      <c r="I1598" s="8"/>
      <c r="J1598" s="8"/>
      <c r="K1598" s="8"/>
      <c r="L1598" s="8"/>
      <c r="M1598" s="8"/>
      <c r="N1598" s="8"/>
      <c r="O1598" s="8"/>
      <c r="P1598" s="8"/>
      <c r="Q1598" s="8"/>
      <c r="R1598" s="8"/>
      <c r="S1598" s="8"/>
      <c r="T1598" s="8"/>
      <c r="U1598" s="8"/>
      <c r="V1598" s="8"/>
      <c r="W1598" s="8"/>
    </row>
    <row r="1599" spans="1:23" ht="15.75" customHeight="1" x14ac:dyDescent="0.25">
      <c r="A1599" s="6" t="s">
        <v>149</v>
      </c>
      <c r="B1599" s="8"/>
      <c r="C1599" s="8"/>
      <c r="D1599" s="8"/>
      <c r="E1599" s="8"/>
      <c r="F1599" s="8"/>
      <c r="G1599" s="8"/>
      <c r="H1599" s="8"/>
      <c r="I1599" s="8"/>
      <c r="J1599" s="8"/>
      <c r="K1599" s="8"/>
      <c r="L1599" s="8"/>
      <c r="M1599" s="8"/>
      <c r="N1599" s="8"/>
      <c r="O1599" s="8"/>
      <c r="P1599" s="8"/>
      <c r="Q1599" s="8"/>
      <c r="R1599" s="8"/>
      <c r="S1599" s="8"/>
      <c r="T1599" s="8"/>
      <c r="U1599" s="8"/>
      <c r="V1599" s="8"/>
      <c r="W1599" s="8"/>
    </row>
    <row r="1600" spans="1:23" ht="15.75" customHeight="1" x14ac:dyDescent="0.25">
      <c r="A1600" s="6" t="s">
        <v>149</v>
      </c>
      <c r="B1600" s="8"/>
      <c r="C1600" s="8"/>
      <c r="D1600" s="8"/>
      <c r="E1600" s="8"/>
      <c r="F1600" s="8"/>
      <c r="G1600" s="8"/>
      <c r="H1600" s="8"/>
      <c r="I1600" s="8"/>
      <c r="J1600" s="8"/>
      <c r="K1600" s="8"/>
      <c r="L1600" s="8"/>
      <c r="M1600" s="8"/>
      <c r="N1600" s="8"/>
      <c r="O1600" s="8"/>
      <c r="P1600" s="8"/>
      <c r="Q1600" s="8"/>
      <c r="R1600" s="8"/>
      <c r="S1600" s="8"/>
      <c r="T1600" s="8"/>
      <c r="U1600" s="8"/>
      <c r="V1600" s="8"/>
      <c r="W1600" s="8"/>
    </row>
    <row r="1601" spans="1:23" ht="15.75" customHeight="1" x14ac:dyDescent="0.25">
      <c r="A1601" s="6" t="s">
        <v>149</v>
      </c>
      <c r="B1601" s="8"/>
      <c r="C1601" s="8"/>
      <c r="D1601" s="8"/>
      <c r="E1601" s="6"/>
      <c r="F1601" s="8"/>
      <c r="G1601" s="8"/>
      <c r="H1601" s="8"/>
      <c r="I1601" s="8"/>
      <c r="J1601" s="8"/>
      <c r="K1601" s="8"/>
      <c r="L1601" s="8"/>
      <c r="M1601" s="8"/>
      <c r="N1601" s="8"/>
      <c r="O1601" s="8"/>
      <c r="P1601" s="8"/>
      <c r="Q1601" s="8"/>
      <c r="R1601" s="8"/>
      <c r="S1601" s="8"/>
      <c r="T1601" s="8"/>
      <c r="U1601" s="8"/>
      <c r="V1601" s="8"/>
      <c r="W1601" s="8"/>
    </row>
    <row r="1602" spans="1:23" ht="15.75" customHeight="1" x14ac:dyDescent="0.25">
      <c r="A1602" s="6" t="s">
        <v>149</v>
      </c>
      <c r="B1602" s="8"/>
      <c r="C1602" s="8"/>
      <c r="D1602" s="8"/>
      <c r="E1602" s="8"/>
      <c r="F1602" s="8"/>
      <c r="G1602" s="8"/>
      <c r="H1602" s="8"/>
      <c r="I1602" s="8"/>
      <c r="J1602" s="8"/>
      <c r="K1602" s="8"/>
      <c r="L1602" s="8"/>
      <c r="M1602" s="8"/>
      <c r="N1602" s="8"/>
      <c r="O1602" s="8"/>
      <c r="P1602" s="8"/>
      <c r="Q1602" s="8"/>
      <c r="R1602" s="8"/>
      <c r="S1602" s="8"/>
      <c r="T1602" s="8"/>
      <c r="U1602" s="8"/>
      <c r="V1602" s="8"/>
      <c r="W1602" s="8"/>
    </row>
    <row r="1603" spans="1:23" ht="15.75" customHeight="1" x14ac:dyDescent="0.25">
      <c r="A1603" s="6" t="s">
        <v>149</v>
      </c>
      <c r="B1603" s="8"/>
      <c r="C1603" s="8"/>
      <c r="D1603" s="8"/>
      <c r="E1603" s="8"/>
      <c r="F1603" s="8"/>
      <c r="G1603" s="8"/>
      <c r="H1603" s="8"/>
      <c r="I1603" s="8"/>
      <c r="J1603" s="8"/>
      <c r="K1603" s="8"/>
      <c r="L1603" s="8"/>
      <c r="M1603" s="8"/>
      <c r="N1603" s="8"/>
      <c r="O1603" s="8"/>
      <c r="P1603" s="8"/>
      <c r="Q1603" s="8"/>
      <c r="R1603" s="8"/>
      <c r="S1603" s="8"/>
      <c r="T1603" s="8"/>
      <c r="U1603" s="8"/>
      <c r="V1603" s="8"/>
      <c r="W1603" s="8"/>
    </row>
    <row r="1604" spans="1:23" ht="15.75" customHeight="1" x14ac:dyDescent="0.25">
      <c r="A1604" s="6" t="s">
        <v>149</v>
      </c>
      <c r="B1604" s="8"/>
      <c r="C1604" s="8"/>
      <c r="D1604" s="8"/>
      <c r="E1604" s="8"/>
      <c r="F1604" s="8"/>
      <c r="G1604" s="8"/>
      <c r="H1604" s="8"/>
      <c r="I1604" s="8"/>
      <c r="J1604" s="8"/>
      <c r="K1604" s="8"/>
      <c r="L1604" s="8"/>
      <c r="M1604" s="8"/>
      <c r="N1604" s="8"/>
      <c r="O1604" s="8"/>
      <c r="P1604" s="8"/>
      <c r="Q1604" s="8"/>
      <c r="R1604" s="8"/>
      <c r="S1604" s="8"/>
      <c r="T1604" s="8"/>
      <c r="U1604" s="8"/>
      <c r="V1604" s="8"/>
      <c r="W1604" s="8"/>
    </row>
    <row r="1605" spans="1:23" ht="15.75" customHeight="1" x14ac:dyDescent="0.25">
      <c r="A1605" s="6" t="s">
        <v>149</v>
      </c>
      <c r="B1605" s="8"/>
      <c r="C1605" s="8"/>
      <c r="D1605" s="8"/>
      <c r="E1605" s="8"/>
      <c r="F1605" s="8"/>
      <c r="G1605" s="8"/>
      <c r="H1605" s="8"/>
      <c r="I1605" s="8"/>
      <c r="J1605" s="8"/>
      <c r="K1605" s="8"/>
      <c r="L1605" s="8"/>
      <c r="M1605" s="8"/>
      <c r="N1605" s="8"/>
      <c r="O1605" s="8"/>
      <c r="P1605" s="8"/>
      <c r="Q1605" s="8"/>
      <c r="R1605" s="8"/>
      <c r="S1605" s="8"/>
      <c r="T1605" s="8"/>
      <c r="U1605" s="8"/>
      <c r="V1605" s="8"/>
      <c r="W1605" s="8"/>
    </row>
    <row r="1606" spans="1:23" ht="15.75" customHeight="1" x14ac:dyDescent="0.25">
      <c r="A1606" s="6" t="s">
        <v>149</v>
      </c>
      <c r="B1606" s="8"/>
      <c r="C1606" s="8"/>
      <c r="D1606" s="8"/>
      <c r="E1606" s="8"/>
      <c r="F1606" s="8"/>
      <c r="G1606" s="8"/>
      <c r="H1606" s="8"/>
      <c r="I1606" s="8"/>
      <c r="J1606" s="8"/>
      <c r="K1606" s="8"/>
      <c r="L1606" s="8"/>
      <c r="M1606" s="8"/>
      <c r="N1606" s="8"/>
      <c r="O1606" s="8"/>
      <c r="P1606" s="8"/>
      <c r="Q1606" s="8"/>
      <c r="R1606" s="8"/>
      <c r="S1606" s="8"/>
      <c r="T1606" s="8"/>
      <c r="U1606" s="8"/>
      <c r="V1606" s="8"/>
      <c r="W1606" s="8"/>
    </row>
    <row r="1607" spans="1:23" ht="15.75" customHeight="1" x14ac:dyDescent="0.25">
      <c r="A1607" s="6" t="s">
        <v>149</v>
      </c>
      <c r="B1607" s="8"/>
      <c r="C1607" s="8"/>
      <c r="D1607" s="8"/>
      <c r="E1607" s="8"/>
      <c r="F1607" s="8"/>
      <c r="G1607" s="8"/>
      <c r="H1607" s="8"/>
      <c r="I1607" s="8"/>
      <c r="J1607" s="8"/>
      <c r="K1607" s="8"/>
      <c r="L1607" s="8"/>
      <c r="M1607" s="8"/>
      <c r="N1607" s="8"/>
      <c r="O1607" s="8"/>
      <c r="P1607" s="8"/>
      <c r="Q1607" s="8"/>
      <c r="R1607" s="8"/>
      <c r="S1607" s="8"/>
      <c r="T1607" s="8"/>
      <c r="U1607" s="8"/>
      <c r="V1607" s="8"/>
      <c r="W1607" s="8"/>
    </row>
    <row r="1608" spans="1:23" ht="15.75" customHeight="1" x14ac:dyDescent="0.25">
      <c r="A1608" s="6" t="s">
        <v>149</v>
      </c>
      <c r="B1608" s="8"/>
      <c r="C1608" s="8"/>
      <c r="D1608" s="8"/>
      <c r="E1608" s="8"/>
      <c r="F1608" s="8"/>
      <c r="G1608" s="8"/>
      <c r="H1608" s="8"/>
      <c r="I1608" s="8"/>
      <c r="J1608" s="8"/>
      <c r="K1608" s="8"/>
      <c r="L1608" s="8"/>
      <c r="M1608" s="8"/>
      <c r="N1608" s="8"/>
      <c r="O1608" s="8"/>
      <c r="P1608" s="8"/>
      <c r="Q1608" s="8"/>
      <c r="R1608" s="8"/>
      <c r="S1608" s="8"/>
      <c r="T1608" s="8"/>
      <c r="U1608" s="8"/>
      <c r="V1608" s="8"/>
      <c r="W1608" s="8"/>
    </row>
    <row r="1609" spans="1:23" ht="15.75" customHeight="1" x14ac:dyDescent="0.25">
      <c r="A1609" s="6" t="s">
        <v>149</v>
      </c>
      <c r="B1609" s="8"/>
      <c r="C1609" s="8"/>
      <c r="D1609" s="8"/>
      <c r="E1609" s="8"/>
      <c r="F1609" s="8"/>
      <c r="G1609" s="8"/>
      <c r="H1609" s="8"/>
      <c r="I1609" s="8"/>
      <c r="J1609" s="8"/>
      <c r="K1609" s="8"/>
      <c r="L1609" s="8"/>
      <c r="M1609" s="8"/>
      <c r="N1609" s="8"/>
      <c r="O1609" s="8"/>
      <c r="P1609" s="8"/>
      <c r="Q1609" s="8"/>
      <c r="R1609" s="8"/>
      <c r="S1609" s="8"/>
      <c r="T1609" s="8"/>
      <c r="U1609" s="8"/>
      <c r="V1609" s="8"/>
      <c r="W1609" s="8"/>
    </row>
    <row r="1610" spans="1:23" ht="15.75" customHeight="1" x14ac:dyDescent="0.25">
      <c r="A1610" s="6" t="s">
        <v>149</v>
      </c>
      <c r="B1610" s="8"/>
      <c r="C1610" s="8"/>
      <c r="D1610" s="8"/>
      <c r="E1610" s="8"/>
      <c r="F1610" s="8"/>
      <c r="G1610" s="8"/>
      <c r="H1610" s="8"/>
      <c r="I1610" s="8"/>
      <c r="J1610" s="8"/>
      <c r="K1610" s="8"/>
      <c r="L1610" s="8"/>
      <c r="M1610" s="8"/>
      <c r="N1610" s="8"/>
      <c r="O1610" s="8"/>
      <c r="P1610" s="8"/>
      <c r="Q1610" s="8"/>
      <c r="R1610" s="8"/>
      <c r="S1610" s="8"/>
      <c r="T1610" s="8"/>
      <c r="U1610" s="8"/>
      <c r="V1610" s="8"/>
      <c r="W1610" s="8"/>
    </row>
    <row r="1611" spans="1:23" ht="15.75" customHeight="1" x14ac:dyDescent="0.25">
      <c r="A1611" s="6" t="s">
        <v>149</v>
      </c>
      <c r="B1611" s="8"/>
      <c r="C1611" s="8"/>
      <c r="D1611" s="8"/>
      <c r="E1611" s="8"/>
      <c r="F1611" s="8"/>
      <c r="G1611" s="8"/>
      <c r="H1611" s="8"/>
      <c r="I1611" s="8"/>
      <c r="J1611" s="8"/>
      <c r="K1611" s="8"/>
      <c r="L1611" s="8"/>
      <c r="M1611" s="8"/>
      <c r="N1611" s="8"/>
      <c r="O1611" s="8"/>
      <c r="P1611" s="8"/>
      <c r="Q1611" s="8"/>
      <c r="R1611" s="8"/>
      <c r="S1611" s="8"/>
      <c r="T1611" s="8"/>
      <c r="U1611" s="8"/>
      <c r="V1611" s="8"/>
      <c r="W1611" s="8"/>
    </row>
    <row r="1612" spans="1:23" ht="15.75" customHeight="1" x14ac:dyDescent="0.25">
      <c r="A1612" s="6" t="s">
        <v>149</v>
      </c>
      <c r="B1612" s="8"/>
      <c r="C1612" s="8"/>
      <c r="D1612" s="8"/>
      <c r="E1612" s="8"/>
      <c r="F1612" s="8"/>
      <c r="G1612" s="8"/>
      <c r="H1612" s="8"/>
      <c r="I1612" s="8"/>
      <c r="J1612" s="8"/>
      <c r="K1612" s="8"/>
      <c r="L1612" s="8"/>
      <c r="M1612" s="8"/>
      <c r="N1612" s="8"/>
      <c r="O1612" s="8"/>
      <c r="P1612" s="8"/>
      <c r="Q1612" s="8"/>
      <c r="R1612" s="8"/>
      <c r="S1612" s="8"/>
      <c r="T1612" s="8"/>
      <c r="U1612" s="8"/>
      <c r="V1612" s="8"/>
      <c r="W1612" s="8"/>
    </row>
    <row r="1613" spans="1:23" ht="15.75" customHeight="1" x14ac:dyDescent="0.25">
      <c r="A1613" s="6" t="s">
        <v>149</v>
      </c>
      <c r="B1613" s="8"/>
      <c r="C1613" s="8"/>
      <c r="D1613" s="8"/>
      <c r="E1613" s="8"/>
      <c r="F1613" s="8"/>
      <c r="G1613" s="8"/>
      <c r="H1613" s="8"/>
      <c r="I1613" s="8"/>
      <c r="J1613" s="8"/>
      <c r="K1613" s="8"/>
      <c r="L1613" s="8"/>
      <c r="M1613" s="8"/>
      <c r="N1613" s="8"/>
      <c r="O1613" s="8"/>
      <c r="P1613" s="8"/>
      <c r="Q1613" s="8"/>
      <c r="R1613" s="8"/>
      <c r="S1613" s="8"/>
      <c r="T1613" s="8"/>
      <c r="U1613" s="8"/>
      <c r="V1613" s="8"/>
      <c r="W1613" s="8"/>
    </row>
    <row r="1614" spans="1:23" ht="15.75" customHeight="1" x14ac:dyDescent="0.25">
      <c r="A1614" s="6" t="s">
        <v>149</v>
      </c>
      <c r="B1614" s="8"/>
      <c r="C1614" s="8"/>
      <c r="D1614" s="8"/>
      <c r="E1614" s="8"/>
      <c r="F1614" s="8"/>
      <c r="G1614" s="8"/>
      <c r="H1614" s="8"/>
      <c r="I1614" s="8"/>
      <c r="J1614" s="8"/>
      <c r="K1614" s="8"/>
      <c r="L1614" s="8"/>
      <c r="M1614" s="8"/>
      <c r="N1614" s="8"/>
      <c r="O1614" s="8"/>
      <c r="P1614" s="8"/>
      <c r="Q1614" s="8"/>
      <c r="R1614" s="8"/>
      <c r="S1614" s="8"/>
      <c r="T1614" s="8"/>
      <c r="U1614" s="8"/>
      <c r="V1614" s="8"/>
      <c r="W1614" s="8"/>
    </row>
    <row r="1615" spans="1:23" ht="15.75" customHeight="1" x14ac:dyDescent="0.25">
      <c r="A1615" s="6" t="s">
        <v>149</v>
      </c>
      <c r="B1615" s="8"/>
      <c r="C1615" s="8"/>
      <c r="D1615" s="8"/>
      <c r="E1615" s="8"/>
      <c r="F1615" s="8"/>
      <c r="G1615" s="8"/>
      <c r="H1615" s="8"/>
      <c r="I1615" s="8"/>
      <c r="J1615" s="8"/>
      <c r="K1615" s="8"/>
      <c r="L1615" s="8"/>
      <c r="M1615" s="8"/>
      <c r="N1615" s="8"/>
      <c r="O1615" s="8"/>
      <c r="P1615" s="8"/>
      <c r="Q1615" s="8"/>
      <c r="R1615" s="8"/>
      <c r="S1615" s="8"/>
      <c r="T1615" s="8"/>
      <c r="U1615" s="8"/>
      <c r="V1615" s="8"/>
      <c r="W1615" s="8"/>
    </row>
    <row r="1616" spans="1:23" ht="15.75" customHeight="1" x14ac:dyDescent="0.25">
      <c r="A1616" s="6" t="s">
        <v>149</v>
      </c>
      <c r="B1616" s="8"/>
      <c r="C1616" s="8"/>
      <c r="D1616" s="8"/>
      <c r="E1616" s="8"/>
      <c r="F1616" s="8"/>
      <c r="G1616" s="8"/>
      <c r="H1616" s="8"/>
      <c r="I1616" s="8"/>
      <c r="J1616" s="8"/>
      <c r="K1616" s="8"/>
      <c r="L1616" s="8"/>
      <c r="M1616" s="8"/>
      <c r="N1616" s="8"/>
      <c r="O1616" s="8"/>
      <c r="P1616" s="8"/>
      <c r="Q1616" s="8"/>
      <c r="R1616" s="8"/>
      <c r="S1616" s="8"/>
      <c r="T1616" s="8"/>
      <c r="U1616" s="8"/>
      <c r="V1616" s="8"/>
      <c r="W1616" s="8"/>
    </row>
    <row r="1617" spans="1:23" ht="15.75" customHeight="1" x14ac:dyDescent="0.25">
      <c r="A1617" s="6" t="s">
        <v>149</v>
      </c>
      <c r="B1617" s="8"/>
      <c r="C1617" s="8"/>
      <c r="D1617" s="8"/>
      <c r="E1617" s="8"/>
      <c r="F1617" s="8"/>
      <c r="G1617" s="8"/>
      <c r="H1617" s="8"/>
      <c r="I1617" s="8"/>
      <c r="J1617" s="8"/>
      <c r="K1617" s="8"/>
      <c r="L1617" s="8"/>
      <c r="M1617" s="8"/>
      <c r="N1617" s="8"/>
      <c r="O1617" s="8"/>
      <c r="P1617" s="8"/>
      <c r="Q1617" s="8"/>
      <c r="R1617" s="8"/>
      <c r="S1617" s="8"/>
      <c r="T1617" s="8"/>
      <c r="U1617" s="8"/>
      <c r="V1617" s="8"/>
      <c r="W1617" s="8"/>
    </row>
    <row r="1618" spans="1:23" ht="15.75" customHeight="1" x14ac:dyDescent="0.25">
      <c r="A1618" s="6" t="s">
        <v>149</v>
      </c>
      <c r="B1618" s="8"/>
      <c r="C1618" s="8"/>
      <c r="D1618" s="8"/>
      <c r="E1618" s="8"/>
      <c r="F1618" s="8"/>
      <c r="G1618" s="8"/>
      <c r="H1618" s="8"/>
      <c r="I1618" s="8"/>
      <c r="J1618" s="8"/>
      <c r="K1618" s="8"/>
      <c r="L1618" s="8"/>
      <c r="M1618" s="8"/>
      <c r="N1618" s="8"/>
      <c r="O1618" s="8"/>
      <c r="P1618" s="8"/>
      <c r="Q1618" s="8"/>
      <c r="R1618" s="8"/>
      <c r="S1618" s="8"/>
      <c r="T1618" s="8"/>
      <c r="U1618" s="8"/>
      <c r="V1618" s="8"/>
      <c r="W1618" s="8"/>
    </row>
    <row r="1619" spans="1:23" ht="15.75" customHeight="1" x14ac:dyDescent="0.25">
      <c r="A1619" s="6" t="s">
        <v>149</v>
      </c>
      <c r="B1619" s="8"/>
      <c r="C1619" s="8"/>
      <c r="D1619" s="8"/>
      <c r="E1619" s="8"/>
      <c r="F1619" s="8"/>
      <c r="G1619" s="8"/>
      <c r="H1619" s="8"/>
      <c r="I1619" s="8"/>
      <c r="J1619" s="8"/>
      <c r="K1619" s="8"/>
      <c r="L1619" s="8"/>
      <c r="M1619" s="8"/>
      <c r="N1619" s="8"/>
      <c r="O1619" s="8"/>
      <c r="P1619" s="8"/>
      <c r="Q1619" s="8"/>
      <c r="R1619" s="8"/>
      <c r="S1619" s="8"/>
      <c r="T1619" s="8"/>
      <c r="U1619" s="8"/>
      <c r="V1619" s="8"/>
      <c r="W1619" s="8"/>
    </row>
    <row r="1620" spans="1:23" ht="15.75" customHeight="1" x14ac:dyDescent="0.25">
      <c r="A1620" s="6" t="s">
        <v>149</v>
      </c>
      <c r="B1620" s="8"/>
      <c r="C1620" s="8"/>
      <c r="D1620" s="8"/>
      <c r="E1620" s="8"/>
      <c r="F1620" s="8"/>
      <c r="G1620" s="8"/>
      <c r="H1620" s="8"/>
      <c r="I1620" s="8"/>
      <c r="J1620" s="8"/>
      <c r="K1620" s="8"/>
      <c r="L1620" s="8"/>
      <c r="M1620" s="8"/>
      <c r="N1620" s="8"/>
      <c r="O1620" s="8"/>
      <c r="P1620" s="8"/>
      <c r="Q1620" s="8"/>
      <c r="R1620" s="8"/>
      <c r="S1620" s="8"/>
      <c r="T1620" s="8"/>
      <c r="U1620" s="8"/>
      <c r="V1620" s="8"/>
      <c r="W1620" s="8"/>
    </row>
    <row r="1621" spans="1:23" ht="15.75" customHeight="1" x14ac:dyDescent="0.25">
      <c r="A1621" s="6" t="s">
        <v>149</v>
      </c>
      <c r="B1621" s="8"/>
      <c r="C1621" s="8"/>
      <c r="D1621" s="8"/>
      <c r="E1621" s="8"/>
      <c r="F1621" s="8"/>
      <c r="G1621" s="8"/>
      <c r="H1621" s="8"/>
      <c r="I1621" s="8"/>
      <c r="J1621" s="8"/>
      <c r="K1621" s="8"/>
      <c r="L1621" s="8"/>
      <c r="M1621" s="8"/>
      <c r="N1621" s="8"/>
      <c r="O1621" s="8"/>
      <c r="P1621" s="8"/>
      <c r="Q1621" s="8"/>
      <c r="R1621" s="8"/>
      <c r="S1621" s="8"/>
      <c r="T1621" s="8"/>
      <c r="U1621" s="8"/>
      <c r="V1621" s="8"/>
      <c r="W1621" s="8"/>
    </row>
    <row r="1622" spans="1:23" ht="15.75" customHeight="1" x14ac:dyDescent="0.25">
      <c r="A1622" s="6" t="s">
        <v>149</v>
      </c>
      <c r="B1622" s="8"/>
      <c r="C1622" s="8"/>
      <c r="D1622" s="8"/>
      <c r="E1622" s="8"/>
      <c r="F1622" s="8"/>
      <c r="G1622" s="8"/>
      <c r="H1622" s="8"/>
      <c r="I1622" s="8"/>
      <c r="J1622" s="8"/>
      <c r="K1622" s="8"/>
      <c r="L1622" s="8"/>
      <c r="M1622" s="8"/>
      <c r="N1622" s="8"/>
      <c r="O1622" s="8"/>
      <c r="P1622" s="8"/>
      <c r="Q1622" s="8"/>
      <c r="R1622" s="8"/>
      <c r="S1622" s="8"/>
      <c r="T1622" s="8"/>
      <c r="U1622" s="8"/>
      <c r="V1622" s="8"/>
      <c r="W1622" s="8"/>
    </row>
    <row r="1623" spans="1:23" ht="15.75" customHeight="1" x14ac:dyDescent="0.25">
      <c r="A1623" s="6" t="s">
        <v>149</v>
      </c>
      <c r="B1623" s="8"/>
      <c r="C1623" s="8"/>
      <c r="D1623" s="8"/>
      <c r="E1623" s="8"/>
      <c r="F1623" s="8"/>
      <c r="G1623" s="8"/>
      <c r="H1623" s="8"/>
      <c r="I1623" s="8"/>
      <c r="J1623" s="8"/>
      <c r="K1623" s="8"/>
      <c r="L1623" s="8"/>
      <c r="M1623" s="8"/>
      <c r="N1623" s="8"/>
      <c r="O1623" s="8"/>
      <c r="P1623" s="8"/>
      <c r="Q1623" s="8"/>
      <c r="R1623" s="8"/>
      <c r="S1623" s="8"/>
      <c r="T1623" s="8"/>
      <c r="U1623" s="8"/>
      <c r="V1623" s="8"/>
      <c r="W1623" s="8"/>
    </row>
    <row r="1624" spans="1:23" ht="15.75" customHeight="1" x14ac:dyDescent="0.25">
      <c r="A1624" s="6" t="s">
        <v>149</v>
      </c>
      <c r="B1624" s="8"/>
      <c r="C1624" s="8"/>
      <c r="D1624" s="8"/>
      <c r="E1624" s="8"/>
      <c r="F1624" s="8"/>
      <c r="G1624" s="8"/>
      <c r="H1624" s="8"/>
      <c r="I1624" s="8"/>
      <c r="J1624" s="8"/>
      <c r="K1624" s="8"/>
      <c r="L1624" s="8"/>
      <c r="M1624" s="8"/>
      <c r="N1624" s="8"/>
      <c r="O1624" s="8"/>
      <c r="P1624" s="8"/>
      <c r="Q1624" s="8"/>
      <c r="R1624" s="8"/>
      <c r="S1624" s="8"/>
      <c r="T1624" s="8"/>
      <c r="U1624" s="8"/>
      <c r="V1624" s="8"/>
      <c r="W1624" s="8"/>
    </row>
    <row r="1625" spans="1:23" ht="15.75" customHeight="1" x14ac:dyDescent="0.25">
      <c r="A1625" s="6" t="s">
        <v>149</v>
      </c>
      <c r="B1625" s="8"/>
      <c r="C1625" s="8"/>
      <c r="D1625" s="8"/>
      <c r="E1625" s="8"/>
      <c r="F1625" s="8"/>
      <c r="G1625" s="8"/>
      <c r="H1625" s="8"/>
      <c r="I1625" s="8"/>
      <c r="J1625" s="8"/>
      <c r="K1625" s="8"/>
      <c r="L1625" s="8"/>
      <c r="M1625" s="8"/>
      <c r="N1625" s="8"/>
      <c r="O1625" s="8"/>
      <c r="P1625" s="8"/>
      <c r="Q1625" s="8"/>
      <c r="R1625" s="8"/>
      <c r="S1625" s="8"/>
      <c r="T1625" s="8"/>
      <c r="U1625" s="8"/>
      <c r="V1625" s="8"/>
      <c r="W1625" s="8"/>
    </row>
    <row r="1626" spans="1:23" ht="15.75" customHeight="1" x14ac:dyDescent="0.25">
      <c r="A1626" s="6" t="s">
        <v>149</v>
      </c>
      <c r="B1626" s="8"/>
      <c r="C1626" s="8"/>
      <c r="D1626" s="8"/>
      <c r="E1626" s="8"/>
      <c r="F1626" s="8"/>
      <c r="G1626" s="8"/>
      <c r="H1626" s="8"/>
      <c r="I1626" s="8"/>
      <c r="J1626" s="8"/>
      <c r="K1626" s="8"/>
      <c r="L1626" s="8"/>
      <c r="M1626" s="8"/>
      <c r="N1626" s="8"/>
      <c r="O1626" s="8"/>
      <c r="P1626" s="8"/>
      <c r="Q1626" s="8"/>
      <c r="R1626" s="8"/>
      <c r="S1626" s="8"/>
      <c r="T1626" s="8"/>
      <c r="U1626" s="8"/>
      <c r="V1626" s="8"/>
      <c r="W1626" s="8"/>
    </row>
    <row r="1627" spans="1:23" ht="15.75" customHeight="1" x14ac:dyDescent="0.25">
      <c r="A1627" s="6" t="s">
        <v>149</v>
      </c>
      <c r="B1627" s="8"/>
      <c r="C1627" s="8"/>
      <c r="D1627" s="8"/>
      <c r="E1627" s="8"/>
      <c r="F1627" s="8"/>
      <c r="G1627" s="8"/>
      <c r="H1627" s="8"/>
      <c r="I1627" s="8"/>
      <c r="J1627" s="8"/>
      <c r="K1627" s="8"/>
      <c r="L1627" s="8"/>
      <c r="M1627" s="8"/>
      <c r="N1627" s="8"/>
      <c r="O1627" s="8"/>
      <c r="P1627" s="8"/>
      <c r="Q1627" s="8"/>
      <c r="R1627" s="8"/>
      <c r="S1627" s="8"/>
      <c r="T1627" s="8"/>
      <c r="U1627" s="8"/>
      <c r="V1627" s="8"/>
      <c r="W1627" s="8"/>
    </row>
    <row r="1628" spans="1:23" ht="15.75" customHeight="1" x14ac:dyDescent="0.25">
      <c r="A1628" s="6" t="s">
        <v>149</v>
      </c>
      <c r="B1628" s="8"/>
      <c r="C1628" s="8"/>
      <c r="D1628" s="8"/>
      <c r="E1628" s="8"/>
      <c r="F1628" s="8"/>
      <c r="G1628" s="8"/>
      <c r="H1628" s="8"/>
      <c r="I1628" s="8"/>
      <c r="J1628" s="8"/>
      <c r="K1628" s="8"/>
      <c r="L1628" s="8"/>
      <c r="M1628" s="8"/>
      <c r="N1628" s="8"/>
      <c r="O1628" s="8"/>
      <c r="P1628" s="8"/>
      <c r="Q1628" s="8"/>
      <c r="R1628" s="8"/>
      <c r="S1628" s="8"/>
      <c r="T1628" s="8"/>
      <c r="U1628" s="8"/>
      <c r="V1628" s="8"/>
      <c r="W1628" s="8"/>
    </row>
    <row r="1629" spans="1:23" ht="15.75" customHeight="1" x14ac:dyDescent="0.25">
      <c r="A1629" s="6" t="s">
        <v>149</v>
      </c>
      <c r="B1629" s="8"/>
      <c r="C1629" s="8"/>
      <c r="D1629" s="8"/>
      <c r="E1629" s="8"/>
      <c r="F1629" s="8"/>
      <c r="G1629" s="8"/>
      <c r="H1629" s="8"/>
      <c r="I1629" s="8"/>
      <c r="J1629" s="8"/>
      <c r="K1629" s="8"/>
      <c r="L1629" s="8"/>
      <c r="M1629" s="8"/>
      <c r="N1629" s="8"/>
      <c r="O1629" s="8"/>
      <c r="P1629" s="8"/>
      <c r="Q1629" s="8"/>
      <c r="R1629" s="8"/>
      <c r="S1629" s="8"/>
      <c r="T1629" s="8"/>
      <c r="U1629" s="8"/>
      <c r="V1629" s="8"/>
      <c r="W1629" s="8"/>
    </row>
    <row r="1630" spans="1:23" ht="15.75" customHeight="1" x14ac:dyDescent="0.25">
      <c r="A1630" s="6" t="s">
        <v>149</v>
      </c>
      <c r="B1630" s="8"/>
      <c r="C1630" s="8"/>
      <c r="D1630" s="8"/>
      <c r="E1630" s="8"/>
      <c r="F1630" s="8"/>
      <c r="G1630" s="8"/>
      <c r="H1630" s="8"/>
      <c r="I1630" s="8"/>
      <c r="J1630" s="8"/>
      <c r="K1630" s="8"/>
      <c r="L1630" s="8"/>
      <c r="M1630" s="8"/>
      <c r="N1630" s="8"/>
      <c r="O1630" s="8"/>
      <c r="P1630" s="8"/>
      <c r="Q1630" s="8"/>
      <c r="R1630" s="8"/>
      <c r="S1630" s="8"/>
      <c r="T1630" s="8"/>
      <c r="U1630" s="8"/>
      <c r="V1630" s="8"/>
      <c r="W1630" s="8"/>
    </row>
    <row r="1631" spans="1:23" ht="15.75" customHeight="1" x14ac:dyDescent="0.25">
      <c r="A1631" s="6" t="s">
        <v>149</v>
      </c>
      <c r="B1631" s="8"/>
      <c r="C1631" s="8"/>
      <c r="D1631" s="8"/>
      <c r="E1631" s="8"/>
      <c r="F1631" s="8"/>
      <c r="G1631" s="8"/>
      <c r="H1631" s="8"/>
      <c r="I1631" s="8"/>
      <c r="J1631" s="8"/>
      <c r="K1631" s="8"/>
      <c r="L1631" s="8"/>
      <c r="M1631" s="8"/>
      <c r="N1631" s="8"/>
      <c r="O1631" s="8"/>
      <c r="P1631" s="8"/>
      <c r="Q1631" s="8"/>
      <c r="R1631" s="8"/>
      <c r="S1631" s="8"/>
      <c r="T1631" s="8"/>
      <c r="U1631" s="8"/>
      <c r="V1631" s="8"/>
      <c r="W1631" s="8"/>
    </row>
    <row r="1632" spans="1:23" ht="15.75" customHeight="1" x14ac:dyDescent="0.25">
      <c r="A1632" s="6" t="s">
        <v>149</v>
      </c>
      <c r="B1632" s="8"/>
      <c r="C1632" s="8"/>
      <c r="D1632" s="8"/>
      <c r="E1632" s="8"/>
      <c r="F1632" s="8"/>
      <c r="G1632" s="8"/>
      <c r="H1632" s="8"/>
      <c r="I1632" s="8"/>
      <c r="J1632" s="8"/>
      <c r="K1632" s="8"/>
      <c r="L1632" s="8"/>
      <c r="M1632" s="8"/>
      <c r="N1632" s="8"/>
      <c r="O1632" s="8"/>
      <c r="P1632" s="8"/>
      <c r="Q1632" s="8"/>
      <c r="R1632" s="8"/>
      <c r="S1632" s="8"/>
      <c r="T1632" s="8"/>
      <c r="U1632" s="8"/>
      <c r="V1632" s="8"/>
      <c r="W1632" s="8"/>
    </row>
    <row r="1633" spans="1:23" ht="15.75" customHeight="1" x14ac:dyDescent="0.25">
      <c r="A1633" s="6" t="s">
        <v>149</v>
      </c>
      <c r="B1633" s="8"/>
      <c r="C1633" s="8"/>
      <c r="D1633" s="8"/>
      <c r="E1633" s="8"/>
      <c r="F1633" s="8"/>
      <c r="G1633" s="8"/>
      <c r="H1633" s="8"/>
      <c r="I1633" s="8"/>
      <c r="J1633" s="8"/>
      <c r="K1633" s="8"/>
      <c r="L1633" s="8"/>
      <c r="M1633" s="8"/>
      <c r="N1633" s="8"/>
      <c r="O1633" s="8"/>
      <c r="P1633" s="8"/>
      <c r="Q1633" s="8"/>
      <c r="R1633" s="8"/>
      <c r="S1633" s="8"/>
      <c r="T1633" s="8"/>
      <c r="U1633" s="8"/>
      <c r="V1633" s="8"/>
      <c r="W1633" s="8"/>
    </row>
    <row r="1634" spans="1:23" ht="15.75" customHeight="1" x14ac:dyDescent="0.25">
      <c r="A1634" s="6" t="s">
        <v>149</v>
      </c>
      <c r="B1634" s="8"/>
      <c r="C1634" s="8"/>
      <c r="D1634" s="8"/>
      <c r="E1634" s="8"/>
      <c r="F1634" s="8"/>
      <c r="G1634" s="8"/>
      <c r="H1634" s="8"/>
      <c r="I1634" s="8"/>
      <c r="J1634" s="8"/>
      <c r="K1634" s="8"/>
      <c r="L1634" s="8"/>
      <c r="M1634" s="8"/>
      <c r="N1634" s="8"/>
      <c r="O1634" s="8"/>
      <c r="P1634" s="8"/>
      <c r="Q1634" s="8"/>
      <c r="R1634" s="8"/>
      <c r="S1634" s="8"/>
      <c r="T1634" s="8"/>
      <c r="U1634" s="8"/>
      <c r="V1634" s="8"/>
      <c r="W1634" s="8"/>
    </row>
    <row r="1635" spans="1:23" ht="15.75" customHeight="1" x14ac:dyDescent="0.25">
      <c r="A1635" s="6" t="s">
        <v>149</v>
      </c>
      <c r="B1635" s="8"/>
      <c r="C1635" s="8"/>
      <c r="D1635" s="8"/>
      <c r="E1635" s="8"/>
      <c r="F1635" s="8"/>
      <c r="G1635" s="8"/>
      <c r="H1635" s="8"/>
      <c r="I1635" s="8"/>
      <c r="J1635" s="8"/>
      <c r="K1635" s="8"/>
      <c r="L1635" s="8"/>
      <c r="M1635" s="8"/>
      <c r="N1635" s="8"/>
      <c r="O1635" s="8"/>
      <c r="P1635" s="8"/>
      <c r="Q1635" s="8"/>
      <c r="R1635" s="8"/>
      <c r="S1635" s="8"/>
      <c r="T1635" s="8"/>
      <c r="U1635" s="8"/>
      <c r="V1635" s="8"/>
      <c r="W1635" s="8"/>
    </row>
    <row r="1636" spans="1:23" ht="15.75" customHeight="1" x14ac:dyDescent="0.25">
      <c r="A1636" s="6" t="s">
        <v>149</v>
      </c>
      <c r="B1636" s="8"/>
      <c r="C1636" s="8"/>
      <c r="D1636" s="8"/>
      <c r="E1636" s="8"/>
      <c r="F1636" s="8"/>
      <c r="G1636" s="8"/>
      <c r="H1636" s="8"/>
      <c r="I1636" s="8"/>
      <c r="J1636" s="8"/>
      <c r="K1636" s="8"/>
      <c r="L1636" s="8"/>
      <c r="M1636" s="8"/>
      <c r="N1636" s="8"/>
      <c r="O1636" s="8"/>
      <c r="P1636" s="8"/>
      <c r="Q1636" s="8"/>
      <c r="R1636" s="8"/>
      <c r="S1636" s="8"/>
      <c r="T1636" s="8"/>
      <c r="U1636" s="8"/>
      <c r="V1636" s="8"/>
      <c r="W1636" s="8"/>
    </row>
    <row r="1637" spans="1:23" ht="15.75" customHeight="1" x14ac:dyDescent="0.25">
      <c r="A1637" s="6" t="s">
        <v>149</v>
      </c>
      <c r="B1637" s="8"/>
      <c r="C1637" s="8"/>
      <c r="D1637" s="8"/>
      <c r="E1637" s="8"/>
      <c r="F1637" s="8"/>
      <c r="G1637" s="8"/>
      <c r="H1637" s="8"/>
      <c r="I1637" s="8"/>
      <c r="J1637" s="8"/>
      <c r="K1637" s="8"/>
      <c r="L1637" s="8"/>
      <c r="M1637" s="8"/>
      <c r="N1637" s="8"/>
      <c r="O1637" s="8"/>
      <c r="P1637" s="8"/>
      <c r="Q1637" s="8"/>
      <c r="R1637" s="8"/>
      <c r="S1637" s="8"/>
      <c r="T1637" s="8"/>
      <c r="U1637" s="8"/>
      <c r="V1637" s="8"/>
      <c r="W1637" s="8"/>
    </row>
    <row r="1638" spans="1:23" ht="15.75" customHeight="1" x14ac:dyDescent="0.25">
      <c r="A1638" s="6" t="s">
        <v>149</v>
      </c>
      <c r="B1638" s="8"/>
      <c r="C1638" s="8"/>
      <c r="D1638" s="8"/>
      <c r="E1638" s="8"/>
      <c r="F1638" s="8"/>
      <c r="G1638" s="8"/>
      <c r="H1638" s="8"/>
      <c r="I1638" s="8"/>
      <c r="J1638" s="8"/>
      <c r="K1638" s="8"/>
      <c r="L1638" s="8"/>
      <c r="M1638" s="8"/>
      <c r="N1638" s="8"/>
      <c r="O1638" s="8"/>
      <c r="P1638" s="8"/>
      <c r="Q1638" s="8"/>
      <c r="R1638" s="8"/>
      <c r="S1638" s="8"/>
      <c r="T1638" s="8"/>
      <c r="U1638" s="8"/>
      <c r="V1638" s="8"/>
      <c r="W1638" s="8"/>
    </row>
    <row r="1639" spans="1:23" ht="15.75" customHeight="1" x14ac:dyDescent="0.25">
      <c r="A1639" s="6" t="s">
        <v>149</v>
      </c>
      <c r="B1639" s="8"/>
      <c r="C1639" s="8"/>
      <c r="D1639" s="8"/>
      <c r="E1639" s="8"/>
      <c r="F1639" s="8"/>
      <c r="G1639" s="8"/>
      <c r="H1639" s="8"/>
      <c r="I1639" s="8"/>
      <c r="J1639" s="8"/>
      <c r="K1639" s="8"/>
      <c r="L1639" s="8"/>
      <c r="M1639" s="8"/>
      <c r="N1639" s="8"/>
      <c r="O1639" s="8"/>
      <c r="P1639" s="8"/>
      <c r="Q1639" s="8"/>
      <c r="R1639" s="8"/>
      <c r="S1639" s="8"/>
      <c r="T1639" s="8"/>
      <c r="U1639" s="8"/>
      <c r="V1639" s="8"/>
      <c r="W1639" s="8"/>
    </row>
    <row r="1640" spans="1:23" ht="15.75" customHeight="1" x14ac:dyDescent="0.25">
      <c r="A1640" s="6" t="s">
        <v>149</v>
      </c>
      <c r="B1640" s="8"/>
      <c r="C1640" s="8"/>
      <c r="D1640" s="8"/>
      <c r="E1640" s="8"/>
      <c r="F1640" s="8"/>
      <c r="G1640" s="8"/>
      <c r="H1640" s="8"/>
      <c r="I1640" s="8"/>
      <c r="J1640" s="8"/>
      <c r="K1640" s="8"/>
      <c r="L1640" s="8"/>
      <c r="M1640" s="8"/>
      <c r="N1640" s="8"/>
      <c r="O1640" s="8"/>
      <c r="P1640" s="8"/>
      <c r="Q1640" s="8"/>
      <c r="R1640" s="8"/>
      <c r="S1640" s="8"/>
      <c r="T1640" s="8"/>
      <c r="U1640" s="8"/>
      <c r="V1640" s="8"/>
      <c r="W1640" s="8"/>
    </row>
    <row r="1641" spans="1:23" ht="15.75" customHeight="1" x14ac:dyDescent="0.25">
      <c r="A1641" s="6" t="s">
        <v>149</v>
      </c>
      <c r="B1641" s="8"/>
      <c r="C1641" s="8"/>
      <c r="D1641" s="8"/>
      <c r="E1641" s="8"/>
      <c r="F1641" s="8"/>
      <c r="G1641" s="8"/>
      <c r="H1641" s="8"/>
      <c r="I1641" s="8"/>
      <c r="J1641" s="8"/>
      <c r="K1641" s="8"/>
      <c r="L1641" s="8"/>
      <c r="M1641" s="8"/>
      <c r="N1641" s="8"/>
      <c r="O1641" s="8"/>
      <c r="P1641" s="8"/>
      <c r="Q1641" s="8"/>
      <c r="R1641" s="8"/>
      <c r="S1641" s="8"/>
      <c r="T1641" s="8"/>
      <c r="U1641" s="8"/>
      <c r="V1641" s="8"/>
      <c r="W1641" s="8"/>
    </row>
    <row r="1642" spans="1:23" ht="15.75" customHeight="1" x14ac:dyDescent="0.25">
      <c r="A1642" s="6" t="s">
        <v>149</v>
      </c>
      <c r="B1642" s="8"/>
      <c r="C1642" s="8"/>
      <c r="D1642" s="8"/>
      <c r="E1642" s="8"/>
      <c r="F1642" s="8"/>
      <c r="G1642" s="8"/>
      <c r="H1642" s="8"/>
      <c r="I1642" s="8"/>
      <c r="J1642" s="8"/>
      <c r="K1642" s="8"/>
      <c r="L1642" s="8"/>
      <c r="M1642" s="8"/>
      <c r="N1642" s="8"/>
      <c r="O1642" s="8"/>
      <c r="P1642" s="8"/>
      <c r="Q1642" s="8"/>
      <c r="R1642" s="8"/>
      <c r="S1642" s="8"/>
      <c r="T1642" s="8"/>
      <c r="U1642" s="8"/>
      <c r="V1642" s="8"/>
      <c r="W1642" s="8"/>
    </row>
    <row r="1643" spans="1:23" ht="15.75" customHeight="1" x14ac:dyDescent="0.25">
      <c r="A1643" s="6" t="s">
        <v>149</v>
      </c>
      <c r="B1643" s="8"/>
      <c r="C1643" s="8"/>
      <c r="D1643" s="8"/>
      <c r="E1643" s="8"/>
      <c r="F1643" s="8"/>
      <c r="G1643" s="8"/>
      <c r="H1643" s="8"/>
      <c r="I1643" s="8"/>
      <c r="J1643" s="8"/>
      <c r="K1643" s="8"/>
      <c r="L1643" s="8"/>
      <c r="M1643" s="8"/>
      <c r="N1643" s="8"/>
      <c r="O1643" s="8"/>
      <c r="P1643" s="8"/>
      <c r="Q1643" s="8"/>
      <c r="R1643" s="8"/>
      <c r="S1643" s="8"/>
      <c r="T1643" s="8"/>
      <c r="U1643" s="8"/>
      <c r="V1643" s="8"/>
      <c r="W1643" s="8"/>
    </row>
    <row r="1644" spans="1:23" ht="15.75" customHeight="1" x14ac:dyDescent="0.25">
      <c r="A1644" s="6" t="s">
        <v>149</v>
      </c>
      <c r="B1644" s="8"/>
      <c r="C1644" s="8"/>
      <c r="D1644" s="8"/>
      <c r="E1644" s="8"/>
      <c r="F1644" s="8"/>
      <c r="G1644" s="8"/>
      <c r="H1644" s="8"/>
      <c r="I1644" s="8"/>
      <c r="J1644" s="8"/>
      <c r="K1644" s="8"/>
      <c r="L1644" s="8"/>
      <c r="M1644" s="8"/>
      <c r="N1644" s="8"/>
      <c r="O1644" s="8"/>
      <c r="P1644" s="8"/>
      <c r="Q1644" s="8"/>
      <c r="R1644" s="8"/>
      <c r="S1644" s="8"/>
      <c r="T1644" s="8"/>
      <c r="U1644" s="8"/>
      <c r="V1644" s="8"/>
      <c r="W1644" s="8"/>
    </row>
    <row r="1645" spans="1:23" ht="15.75" customHeight="1" x14ac:dyDescent="0.25">
      <c r="A1645" s="6" t="s">
        <v>149</v>
      </c>
      <c r="B1645" s="8"/>
      <c r="C1645" s="8"/>
      <c r="D1645" s="8"/>
      <c r="E1645" s="8"/>
      <c r="F1645" s="8"/>
      <c r="G1645" s="8"/>
      <c r="H1645" s="8"/>
      <c r="I1645" s="8"/>
      <c r="J1645" s="8"/>
      <c r="K1645" s="8"/>
      <c r="L1645" s="8"/>
      <c r="M1645" s="8"/>
      <c r="N1645" s="8"/>
      <c r="O1645" s="8"/>
      <c r="P1645" s="8"/>
      <c r="Q1645" s="8"/>
      <c r="R1645" s="8"/>
      <c r="S1645" s="8"/>
      <c r="T1645" s="8"/>
      <c r="U1645" s="8"/>
      <c r="V1645" s="8"/>
      <c r="W1645" s="8"/>
    </row>
    <row r="1646" spans="1:23" ht="15.75" customHeight="1" x14ac:dyDescent="0.25">
      <c r="A1646" s="6" t="s">
        <v>149</v>
      </c>
      <c r="B1646" s="8"/>
      <c r="C1646" s="8"/>
      <c r="D1646" s="8"/>
      <c r="E1646" s="8"/>
      <c r="F1646" s="8"/>
      <c r="G1646" s="8"/>
      <c r="H1646" s="8"/>
      <c r="I1646" s="8"/>
      <c r="J1646" s="8"/>
      <c r="K1646" s="8"/>
      <c r="L1646" s="8"/>
      <c r="M1646" s="8"/>
      <c r="N1646" s="8"/>
      <c r="O1646" s="8"/>
      <c r="P1646" s="8"/>
      <c r="Q1646" s="8"/>
      <c r="R1646" s="8"/>
      <c r="S1646" s="8"/>
      <c r="T1646" s="8"/>
      <c r="U1646" s="8"/>
      <c r="V1646" s="8"/>
      <c r="W1646" s="8"/>
    </row>
    <row r="1647" spans="1:23" ht="15.75" customHeight="1" x14ac:dyDescent="0.25">
      <c r="A1647" s="6" t="s">
        <v>149</v>
      </c>
      <c r="B1647" s="8"/>
      <c r="C1647" s="8"/>
      <c r="D1647" s="8"/>
      <c r="E1647" s="8"/>
      <c r="F1647" s="8"/>
      <c r="G1647" s="8"/>
      <c r="H1647" s="8"/>
      <c r="I1647" s="8"/>
      <c r="J1647" s="8"/>
      <c r="K1647" s="8"/>
      <c r="L1647" s="8"/>
      <c r="M1647" s="8"/>
      <c r="N1647" s="8"/>
      <c r="O1647" s="8"/>
      <c r="P1647" s="8"/>
      <c r="Q1647" s="8"/>
      <c r="R1647" s="8"/>
      <c r="S1647" s="8"/>
      <c r="T1647" s="8"/>
      <c r="U1647" s="8"/>
      <c r="V1647" s="8"/>
      <c r="W1647" s="8"/>
    </row>
    <row r="1648" spans="1:23" ht="15.75" customHeight="1" x14ac:dyDescent="0.25">
      <c r="A1648" s="6" t="s">
        <v>149</v>
      </c>
      <c r="B1648" s="8"/>
      <c r="C1648" s="8"/>
      <c r="D1648" s="8"/>
      <c r="E1648" s="8"/>
      <c r="F1648" s="8"/>
      <c r="G1648" s="8"/>
      <c r="H1648" s="8"/>
      <c r="I1648" s="8"/>
      <c r="J1648" s="8"/>
      <c r="K1648" s="8"/>
      <c r="L1648" s="8"/>
      <c r="M1648" s="8"/>
      <c r="N1648" s="8"/>
      <c r="O1648" s="8"/>
      <c r="P1648" s="8"/>
      <c r="Q1648" s="8"/>
      <c r="R1648" s="8"/>
      <c r="S1648" s="8"/>
      <c r="T1648" s="8"/>
      <c r="U1648" s="8"/>
      <c r="V1648" s="8"/>
      <c r="W1648" s="8"/>
    </row>
    <row r="1649" spans="1:23" ht="15.75" customHeight="1" x14ac:dyDescent="0.25">
      <c r="A1649" s="6" t="s">
        <v>149</v>
      </c>
      <c r="B1649" s="8"/>
      <c r="C1649" s="8"/>
      <c r="D1649" s="8"/>
      <c r="E1649" s="8"/>
      <c r="F1649" s="8"/>
      <c r="G1649" s="8"/>
      <c r="H1649" s="8"/>
      <c r="I1649" s="8"/>
      <c r="J1649" s="8"/>
      <c r="K1649" s="8"/>
      <c r="L1649" s="8"/>
      <c r="M1649" s="8"/>
      <c r="N1649" s="8"/>
      <c r="O1649" s="8"/>
      <c r="P1649" s="8"/>
      <c r="Q1649" s="8"/>
      <c r="R1649" s="8"/>
      <c r="S1649" s="8"/>
      <c r="T1649" s="8"/>
      <c r="U1649" s="8"/>
      <c r="V1649" s="8"/>
      <c r="W1649" s="8"/>
    </row>
    <row r="1650" spans="1:23" ht="15.75" customHeight="1" x14ac:dyDescent="0.25">
      <c r="A1650" s="6" t="s">
        <v>149</v>
      </c>
      <c r="B1650" s="8"/>
      <c r="C1650" s="8"/>
      <c r="D1650" s="8"/>
      <c r="E1650" s="8"/>
      <c r="F1650" s="8"/>
      <c r="G1650" s="8"/>
      <c r="H1650" s="8"/>
      <c r="I1650" s="8"/>
      <c r="J1650" s="8"/>
      <c r="K1650" s="8"/>
      <c r="L1650" s="8"/>
      <c r="M1650" s="8"/>
      <c r="N1650" s="8"/>
      <c r="O1650" s="8"/>
      <c r="P1650" s="8"/>
      <c r="Q1650" s="8"/>
      <c r="R1650" s="8"/>
      <c r="S1650" s="8"/>
      <c r="T1650" s="8"/>
      <c r="U1650" s="8"/>
      <c r="V1650" s="8"/>
      <c r="W1650" s="8"/>
    </row>
    <row r="1651" spans="1:23" ht="15.75" customHeight="1" x14ac:dyDescent="0.25">
      <c r="A1651" s="6" t="s">
        <v>149</v>
      </c>
      <c r="B1651" s="8"/>
      <c r="C1651" s="8"/>
      <c r="D1651" s="8"/>
      <c r="E1651" s="8"/>
      <c r="F1651" s="8"/>
      <c r="G1651" s="8"/>
      <c r="H1651" s="8"/>
      <c r="I1651" s="8"/>
      <c r="J1651" s="8"/>
      <c r="K1651" s="8"/>
      <c r="L1651" s="8"/>
      <c r="M1651" s="8"/>
      <c r="N1651" s="8"/>
      <c r="O1651" s="8"/>
      <c r="P1651" s="8"/>
      <c r="Q1651" s="8"/>
      <c r="R1651" s="8"/>
      <c r="S1651" s="8"/>
      <c r="T1651" s="8"/>
      <c r="U1651" s="8"/>
      <c r="V1651" s="8"/>
      <c r="W1651" s="8"/>
    </row>
    <row r="1652" spans="1:23" ht="15.75" customHeight="1" x14ac:dyDescent="0.25">
      <c r="A1652" s="6" t="s">
        <v>149</v>
      </c>
      <c r="B1652" s="8"/>
      <c r="C1652" s="8"/>
      <c r="D1652" s="8"/>
      <c r="E1652" s="8"/>
      <c r="F1652" s="8"/>
      <c r="G1652" s="8"/>
      <c r="H1652" s="8"/>
      <c r="I1652" s="8"/>
      <c r="J1652" s="8"/>
      <c r="K1652" s="8"/>
      <c r="L1652" s="8"/>
      <c r="M1652" s="8"/>
      <c r="N1652" s="8"/>
      <c r="O1652" s="8"/>
      <c r="P1652" s="8"/>
      <c r="Q1652" s="8"/>
      <c r="R1652" s="8"/>
      <c r="S1652" s="8"/>
      <c r="T1652" s="8"/>
      <c r="U1652" s="8"/>
      <c r="V1652" s="8"/>
      <c r="W1652" s="8"/>
    </row>
    <row r="1653" spans="1:23" ht="15.75" customHeight="1" x14ac:dyDescent="0.25">
      <c r="A1653" s="6" t="s">
        <v>149</v>
      </c>
      <c r="B1653" s="8"/>
      <c r="C1653" s="8"/>
      <c r="D1653" s="8"/>
      <c r="E1653" s="8"/>
      <c r="F1653" s="8"/>
      <c r="G1653" s="8"/>
      <c r="H1653" s="8"/>
      <c r="I1653" s="8"/>
      <c r="J1653" s="8"/>
      <c r="K1653" s="8"/>
      <c r="L1653" s="8"/>
      <c r="M1653" s="8"/>
      <c r="N1653" s="8"/>
      <c r="O1653" s="8"/>
      <c r="P1653" s="8"/>
      <c r="Q1653" s="8"/>
      <c r="R1653" s="8"/>
      <c r="S1653" s="8"/>
      <c r="T1653" s="8"/>
      <c r="U1653" s="8"/>
      <c r="V1653" s="8"/>
      <c r="W1653" s="8"/>
    </row>
    <row r="1654" spans="1:23" ht="15.75" customHeight="1" x14ac:dyDescent="0.25">
      <c r="A1654" s="6" t="s">
        <v>149</v>
      </c>
      <c r="B1654" s="8"/>
      <c r="C1654" s="8"/>
      <c r="D1654" s="8"/>
      <c r="E1654" s="8"/>
      <c r="F1654" s="8"/>
      <c r="G1654" s="8"/>
      <c r="H1654" s="8"/>
      <c r="I1654" s="8"/>
      <c r="J1654" s="8"/>
      <c r="K1654" s="8"/>
      <c r="L1654" s="8"/>
      <c r="M1654" s="8"/>
      <c r="N1654" s="8"/>
      <c r="O1654" s="8"/>
      <c r="P1654" s="8"/>
      <c r="Q1654" s="8"/>
      <c r="R1654" s="8"/>
      <c r="S1654" s="8"/>
      <c r="T1654" s="8"/>
      <c r="U1654" s="8"/>
      <c r="V1654" s="8"/>
      <c r="W1654" s="8"/>
    </row>
    <row r="1655" spans="1:23" ht="15.75" customHeight="1" x14ac:dyDescent="0.25">
      <c r="A1655" s="6" t="s">
        <v>149</v>
      </c>
      <c r="B1655" s="8"/>
      <c r="C1655" s="8"/>
      <c r="D1655" s="8"/>
      <c r="E1655" s="8"/>
      <c r="F1655" s="8"/>
      <c r="G1655" s="8"/>
      <c r="H1655" s="8"/>
      <c r="I1655" s="8"/>
      <c r="J1655" s="8"/>
      <c r="K1655" s="8"/>
      <c r="L1655" s="8"/>
      <c r="M1655" s="8"/>
      <c r="N1655" s="8"/>
      <c r="O1655" s="8"/>
      <c r="P1655" s="8"/>
      <c r="Q1655" s="8"/>
      <c r="R1655" s="8"/>
      <c r="S1655" s="8"/>
      <c r="T1655" s="8"/>
      <c r="U1655" s="8"/>
      <c r="V1655" s="8"/>
      <c r="W1655" s="8"/>
    </row>
    <row r="1656" spans="1:23" ht="15.75" customHeight="1" x14ac:dyDescent="0.25">
      <c r="A1656" s="6" t="s">
        <v>149</v>
      </c>
      <c r="B1656" s="8"/>
      <c r="C1656" s="8"/>
      <c r="D1656" s="8"/>
      <c r="E1656" s="8"/>
      <c r="F1656" s="8"/>
      <c r="G1656" s="8"/>
      <c r="H1656" s="8"/>
      <c r="I1656" s="8"/>
      <c r="J1656" s="8"/>
      <c r="K1656" s="8"/>
      <c r="L1656" s="8"/>
      <c r="M1656" s="8"/>
      <c r="N1656" s="8"/>
      <c r="O1656" s="8"/>
      <c r="P1656" s="8"/>
      <c r="Q1656" s="8"/>
      <c r="R1656" s="8"/>
      <c r="S1656" s="8"/>
      <c r="T1656" s="8"/>
      <c r="U1656" s="8"/>
      <c r="V1656" s="8"/>
      <c r="W1656" s="8"/>
    </row>
    <row r="1657" spans="1:23" ht="15.75" customHeight="1" x14ac:dyDescent="0.25">
      <c r="A1657" s="6" t="s">
        <v>149</v>
      </c>
      <c r="B1657" s="8"/>
      <c r="C1657" s="8"/>
      <c r="D1657" s="8"/>
      <c r="E1657" s="8"/>
      <c r="F1657" s="8"/>
      <c r="G1657" s="8"/>
      <c r="H1657" s="8"/>
      <c r="I1657" s="8"/>
      <c r="J1657" s="8"/>
      <c r="K1657" s="8"/>
      <c r="L1657" s="8"/>
      <c r="M1657" s="8"/>
      <c r="N1657" s="8"/>
      <c r="O1657" s="8"/>
      <c r="P1657" s="8"/>
      <c r="Q1657" s="8"/>
      <c r="R1657" s="8"/>
      <c r="S1657" s="8"/>
      <c r="T1657" s="8"/>
      <c r="U1657" s="8"/>
      <c r="V1657" s="8"/>
      <c r="W1657" s="8"/>
    </row>
    <row r="1658" spans="1:23" ht="15.75" customHeight="1" x14ac:dyDescent="0.25">
      <c r="A1658" s="6" t="s">
        <v>149</v>
      </c>
      <c r="B1658" s="8"/>
      <c r="C1658" s="8"/>
      <c r="D1658" s="8"/>
      <c r="E1658" s="8"/>
      <c r="F1658" s="8"/>
      <c r="G1658" s="8"/>
      <c r="H1658" s="8"/>
      <c r="I1658" s="8"/>
      <c r="J1658" s="8"/>
      <c r="K1658" s="8"/>
      <c r="L1658" s="8"/>
      <c r="M1658" s="8"/>
      <c r="N1658" s="8"/>
      <c r="O1658" s="8"/>
      <c r="P1658" s="8"/>
      <c r="Q1658" s="8"/>
      <c r="R1658" s="8"/>
      <c r="S1658" s="8"/>
      <c r="T1658" s="8"/>
      <c r="U1658" s="8"/>
      <c r="V1658" s="8"/>
      <c r="W1658" s="8"/>
    </row>
    <row r="1659" spans="1:23" ht="15.75" customHeight="1" x14ac:dyDescent="0.25">
      <c r="A1659" s="6" t="s">
        <v>149</v>
      </c>
      <c r="B1659" s="8"/>
      <c r="C1659" s="8"/>
      <c r="D1659" s="8"/>
      <c r="E1659" s="8"/>
      <c r="F1659" s="8"/>
      <c r="G1659" s="8"/>
      <c r="H1659" s="8"/>
      <c r="I1659" s="8"/>
      <c r="J1659" s="8"/>
      <c r="K1659" s="8"/>
      <c r="L1659" s="8"/>
      <c r="M1659" s="8"/>
      <c r="N1659" s="8"/>
      <c r="O1659" s="8"/>
      <c r="P1659" s="8"/>
      <c r="Q1659" s="8"/>
      <c r="R1659" s="8"/>
      <c r="S1659" s="8"/>
      <c r="T1659" s="8"/>
      <c r="U1659" s="8"/>
      <c r="V1659" s="8"/>
      <c r="W1659" s="8"/>
    </row>
    <row r="1660" spans="1:23" ht="15.75" customHeight="1" x14ac:dyDescent="0.25">
      <c r="A1660" s="6" t="s">
        <v>149</v>
      </c>
      <c r="B1660" s="8"/>
      <c r="C1660" s="8"/>
      <c r="D1660" s="8"/>
      <c r="E1660" s="8"/>
      <c r="F1660" s="8"/>
      <c r="G1660" s="8"/>
      <c r="H1660" s="8"/>
      <c r="I1660" s="8"/>
      <c r="J1660" s="8"/>
      <c r="K1660" s="8"/>
      <c r="L1660" s="8"/>
      <c r="M1660" s="8"/>
      <c r="N1660" s="8"/>
      <c r="O1660" s="8"/>
      <c r="P1660" s="8"/>
      <c r="Q1660" s="8"/>
      <c r="R1660" s="8"/>
      <c r="S1660" s="8"/>
      <c r="T1660" s="8"/>
      <c r="U1660" s="8"/>
      <c r="V1660" s="8"/>
      <c r="W1660" s="8"/>
    </row>
    <row r="1661" spans="1:23" ht="15.75" customHeight="1" x14ac:dyDescent="0.25">
      <c r="A1661" s="6" t="s">
        <v>149</v>
      </c>
      <c r="B1661" s="8"/>
      <c r="C1661" s="8"/>
      <c r="D1661" s="8"/>
      <c r="E1661" s="8"/>
      <c r="F1661" s="8"/>
      <c r="G1661" s="8"/>
      <c r="H1661" s="8"/>
      <c r="I1661" s="8"/>
      <c r="J1661" s="8"/>
      <c r="K1661" s="8"/>
      <c r="L1661" s="8"/>
      <c r="M1661" s="8"/>
      <c r="N1661" s="8"/>
      <c r="O1661" s="8"/>
      <c r="P1661" s="8"/>
      <c r="Q1661" s="8"/>
      <c r="R1661" s="8"/>
      <c r="S1661" s="8"/>
      <c r="T1661" s="8"/>
      <c r="U1661" s="8"/>
      <c r="V1661" s="8"/>
      <c r="W1661" s="8"/>
    </row>
    <row r="1662" spans="1:23" ht="15.75" customHeight="1" x14ac:dyDescent="0.25">
      <c r="A1662" s="6" t="s">
        <v>149</v>
      </c>
      <c r="B1662" s="8"/>
      <c r="C1662" s="8"/>
      <c r="D1662" s="8"/>
      <c r="E1662" s="8"/>
      <c r="F1662" s="8"/>
      <c r="G1662" s="8"/>
      <c r="H1662" s="8"/>
      <c r="I1662" s="8"/>
      <c r="J1662" s="8"/>
      <c r="K1662" s="8"/>
      <c r="L1662" s="8"/>
      <c r="M1662" s="8"/>
      <c r="N1662" s="8"/>
      <c r="O1662" s="8"/>
      <c r="P1662" s="8"/>
      <c r="Q1662" s="8"/>
      <c r="R1662" s="8"/>
      <c r="S1662" s="8"/>
      <c r="T1662" s="8"/>
      <c r="U1662" s="8"/>
      <c r="V1662" s="8"/>
      <c r="W1662" s="8"/>
    </row>
    <row r="1663" spans="1:23" ht="15.75" customHeight="1" x14ac:dyDescent="0.25">
      <c r="A1663" s="6" t="s">
        <v>149</v>
      </c>
      <c r="B1663" s="8"/>
      <c r="C1663" s="8"/>
      <c r="D1663" s="8"/>
      <c r="E1663" s="8"/>
      <c r="F1663" s="8"/>
      <c r="G1663" s="8"/>
      <c r="H1663" s="8"/>
      <c r="I1663" s="8"/>
      <c r="J1663" s="8"/>
      <c r="K1663" s="8"/>
      <c r="L1663" s="8"/>
      <c r="M1663" s="8"/>
      <c r="N1663" s="8"/>
      <c r="O1663" s="8"/>
      <c r="P1663" s="8"/>
      <c r="Q1663" s="8"/>
      <c r="R1663" s="8"/>
      <c r="S1663" s="8"/>
      <c r="T1663" s="8"/>
      <c r="U1663" s="8"/>
      <c r="V1663" s="8"/>
      <c r="W1663" s="8"/>
    </row>
    <row r="1664" spans="1:23" ht="15.75" customHeight="1" x14ac:dyDescent="0.25">
      <c r="A1664" s="6" t="s">
        <v>149</v>
      </c>
      <c r="B1664" s="8"/>
      <c r="C1664" s="8"/>
      <c r="D1664" s="8"/>
      <c r="E1664" s="8"/>
      <c r="F1664" s="8"/>
      <c r="G1664" s="8"/>
      <c r="H1664" s="8"/>
      <c r="I1664" s="8"/>
      <c r="J1664" s="8"/>
      <c r="K1664" s="8"/>
      <c r="L1664" s="8"/>
      <c r="M1664" s="8"/>
      <c r="N1664" s="8"/>
      <c r="O1664" s="8"/>
      <c r="P1664" s="8"/>
      <c r="Q1664" s="8"/>
      <c r="R1664" s="8"/>
      <c r="S1664" s="8"/>
      <c r="T1664" s="8"/>
      <c r="U1664" s="8"/>
      <c r="V1664" s="8"/>
      <c r="W1664" s="8"/>
    </row>
    <row r="1665" spans="1:23" ht="15.75" customHeight="1" x14ac:dyDescent="0.25">
      <c r="A1665" s="6" t="s">
        <v>149</v>
      </c>
      <c r="B1665" s="8"/>
      <c r="C1665" s="8"/>
      <c r="D1665" s="8"/>
      <c r="E1665" s="8"/>
      <c r="F1665" s="8"/>
      <c r="G1665" s="8"/>
      <c r="H1665" s="8"/>
      <c r="I1665" s="8"/>
      <c r="J1665" s="8"/>
      <c r="K1665" s="8"/>
      <c r="L1665" s="8"/>
      <c r="M1665" s="8"/>
      <c r="N1665" s="8"/>
      <c r="O1665" s="8"/>
      <c r="P1665" s="8"/>
      <c r="Q1665" s="8"/>
      <c r="R1665" s="8"/>
      <c r="S1665" s="8"/>
      <c r="T1665" s="8"/>
      <c r="U1665" s="8"/>
      <c r="V1665" s="8"/>
      <c r="W1665" s="8"/>
    </row>
    <row r="1666" spans="1:23" ht="15.75" customHeight="1" x14ac:dyDescent="0.25">
      <c r="A1666" s="6" t="s">
        <v>149</v>
      </c>
      <c r="B1666" s="8"/>
      <c r="C1666" s="8"/>
      <c r="D1666" s="8"/>
      <c r="E1666" s="8"/>
      <c r="F1666" s="8"/>
      <c r="G1666" s="8"/>
      <c r="H1666" s="8"/>
      <c r="I1666" s="8"/>
      <c r="J1666" s="8"/>
      <c r="K1666" s="8"/>
      <c r="L1666" s="8"/>
      <c r="M1666" s="8"/>
      <c r="N1666" s="8"/>
      <c r="O1666" s="8"/>
      <c r="P1666" s="8"/>
      <c r="Q1666" s="8"/>
      <c r="R1666" s="8"/>
      <c r="S1666" s="8"/>
      <c r="T1666" s="8"/>
      <c r="U1666" s="8"/>
      <c r="V1666" s="8"/>
      <c r="W1666" s="8"/>
    </row>
    <row r="1667" spans="1:23" ht="15.75" customHeight="1" x14ac:dyDescent="0.25">
      <c r="A1667" s="6" t="s">
        <v>149</v>
      </c>
      <c r="B1667" s="8"/>
      <c r="C1667" s="8"/>
      <c r="D1667" s="8"/>
      <c r="E1667" s="8"/>
      <c r="F1667" s="8"/>
      <c r="G1667" s="8"/>
      <c r="H1667" s="8"/>
      <c r="I1667" s="8"/>
      <c r="J1667" s="8"/>
      <c r="K1667" s="8"/>
      <c r="L1667" s="8"/>
      <c r="M1667" s="8"/>
      <c r="N1667" s="8"/>
      <c r="O1667" s="8"/>
      <c r="P1667" s="8"/>
      <c r="Q1667" s="8"/>
      <c r="R1667" s="8"/>
      <c r="S1667" s="8"/>
      <c r="T1667" s="8"/>
      <c r="U1667" s="8"/>
      <c r="V1667" s="8"/>
      <c r="W1667" s="8"/>
    </row>
    <row r="1668" spans="1:23" ht="15.75" customHeight="1" x14ac:dyDescent="0.25">
      <c r="A1668" s="6" t="s">
        <v>149</v>
      </c>
      <c r="B1668" s="8"/>
      <c r="C1668" s="8"/>
      <c r="D1668" s="8"/>
      <c r="E1668" s="8"/>
      <c r="F1668" s="8"/>
      <c r="G1668" s="8"/>
      <c r="H1668" s="8"/>
      <c r="I1668" s="8"/>
      <c r="J1668" s="8"/>
      <c r="K1668" s="8"/>
      <c r="L1668" s="8"/>
      <c r="M1668" s="8"/>
      <c r="N1668" s="8"/>
      <c r="O1668" s="8"/>
      <c r="P1668" s="8"/>
      <c r="Q1668" s="8"/>
      <c r="R1668" s="8"/>
      <c r="S1668" s="8"/>
      <c r="T1668" s="8"/>
      <c r="U1668" s="8"/>
      <c r="V1668" s="8"/>
      <c r="W1668" s="8"/>
    </row>
    <row r="1669" spans="1:23" ht="15.75" customHeight="1" x14ac:dyDescent="0.25">
      <c r="A1669" s="6" t="s">
        <v>149</v>
      </c>
      <c r="B1669" s="8"/>
      <c r="C1669" s="8"/>
      <c r="D1669" s="8"/>
      <c r="E1669" s="8"/>
      <c r="F1669" s="8"/>
      <c r="G1669" s="8"/>
      <c r="H1669" s="8"/>
      <c r="I1669" s="8"/>
      <c r="J1669" s="8"/>
      <c r="K1669" s="8"/>
      <c r="L1669" s="8"/>
      <c r="M1669" s="8"/>
      <c r="N1669" s="8"/>
      <c r="O1669" s="8"/>
      <c r="P1669" s="8"/>
      <c r="Q1669" s="8"/>
      <c r="R1669" s="8"/>
      <c r="S1669" s="8"/>
      <c r="T1669" s="8"/>
      <c r="U1669" s="8"/>
      <c r="V1669" s="8"/>
      <c r="W1669" s="8"/>
    </row>
    <row r="1670" spans="1:23" ht="15.75" customHeight="1" x14ac:dyDescent="0.25">
      <c r="A1670" s="6" t="s">
        <v>149</v>
      </c>
      <c r="B1670" s="8"/>
      <c r="C1670" s="8"/>
      <c r="D1670" s="8"/>
      <c r="E1670" s="8"/>
      <c r="F1670" s="8"/>
      <c r="G1670" s="8"/>
      <c r="H1670" s="8"/>
      <c r="I1670" s="8"/>
      <c r="J1670" s="8"/>
      <c r="K1670" s="8"/>
      <c r="L1670" s="8"/>
      <c r="M1670" s="8"/>
      <c r="N1670" s="8"/>
      <c r="O1670" s="8"/>
      <c r="P1670" s="8"/>
      <c r="Q1670" s="8"/>
      <c r="R1670" s="8"/>
      <c r="S1670" s="8"/>
      <c r="T1670" s="8"/>
      <c r="U1670" s="8"/>
      <c r="V1670" s="8"/>
      <c r="W1670" s="8"/>
    </row>
    <row r="1671" spans="1:23" ht="15.75" customHeight="1" x14ac:dyDescent="0.25">
      <c r="A1671" s="6" t="s">
        <v>149</v>
      </c>
      <c r="B1671" s="8"/>
      <c r="C1671" s="8"/>
      <c r="D1671" s="8"/>
      <c r="E1671" s="8"/>
      <c r="F1671" s="8"/>
      <c r="G1671" s="8"/>
      <c r="H1671" s="8"/>
      <c r="I1671" s="8"/>
      <c r="J1671" s="8"/>
      <c r="K1671" s="8"/>
      <c r="L1671" s="8"/>
      <c r="M1671" s="8"/>
      <c r="N1671" s="8"/>
      <c r="O1671" s="8"/>
      <c r="P1671" s="8"/>
      <c r="Q1671" s="8"/>
      <c r="R1671" s="8"/>
      <c r="S1671" s="8"/>
      <c r="T1671" s="8"/>
      <c r="U1671" s="8"/>
      <c r="V1671" s="8"/>
      <c r="W1671" s="8"/>
    </row>
    <row r="1672" spans="1:23" ht="15.75" customHeight="1" x14ac:dyDescent="0.25">
      <c r="A1672" s="6" t="s">
        <v>149</v>
      </c>
      <c r="B1672" s="8"/>
      <c r="C1672" s="8"/>
      <c r="D1672" s="8"/>
      <c r="E1672" s="8"/>
      <c r="F1672" s="8"/>
      <c r="G1672" s="8"/>
      <c r="H1672" s="8"/>
      <c r="I1672" s="8"/>
      <c r="J1672" s="8"/>
      <c r="K1672" s="8"/>
      <c r="L1672" s="8"/>
      <c r="M1672" s="8"/>
      <c r="N1672" s="8"/>
      <c r="O1672" s="8"/>
      <c r="P1672" s="8"/>
      <c r="Q1672" s="8"/>
      <c r="R1672" s="8"/>
      <c r="S1672" s="8"/>
      <c r="T1672" s="8"/>
      <c r="U1672" s="8"/>
      <c r="V1672" s="8"/>
      <c r="W1672" s="8"/>
    </row>
    <row r="1673" spans="1:23" ht="15.75" customHeight="1" x14ac:dyDescent="0.25">
      <c r="A1673" s="6" t="s">
        <v>149</v>
      </c>
      <c r="B1673" s="8"/>
      <c r="C1673" s="8"/>
      <c r="D1673" s="8"/>
      <c r="E1673" s="8"/>
      <c r="F1673" s="8"/>
      <c r="G1673" s="8"/>
      <c r="H1673" s="8"/>
      <c r="I1673" s="8"/>
      <c r="J1673" s="8"/>
      <c r="K1673" s="8"/>
      <c r="L1673" s="8"/>
      <c r="M1673" s="8"/>
      <c r="N1673" s="8"/>
      <c r="O1673" s="8"/>
      <c r="P1673" s="8"/>
      <c r="Q1673" s="8"/>
      <c r="R1673" s="8"/>
      <c r="S1673" s="8"/>
      <c r="T1673" s="8"/>
      <c r="U1673" s="8"/>
      <c r="V1673" s="8"/>
      <c r="W1673" s="8"/>
    </row>
    <row r="1674" spans="1:23" ht="15.75" customHeight="1" x14ac:dyDescent="0.25">
      <c r="A1674" s="6" t="s">
        <v>149</v>
      </c>
      <c r="B1674" s="8"/>
      <c r="C1674" s="8"/>
      <c r="D1674" s="8"/>
      <c r="E1674" s="8"/>
      <c r="F1674" s="8"/>
      <c r="G1674" s="8"/>
      <c r="H1674" s="8"/>
      <c r="I1674" s="8"/>
      <c r="J1674" s="8"/>
      <c r="K1674" s="8"/>
      <c r="L1674" s="8"/>
      <c r="M1674" s="8"/>
      <c r="N1674" s="8"/>
      <c r="O1674" s="8"/>
      <c r="P1674" s="8"/>
      <c r="Q1674" s="8"/>
      <c r="R1674" s="8"/>
      <c r="S1674" s="8"/>
      <c r="T1674" s="8"/>
      <c r="U1674" s="8"/>
      <c r="V1674" s="8"/>
      <c r="W1674" s="8"/>
    </row>
    <row r="1675" spans="1:23" ht="15.75" customHeight="1" x14ac:dyDescent="0.25">
      <c r="A1675" s="6" t="s">
        <v>149</v>
      </c>
      <c r="B1675" s="8"/>
      <c r="C1675" s="8"/>
      <c r="D1675" s="8"/>
      <c r="E1675" s="8"/>
      <c r="F1675" s="8"/>
      <c r="G1675" s="8"/>
      <c r="H1675" s="8"/>
      <c r="I1675" s="8"/>
      <c r="J1675" s="8"/>
      <c r="K1675" s="8"/>
      <c r="L1675" s="8"/>
      <c r="M1675" s="8"/>
      <c r="N1675" s="8"/>
      <c r="O1675" s="8"/>
      <c r="P1675" s="8"/>
      <c r="Q1675" s="8"/>
      <c r="R1675" s="8"/>
      <c r="S1675" s="8"/>
      <c r="T1675" s="8"/>
      <c r="U1675" s="8"/>
      <c r="V1675" s="8"/>
      <c r="W1675" s="8"/>
    </row>
    <row r="1676" spans="1:23" ht="15.75" customHeight="1" x14ac:dyDescent="0.25">
      <c r="A1676" s="6" t="s">
        <v>149</v>
      </c>
      <c r="B1676" s="8"/>
      <c r="C1676" s="8"/>
      <c r="D1676" s="8"/>
      <c r="E1676" s="8"/>
      <c r="F1676" s="8"/>
      <c r="G1676" s="8"/>
      <c r="H1676" s="8"/>
      <c r="I1676" s="8"/>
      <c r="J1676" s="8"/>
      <c r="K1676" s="8"/>
      <c r="L1676" s="8"/>
      <c r="M1676" s="8"/>
      <c r="N1676" s="8"/>
      <c r="O1676" s="8"/>
      <c r="P1676" s="8"/>
      <c r="Q1676" s="8"/>
      <c r="R1676" s="8"/>
      <c r="S1676" s="8"/>
      <c r="T1676" s="8"/>
      <c r="U1676" s="8"/>
      <c r="V1676" s="8"/>
      <c r="W1676" s="8"/>
    </row>
    <row r="1677" spans="1:23" ht="15.75" customHeight="1" x14ac:dyDescent="0.25">
      <c r="A1677" s="6" t="s">
        <v>149</v>
      </c>
      <c r="B1677" s="8"/>
      <c r="C1677" s="8"/>
      <c r="D1677" s="8"/>
      <c r="E1677" s="8"/>
      <c r="F1677" s="8"/>
      <c r="G1677" s="8"/>
      <c r="H1677" s="8"/>
      <c r="I1677" s="8"/>
      <c r="J1677" s="8"/>
      <c r="K1677" s="8"/>
      <c r="L1677" s="8"/>
      <c r="M1677" s="8"/>
      <c r="N1677" s="8"/>
      <c r="O1677" s="8"/>
      <c r="P1677" s="8"/>
      <c r="Q1677" s="8"/>
      <c r="R1677" s="8"/>
      <c r="S1677" s="8"/>
      <c r="T1677" s="8"/>
      <c r="U1677" s="8"/>
      <c r="V1677" s="8"/>
      <c r="W1677" s="8"/>
    </row>
    <row r="1678" spans="1:23" ht="15.75" customHeight="1" x14ac:dyDescent="0.25">
      <c r="A1678" s="6" t="s">
        <v>149</v>
      </c>
      <c r="B1678" s="8"/>
      <c r="C1678" s="8"/>
      <c r="D1678" s="8"/>
      <c r="E1678" s="8"/>
      <c r="F1678" s="8"/>
      <c r="G1678" s="8"/>
      <c r="H1678" s="8"/>
      <c r="I1678" s="8"/>
      <c r="J1678" s="8"/>
      <c r="K1678" s="8"/>
      <c r="L1678" s="8"/>
      <c r="M1678" s="8"/>
      <c r="N1678" s="8"/>
      <c r="O1678" s="8"/>
      <c r="P1678" s="8"/>
      <c r="Q1678" s="8"/>
      <c r="R1678" s="8"/>
      <c r="S1678" s="8"/>
      <c r="T1678" s="8"/>
      <c r="U1678" s="8"/>
      <c r="V1678" s="8"/>
      <c r="W1678" s="8"/>
    </row>
    <row r="1679" spans="1:23" ht="15.75" customHeight="1" x14ac:dyDescent="0.25">
      <c r="A1679" s="6" t="s">
        <v>149</v>
      </c>
      <c r="B1679" s="8"/>
      <c r="C1679" s="8"/>
      <c r="D1679" s="8"/>
      <c r="E1679" s="8"/>
      <c r="F1679" s="8"/>
      <c r="G1679" s="8"/>
      <c r="H1679" s="8"/>
      <c r="I1679" s="8"/>
      <c r="J1679" s="8"/>
      <c r="K1679" s="8"/>
      <c r="L1679" s="8"/>
      <c r="M1679" s="8"/>
      <c r="N1679" s="8"/>
      <c r="O1679" s="8"/>
      <c r="P1679" s="8"/>
      <c r="Q1679" s="8"/>
      <c r="R1679" s="8"/>
      <c r="S1679" s="8"/>
      <c r="T1679" s="8"/>
      <c r="U1679" s="8"/>
      <c r="V1679" s="8"/>
      <c r="W1679" s="8"/>
    </row>
    <row r="1680" spans="1:23" ht="15.75" customHeight="1" x14ac:dyDescent="0.25">
      <c r="A1680" s="6" t="s">
        <v>149</v>
      </c>
      <c r="B1680" s="8"/>
      <c r="C1680" s="8"/>
      <c r="D1680" s="8"/>
      <c r="E1680" s="8"/>
      <c r="F1680" s="8"/>
      <c r="G1680" s="8"/>
      <c r="H1680" s="8"/>
      <c r="I1680" s="8"/>
      <c r="J1680" s="8"/>
      <c r="K1680" s="8"/>
      <c r="L1680" s="8"/>
      <c r="M1680" s="8"/>
      <c r="N1680" s="8"/>
      <c r="O1680" s="8"/>
      <c r="P1680" s="8"/>
      <c r="Q1680" s="8"/>
      <c r="R1680" s="8"/>
      <c r="S1680" s="8"/>
      <c r="T1680" s="8"/>
      <c r="U1680" s="8"/>
      <c r="V1680" s="8"/>
      <c r="W1680" s="8"/>
    </row>
    <row r="1681" spans="1:23" ht="15.75" customHeight="1" x14ac:dyDescent="0.25">
      <c r="A1681" s="6" t="s">
        <v>149</v>
      </c>
      <c r="B1681" s="8"/>
      <c r="C1681" s="8"/>
      <c r="D1681" s="8"/>
      <c r="E1681" s="8"/>
      <c r="F1681" s="8"/>
      <c r="G1681" s="8"/>
      <c r="H1681" s="8"/>
      <c r="I1681" s="8"/>
      <c r="J1681" s="8"/>
      <c r="K1681" s="8"/>
      <c r="L1681" s="8"/>
      <c r="M1681" s="8"/>
      <c r="N1681" s="8"/>
      <c r="O1681" s="8"/>
      <c r="P1681" s="8"/>
      <c r="Q1681" s="8"/>
      <c r="R1681" s="8"/>
      <c r="S1681" s="8"/>
      <c r="T1681" s="8"/>
      <c r="U1681" s="8"/>
      <c r="V1681" s="8"/>
      <c r="W1681" s="8"/>
    </row>
    <row r="1682" spans="1:23" ht="15.75" customHeight="1" x14ac:dyDescent="0.25">
      <c r="A1682" s="6" t="s">
        <v>149</v>
      </c>
      <c r="B1682" s="8"/>
      <c r="C1682" s="8"/>
      <c r="D1682" s="8"/>
      <c r="E1682" s="8"/>
      <c r="F1682" s="8"/>
      <c r="G1682" s="8"/>
      <c r="H1682" s="8"/>
      <c r="I1682" s="8"/>
      <c r="J1682" s="8"/>
      <c r="K1682" s="8"/>
      <c r="L1682" s="8"/>
      <c r="M1682" s="8"/>
      <c r="N1682" s="8"/>
      <c r="O1682" s="8"/>
      <c r="P1682" s="8"/>
      <c r="Q1682" s="8"/>
      <c r="R1682" s="8"/>
      <c r="S1682" s="8"/>
      <c r="T1682" s="8"/>
      <c r="U1682" s="8"/>
      <c r="V1682" s="8"/>
      <c r="W1682" s="8"/>
    </row>
    <row r="1683" spans="1:23" ht="15.75" customHeight="1" x14ac:dyDescent="0.25">
      <c r="A1683" s="6" t="s">
        <v>149</v>
      </c>
      <c r="B1683" s="8"/>
      <c r="C1683" s="8"/>
      <c r="D1683" s="8"/>
      <c r="E1683" s="8"/>
      <c r="F1683" s="8"/>
      <c r="G1683" s="8"/>
      <c r="H1683" s="8"/>
      <c r="I1683" s="8"/>
      <c r="J1683" s="8"/>
      <c r="K1683" s="8"/>
      <c r="L1683" s="8"/>
      <c r="M1683" s="8"/>
      <c r="N1683" s="8"/>
      <c r="O1683" s="8"/>
      <c r="P1683" s="8"/>
      <c r="Q1683" s="8"/>
      <c r="R1683" s="8"/>
      <c r="S1683" s="8"/>
      <c r="T1683" s="8"/>
      <c r="U1683" s="8"/>
      <c r="V1683" s="8"/>
      <c r="W1683" s="8"/>
    </row>
    <row r="1684" spans="1:23" ht="15.75" customHeight="1" x14ac:dyDescent="0.25">
      <c r="A1684" s="6" t="s">
        <v>149</v>
      </c>
      <c r="B1684" s="8"/>
      <c r="C1684" s="8"/>
      <c r="D1684" s="8"/>
      <c r="E1684" s="8"/>
      <c r="F1684" s="8"/>
      <c r="G1684" s="8"/>
      <c r="H1684" s="8"/>
      <c r="I1684" s="8"/>
      <c r="J1684" s="8"/>
      <c r="K1684" s="8"/>
      <c r="L1684" s="8"/>
      <c r="M1684" s="8"/>
      <c r="N1684" s="8"/>
      <c r="O1684" s="8"/>
      <c r="P1684" s="8"/>
      <c r="Q1684" s="8"/>
      <c r="R1684" s="8"/>
      <c r="S1684" s="8"/>
      <c r="T1684" s="8"/>
      <c r="U1684" s="8"/>
      <c r="V1684" s="8"/>
      <c r="W1684" s="8"/>
    </row>
    <row r="1685" spans="1:23" ht="15.75" customHeight="1" x14ac:dyDescent="0.25">
      <c r="A1685" s="6" t="s">
        <v>149</v>
      </c>
      <c r="B1685" s="8"/>
      <c r="C1685" s="8"/>
      <c r="D1685" s="8"/>
      <c r="E1685" s="8"/>
      <c r="F1685" s="8"/>
      <c r="G1685" s="8"/>
      <c r="H1685" s="8"/>
      <c r="I1685" s="8"/>
      <c r="J1685" s="8"/>
      <c r="K1685" s="8"/>
      <c r="L1685" s="8"/>
      <c r="M1685" s="8"/>
      <c r="N1685" s="8"/>
      <c r="O1685" s="8"/>
      <c r="P1685" s="8"/>
      <c r="Q1685" s="8"/>
      <c r="R1685" s="8"/>
      <c r="S1685" s="8"/>
      <c r="T1685" s="8"/>
      <c r="U1685" s="8"/>
      <c r="V1685" s="8"/>
      <c r="W1685" s="8"/>
    </row>
    <row r="1686" spans="1:23" ht="15.75" customHeight="1" x14ac:dyDescent="0.25">
      <c r="A1686" s="6" t="s">
        <v>149</v>
      </c>
      <c r="B1686" s="8"/>
      <c r="C1686" s="8"/>
      <c r="D1686" s="8"/>
      <c r="E1686" s="8"/>
      <c r="F1686" s="8"/>
      <c r="G1686" s="8"/>
      <c r="H1686" s="8"/>
      <c r="I1686" s="8"/>
      <c r="J1686" s="8"/>
      <c r="K1686" s="8"/>
      <c r="L1686" s="8"/>
      <c r="M1686" s="8"/>
      <c r="N1686" s="8"/>
      <c r="O1686" s="8"/>
      <c r="P1686" s="8"/>
      <c r="Q1686" s="8"/>
      <c r="R1686" s="8"/>
      <c r="S1686" s="8"/>
      <c r="T1686" s="8"/>
      <c r="U1686" s="8"/>
      <c r="V1686" s="8"/>
      <c r="W1686" s="8"/>
    </row>
    <row r="1687" spans="1:23" ht="15.75" customHeight="1" x14ac:dyDescent="0.25">
      <c r="A1687" s="6" t="s">
        <v>149</v>
      </c>
      <c r="B1687" s="8"/>
      <c r="C1687" s="8"/>
      <c r="D1687" s="8"/>
      <c r="E1687" s="8"/>
      <c r="F1687" s="8"/>
      <c r="G1687" s="8"/>
      <c r="H1687" s="8"/>
      <c r="I1687" s="8"/>
      <c r="J1687" s="8"/>
      <c r="K1687" s="8"/>
      <c r="L1687" s="8"/>
      <c r="M1687" s="8"/>
      <c r="N1687" s="8"/>
      <c r="O1687" s="8"/>
      <c r="P1687" s="8"/>
      <c r="Q1687" s="8"/>
      <c r="R1687" s="8"/>
      <c r="S1687" s="8"/>
      <c r="T1687" s="8"/>
      <c r="U1687" s="8"/>
      <c r="V1687" s="8"/>
      <c r="W1687" s="8"/>
    </row>
    <row r="1688" spans="1:23" ht="15.75" customHeight="1" x14ac:dyDescent="0.25">
      <c r="A1688" s="6" t="s">
        <v>149</v>
      </c>
      <c r="B1688" s="8"/>
      <c r="C1688" s="8"/>
      <c r="D1688" s="8"/>
      <c r="E1688" s="8"/>
      <c r="F1688" s="8"/>
      <c r="G1688" s="8"/>
      <c r="H1688" s="8"/>
      <c r="I1688" s="8"/>
      <c r="J1688" s="8"/>
      <c r="K1688" s="8"/>
      <c r="L1688" s="8"/>
      <c r="M1688" s="8"/>
      <c r="N1688" s="8"/>
      <c r="O1688" s="8"/>
      <c r="P1688" s="8"/>
      <c r="Q1688" s="8"/>
      <c r="R1688" s="8"/>
      <c r="S1688" s="8"/>
      <c r="T1688" s="8"/>
      <c r="U1688" s="8"/>
      <c r="V1688" s="8"/>
      <c r="W1688" s="8"/>
    </row>
    <row r="1689" spans="1:23" ht="15.75" customHeight="1" x14ac:dyDescent="0.25">
      <c r="A1689" s="6" t="s">
        <v>149</v>
      </c>
      <c r="B1689" s="8"/>
      <c r="C1689" s="8"/>
      <c r="D1689" s="8"/>
      <c r="E1689" s="8"/>
      <c r="F1689" s="8"/>
      <c r="G1689" s="8"/>
      <c r="H1689" s="8"/>
      <c r="I1689" s="8"/>
      <c r="J1689" s="8"/>
      <c r="K1689" s="8"/>
      <c r="L1689" s="8"/>
      <c r="M1689" s="8"/>
      <c r="N1689" s="8"/>
      <c r="O1689" s="8"/>
      <c r="P1689" s="8"/>
      <c r="Q1689" s="8"/>
      <c r="R1689" s="8"/>
      <c r="S1689" s="8"/>
      <c r="T1689" s="8"/>
      <c r="U1689" s="8"/>
      <c r="V1689" s="8"/>
      <c r="W1689" s="8"/>
    </row>
    <row r="1690" spans="1:23" ht="15.75" customHeight="1" x14ac:dyDescent="0.25">
      <c r="A1690" s="8" t="s">
        <v>149</v>
      </c>
      <c r="B1690" s="8"/>
      <c r="C1690" s="8"/>
      <c r="D1690" s="8"/>
      <c r="E1690" s="8"/>
      <c r="F1690" s="8"/>
      <c r="G1690" s="8"/>
      <c r="H1690" s="8"/>
      <c r="I1690" s="8"/>
      <c r="J1690" s="8"/>
      <c r="K1690" s="8"/>
      <c r="L1690" s="8"/>
      <c r="M1690" s="8"/>
      <c r="N1690" s="8"/>
      <c r="O1690" s="8"/>
      <c r="P1690" s="8"/>
      <c r="Q1690" s="8"/>
      <c r="R1690" s="8"/>
      <c r="S1690" s="8"/>
      <c r="T1690" s="8"/>
      <c r="U1690" s="8"/>
      <c r="V1690" s="8"/>
      <c r="W1690" s="8"/>
    </row>
    <row r="1691" spans="1:23" ht="15.75" customHeight="1" x14ac:dyDescent="0.25">
      <c r="A1691" s="6" t="s">
        <v>149</v>
      </c>
      <c r="B1691" s="8"/>
      <c r="C1691" s="8"/>
      <c r="D1691" s="8"/>
      <c r="E1691" s="8"/>
      <c r="F1691" s="8"/>
      <c r="G1691" s="8"/>
      <c r="H1691" s="8"/>
      <c r="I1691" s="8"/>
      <c r="J1691" s="8"/>
      <c r="K1691" s="8"/>
      <c r="L1691" s="8"/>
      <c r="M1691" s="8"/>
      <c r="N1691" s="8"/>
      <c r="O1691" s="8"/>
      <c r="P1691" s="8"/>
      <c r="Q1691" s="8"/>
      <c r="R1691" s="8"/>
      <c r="S1691" s="8"/>
      <c r="T1691" s="8"/>
      <c r="U1691" s="8"/>
      <c r="V1691" s="8"/>
      <c r="W1691" s="8"/>
    </row>
    <row r="1692" spans="1:23" ht="15.75" customHeight="1" x14ac:dyDescent="0.25">
      <c r="A1692" s="6" t="s">
        <v>149</v>
      </c>
      <c r="B1692" s="8"/>
      <c r="C1692" s="8"/>
      <c r="D1692" s="8"/>
      <c r="E1692" s="8"/>
      <c r="F1692" s="8"/>
      <c r="G1692" s="8"/>
      <c r="H1692" s="8"/>
      <c r="I1692" s="8"/>
      <c r="J1692" s="8"/>
      <c r="K1692" s="8"/>
      <c r="L1692" s="8"/>
      <c r="M1692" s="8"/>
      <c r="N1692" s="8"/>
      <c r="O1692" s="8"/>
      <c r="P1692" s="8"/>
      <c r="Q1692" s="8"/>
      <c r="R1692" s="8"/>
      <c r="S1692" s="8"/>
      <c r="T1692" s="8"/>
      <c r="U1692" s="8"/>
      <c r="V1692" s="8"/>
      <c r="W1692" s="8"/>
    </row>
    <row r="1693" spans="1:23" ht="15.75" customHeight="1" x14ac:dyDescent="0.25">
      <c r="A1693" s="6" t="s">
        <v>149</v>
      </c>
      <c r="B1693" s="8"/>
      <c r="C1693" s="8"/>
      <c r="D1693" s="8"/>
      <c r="E1693" s="8"/>
      <c r="F1693" s="8"/>
      <c r="G1693" s="8"/>
      <c r="H1693" s="8"/>
      <c r="I1693" s="8"/>
      <c r="J1693" s="8"/>
      <c r="K1693" s="8"/>
      <c r="L1693" s="8"/>
      <c r="M1693" s="8"/>
      <c r="N1693" s="8"/>
      <c r="O1693" s="8"/>
      <c r="P1693" s="8"/>
      <c r="Q1693" s="8"/>
      <c r="R1693" s="8"/>
      <c r="S1693" s="8"/>
      <c r="T1693" s="8"/>
      <c r="U1693" s="8"/>
      <c r="V1693" s="8"/>
      <c r="W1693" s="8"/>
    </row>
    <row r="1694" spans="1:23" ht="15.75" customHeight="1" x14ac:dyDescent="0.25">
      <c r="A1694" s="6" t="s">
        <v>149</v>
      </c>
      <c r="B1694" s="8"/>
      <c r="C1694" s="8"/>
      <c r="D1694" s="8"/>
      <c r="E1694" s="8"/>
      <c r="F1694" s="8"/>
      <c r="G1694" s="8"/>
      <c r="H1694" s="8"/>
      <c r="I1694" s="8"/>
      <c r="J1694" s="8"/>
      <c r="K1694" s="8"/>
      <c r="L1694" s="8"/>
      <c r="M1694" s="8"/>
      <c r="N1694" s="8"/>
      <c r="O1694" s="8"/>
      <c r="P1694" s="8"/>
      <c r="Q1694" s="8"/>
      <c r="R1694" s="8"/>
      <c r="S1694" s="8"/>
      <c r="T1694" s="8"/>
      <c r="U1694" s="8"/>
      <c r="V1694" s="8"/>
      <c r="W1694" s="8"/>
    </row>
    <row r="1695" spans="1:23" ht="15.75" customHeight="1" x14ac:dyDescent="0.25">
      <c r="A1695" s="6" t="s">
        <v>149</v>
      </c>
      <c r="B1695" s="8"/>
      <c r="C1695" s="8"/>
      <c r="D1695" s="8"/>
      <c r="E1695" s="8"/>
      <c r="F1695" s="8"/>
      <c r="G1695" s="8"/>
      <c r="H1695" s="8"/>
      <c r="I1695" s="8"/>
      <c r="J1695" s="8"/>
      <c r="K1695" s="8"/>
      <c r="L1695" s="8"/>
      <c r="M1695" s="8"/>
      <c r="N1695" s="8"/>
      <c r="O1695" s="8"/>
      <c r="P1695" s="8"/>
      <c r="Q1695" s="8"/>
      <c r="R1695" s="8"/>
      <c r="S1695" s="8"/>
      <c r="T1695" s="8"/>
      <c r="U1695" s="8"/>
      <c r="V1695" s="8"/>
      <c r="W1695" s="8"/>
    </row>
    <row r="1696" spans="1:23" ht="15.75" customHeight="1" x14ac:dyDescent="0.25">
      <c r="A1696" s="6" t="s">
        <v>149</v>
      </c>
      <c r="B1696" s="8"/>
      <c r="C1696" s="8"/>
      <c r="D1696" s="8"/>
      <c r="E1696" s="8"/>
      <c r="F1696" s="8"/>
      <c r="G1696" s="8"/>
      <c r="H1696" s="8"/>
      <c r="I1696" s="8"/>
      <c r="J1696" s="8"/>
      <c r="K1696" s="8"/>
      <c r="L1696" s="8"/>
      <c r="M1696" s="8"/>
      <c r="N1696" s="8"/>
      <c r="O1696" s="8"/>
      <c r="P1696" s="8"/>
      <c r="Q1696" s="8"/>
      <c r="R1696" s="8"/>
      <c r="S1696" s="8"/>
      <c r="T1696" s="8"/>
      <c r="U1696" s="8"/>
      <c r="V1696" s="8"/>
      <c r="W1696" s="8"/>
    </row>
    <row r="1697" spans="1:23" ht="15.75" customHeight="1" x14ac:dyDescent="0.25">
      <c r="A1697" s="6" t="s">
        <v>149</v>
      </c>
      <c r="B1697" s="8"/>
      <c r="C1697" s="8"/>
      <c r="D1697" s="8"/>
      <c r="E1697" s="8"/>
      <c r="F1697" s="8"/>
      <c r="G1697" s="8"/>
      <c r="H1697" s="8"/>
      <c r="I1697" s="8"/>
      <c r="J1697" s="8"/>
      <c r="K1697" s="8"/>
      <c r="L1697" s="8"/>
      <c r="M1697" s="8"/>
      <c r="N1697" s="8"/>
      <c r="O1697" s="8"/>
      <c r="P1697" s="8"/>
      <c r="Q1697" s="8"/>
      <c r="R1697" s="8"/>
      <c r="S1697" s="8"/>
      <c r="T1697" s="8"/>
      <c r="U1697" s="8"/>
      <c r="V1697" s="8"/>
      <c r="W1697" s="8"/>
    </row>
    <row r="1698" spans="1:23" ht="15.75" customHeight="1" x14ac:dyDescent="0.25">
      <c r="A1698" s="6" t="s">
        <v>149</v>
      </c>
      <c r="B1698" s="8"/>
      <c r="C1698" s="8"/>
      <c r="D1698" s="8"/>
      <c r="E1698" s="8"/>
      <c r="F1698" s="8"/>
      <c r="G1698" s="8"/>
      <c r="H1698" s="8"/>
      <c r="I1698" s="8"/>
      <c r="J1698" s="8"/>
      <c r="K1698" s="8"/>
      <c r="L1698" s="8"/>
      <c r="M1698" s="8"/>
      <c r="N1698" s="8"/>
      <c r="O1698" s="8"/>
      <c r="P1698" s="8"/>
      <c r="Q1698" s="8"/>
      <c r="R1698" s="8"/>
      <c r="S1698" s="8"/>
      <c r="T1698" s="8"/>
      <c r="U1698" s="8"/>
      <c r="V1698" s="8"/>
      <c r="W1698" s="8"/>
    </row>
    <row r="1699" spans="1:23" ht="15.75" customHeight="1" x14ac:dyDescent="0.25">
      <c r="A1699" s="6" t="s">
        <v>149</v>
      </c>
      <c r="B1699" s="8"/>
      <c r="C1699" s="8"/>
      <c r="D1699" s="8"/>
      <c r="E1699" s="8"/>
      <c r="F1699" s="8"/>
      <c r="G1699" s="8"/>
      <c r="H1699" s="8"/>
      <c r="I1699" s="8"/>
      <c r="J1699" s="8"/>
      <c r="K1699" s="8"/>
      <c r="L1699" s="8"/>
      <c r="M1699" s="8"/>
      <c r="N1699" s="8"/>
      <c r="O1699" s="8"/>
      <c r="P1699" s="8"/>
      <c r="Q1699" s="8"/>
      <c r="R1699" s="8"/>
      <c r="S1699" s="8"/>
      <c r="T1699" s="8"/>
      <c r="U1699" s="8"/>
      <c r="V1699" s="8"/>
      <c r="W1699" s="8"/>
    </row>
    <row r="1700" spans="1:23" ht="15.75" customHeight="1" x14ac:dyDescent="0.25">
      <c r="A1700" s="6" t="s">
        <v>149</v>
      </c>
      <c r="B1700" s="8"/>
      <c r="C1700" s="8"/>
      <c r="D1700" s="8"/>
      <c r="E1700" s="8"/>
      <c r="F1700" s="8"/>
      <c r="G1700" s="8"/>
      <c r="H1700" s="8"/>
      <c r="I1700" s="8"/>
      <c r="J1700" s="8"/>
      <c r="K1700" s="8"/>
      <c r="L1700" s="8"/>
      <c r="M1700" s="8"/>
      <c r="N1700" s="8"/>
      <c r="O1700" s="8"/>
      <c r="P1700" s="8"/>
      <c r="Q1700" s="8"/>
      <c r="R1700" s="8"/>
      <c r="S1700" s="8"/>
      <c r="T1700" s="8"/>
      <c r="U1700" s="8"/>
      <c r="V1700" s="8"/>
      <c r="W1700" s="8"/>
    </row>
    <row r="1701" spans="1:23" ht="15.75" customHeight="1" x14ac:dyDescent="0.25">
      <c r="A1701" s="6" t="s">
        <v>149</v>
      </c>
      <c r="B1701" s="8"/>
      <c r="C1701" s="8"/>
      <c r="D1701" s="8"/>
      <c r="E1701" s="8"/>
      <c r="F1701" s="8"/>
      <c r="G1701" s="8"/>
      <c r="H1701" s="8"/>
      <c r="I1701" s="8"/>
      <c r="J1701" s="8"/>
      <c r="K1701" s="8"/>
      <c r="L1701" s="8"/>
      <c r="M1701" s="8"/>
      <c r="N1701" s="8"/>
      <c r="O1701" s="8"/>
      <c r="P1701" s="8"/>
      <c r="Q1701" s="8"/>
      <c r="R1701" s="8"/>
      <c r="S1701" s="8"/>
      <c r="T1701" s="8"/>
      <c r="U1701" s="8"/>
      <c r="V1701" s="8"/>
      <c r="W1701" s="8"/>
    </row>
    <row r="1702" spans="1:23" ht="15.75" customHeight="1" x14ac:dyDescent="0.25">
      <c r="A1702" s="6" t="s">
        <v>149</v>
      </c>
      <c r="B1702" s="8"/>
      <c r="C1702" s="8"/>
      <c r="D1702" s="8"/>
      <c r="E1702" s="8"/>
      <c r="F1702" s="8"/>
      <c r="G1702" s="8"/>
      <c r="H1702" s="8"/>
      <c r="I1702" s="8"/>
      <c r="J1702" s="8"/>
      <c r="K1702" s="8"/>
      <c r="L1702" s="8"/>
      <c r="M1702" s="8"/>
      <c r="N1702" s="8"/>
      <c r="O1702" s="8"/>
      <c r="P1702" s="8"/>
      <c r="Q1702" s="8"/>
      <c r="R1702" s="8"/>
      <c r="S1702" s="8"/>
      <c r="T1702" s="8"/>
      <c r="U1702" s="8"/>
      <c r="V1702" s="8"/>
      <c r="W1702" s="8"/>
    </row>
    <row r="1703" spans="1:23" ht="15.75" customHeight="1" x14ac:dyDescent="0.25">
      <c r="A1703" s="6" t="s">
        <v>149</v>
      </c>
      <c r="B1703" s="8"/>
      <c r="C1703" s="8"/>
      <c r="D1703" s="8"/>
      <c r="E1703" s="8"/>
      <c r="F1703" s="8"/>
      <c r="G1703" s="8"/>
      <c r="H1703" s="8"/>
      <c r="I1703" s="8"/>
      <c r="J1703" s="8"/>
      <c r="K1703" s="8"/>
      <c r="L1703" s="8"/>
      <c r="M1703" s="8"/>
      <c r="N1703" s="8"/>
      <c r="O1703" s="8"/>
      <c r="P1703" s="8"/>
      <c r="Q1703" s="8"/>
      <c r="R1703" s="8"/>
      <c r="S1703" s="8"/>
      <c r="T1703" s="8"/>
      <c r="U1703" s="8"/>
      <c r="V1703" s="8"/>
      <c r="W1703" s="8"/>
    </row>
    <row r="1704" spans="1:23" ht="15.75" customHeight="1" x14ac:dyDescent="0.25">
      <c r="A1704" s="6" t="s">
        <v>149</v>
      </c>
      <c r="B1704" s="8"/>
      <c r="C1704" s="8"/>
      <c r="D1704" s="8"/>
      <c r="E1704" s="8"/>
      <c r="F1704" s="8"/>
      <c r="G1704" s="8"/>
      <c r="H1704" s="8"/>
      <c r="I1704" s="8"/>
      <c r="J1704" s="8"/>
      <c r="K1704" s="8"/>
      <c r="L1704" s="8"/>
      <c r="M1704" s="8"/>
      <c r="N1704" s="8"/>
      <c r="O1704" s="8"/>
      <c r="P1704" s="8"/>
      <c r="Q1704" s="8"/>
      <c r="R1704" s="8"/>
      <c r="S1704" s="8"/>
      <c r="T1704" s="8"/>
      <c r="U1704" s="8"/>
      <c r="V1704" s="8"/>
      <c r="W1704" s="8"/>
    </row>
    <row r="1705" spans="1:23" ht="15.75" customHeight="1" x14ac:dyDescent="0.25">
      <c r="A1705" s="6" t="s">
        <v>149</v>
      </c>
      <c r="B1705" s="8"/>
      <c r="C1705" s="8"/>
      <c r="D1705" s="8"/>
      <c r="E1705" s="8"/>
      <c r="F1705" s="8"/>
      <c r="G1705" s="8"/>
      <c r="H1705" s="8"/>
      <c r="I1705" s="8"/>
      <c r="J1705" s="8"/>
      <c r="K1705" s="8"/>
      <c r="L1705" s="8"/>
      <c r="M1705" s="8"/>
      <c r="N1705" s="8"/>
      <c r="O1705" s="8"/>
      <c r="P1705" s="8"/>
      <c r="Q1705" s="8"/>
      <c r="R1705" s="8"/>
      <c r="S1705" s="8"/>
      <c r="T1705" s="8"/>
      <c r="U1705" s="8"/>
      <c r="V1705" s="8"/>
      <c r="W1705" s="8"/>
    </row>
    <row r="1706" spans="1:23" ht="15.75" customHeight="1" x14ac:dyDescent="0.25">
      <c r="A1706" s="6" t="s">
        <v>149</v>
      </c>
      <c r="B1706" s="8"/>
      <c r="C1706" s="8"/>
      <c r="D1706" s="8"/>
      <c r="E1706" s="8"/>
      <c r="F1706" s="8"/>
      <c r="G1706" s="8"/>
      <c r="H1706" s="8"/>
      <c r="I1706" s="8"/>
      <c r="J1706" s="8"/>
      <c r="K1706" s="8"/>
      <c r="L1706" s="8"/>
      <c r="M1706" s="8"/>
      <c r="N1706" s="8"/>
      <c r="O1706" s="8"/>
      <c r="P1706" s="8"/>
      <c r="Q1706" s="8"/>
      <c r="R1706" s="8"/>
      <c r="S1706" s="8"/>
      <c r="T1706" s="8"/>
      <c r="U1706" s="8"/>
      <c r="V1706" s="8"/>
      <c r="W1706" s="8"/>
    </row>
    <row r="1707" spans="1:23" ht="15.75" customHeight="1" x14ac:dyDescent="0.25">
      <c r="A1707" s="6" t="s">
        <v>149</v>
      </c>
      <c r="B1707" s="8"/>
      <c r="C1707" s="8"/>
      <c r="D1707" s="8"/>
      <c r="E1707" s="8"/>
      <c r="F1707" s="8"/>
      <c r="G1707" s="8"/>
      <c r="H1707" s="8"/>
      <c r="I1707" s="8"/>
      <c r="J1707" s="8"/>
      <c r="K1707" s="8"/>
      <c r="L1707" s="8"/>
      <c r="M1707" s="8"/>
      <c r="N1707" s="8"/>
      <c r="O1707" s="8"/>
      <c r="P1707" s="8"/>
      <c r="Q1707" s="8"/>
      <c r="R1707" s="8"/>
      <c r="S1707" s="8"/>
      <c r="T1707" s="8"/>
      <c r="U1707" s="8"/>
      <c r="V1707" s="8"/>
      <c r="W1707" s="8"/>
    </row>
    <row r="1708" spans="1:23" ht="15.75" customHeight="1" x14ac:dyDescent="0.25">
      <c r="A1708" s="6" t="s">
        <v>149</v>
      </c>
      <c r="B1708" s="8"/>
      <c r="C1708" s="8"/>
      <c r="D1708" s="8"/>
      <c r="E1708" s="8"/>
      <c r="F1708" s="8"/>
      <c r="G1708" s="8"/>
      <c r="H1708" s="8"/>
      <c r="I1708" s="8"/>
      <c r="J1708" s="8"/>
      <c r="K1708" s="8"/>
      <c r="L1708" s="8"/>
      <c r="M1708" s="8"/>
      <c r="N1708" s="8"/>
      <c r="O1708" s="8"/>
      <c r="P1708" s="8"/>
      <c r="Q1708" s="8"/>
      <c r="R1708" s="8"/>
      <c r="S1708" s="8"/>
      <c r="T1708" s="8"/>
      <c r="U1708" s="8"/>
      <c r="V1708" s="8"/>
      <c r="W1708" s="8"/>
    </row>
    <row r="1709" spans="1:23" ht="15.75" customHeight="1" x14ac:dyDescent="0.25">
      <c r="A1709" s="6" t="s">
        <v>149</v>
      </c>
      <c r="B1709" s="8"/>
      <c r="C1709" s="8"/>
      <c r="D1709" s="8"/>
      <c r="E1709" s="8"/>
      <c r="F1709" s="8"/>
      <c r="G1709" s="8"/>
      <c r="H1709" s="8"/>
      <c r="I1709" s="8"/>
      <c r="J1709" s="8"/>
      <c r="K1709" s="8"/>
      <c r="L1709" s="8"/>
      <c r="M1709" s="8"/>
      <c r="N1709" s="8"/>
      <c r="O1709" s="8"/>
      <c r="P1709" s="8"/>
      <c r="Q1709" s="8"/>
      <c r="R1709" s="8"/>
      <c r="S1709" s="8"/>
      <c r="T1709" s="8"/>
      <c r="U1709" s="8"/>
      <c r="V1709" s="8"/>
      <c r="W1709" s="8"/>
    </row>
    <row r="1710" spans="1:23" ht="15.75" customHeight="1" x14ac:dyDescent="0.25">
      <c r="A1710" s="6" t="s">
        <v>149</v>
      </c>
      <c r="B1710" s="8"/>
      <c r="C1710" s="8"/>
      <c r="D1710" s="8"/>
      <c r="E1710" s="8"/>
      <c r="F1710" s="8"/>
      <c r="G1710" s="8"/>
      <c r="H1710" s="8"/>
      <c r="I1710" s="8"/>
      <c r="J1710" s="8"/>
      <c r="K1710" s="8"/>
      <c r="L1710" s="8"/>
      <c r="M1710" s="8"/>
      <c r="N1710" s="8"/>
      <c r="O1710" s="8"/>
      <c r="P1710" s="8"/>
      <c r="Q1710" s="8"/>
      <c r="R1710" s="8"/>
      <c r="S1710" s="8"/>
      <c r="T1710" s="8"/>
      <c r="U1710" s="8"/>
      <c r="V1710" s="8"/>
      <c r="W1710" s="8"/>
    </row>
    <row r="1711" spans="1:23" ht="15.75" customHeight="1" x14ac:dyDescent="0.25">
      <c r="A1711" s="6" t="s">
        <v>149</v>
      </c>
      <c r="B1711" s="8"/>
      <c r="C1711" s="8"/>
      <c r="D1711" s="8"/>
      <c r="E1711" s="8"/>
      <c r="F1711" s="8"/>
      <c r="G1711" s="8"/>
      <c r="H1711" s="8"/>
      <c r="I1711" s="8"/>
      <c r="J1711" s="8"/>
      <c r="K1711" s="8"/>
      <c r="L1711" s="8"/>
      <c r="M1711" s="8"/>
      <c r="N1711" s="8"/>
      <c r="O1711" s="8"/>
      <c r="P1711" s="8"/>
      <c r="Q1711" s="8"/>
      <c r="R1711" s="8"/>
      <c r="S1711" s="8"/>
      <c r="T1711" s="8"/>
      <c r="U1711" s="8"/>
      <c r="V1711" s="8"/>
      <c r="W1711" s="8"/>
    </row>
    <row r="1712" spans="1:23" ht="15.75" customHeight="1" x14ac:dyDescent="0.25">
      <c r="A1712" s="6" t="s">
        <v>149</v>
      </c>
      <c r="B1712" s="8"/>
      <c r="C1712" s="8"/>
      <c r="D1712" s="8"/>
      <c r="E1712" s="8"/>
      <c r="F1712" s="8"/>
      <c r="G1712" s="8"/>
      <c r="H1712" s="8"/>
      <c r="I1712" s="8"/>
      <c r="J1712" s="8"/>
      <c r="K1712" s="8"/>
      <c r="L1712" s="8"/>
      <c r="M1712" s="8"/>
      <c r="N1712" s="8"/>
      <c r="O1712" s="8"/>
      <c r="P1712" s="8"/>
      <c r="Q1712" s="8"/>
      <c r="R1712" s="8"/>
      <c r="S1712" s="8"/>
      <c r="T1712" s="8"/>
      <c r="U1712" s="8"/>
      <c r="V1712" s="8"/>
      <c r="W1712" s="8"/>
    </row>
    <row r="1713" spans="1:23" ht="15.75" customHeight="1" x14ac:dyDescent="0.25">
      <c r="A1713" s="6" t="s">
        <v>149</v>
      </c>
      <c r="B1713" s="8"/>
      <c r="C1713" s="8"/>
      <c r="D1713" s="8"/>
      <c r="E1713" s="8"/>
      <c r="F1713" s="8"/>
      <c r="G1713" s="8"/>
      <c r="H1713" s="8"/>
      <c r="I1713" s="8"/>
      <c r="J1713" s="8"/>
      <c r="K1713" s="8"/>
      <c r="L1713" s="8"/>
      <c r="M1713" s="8"/>
      <c r="N1713" s="8"/>
      <c r="O1713" s="8"/>
      <c r="P1713" s="8"/>
      <c r="Q1713" s="8"/>
      <c r="R1713" s="8"/>
      <c r="S1713" s="8"/>
      <c r="T1713" s="8"/>
      <c r="U1713" s="8"/>
      <c r="V1713" s="8"/>
      <c r="W1713" s="8"/>
    </row>
    <row r="1714" spans="1:23" ht="15.75" customHeight="1" x14ac:dyDescent="0.25">
      <c r="A1714" s="6" t="s">
        <v>149</v>
      </c>
      <c r="B1714" s="8"/>
      <c r="C1714" s="8"/>
      <c r="D1714" s="8"/>
      <c r="E1714" s="8"/>
      <c r="F1714" s="8"/>
      <c r="G1714" s="8"/>
      <c r="H1714" s="8"/>
      <c r="I1714" s="8"/>
      <c r="J1714" s="8"/>
      <c r="K1714" s="8"/>
      <c r="L1714" s="8"/>
      <c r="M1714" s="8"/>
      <c r="N1714" s="8"/>
      <c r="O1714" s="8"/>
      <c r="P1714" s="8"/>
      <c r="Q1714" s="8"/>
      <c r="R1714" s="8"/>
      <c r="S1714" s="8"/>
      <c r="T1714" s="8"/>
      <c r="U1714" s="8"/>
      <c r="V1714" s="8"/>
      <c r="W1714" s="8"/>
    </row>
    <row r="1715" spans="1:23" ht="15.75" customHeight="1" x14ac:dyDescent="0.25">
      <c r="A1715" s="6" t="s">
        <v>149</v>
      </c>
      <c r="B1715" s="8"/>
      <c r="C1715" s="8"/>
      <c r="D1715" s="8"/>
      <c r="E1715" s="8"/>
      <c r="F1715" s="8"/>
      <c r="G1715" s="8"/>
      <c r="H1715" s="8"/>
      <c r="I1715" s="8"/>
      <c r="J1715" s="8"/>
      <c r="K1715" s="8"/>
      <c r="L1715" s="8"/>
      <c r="M1715" s="8"/>
      <c r="N1715" s="8"/>
      <c r="O1715" s="8"/>
      <c r="P1715" s="8"/>
      <c r="Q1715" s="8"/>
      <c r="R1715" s="8"/>
      <c r="S1715" s="8"/>
      <c r="T1715" s="8"/>
      <c r="U1715" s="8"/>
      <c r="V1715" s="8"/>
      <c r="W1715" s="8"/>
    </row>
    <row r="1716" spans="1:23" ht="15.75" customHeight="1" x14ac:dyDescent="0.25">
      <c r="A1716" s="8" t="s">
        <v>149</v>
      </c>
      <c r="B1716" s="8"/>
      <c r="C1716" s="8"/>
      <c r="D1716" s="8"/>
      <c r="E1716" s="8"/>
      <c r="F1716" s="8"/>
      <c r="G1716" s="8"/>
      <c r="H1716" s="8"/>
      <c r="I1716" s="8"/>
      <c r="J1716" s="8"/>
      <c r="K1716" s="8"/>
      <c r="L1716" s="8"/>
      <c r="M1716" s="8"/>
      <c r="N1716" s="8"/>
      <c r="O1716" s="8"/>
      <c r="P1716" s="8"/>
      <c r="Q1716" s="8"/>
      <c r="R1716" s="8"/>
      <c r="S1716" s="8"/>
      <c r="T1716" s="8"/>
      <c r="U1716" s="8"/>
      <c r="V1716" s="8"/>
      <c r="W1716" s="8"/>
    </row>
    <row r="1717" spans="1:23" ht="15.75" customHeight="1" x14ac:dyDescent="0.25">
      <c r="A1717" s="6" t="s">
        <v>149</v>
      </c>
      <c r="B1717" s="8"/>
      <c r="C1717" s="8"/>
      <c r="D1717" s="8"/>
      <c r="E1717" s="8"/>
      <c r="F1717" s="8"/>
      <c r="G1717" s="8"/>
      <c r="H1717" s="8"/>
      <c r="I1717" s="8"/>
      <c r="J1717" s="8"/>
      <c r="K1717" s="8"/>
      <c r="L1717" s="8"/>
      <c r="M1717" s="8"/>
      <c r="N1717" s="8"/>
      <c r="O1717" s="8"/>
      <c r="P1717" s="8"/>
      <c r="Q1717" s="8"/>
      <c r="R1717" s="8"/>
      <c r="S1717" s="8"/>
      <c r="T1717" s="8"/>
      <c r="U1717" s="8"/>
      <c r="V1717" s="8"/>
      <c r="W1717" s="8"/>
    </row>
    <row r="1718" spans="1:23" ht="15.75" customHeight="1" x14ac:dyDescent="0.25">
      <c r="A1718" s="6" t="s">
        <v>149</v>
      </c>
      <c r="B1718" s="8"/>
      <c r="C1718" s="8"/>
      <c r="D1718" s="8"/>
      <c r="E1718" s="8"/>
      <c r="F1718" s="8"/>
      <c r="G1718" s="8"/>
      <c r="H1718" s="8"/>
      <c r="I1718" s="8"/>
      <c r="J1718" s="8"/>
      <c r="K1718" s="8"/>
      <c r="L1718" s="8"/>
      <c r="M1718" s="8"/>
      <c r="N1718" s="8"/>
      <c r="O1718" s="8"/>
      <c r="P1718" s="8"/>
      <c r="Q1718" s="8"/>
      <c r="R1718" s="8"/>
      <c r="S1718" s="8"/>
      <c r="T1718" s="8"/>
      <c r="U1718" s="8"/>
      <c r="V1718" s="8"/>
      <c r="W1718" s="8"/>
    </row>
    <row r="1719" spans="1:23" ht="15.75" customHeight="1" x14ac:dyDescent="0.25">
      <c r="A1719" s="6" t="s">
        <v>149</v>
      </c>
      <c r="B1719" s="8"/>
      <c r="C1719" s="8"/>
      <c r="D1719" s="8"/>
      <c r="E1719" s="8"/>
      <c r="F1719" s="8"/>
      <c r="G1719" s="8"/>
      <c r="H1719" s="8"/>
      <c r="I1719" s="8"/>
      <c r="J1719" s="8"/>
      <c r="K1719" s="8"/>
      <c r="L1719" s="8"/>
      <c r="M1719" s="8"/>
      <c r="N1719" s="8"/>
      <c r="O1719" s="8"/>
      <c r="P1719" s="8"/>
      <c r="Q1719" s="8"/>
      <c r="R1719" s="8"/>
      <c r="S1719" s="8"/>
      <c r="T1719" s="8"/>
      <c r="U1719" s="8"/>
      <c r="V1719" s="8"/>
      <c r="W1719" s="8"/>
    </row>
    <row r="1720" spans="1:23" ht="15.75" customHeight="1" x14ac:dyDescent="0.25">
      <c r="A1720" s="6" t="s">
        <v>149</v>
      </c>
      <c r="B1720" s="8"/>
      <c r="C1720" s="8"/>
      <c r="D1720" s="8"/>
      <c r="E1720" s="8"/>
      <c r="F1720" s="8"/>
      <c r="G1720" s="8"/>
      <c r="H1720" s="8"/>
      <c r="I1720" s="8"/>
      <c r="J1720" s="8"/>
      <c r="K1720" s="8"/>
      <c r="L1720" s="8"/>
      <c r="M1720" s="8"/>
      <c r="N1720" s="8"/>
      <c r="O1720" s="8"/>
      <c r="P1720" s="8"/>
      <c r="Q1720" s="8"/>
      <c r="R1720" s="8"/>
      <c r="S1720" s="8"/>
      <c r="T1720" s="8"/>
      <c r="U1720" s="8"/>
      <c r="V1720" s="8"/>
      <c r="W1720" s="8"/>
    </row>
    <row r="1721" spans="1:23" ht="15.75" customHeight="1" x14ac:dyDescent="0.25">
      <c r="A1721" s="6" t="s">
        <v>149</v>
      </c>
      <c r="B1721" s="8"/>
      <c r="C1721" s="8"/>
      <c r="D1721" s="8"/>
      <c r="E1721" s="8"/>
      <c r="F1721" s="8"/>
      <c r="G1721" s="8"/>
      <c r="H1721" s="8"/>
      <c r="I1721" s="8"/>
      <c r="J1721" s="8"/>
      <c r="K1721" s="8"/>
      <c r="L1721" s="8"/>
      <c r="M1721" s="8"/>
      <c r="N1721" s="8"/>
      <c r="O1721" s="8"/>
      <c r="P1721" s="8"/>
      <c r="Q1721" s="8"/>
      <c r="R1721" s="8"/>
      <c r="S1721" s="8"/>
      <c r="T1721" s="8"/>
      <c r="U1721" s="8"/>
      <c r="V1721" s="8"/>
      <c r="W1721" s="8"/>
    </row>
    <row r="1722" spans="1:23" ht="15.75" customHeight="1" x14ac:dyDescent="0.25">
      <c r="A1722" s="6" t="s">
        <v>149</v>
      </c>
      <c r="B1722" s="8"/>
      <c r="C1722" s="8"/>
      <c r="D1722" s="8"/>
      <c r="E1722" s="8"/>
      <c r="F1722" s="8"/>
      <c r="G1722" s="8"/>
      <c r="H1722" s="8"/>
      <c r="I1722" s="8"/>
      <c r="J1722" s="8"/>
      <c r="K1722" s="8"/>
      <c r="L1722" s="8"/>
      <c r="M1722" s="8"/>
      <c r="N1722" s="8"/>
      <c r="O1722" s="8"/>
      <c r="P1722" s="8"/>
      <c r="Q1722" s="8"/>
      <c r="R1722" s="8"/>
      <c r="S1722" s="8"/>
      <c r="T1722" s="8"/>
      <c r="U1722" s="8"/>
      <c r="V1722" s="8"/>
      <c r="W1722" s="8"/>
    </row>
    <row r="1723" spans="1:23" ht="15.75" customHeight="1" x14ac:dyDescent="0.25">
      <c r="A1723" s="6" t="s">
        <v>149</v>
      </c>
      <c r="B1723" s="8"/>
      <c r="C1723" s="8"/>
      <c r="D1723" s="8"/>
      <c r="E1723" s="8"/>
      <c r="F1723" s="8"/>
      <c r="G1723" s="8"/>
      <c r="H1723" s="8"/>
      <c r="I1723" s="8"/>
      <c r="J1723" s="8"/>
      <c r="K1723" s="8"/>
      <c r="L1723" s="8"/>
      <c r="M1723" s="8"/>
      <c r="N1723" s="8"/>
      <c r="O1723" s="8"/>
      <c r="P1723" s="8"/>
      <c r="Q1723" s="8"/>
      <c r="R1723" s="8"/>
      <c r="S1723" s="8"/>
      <c r="T1723" s="8"/>
      <c r="U1723" s="8"/>
      <c r="V1723" s="8"/>
      <c r="W1723" s="8"/>
    </row>
    <row r="1724" spans="1:23" ht="15.75" customHeight="1" x14ac:dyDescent="0.25">
      <c r="A1724" s="6" t="s">
        <v>149</v>
      </c>
      <c r="B1724" s="8"/>
      <c r="C1724" s="8"/>
      <c r="D1724" s="8"/>
      <c r="E1724" s="8"/>
      <c r="F1724" s="8"/>
      <c r="G1724" s="8"/>
      <c r="H1724" s="8"/>
      <c r="I1724" s="8"/>
      <c r="J1724" s="8"/>
      <c r="K1724" s="8"/>
      <c r="L1724" s="8"/>
      <c r="M1724" s="8"/>
      <c r="N1724" s="8"/>
      <c r="O1724" s="8"/>
      <c r="P1724" s="8"/>
      <c r="Q1724" s="8"/>
      <c r="R1724" s="8"/>
      <c r="S1724" s="8"/>
      <c r="T1724" s="8"/>
      <c r="U1724" s="8"/>
      <c r="V1724" s="8"/>
      <c r="W1724" s="8"/>
    </row>
    <row r="1725" spans="1:23" ht="15.75" customHeight="1" x14ac:dyDescent="0.25">
      <c r="A1725" s="6" t="s">
        <v>149</v>
      </c>
      <c r="B1725" s="8"/>
      <c r="C1725" s="8"/>
      <c r="D1725" s="8"/>
      <c r="E1725" s="8"/>
      <c r="F1725" s="8"/>
      <c r="G1725" s="8"/>
      <c r="H1725" s="8"/>
      <c r="I1725" s="8"/>
      <c r="J1725" s="8"/>
      <c r="K1725" s="8"/>
      <c r="L1725" s="8"/>
      <c r="M1725" s="8"/>
      <c r="N1725" s="8"/>
      <c r="O1725" s="8"/>
      <c r="P1725" s="8"/>
      <c r="Q1725" s="8"/>
      <c r="R1725" s="8"/>
      <c r="S1725" s="8"/>
      <c r="T1725" s="8"/>
      <c r="U1725" s="8"/>
      <c r="V1725" s="8"/>
      <c r="W1725" s="8"/>
    </row>
    <row r="1726" spans="1:23" ht="15.75" customHeight="1" x14ac:dyDescent="0.25">
      <c r="A1726" s="6" t="s">
        <v>149</v>
      </c>
      <c r="B1726" s="8"/>
      <c r="C1726" s="8"/>
      <c r="D1726" s="8"/>
      <c r="E1726" s="8"/>
      <c r="F1726" s="8"/>
      <c r="G1726" s="8"/>
      <c r="H1726" s="8"/>
      <c r="I1726" s="8"/>
      <c r="J1726" s="8"/>
      <c r="K1726" s="8"/>
      <c r="L1726" s="8"/>
      <c r="M1726" s="8"/>
      <c r="N1726" s="8"/>
      <c r="O1726" s="8"/>
      <c r="P1726" s="8"/>
      <c r="Q1726" s="8"/>
      <c r="R1726" s="8"/>
      <c r="S1726" s="8"/>
      <c r="T1726" s="8"/>
      <c r="U1726" s="8"/>
      <c r="V1726" s="8"/>
      <c r="W1726" s="8"/>
    </row>
    <row r="1727" spans="1:23" ht="15.75" customHeight="1" x14ac:dyDescent="0.25">
      <c r="A1727" s="6" t="s">
        <v>149</v>
      </c>
      <c r="B1727" s="8"/>
      <c r="C1727" s="8"/>
      <c r="D1727" s="8"/>
      <c r="E1727" s="8"/>
      <c r="F1727" s="8"/>
      <c r="G1727" s="8"/>
      <c r="H1727" s="8"/>
      <c r="I1727" s="8"/>
      <c r="J1727" s="8"/>
      <c r="K1727" s="8"/>
      <c r="L1727" s="8"/>
      <c r="M1727" s="8"/>
      <c r="N1727" s="8"/>
      <c r="O1727" s="8"/>
      <c r="P1727" s="8"/>
      <c r="Q1727" s="8"/>
      <c r="R1727" s="8"/>
      <c r="S1727" s="8"/>
      <c r="T1727" s="8"/>
      <c r="U1727" s="8"/>
      <c r="V1727" s="8"/>
      <c r="W1727" s="8"/>
    </row>
    <row r="1728" spans="1:23" ht="15.75" customHeight="1" x14ac:dyDescent="0.25">
      <c r="A1728" s="6" t="s">
        <v>149</v>
      </c>
      <c r="B1728" s="8"/>
      <c r="C1728" s="8"/>
      <c r="D1728" s="8"/>
      <c r="E1728" s="8"/>
      <c r="F1728" s="8"/>
      <c r="G1728" s="8"/>
      <c r="H1728" s="8"/>
      <c r="I1728" s="8"/>
      <c r="J1728" s="8"/>
      <c r="K1728" s="8"/>
      <c r="L1728" s="8"/>
      <c r="M1728" s="8"/>
      <c r="N1728" s="8"/>
      <c r="O1728" s="8"/>
      <c r="P1728" s="8"/>
      <c r="Q1728" s="8"/>
      <c r="R1728" s="8"/>
      <c r="S1728" s="8"/>
      <c r="T1728" s="8"/>
      <c r="U1728" s="8"/>
      <c r="V1728" s="8"/>
      <c r="W1728" s="8"/>
    </row>
    <row r="1729" spans="1:23" ht="15.75" customHeight="1" x14ac:dyDescent="0.25">
      <c r="A1729" s="6" t="s">
        <v>149</v>
      </c>
      <c r="B1729" s="8"/>
      <c r="C1729" s="8"/>
      <c r="D1729" s="8"/>
      <c r="E1729" s="8"/>
      <c r="F1729" s="8"/>
      <c r="G1729" s="8"/>
      <c r="H1729" s="8"/>
      <c r="I1729" s="8"/>
      <c r="J1729" s="8"/>
      <c r="K1729" s="8"/>
      <c r="L1729" s="8"/>
      <c r="M1729" s="8"/>
      <c r="N1729" s="8"/>
      <c r="O1729" s="8"/>
      <c r="P1729" s="8"/>
      <c r="Q1729" s="8"/>
      <c r="R1729" s="8"/>
      <c r="S1729" s="8"/>
      <c r="T1729" s="8"/>
      <c r="U1729" s="8"/>
      <c r="V1729" s="8"/>
      <c r="W1729" s="8"/>
    </row>
    <row r="1730" spans="1:23" ht="15.75" customHeight="1" x14ac:dyDescent="0.25">
      <c r="A1730" s="6" t="s">
        <v>149</v>
      </c>
      <c r="B1730" s="8"/>
      <c r="C1730" s="8"/>
      <c r="D1730" s="8"/>
      <c r="E1730" s="8"/>
      <c r="F1730" s="8"/>
      <c r="G1730" s="8"/>
      <c r="H1730" s="8"/>
      <c r="I1730" s="8"/>
      <c r="J1730" s="8"/>
      <c r="K1730" s="8"/>
      <c r="L1730" s="8"/>
      <c r="M1730" s="8"/>
      <c r="N1730" s="8"/>
      <c r="O1730" s="8"/>
      <c r="P1730" s="8"/>
      <c r="Q1730" s="8"/>
      <c r="R1730" s="8"/>
      <c r="S1730" s="8"/>
      <c r="T1730" s="8"/>
      <c r="U1730" s="8"/>
      <c r="V1730" s="8"/>
      <c r="W1730" s="8"/>
    </row>
    <row r="1731" spans="1:23" ht="15.75" customHeight="1" x14ac:dyDescent="0.25">
      <c r="A1731" s="6" t="s">
        <v>149</v>
      </c>
      <c r="B1731" s="8"/>
      <c r="C1731" s="8"/>
      <c r="D1731" s="8"/>
      <c r="E1731" s="8"/>
      <c r="F1731" s="8"/>
      <c r="G1731" s="8"/>
      <c r="H1731" s="8"/>
      <c r="I1731" s="8"/>
      <c r="J1731" s="8"/>
      <c r="K1731" s="8"/>
      <c r="L1731" s="8"/>
      <c r="M1731" s="8"/>
      <c r="N1731" s="8"/>
      <c r="O1731" s="8"/>
      <c r="P1731" s="8"/>
      <c r="Q1731" s="8"/>
      <c r="R1731" s="8"/>
      <c r="S1731" s="8"/>
      <c r="T1731" s="8"/>
      <c r="U1731" s="8"/>
      <c r="V1731" s="8"/>
      <c r="W1731" s="8"/>
    </row>
    <row r="1732" spans="1:23" ht="15.75" customHeight="1" x14ac:dyDescent="0.25">
      <c r="A1732" s="6" t="s">
        <v>149</v>
      </c>
      <c r="B1732" s="8"/>
      <c r="C1732" s="8"/>
      <c r="D1732" s="8"/>
      <c r="E1732" s="8"/>
      <c r="F1732" s="8"/>
      <c r="G1732" s="8"/>
      <c r="H1732" s="8"/>
      <c r="I1732" s="8"/>
      <c r="J1732" s="8"/>
      <c r="K1732" s="8"/>
      <c r="L1732" s="8"/>
      <c r="M1732" s="8"/>
      <c r="N1732" s="8"/>
      <c r="O1732" s="8"/>
      <c r="P1732" s="8"/>
      <c r="Q1732" s="8"/>
      <c r="R1732" s="8"/>
      <c r="S1732" s="8"/>
      <c r="T1732" s="8"/>
      <c r="U1732" s="8"/>
      <c r="V1732" s="8"/>
      <c r="W1732" s="8"/>
    </row>
    <row r="1733" spans="1:23" ht="15.75" customHeight="1" x14ac:dyDescent="0.25">
      <c r="A1733" s="6" t="s">
        <v>149</v>
      </c>
      <c r="B1733" s="8"/>
      <c r="C1733" s="8"/>
      <c r="D1733" s="8"/>
      <c r="E1733" s="8"/>
      <c r="F1733" s="8"/>
      <c r="G1733" s="8"/>
      <c r="H1733" s="8"/>
      <c r="I1733" s="8"/>
      <c r="J1733" s="8"/>
      <c r="K1733" s="8"/>
      <c r="L1733" s="8"/>
      <c r="M1733" s="8"/>
      <c r="N1733" s="8"/>
      <c r="O1733" s="8"/>
      <c r="P1733" s="8"/>
      <c r="Q1733" s="8"/>
      <c r="R1733" s="8"/>
      <c r="S1733" s="8"/>
      <c r="T1733" s="8"/>
      <c r="U1733" s="8"/>
      <c r="V1733" s="8"/>
      <c r="W1733" s="8"/>
    </row>
    <row r="1734" spans="1:23" ht="15.75" customHeight="1" x14ac:dyDescent="0.25">
      <c r="A1734" s="6" t="s">
        <v>149</v>
      </c>
      <c r="B1734" s="8"/>
      <c r="C1734" s="8"/>
      <c r="D1734" s="8"/>
      <c r="E1734" s="8"/>
      <c r="F1734" s="8"/>
      <c r="G1734" s="8"/>
      <c r="H1734" s="8"/>
      <c r="I1734" s="8"/>
      <c r="J1734" s="8"/>
      <c r="K1734" s="8"/>
      <c r="L1734" s="8"/>
      <c r="M1734" s="8"/>
      <c r="N1734" s="8"/>
      <c r="O1734" s="8"/>
      <c r="P1734" s="8"/>
      <c r="Q1734" s="8"/>
      <c r="R1734" s="8"/>
      <c r="S1734" s="8"/>
      <c r="T1734" s="8"/>
      <c r="U1734" s="8"/>
      <c r="V1734" s="8"/>
      <c r="W1734" s="8"/>
    </row>
    <row r="1735" spans="1:23" ht="15.75" customHeight="1" x14ac:dyDescent="0.25">
      <c r="A1735" s="6" t="s">
        <v>149</v>
      </c>
      <c r="B1735" s="8"/>
      <c r="C1735" s="8"/>
      <c r="D1735" s="8"/>
      <c r="E1735" s="8"/>
      <c r="F1735" s="8"/>
      <c r="G1735" s="8"/>
      <c r="H1735" s="8"/>
      <c r="I1735" s="8"/>
      <c r="J1735" s="8"/>
      <c r="K1735" s="8"/>
      <c r="L1735" s="8"/>
      <c r="M1735" s="8"/>
      <c r="N1735" s="8"/>
      <c r="O1735" s="8"/>
      <c r="P1735" s="8"/>
      <c r="Q1735" s="8"/>
      <c r="R1735" s="8"/>
      <c r="S1735" s="8"/>
      <c r="T1735" s="8"/>
      <c r="U1735" s="8"/>
      <c r="V1735" s="8"/>
      <c r="W1735" s="8"/>
    </row>
    <row r="1736" spans="1:23" ht="15.75" customHeight="1" x14ac:dyDescent="0.25">
      <c r="A1736" s="6" t="s">
        <v>149</v>
      </c>
      <c r="B1736" s="8"/>
      <c r="C1736" s="8"/>
      <c r="D1736" s="8"/>
      <c r="E1736" s="8"/>
      <c r="F1736" s="8"/>
      <c r="G1736" s="8"/>
      <c r="H1736" s="8"/>
      <c r="I1736" s="8"/>
      <c r="J1736" s="8"/>
      <c r="K1736" s="8"/>
      <c r="L1736" s="8"/>
      <c r="M1736" s="8"/>
      <c r="N1736" s="8"/>
      <c r="O1736" s="8"/>
      <c r="P1736" s="8"/>
      <c r="Q1736" s="8"/>
      <c r="R1736" s="8"/>
      <c r="S1736" s="8"/>
      <c r="T1736" s="8"/>
      <c r="U1736" s="8"/>
      <c r="V1736" s="8"/>
      <c r="W1736" s="8"/>
    </row>
    <row r="1737" spans="1:23" ht="15.75" customHeight="1" x14ac:dyDescent="0.25">
      <c r="A1737" s="6" t="s">
        <v>149</v>
      </c>
      <c r="B1737" s="8"/>
      <c r="C1737" s="8"/>
      <c r="D1737" s="8"/>
      <c r="E1737" s="8"/>
      <c r="F1737" s="8"/>
      <c r="G1737" s="8"/>
      <c r="H1737" s="8"/>
      <c r="I1737" s="8"/>
      <c r="J1737" s="8"/>
      <c r="K1737" s="8"/>
      <c r="L1737" s="8"/>
      <c r="M1737" s="8"/>
      <c r="N1737" s="8"/>
      <c r="O1737" s="8"/>
      <c r="P1737" s="8"/>
      <c r="Q1737" s="8"/>
      <c r="R1737" s="8"/>
      <c r="S1737" s="8"/>
      <c r="T1737" s="8"/>
      <c r="U1737" s="8"/>
      <c r="V1737" s="8"/>
      <c r="W1737" s="8"/>
    </row>
    <row r="1738" spans="1:23" ht="15.75" customHeight="1" x14ac:dyDescent="0.25">
      <c r="A1738" s="6" t="s">
        <v>149</v>
      </c>
      <c r="B1738" s="8"/>
      <c r="C1738" s="8"/>
      <c r="D1738" s="8"/>
      <c r="E1738" s="8"/>
      <c r="F1738" s="8"/>
      <c r="G1738" s="8"/>
      <c r="H1738" s="8"/>
      <c r="I1738" s="8"/>
      <c r="J1738" s="8"/>
      <c r="K1738" s="8"/>
      <c r="L1738" s="8"/>
      <c r="M1738" s="8"/>
      <c r="N1738" s="8"/>
      <c r="O1738" s="8"/>
      <c r="P1738" s="8"/>
      <c r="Q1738" s="8"/>
      <c r="R1738" s="8"/>
      <c r="S1738" s="8"/>
      <c r="T1738" s="8"/>
      <c r="U1738" s="8"/>
      <c r="V1738" s="8"/>
      <c r="W1738" s="8"/>
    </row>
    <row r="1739" spans="1:23" ht="15.75" customHeight="1" x14ac:dyDescent="0.25">
      <c r="A1739" s="6" t="s">
        <v>149</v>
      </c>
      <c r="B1739" s="8"/>
      <c r="C1739" s="8"/>
      <c r="D1739" s="8"/>
      <c r="E1739" s="8"/>
      <c r="F1739" s="8"/>
      <c r="G1739" s="8"/>
      <c r="H1739" s="8"/>
      <c r="I1739" s="8"/>
      <c r="J1739" s="8"/>
      <c r="K1739" s="8"/>
      <c r="L1739" s="8"/>
      <c r="M1739" s="8"/>
      <c r="N1739" s="8"/>
      <c r="O1739" s="8"/>
      <c r="P1739" s="8"/>
      <c r="Q1739" s="8"/>
      <c r="R1739" s="8"/>
      <c r="S1739" s="8"/>
      <c r="T1739" s="8"/>
      <c r="U1739" s="8"/>
      <c r="V1739" s="8"/>
      <c r="W1739" s="8"/>
    </row>
    <row r="1740" spans="1:23" ht="15.75" customHeight="1" x14ac:dyDescent="0.25">
      <c r="A1740" s="6" t="s">
        <v>149</v>
      </c>
      <c r="B1740" s="8"/>
      <c r="C1740" s="8"/>
      <c r="D1740" s="8"/>
      <c r="E1740" s="8"/>
      <c r="F1740" s="8"/>
      <c r="G1740" s="8"/>
      <c r="H1740" s="8"/>
      <c r="I1740" s="8"/>
      <c r="J1740" s="8"/>
      <c r="K1740" s="8"/>
      <c r="L1740" s="8"/>
      <c r="M1740" s="8"/>
      <c r="N1740" s="8"/>
      <c r="O1740" s="8"/>
      <c r="P1740" s="8"/>
      <c r="Q1740" s="8"/>
      <c r="R1740" s="8"/>
      <c r="S1740" s="8"/>
      <c r="T1740" s="8"/>
      <c r="U1740" s="8"/>
      <c r="V1740" s="8"/>
      <c r="W1740" s="8"/>
    </row>
    <row r="1741" spans="1:23" ht="15.75" customHeight="1" x14ac:dyDescent="0.25">
      <c r="A1741" s="6" t="s">
        <v>149</v>
      </c>
      <c r="B1741" s="8"/>
      <c r="C1741" s="8"/>
      <c r="D1741" s="8"/>
      <c r="E1741" s="8"/>
      <c r="F1741" s="8"/>
      <c r="G1741" s="8"/>
      <c r="H1741" s="8"/>
      <c r="I1741" s="8"/>
      <c r="J1741" s="8"/>
      <c r="K1741" s="8"/>
      <c r="L1741" s="8"/>
      <c r="M1741" s="8"/>
      <c r="N1741" s="8"/>
      <c r="O1741" s="8"/>
      <c r="P1741" s="8"/>
      <c r="Q1741" s="8"/>
      <c r="R1741" s="8"/>
      <c r="S1741" s="8"/>
      <c r="T1741" s="8"/>
      <c r="U1741" s="8"/>
      <c r="V1741" s="8"/>
      <c r="W1741" s="8"/>
    </row>
    <row r="1742" spans="1:23" ht="15.75" customHeight="1" x14ac:dyDescent="0.25">
      <c r="A1742" s="6" t="s">
        <v>149</v>
      </c>
      <c r="B1742" s="8"/>
      <c r="C1742" s="8"/>
      <c r="D1742" s="8"/>
      <c r="E1742" s="8"/>
      <c r="F1742" s="8"/>
      <c r="G1742" s="8"/>
      <c r="H1742" s="8"/>
      <c r="I1742" s="8"/>
      <c r="J1742" s="8"/>
      <c r="K1742" s="8"/>
      <c r="L1742" s="8"/>
      <c r="M1742" s="8"/>
      <c r="N1742" s="8"/>
      <c r="O1742" s="8"/>
      <c r="P1742" s="8"/>
      <c r="Q1742" s="8"/>
      <c r="R1742" s="8"/>
      <c r="S1742" s="8"/>
      <c r="T1742" s="8"/>
      <c r="U1742" s="8"/>
      <c r="V1742" s="8"/>
      <c r="W1742" s="8"/>
    </row>
    <row r="1743" spans="1:23" ht="15.75" customHeight="1" x14ac:dyDescent="0.25">
      <c r="A1743" s="6" t="s">
        <v>149</v>
      </c>
      <c r="B1743" s="8"/>
      <c r="C1743" s="8"/>
      <c r="D1743" s="8"/>
      <c r="E1743" s="8"/>
      <c r="F1743" s="8"/>
      <c r="G1743" s="8"/>
      <c r="H1743" s="8"/>
      <c r="I1743" s="8"/>
      <c r="J1743" s="8"/>
      <c r="K1743" s="8"/>
      <c r="L1743" s="8"/>
      <c r="M1743" s="8"/>
      <c r="N1743" s="8"/>
      <c r="O1743" s="8"/>
      <c r="P1743" s="8"/>
      <c r="Q1743" s="8"/>
      <c r="R1743" s="8"/>
      <c r="S1743" s="8"/>
      <c r="T1743" s="8"/>
      <c r="U1743" s="8"/>
      <c r="V1743" s="8"/>
      <c r="W1743" s="8"/>
    </row>
    <row r="1744" spans="1:23" ht="15.75" customHeight="1" x14ac:dyDescent="0.25">
      <c r="A1744" s="6" t="s">
        <v>149</v>
      </c>
      <c r="B1744" s="8"/>
      <c r="C1744" s="8"/>
      <c r="D1744" s="8"/>
      <c r="E1744" s="8"/>
      <c r="F1744" s="8"/>
      <c r="G1744" s="8"/>
      <c r="H1744" s="8"/>
      <c r="I1744" s="8"/>
      <c r="J1744" s="8"/>
      <c r="K1744" s="8"/>
      <c r="L1744" s="8"/>
      <c r="M1744" s="8"/>
      <c r="N1744" s="8"/>
      <c r="O1744" s="8"/>
      <c r="P1744" s="8"/>
      <c r="Q1744" s="8"/>
      <c r="R1744" s="8"/>
      <c r="S1744" s="8"/>
      <c r="T1744" s="8"/>
      <c r="U1744" s="8"/>
      <c r="V1744" s="8"/>
      <c r="W1744" s="8"/>
    </row>
    <row r="1745" spans="1:23" ht="15.75" customHeight="1" x14ac:dyDescent="0.25">
      <c r="A1745" s="6" t="s">
        <v>149</v>
      </c>
      <c r="B1745" s="8"/>
      <c r="C1745" s="8"/>
      <c r="D1745" s="8"/>
      <c r="E1745" s="8"/>
      <c r="F1745" s="8"/>
      <c r="G1745" s="8"/>
      <c r="H1745" s="8"/>
      <c r="I1745" s="8"/>
      <c r="J1745" s="8"/>
      <c r="K1745" s="8"/>
      <c r="L1745" s="8"/>
      <c r="M1745" s="8"/>
      <c r="N1745" s="8"/>
      <c r="O1745" s="8"/>
      <c r="P1745" s="8"/>
      <c r="Q1745" s="8"/>
      <c r="R1745" s="8"/>
      <c r="S1745" s="8"/>
      <c r="T1745" s="8"/>
      <c r="U1745" s="8"/>
      <c r="V1745" s="8"/>
      <c r="W1745" s="8"/>
    </row>
    <row r="1746" spans="1:23" ht="15.75" customHeight="1" x14ac:dyDescent="0.25">
      <c r="A1746" s="6" t="s">
        <v>149</v>
      </c>
      <c r="B1746" s="8"/>
      <c r="C1746" s="8"/>
      <c r="D1746" s="8"/>
      <c r="E1746" s="8"/>
      <c r="F1746" s="8"/>
      <c r="G1746" s="8"/>
      <c r="H1746" s="8"/>
      <c r="I1746" s="8"/>
      <c r="J1746" s="8"/>
      <c r="K1746" s="8"/>
      <c r="L1746" s="8"/>
      <c r="M1746" s="8"/>
      <c r="N1746" s="8"/>
      <c r="O1746" s="8"/>
      <c r="P1746" s="8"/>
      <c r="Q1746" s="8"/>
      <c r="R1746" s="8"/>
      <c r="S1746" s="8"/>
      <c r="T1746" s="8"/>
      <c r="U1746" s="8"/>
      <c r="V1746" s="8"/>
      <c r="W1746" s="8"/>
    </row>
    <row r="1747" spans="1:23" ht="15.75" customHeight="1" x14ac:dyDescent="0.25">
      <c r="A1747" s="6" t="s">
        <v>149</v>
      </c>
      <c r="B1747" s="8"/>
      <c r="C1747" s="8"/>
      <c r="D1747" s="8"/>
      <c r="E1747" s="8"/>
      <c r="F1747" s="8"/>
      <c r="G1747" s="8"/>
      <c r="H1747" s="8"/>
      <c r="I1747" s="8"/>
      <c r="J1747" s="8"/>
      <c r="K1747" s="8"/>
      <c r="L1747" s="8"/>
      <c r="M1747" s="8"/>
      <c r="N1747" s="8"/>
      <c r="O1747" s="8"/>
      <c r="P1747" s="8"/>
      <c r="Q1747" s="8"/>
      <c r="R1747" s="8"/>
      <c r="S1747" s="8"/>
      <c r="T1747" s="8"/>
      <c r="U1747" s="8"/>
      <c r="V1747" s="8"/>
      <c r="W1747" s="8"/>
    </row>
    <row r="1748" spans="1:23" ht="15.75" customHeight="1" x14ac:dyDescent="0.25">
      <c r="A1748" s="6" t="s">
        <v>149</v>
      </c>
      <c r="B1748" s="8"/>
      <c r="C1748" s="8"/>
      <c r="D1748" s="8"/>
      <c r="E1748" s="8"/>
      <c r="F1748" s="8"/>
      <c r="G1748" s="8"/>
      <c r="H1748" s="8"/>
      <c r="I1748" s="8"/>
      <c r="J1748" s="8"/>
      <c r="K1748" s="8"/>
      <c r="L1748" s="8"/>
      <c r="M1748" s="8"/>
      <c r="N1748" s="8"/>
      <c r="O1748" s="8"/>
      <c r="P1748" s="8"/>
      <c r="Q1748" s="8"/>
      <c r="R1748" s="8"/>
      <c r="S1748" s="8"/>
      <c r="T1748" s="8"/>
      <c r="U1748" s="8"/>
      <c r="V1748" s="8"/>
      <c r="W1748" s="8"/>
    </row>
    <row r="1749" spans="1:23" ht="15.75" customHeight="1" x14ac:dyDescent="0.25">
      <c r="A1749" s="6" t="s">
        <v>149</v>
      </c>
      <c r="B1749" s="8"/>
      <c r="C1749" s="8"/>
      <c r="D1749" s="8"/>
      <c r="E1749" s="8"/>
      <c r="F1749" s="8"/>
      <c r="G1749" s="8"/>
      <c r="H1749" s="8"/>
      <c r="I1749" s="8"/>
      <c r="J1749" s="8"/>
      <c r="K1749" s="8"/>
      <c r="L1749" s="8"/>
      <c r="M1749" s="8"/>
      <c r="N1749" s="8"/>
      <c r="O1749" s="8"/>
      <c r="P1749" s="8"/>
      <c r="Q1749" s="8"/>
      <c r="R1749" s="8"/>
      <c r="S1749" s="8"/>
      <c r="T1749" s="8"/>
      <c r="U1749" s="8"/>
      <c r="V1749" s="8"/>
      <c r="W1749" s="8"/>
    </row>
    <row r="1750" spans="1:23" ht="15.75" customHeight="1" x14ac:dyDescent="0.25">
      <c r="A1750" s="6" t="s">
        <v>149</v>
      </c>
      <c r="B1750" s="8"/>
      <c r="C1750" s="8"/>
      <c r="D1750" s="8"/>
      <c r="E1750" s="8"/>
      <c r="F1750" s="8"/>
      <c r="G1750" s="8"/>
      <c r="H1750" s="8"/>
      <c r="I1750" s="8"/>
      <c r="J1750" s="8"/>
      <c r="K1750" s="8"/>
      <c r="L1750" s="8"/>
      <c r="M1750" s="8"/>
      <c r="N1750" s="8"/>
      <c r="O1750" s="8"/>
      <c r="P1750" s="8"/>
      <c r="Q1750" s="8"/>
      <c r="R1750" s="8"/>
      <c r="S1750" s="8"/>
      <c r="T1750" s="8"/>
      <c r="U1750" s="8"/>
      <c r="V1750" s="8"/>
      <c r="W1750" s="8"/>
    </row>
    <row r="1751" spans="1:23" ht="15.75" customHeight="1" x14ac:dyDescent="0.25">
      <c r="A1751" s="6" t="s">
        <v>149</v>
      </c>
      <c r="B1751" s="8"/>
      <c r="C1751" s="8"/>
      <c r="D1751" s="8"/>
      <c r="E1751" s="8"/>
      <c r="F1751" s="8"/>
      <c r="G1751" s="8"/>
      <c r="H1751" s="8"/>
      <c r="I1751" s="8"/>
      <c r="J1751" s="8"/>
      <c r="K1751" s="8"/>
      <c r="L1751" s="8"/>
      <c r="M1751" s="8"/>
      <c r="N1751" s="8"/>
      <c r="O1751" s="8"/>
      <c r="P1751" s="8"/>
      <c r="Q1751" s="8"/>
      <c r="R1751" s="8"/>
      <c r="S1751" s="8"/>
      <c r="T1751" s="8"/>
      <c r="U1751" s="8"/>
      <c r="V1751" s="8"/>
      <c r="W1751" s="8"/>
    </row>
    <row r="1752" spans="1:23" ht="15.75" customHeight="1" x14ac:dyDescent="0.25">
      <c r="A1752" s="6" t="s">
        <v>149</v>
      </c>
      <c r="B1752" s="8"/>
      <c r="C1752" s="8"/>
      <c r="D1752" s="8"/>
      <c r="E1752" s="8"/>
      <c r="F1752" s="8"/>
      <c r="G1752" s="8"/>
      <c r="H1752" s="8"/>
      <c r="I1752" s="8"/>
      <c r="J1752" s="8"/>
      <c r="K1752" s="8"/>
      <c r="L1752" s="8"/>
      <c r="M1752" s="8"/>
      <c r="N1752" s="8"/>
      <c r="O1752" s="8"/>
      <c r="P1752" s="8"/>
      <c r="Q1752" s="8"/>
      <c r="R1752" s="8"/>
      <c r="S1752" s="8"/>
      <c r="T1752" s="8"/>
      <c r="U1752" s="8"/>
      <c r="V1752" s="8"/>
      <c r="W1752" s="8"/>
    </row>
    <row r="1753" spans="1:23" ht="15.75" customHeight="1" x14ac:dyDescent="0.25">
      <c r="A1753" s="6" t="s">
        <v>149</v>
      </c>
      <c r="B1753" s="8"/>
      <c r="C1753" s="8"/>
      <c r="D1753" s="8"/>
      <c r="E1753" s="8"/>
      <c r="F1753" s="8"/>
      <c r="G1753" s="8"/>
      <c r="H1753" s="8"/>
      <c r="I1753" s="8"/>
      <c r="J1753" s="8"/>
      <c r="K1753" s="8"/>
      <c r="L1753" s="8"/>
      <c r="M1753" s="8"/>
      <c r="N1753" s="8"/>
      <c r="O1753" s="8"/>
      <c r="P1753" s="8"/>
      <c r="Q1753" s="8"/>
      <c r="R1753" s="8"/>
      <c r="S1753" s="8"/>
      <c r="T1753" s="8"/>
      <c r="U1753" s="8"/>
      <c r="V1753" s="8"/>
      <c r="W1753" s="8"/>
    </row>
    <row r="1754" spans="1:23" ht="15.75" customHeight="1" x14ac:dyDescent="0.25">
      <c r="A1754" s="6" t="s">
        <v>149</v>
      </c>
      <c r="B1754" s="8"/>
      <c r="C1754" s="8"/>
      <c r="D1754" s="8"/>
      <c r="E1754" s="8"/>
      <c r="F1754" s="8"/>
      <c r="G1754" s="8"/>
      <c r="H1754" s="8"/>
      <c r="I1754" s="8"/>
      <c r="J1754" s="8"/>
      <c r="K1754" s="8"/>
      <c r="L1754" s="8"/>
      <c r="M1754" s="8"/>
      <c r="N1754" s="8"/>
      <c r="O1754" s="8"/>
      <c r="P1754" s="8"/>
      <c r="Q1754" s="8"/>
      <c r="R1754" s="8"/>
      <c r="S1754" s="8"/>
      <c r="T1754" s="8"/>
      <c r="U1754" s="8"/>
      <c r="V1754" s="8"/>
      <c r="W1754" s="8"/>
    </row>
    <row r="1755" spans="1:23" ht="15.75" customHeight="1" x14ac:dyDescent="0.25">
      <c r="A1755" s="6" t="s">
        <v>149</v>
      </c>
      <c r="B1755" s="8"/>
      <c r="C1755" s="8"/>
      <c r="D1755" s="8"/>
      <c r="E1755" s="8"/>
      <c r="F1755" s="8"/>
      <c r="G1755" s="8"/>
      <c r="H1755" s="8"/>
      <c r="I1755" s="8"/>
      <c r="J1755" s="8"/>
      <c r="K1755" s="8"/>
      <c r="L1755" s="8"/>
      <c r="M1755" s="8"/>
      <c r="N1755" s="8"/>
      <c r="O1755" s="8"/>
      <c r="P1755" s="8"/>
      <c r="Q1755" s="8"/>
      <c r="R1755" s="8"/>
      <c r="S1755" s="8"/>
      <c r="T1755" s="8"/>
      <c r="U1755" s="8"/>
      <c r="V1755" s="8"/>
      <c r="W1755" s="8"/>
    </row>
    <row r="1756" spans="1:23" ht="15.75" customHeight="1" x14ac:dyDescent="0.25">
      <c r="A1756" s="6" t="s">
        <v>149</v>
      </c>
      <c r="B1756" s="8"/>
      <c r="C1756" s="8"/>
      <c r="D1756" s="8"/>
      <c r="E1756" s="8"/>
      <c r="F1756" s="8"/>
      <c r="G1756" s="8"/>
      <c r="H1756" s="8"/>
      <c r="I1756" s="8"/>
      <c r="J1756" s="8"/>
      <c r="K1756" s="8"/>
      <c r="L1756" s="8"/>
      <c r="M1756" s="8"/>
      <c r="N1756" s="8"/>
      <c r="O1756" s="8"/>
      <c r="P1756" s="8"/>
      <c r="Q1756" s="8"/>
      <c r="R1756" s="8"/>
      <c r="S1756" s="8"/>
      <c r="T1756" s="8"/>
      <c r="U1756" s="8"/>
      <c r="V1756" s="8"/>
      <c r="W1756" s="8"/>
    </row>
    <row r="1757" spans="1:23" ht="15.75" customHeight="1" x14ac:dyDescent="0.25">
      <c r="A1757" s="6" t="s">
        <v>149</v>
      </c>
      <c r="B1757" s="8"/>
      <c r="C1757" s="8"/>
      <c r="D1757" s="8"/>
      <c r="E1757" s="8"/>
      <c r="F1757" s="8"/>
      <c r="G1757" s="8"/>
      <c r="H1757" s="8"/>
      <c r="I1757" s="8"/>
      <c r="J1757" s="8"/>
      <c r="K1757" s="8"/>
      <c r="L1757" s="8"/>
      <c r="M1757" s="8"/>
      <c r="N1757" s="8"/>
      <c r="O1757" s="8"/>
      <c r="P1757" s="8"/>
      <c r="Q1757" s="8"/>
      <c r="R1757" s="8"/>
      <c r="S1757" s="8"/>
      <c r="T1757" s="8"/>
      <c r="U1757" s="8"/>
      <c r="V1757" s="8"/>
      <c r="W1757" s="8"/>
    </row>
    <row r="1758" spans="1:23" ht="15.75" customHeight="1" x14ac:dyDescent="0.25">
      <c r="A1758" s="6" t="s">
        <v>149</v>
      </c>
      <c r="B1758" s="8"/>
      <c r="C1758" s="8"/>
      <c r="D1758" s="8"/>
      <c r="E1758" s="8"/>
      <c r="F1758" s="8"/>
      <c r="G1758" s="8"/>
      <c r="H1758" s="8"/>
      <c r="I1758" s="8"/>
      <c r="J1758" s="8"/>
      <c r="K1758" s="8"/>
      <c r="L1758" s="8"/>
      <c r="M1758" s="8"/>
      <c r="N1758" s="8"/>
      <c r="O1758" s="8"/>
      <c r="P1758" s="8"/>
      <c r="Q1758" s="8"/>
      <c r="R1758" s="8"/>
      <c r="S1758" s="8"/>
      <c r="T1758" s="8"/>
      <c r="U1758" s="8"/>
      <c r="V1758" s="8"/>
      <c r="W1758" s="8"/>
    </row>
    <row r="1759" spans="1:23" ht="15.75" customHeight="1" x14ac:dyDescent="0.25">
      <c r="A1759" s="6" t="s">
        <v>149</v>
      </c>
      <c r="B1759" s="8"/>
      <c r="C1759" s="8"/>
      <c r="D1759" s="8"/>
      <c r="E1759" s="8"/>
      <c r="F1759" s="8"/>
      <c r="G1759" s="8"/>
      <c r="H1759" s="8"/>
      <c r="I1759" s="8"/>
      <c r="J1759" s="8"/>
      <c r="K1759" s="8"/>
      <c r="L1759" s="8"/>
      <c r="M1759" s="8"/>
      <c r="N1759" s="8"/>
      <c r="O1759" s="8"/>
      <c r="P1759" s="8"/>
      <c r="Q1759" s="8"/>
      <c r="R1759" s="8"/>
      <c r="S1759" s="8"/>
      <c r="T1759" s="8"/>
      <c r="U1759" s="8"/>
      <c r="V1759" s="8"/>
      <c r="W1759" s="8"/>
    </row>
    <row r="1760" spans="1:23" ht="15.75" customHeight="1" x14ac:dyDescent="0.25">
      <c r="A1760" s="6" t="s">
        <v>149</v>
      </c>
      <c r="B1760" s="8"/>
      <c r="C1760" s="8"/>
      <c r="D1760" s="8"/>
      <c r="E1760" s="8"/>
      <c r="F1760" s="8"/>
      <c r="G1760" s="8"/>
      <c r="H1760" s="8"/>
      <c r="I1760" s="8"/>
      <c r="J1760" s="8"/>
      <c r="K1760" s="8"/>
      <c r="L1760" s="8"/>
      <c r="M1760" s="8"/>
      <c r="N1760" s="8"/>
      <c r="O1760" s="8"/>
      <c r="P1760" s="8"/>
      <c r="Q1760" s="8"/>
      <c r="R1760" s="8"/>
      <c r="S1760" s="8"/>
      <c r="T1760" s="8"/>
      <c r="U1760" s="8"/>
      <c r="V1760" s="8"/>
      <c r="W1760" s="8"/>
    </row>
    <row r="1761" spans="1:23" ht="15.75" customHeight="1" x14ac:dyDescent="0.25">
      <c r="A1761" s="6" t="s">
        <v>149</v>
      </c>
      <c r="B1761" s="8"/>
      <c r="C1761" s="8"/>
      <c r="D1761" s="8"/>
      <c r="E1761" s="8"/>
      <c r="F1761" s="8"/>
      <c r="G1761" s="8"/>
      <c r="H1761" s="8"/>
      <c r="I1761" s="8"/>
      <c r="J1761" s="8"/>
      <c r="K1761" s="8"/>
      <c r="L1761" s="8"/>
      <c r="M1761" s="8"/>
      <c r="N1761" s="8"/>
      <c r="O1761" s="8"/>
      <c r="P1761" s="8"/>
      <c r="Q1761" s="8"/>
      <c r="R1761" s="8"/>
      <c r="S1761" s="8"/>
      <c r="T1761" s="8"/>
      <c r="U1761" s="8"/>
      <c r="V1761" s="8"/>
      <c r="W1761" s="8"/>
    </row>
    <row r="1762" spans="1:23" ht="15.75" customHeight="1" x14ac:dyDescent="0.25">
      <c r="A1762" s="6" t="s">
        <v>149</v>
      </c>
      <c r="B1762" s="8"/>
      <c r="C1762" s="8"/>
      <c r="D1762" s="8"/>
      <c r="E1762" s="8"/>
      <c r="F1762" s="8"/>
      <c r="G1762" s="8"/>
      <c r="H1762" s="8"/>
      <c r="I1762" s="8"/>
      <c r="J1762" s="8"/>
      <c r="K1762" s="8"/>
      <c r="L1762" s="8"/>
      <c r="M1762" s="8"/>
      <c r="N1762" s="8"/>
      <c r="O1762" s="8"/>
      <c r="P1762" s="8"/>
      <c r="Q1762" s="8"/>
      <c r="R1762" s="8"/>
      <c r="S1762" s="8"/>
      <c r="T1762" s="8"/>
      <c r="U1762" s="8"/>
      <c r="V1762" s="8"/>
      <c r="W1762" s="8"/>
    </row>
    <row r="1763" spans="1:23" ht="15.75" customHeight="1" x14ac:dyDescent="0.25">
      <c r="A1763" s="8" t="s">
        <v>149</v>
      </c>
      <c r="B1763" s="8"/>
      <c r="C1763" s="8"/>
      <c r="D1763" s="8"/>
      <c r="E1763" s="8"/>
      <c r="F1763" s="8"/>
      <c r="G1763" s="8"/>
      <c r="H1763" s="8"/>
      <c r="I1763" s="8"/>
      <c r="J1763" s="8"/>
      <c r="K1763" s="8"/>
      <c r="L1763" s="8"/>
      <c r="M1763" s="8"/>
      <c r="N1763" s="8"/>
      <c r="O1763" s="8"/>
      <c r="P1763" s="8"/>
      <c r="Q1763" s="8"/>
      <c r="R1763" s="8"/>
      <c r="S1763" s="8"/>
      <c r="T1763" s="8"/>
      <c r="U1763" s="8"/>
      <c r="V1763" s="8"/>
      <c r="W1763" s="8"/>
    </row>
    <row r="1764" spans="1:23" ht="15.75" customHeight="1" x14ac:dyDescent="0.25">
      <c r="A1764" s="6" t="s">
        <v>149</v>
      </c>
      <c r="B1764" s="8"/>
      <c r="C1764" s="8"/>
      <c r="D1764" s="8"/>
      <c r="E1764" s="8"/>
      <c r="F1764" s="8"/>
      <c r="G1764" s="8"/>
      <c r="H1764" s="8"/>
      <c r="I1764" s="8"/>
      <c r="J1764" s="8"/>
      <c r="K1764" s="8"/>
      <c r="L1764" s="8"/>
      <c r="M1764" s="8"/>
      <c r="N1764" s="8"/>
      <c r="O1764" s="8"/>
      <c r="P1764" s="8"/>
      <c r="Q1764" s="8"/>
      <c r="R1764" s="8"/>
      <c r="S1764" s="8"/>
      <c r="T1764" s="8"/>
      <c r="U1764" s="8"/>
      <c r="V1764" s="8"/>
      <c r="W1764" s="8"/>
    </row>
    <row r="1765" spans="1:23" ht="15.75" customHeight="1" x14ac:dyDescent="0.25">
      <c r="A1765" s="6" t="s">
        <v>3378</v>
      </c>
      <c r="B1765" s="8"/>
      <c r="C1765" s="8"/>
      <c r="D1765" s="8"/>
      <c r="E1765" s="8"/>
      <c r="F1765" s="8"/>
      <c r="G1765" s="8"/>
      <c r="H1765" s="8"/>
      <c r="I1765" s="8"/>
      <c r="J1765" s="8"/>
      <c r="K1765" s="8"/>
      <c r="L1765" s="8"/>
      <c r="M1765" s="8"/>
      <c r="N1765" s="8"/>
      <c r="O1765" s="8"/>
      <c r="P1765" s="8"/>
      <c r="Q1765" s="8"/>
      <c r="R1765" s="8"/>
      <c r="S1765" s="8"/>
      <c r="T1765" s="8"/>
      <c r="U1765" s="8"/>
      <c r="V1765" s="8"/>
      <c r="W1765" s="8"/>
    </row>
    <row r="1766" spans="1:23" ht="15.75" customHeight="1" x14ac:dyDescent="0.25">
      <c r="A1766" s="6" t="s">
        <v>3378</v>
      </c>
      <c r="B1766" s="8"/>
      <c r="C1766" s="8"/>
      <c r="D1766" s="8"/>
      <c r="E1766" s="8"/>
      <c r="F1766" s="8"/>
      <c r="G1766" s="8"/>
      <c r="H1766" s="8"/>
      <c r="I1766" s="8"/>
      <c r="J1766" s="8"/>
      <c r="K1766" s="8"/>
      <c r="L1766" s="8"/>
      <c r="M1766" s="8"/>
      <c r="N1766" s="8"/>
      <c r="O1766" s="8"/>
      <c r="P1766" s="8"/>
      <c r="Q1766" s="8"/>
      <c r="R1766" s="8"/>
      <c r="S1766" s="8"/>
      <c r="T1766" s="8"/>
      <c r="U1766" s="8"/>
      <c r="V1766" s="8"/>
      <c r="W1766" s="8"/>
    </row>
    <row r="1767" spans="1:23" ht="15.75" customHeight="1" x14ac:dyDescent="0.25">
      <c r="A1767" s="6" t="s">
        <v>3378</v>
      </c>
      <c r="B1767" s="8"/>
      <c r="C1767" s="8"/>
      <c r="D1767" s="8"/>
      <c r="E1767" s="8"/>
      <c r="F1767" s="8"/>
      <c r="G1767" s="8"/>
      <c r="H1767" s="8"/>
      <c r="I1767" s="8"/>
      <c r="J1767" s="8"/>
      <c r="K1767" s="8"/>
      <c r="L1767" s="8"/>
      <c r="M1767" s="8"/>
      <c r="N1767" s="8"/>
      <c r="O1767" s="8"/>
      <c r="P1767" s="8"/>
      <c r="Q1767" s="8"/>
      <c r="R1767" s="8"/>
      <c r="S1767" s="8"/>
      <c r="T1767" s="8"/>
      <c r="U1767" s="8"/>
      <c r="V1767" s="8"/>
      <c r="W1767" s="8"/>
    </row>
    <row r="1768" spans="1:23" ht="15.75" customHeight="1" x14ac:dyDescent="0.25">
      <c r="A1768" s="6" t="s">
        <v>3378</v>
      </c>
      <c r="B1768" s="8"/>
      <c r="C1768" s="8"/>
      <c r="D1768" s="8"/>
      <c r="E1768" s="8"/>
      <c r="F1768" s="8"/>
      <c r="G1768" s="8"/>
      <c r="H1768" s="8"/>
      <c r="I1768" s="8"/>
      <c r="J1768" s="8"/>
      <c r="K1768" s="8"/>
      <c r="L1768" s="8"/>
      <c r="M1768" s="8"/>
      <c r="N1768" s="8"/>
      <c r="O1768" s="8"/>
      <c r="P1768" s="8"/>
      <c r="Q1768" s="8"/>
      <c r="R1768" s="8"/>
      <c r="S1768" s="8"/>
      <c r="T1768" s="8"/>
      <c r="U1768" s="8"/>
      <c r="V1768" s="8"/>
      <c r="W1768" s="8"/>
    </row>
    <row r="1769" spans="1:23" ht="15.75" customHeight="1" x14ac:dyDescent="0.25">
      <c r="A1769" s="6" t="s">
        <v>3378</v>
      </c>
      <c r="B1769" s="8"/>
      <c r="C1769" s="8"/>
      <c r="D1769" s="8"/>
      <c r="E1769" s="8"/>
      <c r="F1769" s="8"/>
      <c r="G1769" s="8"/>
      <c r="H1769" s="8"/>
      <c r="I1769" s="8"/>
      <c r="J1769" s="8"/>
      <c r="K1769" s="8"/>
      <c r="L1769" s="8"/>
      <c r="M1769" s="8"/>
      <c r="N1769" s="8"/>
      <c r="O1769" s="8"/>
      <c r="P1769" s="8"/>
      <c r="Q1769" s="8"/>
      <c r="R1769" s="8"/>
      <c r="S1769" s="8"/>
      <c r="T1769" s="8"/>
      <c r="U1769" s="8"/>
      <c r="V1769" s="8"/>
      <c r="W1769" s="8"/>
    </row>
    <row r="1770" spans="1:23" ht="15.75" customHeight="1" x14ac:dyDescent="0.25">
      <c r="A1770" s="6" t="s">
        <v>3378</v>
      </c>
      <c r="B1770" s="8"/>
      <c r="C1770" s="8"/>
      <c r="D1770" s="8"/>
      <c r="E1770" s="8"/>
      <c r="F1770" s="8"/>
      <c r="G1770" s="8"/>
      <c r="H1770" s="8"/>
      <c r="I1770" s="8"/>
      <c r="J1770" s="8"/>
      <c r="K1770" s="8"/>
      <c r="L1770" s="8"/>
      <c r="M1770" s="8"/>
      <c r="N1770" s="8"/>
      <c r="O1770" s="8"/>
      <c r="P1770" s="8"/>
      <c r="Q1770" s="8"/>
      <c r="R1770" s="8"/>
      <c r="S1770" s="8"/>
      <c r="T1770" s="8"/>
      <c r="U1770" s="8"/>
      <c r="V1770" s="8"/>
      <c r="W1770" s="8"/>
    </row>
    <row r="1771" spans="1:23" ht="15.75" customHeight="1" x14ac:dyDescent="0.25">
      <c r="A1771" s="6" t="s">
        <v>3378</v>
      </c>
      <c r="B1771" s="8"/>
      <c r="C1771" s="8"/>
      <c r="D1771" s="8"/>
      <c r="E1771" s="8"/>
      <c r="F1771" s="8"/>
      <c r="G1771" s="8"/>
      <c r="H1771" s="8"/>
      <c r="I1771" s="8"/>
      <c r="J1771" s="8"/>
      <c r="K1771" s="8"/>
      <c r="L1771" s="8"/>
      <c r="M1771" s="8"/>
      <c r="N1771" s="8"/>
      <c r="O1771" s="8"/>
      <c r="P1771" s="8"/>
      <c r="Q1771" s="8"/>
      <c r="R1771" s="8"/>
      <c r="S1771" s="8"/>
      <c r="T1771" s="8"/>
      <c r="U1771" s="8"/>
      <c r="V1771" s="8"/>
      <c r="W1771" s="8"/>
    </row>
    <row r="1772" spans="1:23" ht="15.75" customHeight="1" x14ac:dyDescent="0.25">
      <c r="A1772" s="6" t="s">
        <v>3378</v>
      </c>
      <c r="B1772" s="8"/>
      <c r="C1772" s="8"/>
      <c r="D1772" s="8"/>
      <c r="E1772" s="8"/>
      <c r="F1772" s="8"/>
      <c r="G1772" s="8"/>
      <c r="H1772" s="8"/>
      <c r="I1772" s="8"/>
      <c r="J1772" s="8"/>
      <c r="K1772" s="8"/>
      <c r="L1772" s="8"/>
      <c r="M1772" s="8"/>
      <c r="N1772" s="8"/>
      <c r="O1772" s="8"/>
      <c r="P1772" s="8"/>
      <c r="Q1772" s="8"/>
      <c r="R1772" s="8"/>
      <c r="S1772" s="8"/>
      <c r="T1772" s="8"/>
      <c r="U1772" s="8"/>
      <c r="V1772" s="8"/>
      <c r="W1772" s="8"/>
    </row>
    <row r="1773" spans="1:23" ht="15.75" customHeight="1" x14ac:dyDescent="0.25">
      <c r="A1773" s="6" t="s">
        <v>3378</v>
      </c>
      <c r="B1773" s="8"/>
      <c r="C1773" s="8"/>
      <c r="D1773" s="8"/>
      <c r="E1773" s="8"/>
      <c r="F1773" s="8"/>
      <c r="G1773" s="8"/>
      <c r="H1773" s="8"/>
      <c r="I1773" s="8"/>
      <c r="J1773" s="8"/>
      <c r="K1773" s="8"/>
      <c r="L1773" s="8"/>
      <c r="M1773" s="8"/>
      <c r="N1773" s="8"/>
      <c r="O1773" s="8"/>
      <c r="P1773" s="8"/>
      <c r="Q1773" s="8"/>
      <c r="R1773" s="8"/>
      <c r="S1773" s="8"/>
      <c r="T1773" s="8"/>
      <c r="U1773" s="8"/>
      <c r="V1773" s="8"/>
      <c r="W1773" s="8"/>
    </row>
    <row r="1774" spans="1:23" ht="15.75" customHeight="1" x14ac:dyDescent="0.25">
      <c r="A1774" s="6" t="s">
        <v>3378</v>
      </c>
      <c r="B1774" s="8"/>
      <c r="C1774" s="8"/>
      <c r="D1774" s="8"/>
      <c r="E1774" s="8"/>
      <c r="F1774" s="8"/>
      <c r="G1774" s="8"/>
      <c r="H1774" s="8"/>
      <c r="I1774" s="8"/>
      <c r="J1774" s="8"/>
      <c r="K1774" s="8"/>
      <c r="L1774" s="8"/>
      <c r="M1774" s="8"/>
      <c r="N1774" s="8"/>
      <c r="O1774" s="8"/>
      <c r="P1774" s="8"/>
      <c r="Q1774" s="8"/>
      <c r="R1774" s="8"/>
      <c r="S1774" s="8"/>
      <c r="T1774" s="8"/>
      <c r="U1774" s="8"/>
      <c r="V1774" s="8"/>
      <c r="W1774" s="8"/>
    </row>
    <row r="1775" spans="1:23" ht="15.75" customHeight="1" x14ac:dyDescent="0.25">
      <c r="A1775" s="6" t="s">
        <v>4242</v>
      </c>
      <c r="B1775" s="8"/>
      <c r="C1775" s="8"/>
      <c r="D1775" s="8"/>
      <c r="E1775" s="8"/>
      <c r="F1775" s="8"/>
      <c r="G1775" s="8"/>
      <c r="H1775" s="8"/>
      <c r="I1775" s="8"/>
      <c r="J1775" s="8"/>
      <c r="K1775" s="8"/>
      <c r="L1775" s="8"/>
      <c r="M1775" s="8"/>
      <c r="N1775" s="8"/>
      <c r="O1775" s="8"/>
      <c r="P1775" s="8"/>
      <c r="Q1775" s="8"/>
      <c r="R1775" s="8"/>
      <c r="S1775" s="8"/>
      <c r="T1775" s="8"/>
      <c r="U1775" s="8"/>
      <c r="V1775" s="8"/>
      <c r="W1775" s="8"/>
    </row>
    <row r="1776" spans="1:23" ht="15.75" customHeight="1" x14ac:dyDescent="0.25">
      <c r="A1776" s="6" t="s">
        <v>3554</v>
      </c>
      <c r="B1776" s="8"/>
      <c r="C1776" s="8"/>
      <c r="D1776" s="8"/>
      <c r="E1776" s="8"/>
      <c r="F1776" s="8"/>
      <c r="G1776" s="8"/>
      <c r="H1776" s="8"/>
      <c r="I1776" s="8"/>
      <c r="J1776" s="8"/>
      <c r="K1776" s="8"/>
      <c r="L1776" s="8"/>
      <c r="M1776" s="8"/>
      <c r="N1776" s="8"/>
      <c r="O1776" s="8"/>
      <c r="P1776" s="8"/>
      <c r="Q1776" s="8"/>
      <c r="R1776" s="8"/>
      <c r="S1776" s="8"/>
      <c r="T1776" s="8"/>
      <c r="U1776" s="8"/>
      <c r="V1776" s="8"/>
      <c r="W1776" s="8"/>
    </row>
    <row r="1777" spans="1:23" ht="15.75" customHeight="1" x14ac:dyDescent="0.25">
      <c r="A1777" s="6" t="s">
        <v>3554</v>
      </c>
      <c r="B1777" s="8"/>
      <c r="C1777" s="8"/>
      <c r="D1777" s="8"/>
      <c r="E1777" s="8"/>
      <c r="F1777" s="8"/>
      <c r="G1777" s="8"/>
      <c r="H1777" s="8"/>
      <c r="I1777" s="8"/>
      <c r="J1777" s="8"/>
      <c r="K1777" s="8"/>
      <c r="L1777" s="8"/>
      <c r="M1777" s="8"/>
      <c r="N1777" s="8"/>
      <c r="O1777" s="8"/>
      <c r="P1777" s="8"/>
      <c r="Q1777" s="8"/>
      <c r="R1777" s="8"/>
      <c r="S1777" s="8"/>
      <c r="T1777" s="8"/>
      <c r="U1777" s="8"/>
      <c r="V1777" s="8"/>
      <c r="W1777" s="8"/>
    </row>
    <row r="1778" spans="1:23" ht="15.75" customHeight="1" x14ac:dyDescent="0.25">
      <c r="A1778" s="6" t="s">
        <v>3554</v>
      </c>
      <c r="B1778" s="8"/>
      <c r="C1778" s="8"/>
      <c r="D1778" s="8"/>
      <c r="E1778" s="8"/>
      <c r="F1778" s="8"/>
      <c r="G1778" s="8"/>
      <c r="H1778" s="8"/>
      <c r="I1778" s="8"/>
      <c r="J1778" s="8"/>
      <c r="K1778" s="8"/>
      <c r="L1778" s="8"/>
      <c r="M1778" s="8"/>
      <c r="N1778" s="8"/>
      <c r="O1778" s="8"/>
      <c r="P1778" s="8"/>
      <c r="Q1778" s="8"/>
      <c r="R1778" s="8"/>
      <c r="S1778" s="8"/>
      <c r="T1778" s="8"/>
      <c r="U1778" s="8"/>
      <c r="V1778" s="8"/>
      <c r="W1778" s="8"/>
    </row>
    <row r="1779" spans="1:23" ht="15.75" customHeight="1" x14ac:dyDescent="0.25">
      <c r="A1779" s="6" t="s">
        <v>3554</v>
      </c>
      <c r="B1779" s="8"/>
      <c r="C1779" s="8"/>
      <c r="D1779" s="8"/>
      <c r="E1779" s="8"/>
      <c r="F1779" s="8"/>
      <c r="G1779" s="8"/>
      <c r="H1779" s="8"/>
      <c r="I1779" s="8"/>
      <c r="J1779" s="8"/>
      <c r="K1779" s="8"/>
      <c r="L1779" s="8"/>
      <c r="M1779" s="8"/>
      <c r="N1779" s="8"/>
      <c r="O1779" s="8"/>
      <c r="P1779" s="8"/>
      <c r="Q1779" s="8"/>
      <c r="R1779" s="8"/>
      <c r="S1779" s="8"/>
      <c r="T1779" s="8"/>
      <c r="U1779" s="8"/>
      <c r="V1779" s="8"/>
      <c r="W1779" s="8"/>
    </row>
    <row r="1780" spans="1:23" ht="15.75" customHeight="1" x14ac:dyDescent="0.25">
      <c r="A1780" s="6" t="s">
        <v>3554</v>
      </c>
      <c r="B1780" s="8"/>
      <c r="C1780" s="8"/>
      <c r="D1780" s="8"/>
      <c r="E1780" s="8"/>
      <c r="F1780" s="8"/>
      <c r="G1780" s="8"/>
      <c r="H1780" s="8"/>
      <c r="I1780" s="8"/>
      <c r="J1780" s="8"/>
      <c r="K1780" s="8"/>
      <c r="L1780" s="8"/>
      <c r="M1780" s="8"/>
      <c r="N1780" s="8"/>
      <c r="O1780" s="8"/>
      <c r="P1780" s="8"/>
      <c r="Q1780" s="8"/>
      <c r="R1780" s="8"/>
      <c r="S1780" s="8"/>
      <c r="T1780" s="8"/>
      <c r="U1780" s="8"/>
      <c r="V1780" s="8"/>
      <c r="W1780" s="8"/>
    </row>
    <row r="1781" spans="1:23" ht="15.75" customHeight="1" x14ac:dyDescent="0.25">
      <c r="A1781" s="6" t="s">
        <v>3473</v>
      </c>
      <c r="B1781" s="8"/>
      <c r="C1781" s="8"/>
      <c r="D1781" s="8"/>
      <c r="E1781" s="8"/>
      <c r="F1781" s="8"/>
      <c r="G1781" s="8"/>
      <c r="H1781" s="8"/>
      <c r="I1781" s="8"/>
      <c r="J1781" s="8"/>
      <c r="K1781" s="8"/>
      <c r="L1781" s="8"/>
      <c r="M1781" s="8"/>
      <c r="N1781" s="8"/>
      <c r="O1781" s="8"/>
      <c r="P1781" s="8"/>
      <c r="Q1781" s="8"/>
      <c r="R1781" s="8"/>
      <c r="S1781" s="8"/>
      <c r="T1781" s="8"/>
      <c r="U1781" s="8"/>
      <c r="V1781" s="8"/>
      <c r="W1781" s="8"/>
    </row>
    <row r="1782" spans="1:23" ht="15.75" customHeight="1" x14ac:dyDescent="0.25">
      <c r="A1782" s="6" t="s">
        <v>3473</v>
      </c>
      <c r="B1782" s="8"/>
      <c r="C1782" s="8"/>
      <c r="D1782" s="8"/>
      <c r="E1782" s="8"/>
      <c r="F1782" s="8"/>
      <c r="G1782" s="8"/>
      <c r="H1782" s="8"/>
      <c r="I1782" s="8"/>
      <c r="J1782" s="8"/>
      <c r="K1782" s="8"/>
      <c r="L1782" s="8"/>
      <c r="M1782" s="8"/>
      <c r="N1782" s="8"/>
      <c r="O1782" s="8"/>
      <c r="P1782" s="8"/>
      <c r="Q1782" s="8"/>
      <c r="R1782" s="8"/>
      <c r="S1782" s="8"/>
      <c r="T1782" s="8"/>
      <c r="U1782" s="8"/>
      <c r="V1782" s="8"/>
      <c r="W1782" s="8"/>
    </row>
    <row r="1783" spans="1:23" ht="15.75" customHeight="1" x14ac:dyDescent="0.25">
      <c r="A1783" s="6" t="s">
        <v>3473</v>
      </c>
      <c r="B1783" s="8"/>
      <c r="C1783" s="8"/>
      <c r="D1783" s="8"/>
      <c r="E1783" s="8"/>
      <c r="F1783" s="8"/>
      <c r="G1783" s="8"/>
      <c r="H1783" s="8"/>
      <c r="I1783" s="8"/>
      <c r="J1783" s="8"/>
      <c r="K1783" s="8"/>
      <c r="L1783" s="8"/>
      <c r="M1783" s="8"/>
      <c r="N1783" s="8"/>
      <c r="O1783" s="8"/>
      <c r="P1783" s="8"/>
      <c r="Q1783" s="8"/>
      <c r="R1783" s="8"/>
      <c r="S1783" s="8"/>
      <c r="T1783" s="8"/>
      <c r="U1783" s="8"/>
      <c r="V1783" s="8"/>
      <c r="W1783" s="8"/>
    </row>
    <row r="1784" spans="1:23" ht="15.75" customHeight="1" x14ac:dyDescent="0.25">
      <c r="A1784" s="6" t="s">
        <v>3473</v>
      </c>
      <c r="B1784" s="8"/>
      <c r="C1784" s="8"/>
      <c r="D1784" s="8"/>
      <c r="E1784" s="8"/>
      <c r="F1784" s="8"/>
      <c r="G1784" s="8"/>
      <c r="H1784" s="8"/>
      <c r="I1784" s="8"/>
      <c r="J1784" s="8"/>
      <c r="K1784" s="8"/>
      <c r="L1784" s="8"/>
      <c r="M1784" s="8"/>
      <c r="N1784" s="8"/>
      <c r="O1784" s="8"/>
      <c r="P1784" s="8"/>
      <c r="Q1784" s="8"/>
      <c r="R1784" s="8"/>
      <c r="S1784" s="8"/>
      <c r="T1784" s="8"/>
      <c r="U1784" s="8"/>
      <c r="V1784" s="8"/>
      <c r="W1784" s="8"/>
    </row>
    <row r="1785" spans="1:23" ht="15.75" customHeight="1" x14ac:dyDescent="0.25">
      <c r="A1785" s="6" t="s">
        <v>3473</v>
      </c>
      <c r="B1785" s="8"/>
      <c r="C1785" s="8"/>
      <c r="D1785" s="8"/>
      <c r="E1785" s="8"/>
      <c r="F1785" s="8"/>
      <c r="G1785" s="8"/>
      <c r="H1785" s="8"/>
      <c r="I1785" s="8"/>
      <c r="J1785" s="8"/>
      <c r="K1785" s="8"/>
      <c r="L1785" s="8"/>
      <c r="M1785" s="8"/>
      <c r="N1785" s="8"/>
      <c r="O1785" s="8"/>
      <c r="P1785" s="8"/>
      <c r="Q1785" s="8"/>
      <c r="R1785" s="8"/>
      <c r="S1785" s="8"/>
      <c r="T1785" s="8"/>
      <c r="U1785" s="8"/>
      <c r="V1785" s="8"/>
      <c r="W1785" s="8"/>
    </row>
    <row r="1786" spans="1:23" ht="15.75" customHeight="1" x14ac:dyDescent="0.25">
      <c r="A1786" s="6" t="s">
        <v>3473</v>
      </c>
      <c r="B1786" s="8"/>
      <c r="C1786" s="8"/>
      <c r="D1786" s="8"/>
      <c r="E1786" s="8"/>
      <c r="F1786" s="8"/>
      <c r="G1786" s="8"/>
      <c r="H1786" s="8"/>
      <c r="I1786" s="8"/>
      <c r="J1786" s="8"/>
      <c r="K1786" s="8"/>
      <c r="L1786" s="8"/>
      <c r="M1786" s="8"/>
      <c r="N1786" s="8"/>
      <c r="O1786" s="8"/>
      <c r="P1786" s="8"/>
      <c r="Q1786" s="8"/>
      <c r="R1786" s="8"/>
      <c r="S1786" s="8"/>
      <c r="T1786" s="8"/>
      <c r="U1786" s="8"/>
      <c r="V1786" s="8"/>
      <c r="W1786" s="8"/>
    </row>
    <row r="1787" spans="1:23" ht="15.75" customHeight="1" x14ac:dyDescent="0.25">
      <c r="A1787" s="6" t="s">
        <v>3473</v>
      </c>
      <c r="B1787" s="8"/>
      <c r="C1787" s="8"/>
      <c r="D1787" s="8"/>
      <c r="E1787" s="8"/>
      <c r="F1787" s="8"/>
      <c r="G1787" s="8"/>
      <c r="H1787" s="8"/>
      <c r="I1787" s="8"/>
      <c r="J1787" s="8"/>
      <c r="K1787" s="8"/>
      <c r="L1787" s="8"/>
      <c r="M1787" s="8"/>
      <c r="N1787" s="8"/>
      <c r="O1787" s="8"/>
      <c r="P1787" s="8"/>
      <c r="Q1787" s="8"/>
      <c r="R1787" s="8"/>
      <c r="S1787" s="8"/>
      <c r="T1787" s="8"/>
      <c r="U1787" s="8"/>
      <c r="V1787" s="8"/>
      <c r="W1787" s="8"/>
    </row>
    <row r="1788" spans="1:23" ht="15.75" customHeight="1" x14ac:dyDescent="0.25">
      <c r="A1788" s="6" t="s">
        <v>3922</v>
      </c>
      <c r="B1788" s="8"/>
      <c r="C1788" s="8"/>
      <c r="D1788" s="8"/>
      <c r="E1788" s="8"/>
      <c r="F1788" s="8"/>
      <c r="G1788" s="8"/>
      <c r="H1788" s="8"/>
      <c r="I1788" s="8"/>
      <c r="J1788" s="8"/>
      <c r="K1788" s="8"/>
      <c r="L1788" s="8"/>
      <c r="M1788" s="8"/>
      <c r="N1788" s="8"/>
      <c r="O1788" s="8"/>
      <c r="P1788" s="8"/>
      <c r="Q1788" s="8"/>
      <c r="R1788" s="8"/>
      <c r="S1788" s="8"/>
      <c r="T1788" s="8"/>
      <c r="U1788" s="8"/>
      <c r="V1788" s="8"/>
      <c r="W1788" s="8"/>
    </row>
    <row r="1789" spans="1:23" ht="15.75" customHeight="1" x14ac:dyDescent="0.25">
      <c r="A1789" s="6" t="s">
        <v>3922</v>
      </c>
      <c r="B1789" s="8"/>
      <c r="C1789" s="8"/>
      <c r="D1789" s="8"/>
      <c r="E1789" s="8"/>
      <c r="F1789" s="8"/>
      <c r="G1789" s="8"/>
      <c r="H1789" s="8"/>
      <c r="I1789" s="8"/>
      <c r="J1789" s="8"/>
      <c r="K1789" s="8"/>
      <c r="L1789" s="8"/>
      <c r="M1789" s="8"/>
      <c r="N1789" s="8"/>
      <c r="O1789" s="8"/>
      <c r="P1789" s="8"/>
      <c r="Q1789" s="8"/>
      <c r="R1789" s="8"/>
      <c r="S1789" s="8"/>
      <c r="T1789" s="8"/>
      <c r="U1789" s="8"/>
      <c r="V1789" s="8"/>
      <c r="W1789" s="8"/>
    </row>
    <row r="1790" spans="1:23" ht="15.75" customHeight="1" x14ac:dyDescent="0.25">
      <c r="A1790" s="6" t="s">
        <v>4243</v>
      </c>
      <c r="B1790" s="8"/>
      <c r="C1790" s="8"/>
      <c r="D1790" s="8"/>
      <c r="E1790" s="8"/>
      <c r="F1790" s="8"/>
      <c r="G1790" s="8"/>
      <c r="H1790" s="8"/>
      <c r="I1790" s="8"/>
      <c r="J1790" s="8"/>
      <c r="K1790" s="8"/>
      <c r="L1790" s="8"/>
      <c r="M1790" s="8"/>
      <c r="N1790" s="8"/>
      <c r="O1790" s="8"/>
      <c r="P1790" s="8"/>
      <c r="Q1790" s="8"/>
      <c r="R1790" s="8"/>
      <c r="S1790" s="8"/>
      <c r="T1790" s="8"/>
      <c r="U1790" s="8"/>
      <c r="V1790" s="8"/>
      <c r="W1790" s="8"/>
    </row>
    <row r="1791" spans="1:23" ht="15.75" customHeight="1" x14ac:dyDescent="0.25">
      <c r="A1791" s="6" t="s">
        <v>4244</v>
      </c>
      <c r="B1791" s="8"/>
      <c r="C1791" s="8"/>
      <c r="D1791" s="8"/>
      <c r="E1791" s="8"/>
      <c r="F1791" s="8"/>
      <c r="G1791" s="8"/>
      <c r="H1791" s="8"/>
      <c r="I1791" s="8"/>
      <c r="J1791" s="8"/>
      <c r="K1791" s="8"/>
      <c r="L1791" s="8"/>
      <c r="M1791" s="8"/>
      <c r="N1791" s="8"/>
      <c r="O1791" s="8"/>
      <c r="P1791" s="8"/>
      <c r="Q1791" s="8"/>
      <c r="R1791" s="8"/>
      <c r="S1791" s="8"/>
      <c r="T1791" s="8"/>
      <c r="U1791" s="8"/>
      <c r="V1791" s="8"/>
      <c r="W1791" s="8"/>
    </row>
    <row r="1792" spans="1:23" ht="15.75" customHeight="1" x14ac:dyDescent="0.25">
      <c r="A1792" s="6" t="s">
        <v>4245</v>
      </c>
      <c r="B1792" s="8"/>
      <c r="C1792" s="8"/>
      <c r="D1792" s="8"/>
      <c r="E1792" s="8"/>
      <c r="F1792" s="8"/>
      <c r="G1792" s="8"/>
      <c r="H1792" s="8"/>
      <c r="I1792" s="8"/>
      <c r="J1792" s="8"/>
      <c r="K1792" s="8"/>
      <c r="L1792" s="8"/>
      <c r="M1792" s="8"/>
      <c r="N1792" s="8"/>
      <c r="O1792" s="8"/>
      <c r="P1792" s="8"/>
      <c r="Q1792" s="8"/>
      <c r="R1792" s="8"/>
      <c r="S1792" s="8"/>
      <c r="T1792" s="8"/>
      <c r="U1792" s="8"/>
      <c r="V1792" s="8"/>
      <c r="W1792" s="8"/>
    </row>
    <row r="1793" spans="1:23" ht="15.75" customHeight="1" x14ac:dyDescent="0.25">
      <c r="A1793" s="6" t="s">
        <v>4246</v>
      </c>
      <c r="B1793" s="8"/>
      <c r="C1793" s="8"/>
      <c r="D1793" s="8"/>
      <c r="E1793" s="8"/>
      <c r="F1793" s="8"/>
      <c r="G1793" s="8"/>
      <c r="H1793" s="8"/>
      <c r="I1793" s="8"/>
      <c r="J1793" s="8"/>
      <c r="K1793" s="8"/>
      <c r="L1793" s="8"/>
      <c r="M1793" s="8"/>
      <c r="N1793" s="8"/>
      <c r="O1793" s="8"/>
      <c r="P1793" s="8"/>
      <c r="Q1793" s="8"/>
      <c r="R1793" s="8"/>
      <c r="S1793" s="8"/>
      <c r="T1793" s="8"/>
      <c r="U1793" s="8"/>
      <c r="V1793" s="8"/>
      <c r="W1793" s="8"/>
    </row>
    <row r="1794" spans="1:23" ht="15.75" customHeight="1" x14ac:dyDescent="0.25">
      <c r="A1794" s="6" t="s">
        <v>4247</v>
      </c>
      <c r="B1794" s="8"/>
      <c r="C1794" s="8"/>
      <c r="D1794" s="8"/>
      <c r="E1794" s="8"/>
      <c r="F1794" s="8"/>
      <c r="G1794" s="8"/>
      <c r="H1794" s="8"/>
      <c r="I1794" s="8"/>
      <c r="J1794" s="8"/>
      <c r="K1794" s="8"/>
      <c r="L1794" s="8"/>
      <c r="M1794" s="8"/>
      <c r="N1794" s="8"/>
      <c r="O1794" s="8"/>
      <c r="P1794" s="8"/>
      <c r="Q1794" s="8"/>
      <c r="R1794" s="8"/>
      <c r="S1794" s="8"/>
      <c r="T1794" s="8"/>
      <c r="U1794" s="8"/>
      <c r="V1794" s="8"/>
      <c r="W1794" s="8"/>
    </row>
    <row r="1795" spans="1:23" ht="15.75" customHeight="1" x14ac:dyDescent="0.25">
      <c r="A1795" s="6" t="s">
        <v>3725</v>
      </c>
      <c r="B1795" s="8"/>
      <c r="C1795" s="8"/>
      <c r="D1795" s="8"/>
      <c r="E1795" s="8"/>
      <c r="F1795" s="8"/>
      <c r="G1795" s="8"/>
      <c r="H1795" s="8"/>
      <c r="I1795" s="8"/>
      <c r="J1795" s="8"/>
      <c r="K1795" s="8"/>
      <c r="L1795" s="8"/>
      <c r="M1795" s="8"/>
      <c r="N1795" s="8"/>
      <c r="O1795" s="8"/>
      <c r="P1795" s="8"/>
      <c r="Q1795" s="8"/>
      <c r="R1795" s="8"/>
      <c r="S1795" s="8"/>
      <c r="T1795" s="8"/>
      <c r="U1795" s="8"/>
      <c r="V1795" s="8"/>
      <c r="W1795" s="8"/>
    </row>
    <row r="1796" spans="1:23" ht="15.75" customHeight="1" x14ac:dyDescent="0.25">
      <c r="A1796" s="6" t="s">
        <v>3725</v>
      </c>
      <c r="B1796" s="8"/>
      <c r="C1796" s="8"/>
      <c r="D1796" s="8"/>
      <c r="E1796" s="8"/>
      <c r="F1796" s="8"/>
      <c r="G1796" s="8"/>
      <c r="H1796" s="8"/>
      <c r="I1796" s="8"/>
      <c r="J1796" s="8"/>
      <c r="K1796" s="8"/>
      <c r="L1796" s="8"/>
      <c r="M1796" s="8"/>
      <c r="N1796" s="8"/>
      <c r="O1796" s="8"/>
      <c r="P1796" s="8"/>
      <c r="Q1796" s="8"/>
      <c r="R1796" s="8"/>
      <c r="S1796" s="8"/>
      <c r="T1796" s="8"/>
      <c r="U1796" s="8"/>
      <c r="V1796" s="8"/>
      <c r="W1796" s="8"/>
    </row>
    <row r="1797" spans="1:23" ht="15.75" customHeight="1" x14ac:dyDescent="0.25">
      <c r="A1797" s="6" t="s">
        <v>3725</v>
      </c>
      <c r="B1797" s="8"/>
      <c r="C1797" s="8"/>
      <c r="D1797" s="8"/>
      <c r="E1797" s="8"/>
      <c r="F1797" s="8"/>
      <c r="G1797" s="8"/>
      <c r="H1797" s="8"/>
      <c r="I1797" s="8"/>
      <c r="J1797" s="8"/>
      <c r="K1797" s="8"/>
      <c r="L1797" s="8"/>
      <c r="M1797" s="8"/>
      <c r="N1797" s="8"/>
      <c r="O1797" s="8"/>
      <c r="P1797" s="8"/>
      <c r="Q1797" s="8"/>
      <c r="R1797" s="8"/>
      <c r="S1797" s="8"/>
      <c r="T1797" s="8"/>
      <c r="U1797" s="8"/>
      <c r="V1797" s="8"/>
      <c r="W1797" s="8"/>
    </row>
    <row r="1798" spans="1:23" ht="15.75" customHeight="1" x14ac:dyDescent="0.25">
      <c r="A1798" s="6" t="s">
        <v>4248</v>
      </c>
      <c r="B1798" s="8"/>
      <c r="C1798" s="8"/>
      <c r="D1798" s="8"/>
      <c r="E1798" s="8"/>
      <c r="F1798" s="8"/>
      <c r="G1798" s="8"/>
      <c r="H1798" s="8"/>
      <c r="I1798" s="8"/>
      <c r="J1798" s="8"/>
      <c r="K1798" s="8"/>
      <c r="L1798" s="8"/>
      <c r="M1798" s="8"/>
      <c r="N1798" s="8"/>
      <c r="O1798" s="8"/>
      <c r="P1798" s="8"/>
      <c r="Q1798" s="8"/>
      <c r="R1798" s="8"/>
      <c r="S1798" s="8"/>
      <c r="T1798" s="8"/>
      <c r="U1798" s="8"/>
      <c r="V1798" s="8"/>
      <c r="W1798" s="8"/>
    </row>
    <row r="1799" spans="1:23" ht="15.75" customHeight="1" x14ac:dyDescent="0.25">
      <c r="A1799" s="6" t="s">
        <v>4249</v>
      </c>
      <c r="B1799" s="8"/>
      <c r="C1799" s="8"/>
      <c r="D1799" s="8"/>
      <c r="E1799" s="8"/>
      <c r="F1799" s="8"/>
      <c r="G1799" s="8"/>
      <c r="H1799" s="8"/>
      <c r="I1799" s="8"/>
      <c r="J1799" s="8"/>
      <c r="K1799" s="8"/>
      <c r="L1799" s="8"/>
      <c r="M1799" s="8"/>
      <c r="N1799" s="8"/>
      <c r="O1799" s="8"/>
      <c r="P1799" s="8"/>
      <c r="Q1799" s="8"/>
      <c r="R1799" s="8"/>
      <c r="S1799" s="8"/>
      <c r="T1799" s="8"/>
      <c r="U1799" s="8"/>
      <c r="V1799" s="8"/>
      <c r="W1799" s="8"/>
    </row>
    <row r="1800" spans="1:23" ht="15.75" customHeight="1" x14ac:dyDescent="0.25">
      <c r="A1800" s="6" t="s">
        <v>4250</v>
      </c>
      <c r="B1800" s="8"/>
      <c r="C1800" s="8"/>
      <c r="D1800" s="8"/>
      <c r="E1800" s="8"/>
      <c r="F1800" s="8"/>
      <c r="G1800" s="8"/>
      <c r="H1800" s="8"/>
      <c r="I1800" s="8"/>
      <c r="J1800" s="8"/>
      <c r="K1800" s="8"/>
      <c r="L1800" s="8"/>
      <c r="M1800" s="8"/>
      <c r="N1800" s="8"/>
      <c r="O1800" s="8"/>
      <c r="P1800" s="8"/>
      <c r="Q1800" s="8"/>
      <c r="R1800" s="8"/>
      <c r="S1800" s="8"/>
      <c r="T1800" s="8"/>
      <c r="U1800" s="8"/>
      <c r="V1800" s="8"/>
      <c r="W1800" s="8"/>
    </row>
    <row r="1801" spans="1:23" ht="15.75" customHeight="1" x14ac:dyDescent="0.25">
      <c r="A1801" s="6" t="s">
        <v>3925</v>
      </c>
      <c r="B1801" s="8"/>
      <c r="C1801" s="8"/>
      <c r="D1801" s="8"/>
      <c r="E1801" s="8"/>
      <c r="F1801" s="8"/>
      <c r="G1801" s="8"/>
      <c r="H1801" s="8"/>
      <c r="I1801" s="8"/>
      <c r="J1801" s="8"/>
      <c r="K1801" s="8"/>
      <c r="L1801" s="8"/>
      <c r="M1801" s="8"/>
      <c r="N1801" s="8"/>
      <c r="O1801" s="8"/>
      <c r="P1801" s="8"/>
      <c r="Q1801" s="8"/>
      <c r="R1801" s="8"/>
      <c r="S1801" s="8"/>
      <c r="T1801" s="8"/>
      <c r="U1801" s="8"/>
      <c r="V1801" s="8"/>
      <c r="W1801" s="8"/>
    </row>
    <row r="1802" spans="1:23" ht="15.75" customHeight="1" x14ac:dyDescent="0.25">
      <c r="A1802" s="6" t="s">
        <v>3925</v>
      </c>
      <c r="B1802" s="8"/>
      <c r="C1802" s="8"/>
      <c r="D1802" s="8"/>
      <c r="E1802" s="8"/>
      <c r="F1802" s="8"/>
      <c r="G1802" s="8"/>
      <c r="H1802" s="8"/>
      <c r="I1802" s="8"/>
      <c r="J1802" s="8"/>
      <c r="K1802" s="8"/>
      <c r="L1802" s="8"/>
      <c r="M1802" s="8"/>
      <c r="N1802" s="8"/>
      <c r="O1802" s="8"/>
      <c r="P1802" s="8"/>
      <c r="Q1802" s="8"/>
      <c r="R1802" s="8"/>
      <c r="S1802" s="8"/>
      <c r="T1802" s="8"/>
      <c r="U1802" s="8"/>
      <c r="V1802" s="8"/>
      <c r="W1802" s="8"/>
    </row>
    <row r="1803" spans="1:23" ht="15.75" customHeight="1" x14ac:dyDescent="0.25">
      <c r="A1803" s="6" t="s">
        <v>3929</v>
      </c>
      <c r="B1803" s="8"/>
      <c r="C1803" s="8"/>
      <c r="D1803" s="8"/>
      <c r="E1803" s="8"/>
      <c r="F1803" s="8"/>
      <c r="G1803" s="8"/>
      <c r="H1803" s="8"/>
      <c r="I1803" s="8"/>
      <c r="J1803" s="8"/>
      <c r="K1803" s="8"/>
      <c r="L1803" s="8"/>
      <c r="M1803" s="8"/>
      <c r="N1803" s="8"/>
      <c r="O1803" s="8"/>
      <c r="P1803" s="8"/>
      <c r="Q1803" s="8"/>
      <c r="R1803" s="8"/>
      <c r="S1803" s="8"/>
      <c r="T1803" s="8"/>
      <c r="U1803" s="8"/>
      <c r="V1803" s="8"/>
      <c r="W1803" s="8"/>
    </row>
    <row r="1804" spans="1:23" ht="15.75" customHeight="1" x14ac:dyDescent="0.25">
      <c r="A1804" s="6" t="s">
        <v>3929</v>
      </c>
      <c r="B1804" s="8"/>
      <c r="C1804" s="8"/>
      <c r="D1804" s="8"/>
      <c r="E1804" s="8"/>
      <c r="F1804" s="8"/>
      <c r="G1804" s="8"/>
      <c r="H1804" s="8"/>
      <c r="I1804" s="8"/>
      <c r="J1804" s="8"/>
      <c r="K1804" s="8"/>
      <c r="L1804" s="8"/>
      <c r="M1804" s="8"/>
      <c r="N1804" s="8"/>
      <c r="O1804" s="8"/>
      <c r="P1804" s="8"/>
      <c r="Q1804" s="8"/>
      <c r="R1804" s="8"/>
      <c r="S1804" s="8"/>
      <c r="T1804" s="8"/>
      <c r="U1804" s="8"/>
      <c r="V1804" s="8"/>
      <c r="W1804" s="8"/>
    </row>
    <row r="1805" spans="1:23" ht="15.75" customHeight="1" x14ac:dyDescent="0.25">
      <c r="A1805" s="6" t="s">
        <v>3296</v>
      </c>
      <c r="B1805" s="8"/>
      <c r="C1805" s="8"/>
      <c r="D1805" s="8"/>
      <c r="E1805" s="8"/>
      <c r="F1805" s="8"/>
      <c r="G1805" s="8"/>
      <c r="H1805" s="8"/>
      <c r="I1805" s="8"/>
      <c r="J1805" s="8"/>
      <c r="K1805" s="8"/>
      <c r="L1805" s="8"/>
      <c r="M1805" s="8"/>
      <c r="N1805" s="8"/>
      <c r="O1805" s="8"/>
      <c r="P1805" s="8"/>
      <c r="Q1805" s="8"/>
      <c r="R1805" s="8"/>
      <c r="S1805" s="8"/>
      <c r="T1805" s="8"/>
      <c r="U1805" s="8"/>
      <c r="V1805" s="8"/>
      <c r="W1805" s="8"/>
    </row>
    <row r="1806" spans="1:23" ht="15.75" customHeight="1" x14ac:dyDescent="0.25">
      <c r="A1806" s="6" t="s">
        <v>3296</v>
      </c>
      <c r="B1806" s="8"/>
      <c r="C1806" s="8"/>
      <c r="D1806" s="8"/>
      <c r="E1806" s="8"/>
      <c r="F1806" s="8"/>
      <c r="G1806" s="8"/>
      <c r="H1806" s="8"/>
      <c r="I1806" s="8"/>
      <c r="J1806" s="8"/>
      <c r="K1806" s="8"/>
      <c r="L1806" s="8"/>
      <c r="M1806" s="8"/>
      <c r="N1806" s="8"/>
      <c r="O1806" s="8"/>
      <c r="P1806" s="8"/>
      <c r="Q1806" s="8"/>
      <c r="R1806" s="8"/>
      <c r="S1806" s="8"/>
      <c r="T1806" s="8"/>
      <c r="U1806" s="8"/>
      <c r="V1806" s="8"/>
      <c r="W1806" s="8"/>
    </row>
    <row r="1807" spans="1:23" ht="15.75" customHeight="1" x14ac:dyDescent="0.25">
      <c r="A1807" s="6" t="s">
        <v>3296</v>
      </c>
      <c r="B1807" s="8"/>
      <c r="C1807" s="8"/>
      <c r="D1807" s="8"/>
      <c r="E1807" s="8"/>
      <c r="F1807" s="8"/>
      <c r="G1807" s="8"/>
      <c r="H1807" s="8"/>
      <c r="I1807" s="8"/>
      <c r="J1807" s="8"/>
      <c r="K1807" s="8"/>
      <c r="L1807" s="8"/>
      <c r="M1807" s="8"/>
      <c r="N1807" s="8"/>
      <c r="O1807" s="8"/>
      <c r="P1807" s="8"/>
      <c r="Q1807" s="8"/>
      <c r="R1807" s="8"/>
      <c r="S1807" s="8"/>
      <c r="T1807" s="8"/>
      <c r="U1807" s="8"/>
      <c r="V1807" s="8"/>
      <c r="W1807" s="8"/>
    </row>
    <row r="1808" spans="1:23" ht="15.75" customHeight="1" x14ac:dyDescent="0.25">
      <c r="A1808" s="6" t="s">
        <v>3296</v>
      </c>
      <c r="B1808" s="8"/>
      <c r="C1808" s="8"/>
      <c r="D1808" s="8"/>
      <c r="E1808" s="8"/>
      <c r="F1808" s="8"/>
      <c r="G1808" s="8"/>
      <c r="H1808" s="8"/>
      <c r="I1808" s="8"/>
      <c r="J1808" s="8"/>
      <c r="K1808" s="8"/>
      <c r="L1808" s="8"/>
      <c r="M1808" s="8"/>
      <c r="N1808" s="8"/>
      <c r="O1808" s="8"/>
      <c r="P1808" s="8"/>
      <c r="Q1808" s="8"/>
      <c r="R1808" s="8"/>
      <c r="S1808" s="8"/>
      <c r="T1808" s="8"/>
      <c r="U1808" s="8"/>
      <c r="V1808" s="8"/>
      <c r="W1808" s="8"/>
    </row>
    <row r="1809" spans="1:23" ht="15.75" customHeight="1" x14ac:dyDescent="0.25">
      <c r="A1809" s="6" t="s">
        <v>3296</v>
      </c>
      <c r="B1809" s="8"/>
      <c r="C1809" s="8"/>
      <c r="D1809" s="8"/>
      <c r="E1809" s="8"/>
      <c r="F1809" s="8"/>
      <c r="G1809" s="8"/>
      <c r="H1809" s="8"/>
      <c r="I1809" s="8"/>
      <c r="J1809" s="8"/>
      <c r="K1809" s="8"/>
      <c r="L1809" s="8"/>
      <c r="M1809" s="8"/>
      <c r="N1809" s="8"/>
      <c r="O1809" s="8"/>
      <c r="P1809" s="8"/>
      <c r="Q1809" s="8"/>
      <c r="R1809" s="8"/>
      <c r="S1809" s="8"/>
      <c r="T1809" s="8"/>
      <c r="U1809" s="8"/>
      <c r="V1809" s="8"/>
      <c r="W1809" s="8"/>
    </row>
    <row r="1810" spans="1:23" ht="15.75" customHeight="1" x14ac:dyDescent="0.25">
      <c r="A1810" s="6" t="s">
        <v>3296</v>
      </c>
      <c r="B1810" s="8"/>
      <c r="C1810" s="8"/>
      <c r="D1810" s="8"/>
      <c r="E1810" s="8"/>
      <c r="F1810" s="8"/>
      <c r="G1810" s="8"/>
      <c r="H1810" s="8"/>
      <c r="I1810" s="8"/>
      <c r="J1810" s="8"/>
      <c r="K1810" s="8"/>
      <c r="L1810" s="8"/>
      <c r="M1810" s="8"/>
      <c r="N1810" s="8"/>
      <c r="O1810" s="8"/>
      <c r="P1810" s="8"/>
      <c r="Q1810" s="8"/>
      <c r="R1810" s="8"/>
      <c r="S1810" s="8"/>
      <c r="T1810" s="8"/>
      <c r="U1810" s="8"/>
      <c r="V1810" s="8"/>
      <c r="W1810" s="8"/>
    </row>
    <row r="1811" spans="1:23" ht="15.75" customHeight="1" x14ac:dyDescent="0.25">
      <c r="A1811" s="6" t="s">
        <v>3296</v>
      </c>
      <c r="B1811" s="8"/>
      <c r="C1811" s="8"/>
      <c r="D1811" s="8"/>
      <c r="E1811" s="8"/>
      <c r="F1811" s="8"/>
      <c r="G1811" s="8"/>
      <c r="H1811" s="8"/>
      <c r="I1811" s="8"/>
      <c r="J1811" s="8"/>
      <c r="K1811" s="8"/>
      <c r="L1811" s="8"/>
      <c r="M1811" s="8"/>
      <c r="N1811" s="8"/>
      <c r="O1811" s="8"/>
      <c r="P1811" s="8"/>
      <c r="Q1811" s="8"/>
      <c r="R1811" s="8"/>
      <c r="S1811" s="8"/>
      <c r="T1811" s="8"/>
      <c r="U1811" s="8"/>
      <c r="V1811" s="8"/>
      <c r="W1811" s="8"/>
    </row>
    <row r="1812" spans="1:23" ht="15.75" customHeight="1" x14ac:dyDescent="0.25">
      <c r="A1812" s="6" t="s">
        <v>3296</v>
      </c>
      <c r="B1812" s="8"/>
      <c r="C1812" s="8"/>
      <c r="D1812" s="8"/>
      <c r="E1812" s="8"/>
      <c r="F1812" s="8"/>
      <c r="G1812" s="8"/>
      <c r="H1812" s="8"/>
      <c r="I1812" s="8"/>
      <c r="J1812" s="8"/>
      <c r="K1812" s="8"/>
      <c r="L1812" s="8"/>
      <c r="M1812" s="8"/>
      <c r="N1812" s="8"/>
      <c r="O1812" s="8"/>
      <c r="P1812" s="8"/>
      <c r="Q1812" s="8"/>
      <c r="R1812" s="8"/>
      <c r="S1812" s="8"/>
      <c r="T1812" s="8"/>
      <c r="U1812" s="8"/>
      <c r="V1812" s="8"/>
      <c r="W1812" s="8"/>
    </row>
    <row r="1813" spans="1:23" ht="15.75" customHeight="1" x14ac:dyDescent="0.25">
      <c r="A1813" s="6" t="s">
        <v>3296</v>
      </c>
      <c r="B1813" s="8"/>
      <c r="C1813" s="8"/>
      <c r="D1813" s="8"/>
      <c r="E1813" s="8"/>
      <c r="F1813" s="8"/>
      <c r="G1813" s="8"/>
      <c r="H1813" s="8"/>
      <c r="I1813" s="8"/>
      <c r="J1813" s="8"/>
      <c r="K1813" s="8"/>
      <c r="L1813" s="8"/>
      <c r="M1813" s="8"/>
      <c r="N1813" s="8"/>
      <c r="O1813" s="8"/>
      <c r="P1813" s="8"/>
      <c r="Q1813" s="8"/>
      <c r="R1813" s="8"/>
      <c r="S1813" s="8"/>
      <c r="T1813" s="8"/>
      <c r="U1813" s="8"/>
      <c r="V1813" s="8"/>
      <c r="W1813" s="8"/>
    </row>
    <row r="1814" spans="1:23" ht="15.75" customHeight="1" x14ac:dyDescent="0.25">
      <c r="A1814" s="6" t="s">
        <v>3296</v>
      </c>
      <c r="B1814" s="8"/>
      <c r="C1814" s="8"/>
      <c r="D1814" s="8"/>
      <c r="E1814" s="8"/>
      <c r="F1814" s="8"/>
      <c r="G1814" s="8"/>
      <c r="H1814" s="8"/>
      <c r="I1814" s="8"/>
      <c r="J1814" s="8"/>
      <c r="K1814" s="8"/>
      <c r="L1814" s="8"/>
      <c r="M1814" s="8"/>
      <c r="N1814" s="8"/>
      <c r="O1814" s="8"/>
      <c r="P1814" s="8"/>
      <c r="Q1814" s="8"/>
      <c r="R1814" s="8"/>
      <c r="S1814" s="8"/>
      <c r="T1814" s="8"/>
      <c r="U1814" s="8"/>
      <c r="V1814" s="8"/>
      <c r="W1814" s="8"/>
    </row>
    <row r="1815" spans="1:23" ht="15.75" customHeight="1" x14ac:dyDescent="0.25">
      <c r="A1815" s="6" t="s">
        <v>3296</v>
      </c>
      <c r="B1815" s="8"/>
      <c r="C1815" s="8"/>
      <c r="D1815" s="8"/>
      <c r="E1815" s="8"/>
      <c r="F1815" s="8"/>
      <c r="G1815" s="8"/>
      <c r="H1815" s="8"/>
      <c r="I1815" s="8"/>
      <c r="J1815" s="8"/>
      <c r="K1815" s="8"/>
      <c r="L1815" s="8"/>
      <c r="M1815" s="8"/>
      <c r="N1815" s="8"/>
      <c r="O1815" s="8"/>
      <c r="P1815" s="8"/>
      <c r="Q1815" s="8"/>
      <c r="R1815" s="8"/>
      <c r="S1815" s="8"/>
      <c r="T1815" s="8"/>
      <c r="U1815" s="8"/>
      <c r="V1815" s="8"/>
      <c r="W1815" s="8"/>
    </row>
    <row r="1816" spans="1:23" ht="15.75" customHeight="1" x14ac:dyDescent="0.25">
      <c r="A1816" s="6" t="s">
        <v>3296</v>
      </c>
      <c r="B1816" s="8"/>
      <c r="C1816" s="8"/>
      <c r="D1816" s="8"/>
      <c r="E1816" s="8"/>
      <c r="F1816" s="8"/>
      <c r="G1816" s="8"/>
      <c r="H1816" s="8"/>
      <c r="I1816" s="8"/>
      <c r="J1816" s="8"/>
      <c r="K1816" s="8"/>
      <c r="L1816" s="8"/>
      <c r="M1816" s="8"/>
      <c r="N1816" s="8"/>
      <c r="O1816" s="8"/>
      <c r="P1816" s="8"/>
      <c r="Q1816" s="8"/>
      <c r="R1816" s="8"/>
      <c r="S1816" s="8"/>
      <c r="T1816" s="8"/>
      <c r="U1816" s="8"/>
      <c r="V1816" s="8"/>
      <c r="W1816" s="8"/>
    </row>
    <row r="1817" spans="1:23" ht="15.75" customHeight="1" x14ac:dyDescent="0.25">
      <c r="A1817" s="6" t="s">
        <v>3296</v>
      </c>
      <c r="B1817" s="8"/>
      <c r="C1817" s="8"/>
      <c r="D1817" s="8"/>
      <c r="E1817" s="8"/>
      <c r="F1817" s="8"/>
      <c r="G1817" s="8"/>
      <c r="H1817" s="8"/>
      <c r="I1817" s="8"/>
      <c r="J1817" s="8"/>
      <c r="K1817" s="8"/>
      <c r="L1817" s="8"/>
      <c r="M1817" s="8"/>
      <c r="N1817" s="8"/>
      <c r="O1817" s="8"/>
      <c r="P1817" s="8"/>
      <c r="Q1817" s="8"/>
      <c r="R1817" s="8"/>
      <c r="S1817" s="8"/>
      <c r="T1817" s="8"/>
      <c r="U1817" s="8"/>
      <c r="V1817" s="8"/>
      <c r="W1817" s="8"/>
    </row>
    <row r="1818" spans="1:23" ht="15.75" customHeight="1" x14ac:dyDescent="0.25">
      <c r="A1818" s="6" t="s">
        <v>3296</v>
      </c>
      <c r="B1818" s="8"/>
      <c r="C1818" s="8"/>
      <c r="D1818" s="8"/>
      <c r="E1818" s="8"/>
      <c r="F1818" s="8"/>
      <c r="G1818" s="8"/>
      <c r="H1818" s="8"/>
      <c r="I1818" s="8"/>
      <c r="J1818" s="8"/>
      <c r="K1818" s="8"/>
      <c r="L1818" s="8"/>
      <c r="M1818" s="8"/>
      <c r="N1818" s="8"/>
      <c r="O1818" s="8"/>
      <c r="P1818" s="8"/>
      <c r="Q1818" s="8"/>
      <c r="R1818" s="8"/>
      <c r="S1818" s="8"/>
      <c r="T1818" s="8"/>
      <c r="U1818" s="8"/>
      <c r="V1818" s="8"/>
      <c r="W1818" s="8"/>
    </row>
    <row r="1819" spans="1:23" ht="15.75" customHeight="1" x14ac:dyDescent="0.25">
      <c r="A1819" s="6" t="s">
        <v>3296</v>
      </c>
      <c r="B1819" s="8"/>
      <c r="C1819" s="8"/>
      <c r="D1819" s="8"/>
      <c r="E1819" s="8"/>
      <c r="F1819" s="8"/>
      <c r="G1819" s="8"/>
      <c r="H1819" s="8"/>
      <c r="I1819" s="8"/>
      <c r="J1819" s="8"/>
      <c r="K1819" s="8"/>
      <c r="L1819" s="8"/>
      <c r="M1819" s="8"/>
      <c r="N1819" s="8"/>
      <c r="O1819" s="8"/>
      <c r="P1819" s="8"/>
      <c r="Q1819" s="8"/>
      <c r="R1819" s="8"/>
      <c r="S1819" s="8"/>
      <c r="T1819" s="8"/>
      <c r="U1819" s="8"/>
      <c r="V1819" s="8"/>
      <c r="W1819" s="8"/>
    </row>
    <row r="1820" spans="1:23" ht="15.75" customHeight="1" x14ac:dyDescent="0.25">
      <c r="A1820" s="6" t="s">
        <v>3296</v>
      </c>
      <c r="B1820" s="8"/>
      <c r="C1820" s="8"/>
      <c r="D1820" s="8"/>
      <c r="E1820" s="8"/>
      <c r="F1820" s="8"/>
      <c r="G1820" s="8"/>
      <c r="H1820" s="8"/>
      <c r="I1820" s="8"/>
      <c r="J1820" s="8"/>
      <c r="K1820" s="8"/>
      <c r="L1820" s="8"/>
      <c r="M1820" s="8"/>
      <c r="N1820" s="8"/>
      <c r="O1820" s="8"/>
      <c r="P1820" s="8"/>
      <c r="Q1820" s="8"/>
      <c r="R1820" s="8"/>
      <c r="S1820" s="8"/>
      <c r="T1820" s="8"/>
      <c r="U1820" s="8"/>
      <c r="V1820" s="8"/>
      <c r="W1820" s="8"/>
    </row>
    <row r="1821" spans="1:23" ht="15.75" customHeight="1" x14ac:dyDescent="0.25">
      <c r="A1821" s="6" t="s">
        <v>3296</v>
      </c>
      <c r="B1821" s="8"/>
      <c r="C1821" s="8"/>
      <c r="D1821" s="8"/>
      <c r="E1821" s="8"/>
      <c r="F1821" s="8"/>
      <c r="G1821" s="8"/>
      <c r="H1821" s="8"/>
      <c r="I1821" s="8"/>
      <c r="J1821" s="8"/>
      <c r="K1821" s="8"/>
      <c r="L1821" s="8"/>
      <c r="M1821" s="8"/>
      <c r="N1821" s="8"/>
      <c r="O1821" s="8"/>
      <c r="P1821" s="8"/>
      <c r="Q1821" s="8"/>
      <c r="R1821" s="8"/>
      <c r="S1821" s="8"/>
      <c r="T1821" s="8"/>
      <c r="U1821" s="8"/>
      <c r="V1821" s="8"/>
      <c r="W1821" s="8"/>
    </row>
    <row r="1822" spans="1:23" ht="15.75" customHeight="1" x14ac:dyDescent="0.25">
      <c r="A1822" s="6" t="s">
        <v>3509</v>
      </c>
      <c r="B1822" s="8"/>
      <c r="C1822" s="8"/>
      <c r="D1822" s="8"/>
      <c r="E1822" s="8"/>
      <c r="F1822" s="8"/>
      <c r="G1822" s="8"/>
      <c r="H1822" s="8"/>
      <c r="I1822" s="8"/>
      <c r="J1822" s="8"/>
      <c r="K1822" s="8"/>
      <c r="L1822" s="8"/>
      <c r="M1822" s="8"/>
      <c r="N1822" s="8"/>
      <c r="O1822" s="8"/>
      <c r="P1822" s="8"/>
      <c r="Q1822" s="8"/>
      <c r="R1822" s="8"/>
      <c r="S1822" s="8"/>
      <c r="T1822" s="8"/>
      <c r="U1822" s="8"/>
      <c r="V1822" s="8"/>
      <c r="W1822" s="8"/>
    </row>
    <row r="1823" spans="1:23" ht="15.75" customHeight="1" x14ac:dyDescent="0.25">
      <c r="A1823" s="6" t="s">
        <v>3509</v>
      </c>
      <c r="B1823" s="8"/>
      <c r="C1823" s="8"/>
      <c r="D1823" s="8"/>
      <c r="E1823" s="8"/>
      <c r="F1823" s="8"/>
      <c r="G1823" s="8"/>
      <c r="H1823" s="8"/>
      <c r="I1823" s="8"/>
      <c r="J1823" s="8"/>
      <c r="K1823" s="8"/>
      <c r="L1823" s="8"/>
      <c r="M1823" s="8"/>
      <c r="N1823" s="8"/>
      <c r="O1823" s="8"/>
      <c r="P1823" s="8"/>
      <c r="Q1823" s="8"/>
      <c r="R1823" s="8"/>
      <c r="S1823" s="8"/>
      <c r="T1823" s="8"/>
      <c r="U1823" s="8"/>
      <c r="V1823" s="8"/>
      <c r="W1823" s="8"/>
    </row>
    <row r="1824" spans="1:23" ht="15.75" customHeight="1" x14ac:dyDescent="0.25">
      <c r="A1824" s="6" t="s">
        <v>3509</v>
      </c>
      <c r="B1824" s="8"/>
      <c r="C1824" s="8"/>
      <c r="D1824" s="8"/>
      <c r="E1824" s="8"/>
      <c r="F1824" s="8"/>
      <c r="G1824" s="8"/>
      <c r="H1824" s="8"/>
      <c r="I1824" s="8"/>
      <c r="J1824" s="8"/>
      <c r="K1824" s="8"/>
      <c r="L1824" s="8"/>
      <c r="M1824" s="8"/>
      <c r="N1824" s="8"/>
      <c r="O1824" s="8"/>
      <c r="P1824" s="8"/>
      <c r="Q1824" s="8"/>
      <c r="R1824" s="8"/>
      <c r="S1824" s="8"/>
      <c r="T1824" s="8"/>
      <c r="U1824" s="8"/>
      <c r="V1824" s="8"/>
      <c r="W1824" s="8"/>
    </row>
    <row r="1825" spans="1:23" ht="15.75" customHeight="1" x14ac:dyDescent="0.25">
      <c r="A1825" s="6" t="s">
        <v>3509</v>
      </c>
      <c r="B1825" s="8"/>
      <c r="C1825" s="8"/>
      <c r="D1825" s="8"/>
      <c r="E1825" s="8"/>
      <c r="F1825" s="8"/>
      <c r="G1825" s="8"/>
      <c r="H1825" s="8"/>
      <c r="I1825" s="8"/>
      <c r="J1825" s="8"/>
      <c r="K1825" s="8"/>
      <c r="L1825" s="8"/>
      <c r="M1825" s="8"/>
      <c r="N1825" s="8"/>
      <c r="O1825" s="8"/>
      <c r="P1825" s="8"/>
      <c r="Q1825" s="8"/>
      <c r="R1825" s="8"/>
      <c r="S1825" s="8"/>
      <c r="T1825" s="8"/>
      <c r="U1825" s="8"/>
      <c r="V1825" s="8"/>
      <c r="W1825" s="8"/>
    </row>
    <row r="1826" spans="1:23" ht="15.75" customHeight="1" x14ac:dyDescent="0.25">
      <c r="A1826" s="6" t="s">
        <v>3509</v>
      </c>
      <c r="B1826" s="8"/>
      <c r="C1826" s="8"/>
      <c r="D1826" s="8"/>
      <c r="E1826" s="8"/>
      <c r="F1826" s="8"/>
      <c r="G1826" s="8"/>
      <c r="H1826" s="8"/>
      <c r="I1826" s="8"/>
      <c r="J1826" s="8"/>
      <c r="K1826" s="8"/>
      <c r="L1826" s="8"/>
      <c r="M1826" s="8"/>
      <c r="N1826" s="8"/>
      <c r="O1826" s="8"/>
      <c r="P1826" s="8"/>
      <c r="Q1826" s="8"/>
      <c r="R1826" s="8"/>
      <c r="S1826" s="8"/>
      <c r="T1826" s="8"/>
      <c r="U1826" s="8"/>
      <c r="V1826" s="8"/>
      <c r="W1826" s="8"/>
    </row>
    <row r="1827" spans="1:23" ht="15.75" customHeight="1" x14ac:dyDescent="0.25">
      <c r="A1827" s="6" t="s">
        <v>3509</v>
      </c>
      <c r="B1827" s="8"/>
      <c r="C1827" s="8"/>
      <c r="D1827" s="8"/>
      <c r="E1827" s="8"/>
      <c r="F1827" s="8"/>
      <c r="G1827" s="8"/>
      <c r="H1827" s="8"/>
      <c r="I1827" s="8"/>
      <c r="J1827" s="8"/>
      <c r="K1827" s="8"/>
      <c r="L1827" s="8"/>
      <c r="M1827" s="8"/>
      <c r="N1827" s="8"/>
      <c r="O1827" s="8"/>
      <c r="P1827" s="8"/>
      <c r="Q1827" s="8"/>
      <c r="R1827" s="8"/>
      <c r="S1827" s="8"/>
      <c r="T1827" s="8"/>
      <c r="U1827" s="8"/>
      <c r="V1827" s="8"/>
      <c r="W1827" s="8"/>
    </row>
    <row r="1828" spans="1:23" ht="15.75" customHeight="1" x14ac:dyDescent="0.25">
      <c r="A1828" s="6" t="s">
        <v>4251</v>
      </c>
      <c r="B1828" s="8"/>
      <c r="C1828" s="8"/>
      <c r="D1828" s="8"/>
      <c r="E1828" s="8"/>
      <c r="F1828" s="8"/>
      <c r="G1828" s="8"/>
      <c r="H1828" s="8"/>
      <c r="I1828" s="8"/>
      <c r="J1828" s="8"/>
      <c r="K1828" s="8"/>
      <c r="L1828" s="8"/>
      <c r="M1828" s="8"/>
      <c r="N1828" s="8"/>
      <c r="O1828" s="8"/>
      <c r="P1828" s="8"/>
      <c r="Q1828" s="8"/>
      <c r="R1828" s="8"/>
      <c r="S1828" s="8"/>
      <c r="T1828" s="8"/>
      <c r="U1828" s="8"/>
      <c r="V1828" s="8"/>
      <c r="W1828" s="8"/>
    </row>
    <row r="1829" spans="1:23" ht="15.75" customHeight="1" x14ac:dyDescent="0.25">
      <c r="A1829" s="6" t="s">
        <v>3728</v>
      </c>
      <c r="B1829" s="8"/>
      <c r="C1829" s="8"/>
      <c r="D1829" s="8"/>
      <c r="E1829" s="8"/>
      <c r="F1829" s="8"/>
      <c r="G1829" s="8"/>
      <c r="H1829" s="8"/>
      <c r="I1829" s="8"/>
      <c r="J1829" s="8"/>
      <c r="K1829" s="8"/>
      <c r="L1829" s="8"/>
      <c r="M1829" s="8"/>
      <c r="N1829" s="8"/>
      <c r="O1829" s="8"/>
      <c r="P1829" s="8"/>
      <c r="Q1829" s="8"/>
      <c r="R1829" s="8"/>
      <c r="S1829" s="8"/>
      <c r="T1829" s="8"/>
      <c r="U1829" s="8"/>
      <c r="V1829" s="8"/>
      <c r="W1829" s="8"/>
    </row>
    <row r="1830" spans="1:23" ht="15.75" customHeight="1" x14ac:dyDescent="0.25">
      <c r="A1830" s="6" t="s">
        <v>3728</v>
      </c>
      <c r="B1830" s="8"/>
      <c r="C1830" s="8"/>
      <c r="D1830" s="8"/>
      <c r="E1830" s="8"/>
      <c r="F1830" s="8"/>
      <c r="G1830" s="8"/>
      <c r="H1830" s="8"/>
      <c r="I1830" s="8"/>
      <c r="J1830" s="8"/>
      <c r="K1830" s="8"/>
      <c r="L1830" s="8"/>
      <c r="M1830" s="8"/>
      <c r="N1830" s="8"/>
      <c r="O1830" s="8"/>
      <c r="P1830" s="8"/>
      <c r="Q1830" s="8"/>
      <c r="R1830" s="8"/>
      <c r="S1830" s="8"/>
      <c r="T1830" s="8"/>
      <c r="U1830" s="8"/>
      <c r="V1830" s="8"/>
      <c r="W1830" s="8"/>
    </row>
    <row r="1831" spans="1:23" ht="15.75" customHeight="1" x14ac:dyDescent="0.25">
      <c r="A1831" s="6" t="s">
        <v>3728</v>
      </c>
      <c r="B1831" s="8"/>
      <c r="C1831" s="8"/>
      <c r="D1831" s="8"/>
      <c r="E1831" s="8"/>
      <c r="F1831" s="8"/>
      <c r="G1831" s="8"/>
      <c r="H1831" s="8"/>
      <c r="I1831" s="8"/>
      <c r="J1831" s="8"/>
      <c r="K1831" s="8"/>
      <c r="L1831" s="8"/>
      <c r="M1831" s="8"/>
      <c r="N1831" s="8"/>
      <c r="O1831" s="8"/>
      <c r="P1831" s="8"/>
      <c r="Q1831" s="8"/>
      <c r="R1831" s="8"/>
      <c r="S1831" s="8"/>
      <c r="T1831" s="8"/>
      <c r="U1831" s="8"/>
      <c r="V1831" s="8"/>
      <c r="W1831" s="8"/>
    </row>
    <row r="1832" spans="1:23" ht="15.75" customHeight="1" x14ac:dyDescent="0.25">
      <c r="A1832" s="6" t="s">
        <v>4252</v>
      </c>
      <c r="B1832" s="8"/>
      <c r="C1832" s="8"/>
      <c r="D1832" s="8"/>
      <c r="E1832" s="8"/>
      <c r="F1832" s="8"/>
      <c r="G1832" s="8"/>
      <c r="H1832" s="8"/>
      <c r="I1832" s="8"/>
      <c r="J1832" s="8"/>
      <c r="K1832" s="8"/>
      <c r="L1832" s="8"/>
      <c r="M1832" s="8"/>
      <c r="N1832" s="8"/>
      <c r="O1832" s="8"/>
      <c r="P1832" s="8"/>
      <c r="Q1832" s="8"/>
      <c r="R1832" s="8"/>
      <c r="S1832" s="8"/>
      <c r="T1832" s="8"/>
      <c r="U1832" s="8"/>
      <c r="V1832" s="8"/>
      <c r="W1832" s="8"/>
    </row>
    <row r="1833" spans="1:23" ht="15.75" customHeight="1" x14ac:dyDescent="0.25">
      <c r="A1833" s="6" t="s">
        <v>4253</v>
      </c>
      <c r="B1833" s="8"/>
      <c r="C1833" s="8"/>
      <c r="D1833" s="8"/>
      <c r="E1833" s="8"/>
      <c r="F1833" s="8"/>
      <c r="G1833" s="8"/>
      <c r="H1833" s="8"/>
      <c r="I1833" s="8"/>
      <c r="J1833" s="8"/>
      <c r="K1833" s="8"/>
      <c r="L1833" s="8"/>
      <c r="M1833" s="8"/>
      <c r="N1833" s="8"/>
      <c r="O1833" s="8"/>
      <c r="P1833" s="8"/>
      <c r="Q1833" s="8"/>
      <c r="R1833" s="8"/>
      <c r="S1833" s="8"/>
      <c r="T1833" s="8"/>
      <c r="U1833" s="8"/>
      <c r="V1833" s="8"/>
      <c r="W1833" s="8"/>
    </row>
    <row r="1834" spans="1:23" ht="15.75" customHeight="1" x14ac:dyDescent="0.25">
      <c r="A1834" s="6" t="s">
        <v>4254</v>
      </c>
      <c r="B1834" s="8"/>
      <c r="C1834" s="8"/>
      <c r="D1834" s="8"/>
      <c r="E1834" s="8"/>
      <c r="F1834" s="8"/>
      <c r="G1834" s="8"/>
      <c r="H1834" s="8"/>
      <c r="I1834" s="8"/>
      <c r="J1834" s="8"/>
      <c r="K1834" s="8"/>
      <c r="L1834" s="8"/>
      <c r="M1834" s="8"/>
      <c r="N1834" s="8"/>
      <c r="O1834" s="8"/>
      <c r="P1834" s="8"/>
      <c r="Q1834" s="8"/>
      <c r="R1834" s="8"/>
      <c r="S1834" s="8"/>
      <c r="T1834" s="8"/>
      <c r="U1834" s="8"/>
      <c r="V1834" s="8"/>
      <c r="W1834" s="8"/>
    </row>
    <row r="1835" spans="1:23" ht="15.75" customHeight="1" x14ac:dyDescent="0.25">
      <c r="A1835" s="6" t="s">
        <v>4255</v>
      </c>
      <c r="B1835" s="8"/>
      <c r="C1835" s="8"/>
      <c r="D1835" s="8"/>
      <c r="E1835" s="8"/>
      <c r="F1835" s="8"/>
      <c r="G1835" s="8"/>
      <c r="H1835" s="8"/>
      <c r="I1835" s="8"/>
      <c r="J1835" s="8"/>
      <c r="K1835" s="8"/>
      <c r="L1835" s="8"/>
      <c r="M1835" s="8"/>
      <c r="N1835" s="8"/>
      <c r="O1835" s="8"/>
      <c r="P1835" s="8"/>
      <c r="Q1835" s="8"/>
      <c r="R1835" s="8"/>
      <c r="S1835" s="8"/>
      <c r="T1835" s="8"/>
      <c r="U1835" s="8"/>
      <c r="V1835" s="8"/>
      <c r="W1835" s="8"/>
    </row>
    <row r="1836" spans="1:23" ht="15.75" customHeight="1" x14ac:dyDescent="0.25">
      <c r="A1836" s="6" t="s">
        <v>4256</v>
      </c>
      <c r="B1836" s="8"/>
      <c r="C1836" s="8"/>
      <c r="D1836" s="8"/>
      <c r="E1836" s="8"/>
      <c r="F1836" s="8"/>
      <c r="G1836" s="8"/>
      <c r="H1836" s="8"/>
      <c r="I1836" s="8"/>
      <c r="J1836" s="8"/>
      <c r="K1836" s="8"/>
      <c r="L1836" s="8"/>
      <c r="M1836" s="8"/>
      <c r="N1836" s="8"/>
      <c r="O1836" s="8"/>
      <c r="P1836" s="8"/>
      <c r="Q1836" s="8"/>
      <c r="R1836" s="8"/>
      <c r="S1836" s="8"/>
      <c r="T1836" s="8"/>
      <c r="U1836" s="8"/>
      <c r="V1836" s="8"/>
      <c r="W1836" s="8"/>
    </row>
    <row r="1837" spans="1:23" ht="15.75" customHeight="1" x14ac:dyDescent="0.25">
      <c r="A1837" s="6" t="s">
        <v>3225</v>
      </c>
      <c r="B1837" s="8"/>
      <c r="C1837" s="8"/>
      <c r="D1837" s="8"/>
      <c r="E1837" s="8"/>
      <c r="F1837" s="8"/>
      <c r="G1837" s="8"/>
      <c r="H1837" s="8"/>
      <c r="I1837" s="8"/>
      <c r="J1837" s="8"/>
      <c r="K1837" s="8"/>
      <c r="L1837" s="8"/>
      <c r="M1837" s="8"/>
      <c r="N1837" s="8"/>
      <c r="O1837" s="8"/>
      <c r="P1837" s="8"/>
      <c r="Q1837" s="8"/>
      <c r="R1837" s="8"/>
      <c r="S1837" s="8"/>
      <c r="T1837" s="8"/>
      <c r="U1837" s="8"/>
      <c r="V1837" s="8"/>
      <c r="W1837" s="8"/>
    </row>
    <row r="1838" spans="1:23" ht="15.75" customHeight="1" x14ac:dyDescent="0.25">
      <c r="A1838" s="6" t="s">
        <v>3225</v>
      </c>
      <c r="B1838" s="8"/>
      <c r="C1838" s="8"/>
      <c r="D1838" s="8"/>
      <c r="E1838" s="8"/>
      <c r="F1838" s="8"/>
      <c r="G1838" s="8"/>
      <c r="H1838" s="8"/>
      <c r="I1838" s="8"/>
      <c r="J1838" s="8"/>
      <c r="K1838" s="8"/>
      <c r="L1838" s="8"/>
      <c r="M1838" s="8"/>
      <c r="N1838" s="8"/>
      <c r="O1838" s="8"/>
      <c r="P1838" s="8"/>
      <c r="Q1838" s="8"/>
      <c r="R1838" s="8"/>
      <c r="S1838" s="8"/>
      <c r="T1838" s="8"/>
      <c r="U1838" s="8"/>
      <c r="V1838" s="8"/>
      <c r="W1838" s="8"/>
    </row>
    <row r="1839" spans="1:23" ht="15.75" customHeight="1" x14ac:dyDescent="0.25">
      <c r="A1839" s="6" t="s">
        <v>3225</v>
      </c>
      <c r="B1839" s="8"/>
      <c r="C1839" s="8"/>
      <c r="D1839" s="8"/>
      <c r="E1839" s="8"/>
      <c r="F1839" s="8"/>
      <c r="G1839" s="8"/>
      <c r="H1839" s="8"/>
      <c r="I1839" s="8"/>
      <c r="J1839" s="8"/>
      <c r="K1839" s="8"/>
      <c r="L1839" s="8"/>
      <c r="M1839" s="8"/>
      <c r="N1839" s="8"/>
      <c r="O1839" s="8"/>
      <c r="P1839" s="8"/>
      <c r="Q1839" s="8"/>
      <c r="R1839" s="8"/>
      <c r="S1839" s="8"/>
      <c r="T1839" s="8"/>
      <c r="U1839" s="8"/>
      <c r="V1839" s="8"/>
      <c r="W1839" s="8"/>
    </row>
    <row r="1840" spans="1:23" ht="15.75" customHeight="1" x14ac:dyDescent="0.25">
      <c r="A1840" s="6" t="s">
        <v>3225</v>
      </c>
      <c r="B1840" s="8"/>
      <c r="C1840" s="8"/>
      <c r="D1840" s="8"/>
      <c r="E1840" s="8"/>
      <c r="F1840" s="8"/>
      <c r="G1840" s="8"/>
      <c r="H1840" s="8"/>
      <c r="I1840" s="8"/>
      <c r="J1840" s="8"/>
      <c r="K1840" s="8"/>
      <c r="L1840" s="8"/>
      <c r="M1840" s="8"/>
      <c r="N1840" s="8"/>
      <c r="O1840" s="8"/>
      <c r="P1840" s="8"/>
      <c r="Q1840" s="8"/>
      <c r="R1840" s="8"/>
      <c r="S1840" s="8"/>
      <c r="T1840" s="8"/>
      <c r="U1840" s="8"/>
      <c r="V1840" s="8"/>
      <c r="W1840" s="8"/>
    </row>
    <row r="1841" spans="1:23" ht="15.75" customHeight="1" x14ac:dyDescent="0.25">
      <c r="A1841" s="6" t="s">
        <v>3225</v>
      </c>
      <c r="B1841" s="8"/>
      <c r="C1841" s="8"/>
      <c r="D1841" s="8"/>
      <c r="E1841" s="8"/>
      <c r="F1841" s="8"/>
      <c r="G1841" s="8"/>
      <c r="H1841" s="8"/>
      <c r="I1841" s="8"/>
      <c r="J1841" s="8"/>
      <c r="K1841" s="8"/>
      <c r="L1841" s="8"/>
      <c r="M1841" s="8"/>
      <c r="N1841" s="8"/>
      <c r="O1841" s="8"/>
      <c r="P1841" s="8"/>
      <c r="Q1841" s="8"/>
      <c r="R1841" s="8"/>
      <c r="S1841" s="8"/>
      <c r="T1841" s="8"/>
      <c r="U1841" s="8"/>
      <c r="V1841" s="8"/>
      <c r="W1841" s="8"/>
    </row>
    <row r="1842" spans="1:23" ht="15.75" customHeight="1" x14ac:dyDescent="0.25">
      <c r="A1842" s="6" t="s">
        <v>3225</v>
      </c>
      <c r="B1842" s="8"/>
      <c r="C1842" s="8"/>
      <c r="D1842" s="8"/>
      <c r="E1842" s="8"/>
      <c r="F1842" s="8"/>
      <c r="G1842" s="8"/>
      <c r="H1842" s="8"/>
      <c r="I1842" s="8"/>
      <c r="J1842" s="8"/>
      <c r="K1842" s="8"/>
      <c r="L1842" s="8"/>
      <c r="M1842" s="8"/>
      <c r="N1842" s="8"/>
      <c r="O1842" s="8"/>
      <c r="P1842" s="8"/>
      <c r="Q1842" s="8"/>
      <c r="R1842" s="8"/>
      <c r="S1842" s="8"/>
      <c r="T1842" s="8"/>
      <c r="U1842" s="8"/>
      <c r="V1842" s="8"/>
      <c r="W1842" s="8"/>
    </row>
    <row r="1843" spans="1:23" ht="15.75" customHeight="1" x14ac:dyDescent="0.25">
      <c r="A1843" s="6" t="s">
        <v>3225</v>
      </c>
      <c r="B1843" s="8"/>
      <c r="C1843" s="8"/>
      <c r="D1843" s="8"/>
      <c r="E1843" s="8"/>
      <c r="F1843" s="8"/>
      <c r="G1843" s="8"/>
      <c r="H1843" s="8"/>
      <c r="I1843" s="8"/>
      <c r="J1843" s="8"/>
      <c r="K1843" s="8"/>
      <c r="L1843" s="8"/>
      <c r="M1843" s="8"/>
      <c r="N1843" s="8"/>
      <c r="O1843" s="8"/>
      <c r="P1843" s="8"/>
      <c r="Q1843" s="8"/>
      <c r="R1843" s="8"/>
      <c r="S1843" s="8"/>
      <c r="T1843" s="8"/>
      <c r="U1843" s="8"/>
      <c r="V1843" s="8"/>
      <c r="W1843" s="8"/>
    </row>
    <row r="1844" spans="1:23" ht="15.75" customHeight="1" x14ac:dyDescent="0.25">
      <c r="A1844" s="6" t="s">
        <v>3225</v>
      </c>
      <c r="B1844" s="8"/>
      <c r="C1844" s="8"/>
      <c r="D1844" s="8"/>
      <c r="E1844" s="8"/>
      <c r="F1844" s="8"/>
      <c r="G1844" s="8"/>
      <c r="H1844" s="8"/>
      <c r="I1844" s="8"/>
      <c r="J1844" s="8"/>
      <c r="K1844" s="8"/>
      <c r="L1844" s="8"/>
      <c r="M1844" s="8"/>
      <c r="N1844" s="8"/>
      <c r="O1844" s="8"/>
      <c r="P1844" s="8"/>
      <c r="Q1844" s="8"/>
      <c r="R1844" s="8"/>
      <c r="S1844" s="8"/>
      <c r="T1844" s="8"/>
      <c r="U1844" s="8"/>
      <c r="V1844" s="8"/>
      <c r="W1844" s="8"/>
    </row>
    <row r="1845" spans="1:23" ht="15.75" customHeight="1" x14ac:dyDescent="0.25">
      <c r="A1845" s="6" t="s">
        <v>3225</v>
      </c>
      <c r="B1845" s="8"/>
      <c r="C1845" s="8"/>
      <c r="D1845" s="8"/>
      <c r="E1845" s="8"/>
      <c r="F1845" s="8"/>
      <c r="G1845" s="8"/>
      <c r="H1845" s="8"/>
      <c r="I1845" s="8"/>
      <c r="J1845" s="8"/>
      <c r="K1845" s="8"/>
      <c r="L1845" s="8"/>
      <c r="M1845" s="8"/>
      <c r="N1845" s="8"/>
      <c r="O1845" s="8"/>
      <c r="P1845" s="8"/>
      <c r="Q1845" s="8"/>
      <c r="R1845" s="8"/>
      <c r="S1845" s="8"/>
      <c r="T1845" s="8"/>
      <c r="U1845" s="8"/>
      <c r="V1845" s="8"/>
      <c r="W1845" s="8"/>
    </row>
    <row r="1846" spans="1:23" ht="15.75" customHeight="1" x14ac:dyDescent="0.25">
      <c r="A1846" s="8" t="s">
        <v>3225</v>
      </c>
      <c r="B1846" s="8"/>
      <c r="C1846" s="8"/>
      <c r="D1846" s="8"/>
      <c r="E1846" s="8"/>
      <c r="F1846" s="8"/>
      <c r="G1846" s="8"/>
      <c r="H1846" s="8"/>
      <c r="I1846" s="8"/>
      <c r="J1846" s="8"/>
      <c r="K1846" s="8"/>
      <c r="L1846" s="8"/>
      <c r="M1846" s="8"/>
      <c r="N1846" s="8"/>
      <c r="O1846" s="8"/>
      <c r="P1846" s="8"/>
      <c r="Q1846" s="8"/>
      <c r="R1846" s="8"/>
      <c r="S1846" s="8"/>
      <c r="T1846" s="8"/>
      <c r="U1846" s="8"/>
      <c r="V1846" s="8"/>
      <c r="W1846" s="8"/>
    </row>
    <row r="1847" spans="1:23" ht="15.75" customHeight="1" x14ac:dyDescent="0.25">
      <c r="A1847" s="6" t="s">
        <v>3225</v>
      </c>
      <c r="B1847" s="8"/>
      <c r="C1847" s="8"/>
      <c r="D1847" s="8"/>
      <c r="E1847" s="8"/>
      <c r="F1847" s="8"/>
      <c r="G1847" s="8"/>
      <c r="H1847" s="8"/>
      <c r="I1847" s="8"/>
      <c r="J1847" s="8"/>
      <c r="K1847" s="8"/>
      <c r="L1847" s="8"/>
      <c r="M1847" s="8"/>
      <c r="N1847" s="8"/>
      <c r="O1847" s="8"/>
      <c r="P1847" s="8"/>
      <c r="Q1847" s="8"/>
      <c r="R1847" s="8"/>
      <c r="S1847" s="8"/>
      <c r="T1847" s="8"/>
      <c r="U1847" s="8"/>
      <c r="V1847" s="8"/>
      <c r="W1847" s="8"/>
    </row>
    <row r="1848" spans="1:23" ht="15.75" customHeight="1" x14ac:dyDescent="0.25">
      <c r="A1848" s="6" t="s">
        <v>3225</v>
      </c>
      <c r="B1848" s="8"/>
      <c r="C1848" s="8"/>
      <c r="D1848" s="8"/>
      <c r="E1848" s="8"/>
      <c r="F1848" s="8"/>
      <c r="G1848" s="8"/>
      <c r="H1848" s="8"/>
      <c r="I1848" s="8"/>
      <c r="J1848" s="8"/>
      <c r="K1848" s="8"/>
      <c r="L1848" s="8"/>
      <c r="M1848" s="8"/>
      <c r="N1848" s="8"/>
      <c r="O1848" s="8"/>
      <c r="P1848" s="8"/>
      <c r="Q1848" s="8"/>
      <c r="R1848" s="8"/>
      <c r="S1848" s="8"/>
      <c r="T1848" s="8"/>
      <c r="U1848" s="8"/>
      <c r="V1848" s="8"/>
      <c r="W1848" s="8"/>
    </row>
    <row r="1849" spans="1:23" ht="15.75" customHeight="1" x14ac:dyDescent="0.25">
      <c r="A1849" s="6" t="s">
        <v>3225</v>
      </c>
      <c r="B1849" s="8"/>
      <c r="C1849" s="8"/>
      <c r="D1849" s="8"/>
      <c r="E1849" s="8"/>
      <c r="F1849" s="8"/>
      <c r="G1849" s="8"/>
      <c r="H1849" s="8"/>
      <c r="I1849" s="8"/>
      <c r="J1849" s="8"/>
      <c r="K1849" s="8"/>
      <c r="L1849" s="8"/>
      <c r="M1849" s="8"/>
      <c r="N1849" s="8"/>
      <c r="O1849" s="8"/>
      <c r="P1849" s="8"/>
      <c r="Q1849" s="8"/>
      <c r="R1849" s="8"/>
      <c r="S1849" s="8"/>
      <c r="T1849" s="8"/>
      <c r="U1849" s="8"/>
      <c r="V1849" s="8"/>
      <c r="W1849" s="8"/>
    </row>
    <row r="1850" spans="1:23" ht="15.75" customHeight="1" x14ac:dyDescent="0.25">
      <c r="A1850" s="6" t="s">
        <v>3225</v>
      </c>
      <c r="B1850" s="8"/>
      <c r="C1850" s="8"/>
      <c r="D1850" s="8"/>
      <c r="E1850" s="8"/>
      <c r="F1850" s="8"/>
      <c r="G1850" s="8"/>
      <c r="H1850" s="8"/>
      <c r="I1850" s="8"/>
      <c r="J1850" s="8"/>
      <c r="K1850" s="8"/>
      <c r="L1850" s="8"/>
      <c r="M1850" s="8"/>
      <c r="N1850" s="8"/>
      <c r="O1850" s="8"/>
      <c r="P1850" s="8"/>
      <c r="Q1850" s="8"/>
      <c r="R1850" s="8"/>
      <c r="S1850" s="8"/>
      <c r="T1850" s="8"/>
      <c r="U1850" s="8"/>
      <c r="V1850" s="8"/>
      <c r="W1850" s="8"/>
    </row>
    <row r="1851" spans="1:23" ht="15.75" customHeight="1" x14ac:dyDescent="0.25">
      <c r="A1851" s="6" t="s">
        <v>3225</v>
      </c>
      <c r="B1851" s="8"/>
      <c r="C1851" s="8"/>
      <c r="D1851" s="8"/>
      <c r="E1851" s="8"/>
      <c r="F1851" s="8"/>
      <c r="G1851" s="8"/>
      <c r="H1851" s="8"/>
      <c r="I1851" s="8"/>
      <c r="J1851" s="8"/>
      <c r="K1851" s="8"/>
      <c r="L1851" s="8"/>
      <c r="M1851" s="8"/>
      <c r="N1851" s="8"/>
      <c r="O1851" s="8"/>
      <c r="P1851" s="8"/>
      <c r="Q1851" s="8"/>
      <c r="R1851" s="8"/>
      <c r="S1851" s="8"/>
      <c r="T1851" s="8"/>
      <c r="U1851" s="8"/>
      <c r="V1851" s="8"/>
      <c r="W1851" s="8"/>
    </row>
    <row r="1852" spans="1:23" ht="15.75" customHeight="1" x14ac:dyDescent="0.25">
      <c r="A1852" s="6" t="s">
        <v>3225</v>
      </c>
      <c r="B1852" s="8"/>
      <c r="C1852" s="8"/>
      <c r="D1852" s="8"/>
      <c r="E1852" s="8"/>
      <c r="F1852" s="8"/>
      <c r="G1852" s="8"/>
      <c r="H1852" s="8"/>
      <c r="I1852" s="8"/>
      <c r="J1852" s="8"/>
      <c r="K1852" s="8"/>
      <c r="L1852" s="8"/>
      <c r="M1852" s="8"/>
      <c r="N1852" s="8"/>
      <c r="O1852" s="8"/>
      <c r="P1852" s="8"/>
      <c r="Q1852" s="8"/>
      <c r="R1852" s="8"/>
      <c r="S1852" s="8"/>
      <c r="T1852" s="8"/>
      <c r="U1852" s="8"/>
      <c r="V1852" s="8"/>
      <c r="W1852" s="8"/>
    </row>
    <row r="1853" spans="1:23" ht="15.75" customHeight="1" x14ac:dyDescent="0.25">
      <c r="A1853" s="6" t="s">
        <v>3225</v>
      </c>
      <c r="B1853" s="8"/>
      <c r="C1853" s="8"/>
      <c r="D1853" s="8"/>
      <c r="E1853" s="8"/>
      <c r="F1853" s="8"/>
      <c r="G1853" s="8"/>
      <c r="H1853" s="8"/>
      <c r="I1853" s="8"/>
      <c r="J1853" s="8"/>
      <c r="K1853" s="8"/>
      <c r="L1853" s="8"/>
      <c r="M1853" s="8"/>
      <c r="N1853" s="8"/>
      <c r="O1853" s="8"/>
      <c r="P1853" s="8"/>
      <c r="Q1853" s="8"/>
      <c r="R1853" s="8"/>
      <c r="S1853" s="8"/>
      <c r="T1853" s="8"/>
      <c r="U1853" s="8"/>
      <c r="V1853" s="8"/>
      <c r="W1853" s="8"/>
    </row>
    <row r="1854" spans="1:23" ht="15.75" customHeight="1" x14ac:dyDescent="0.25">
      <c r="A1854" s="6" t="s">
        <v>3225</v>
      </c>
      <c r="B1854" s="8"/>
      <c r="C1854" s="8"/>
      <c r="D1854" s="8"/>
      <c r="E1854" s="8"/>
      <c r="F1854" s="8"/>
      <c r="G1854" s="8"/>
      <c r="H1854" s="8"/>
      <c r="I1854" s="8"/>
      <c r="J1854" s="8"/>
      <c r="K1854" s="8"/>
      <c r="L1854" s="8"/>
      <c r="M1854" s="8"/>
      <c r="N1854" s="8"/>
      <c r="O1854" s="8"/>
      <c r="P1854" s="8"/>
      <c r="Q1854" s="8"/>
      <c r="R1854" s="8"/>
      <c r="S1854" s="8"/>
      <c r="T1854" s="8"/>
      <c r="U1854" s="8"/>
      <c r="V1854" s="8"/>
      <c r="W1854" s="8"/>
    </row>
    <row r="1855" spans="1:23" ht="15.75" customHeight="1" x14ac:dyDescent="0.25">
      <c r="A1855" s="6" t="s">
        <v>3225</v>
      </c>
      <c r="B1855" s="8"/>
      <c r="C1855" s="8"/>
      <c r="D1855" s="8"/>
      <c r="E1855" s="8"/>
      <c r="F1855" s="8"/>
      <c r="G1855" s="8"/>
      <c r="H1855" s="8"/>
      <c r="I1855" s="8"/>
      <c r="J1855" s="8"/>
      <c r="K1855" s="8"/>
      <c r="L1855" s="8"/>
      <c r="M1855" s="8"/>
      <c r="N1855" s="8"/>
      <c r="O1855" s="8"/>
      <c r="P1855" s="8"/>
      <c r="Q1855" s="8"/>
      <c r="R1855" s="8"/>
      <c r="S1855" s="8"/>
      <c r="T1855" s="8"/>
      <c r="U1855" s="8"/>
      <c r="V1855" s="8"/>
      <c r="W1855" s="8"/>
    </row>
    <row r="1856" spans="1:23" ht="15.75" customHeight="1" x14ac:dyDescent="0.25">
      <c r="A1856" s="6" t="s">
        <v>3225</v>
      </c>
      <c r="B1856" s="8"/>
      <c r="C1856" s="8"/>
      <c r="D1856" s="8"/>
      <c r="E1856" s="8"/>
      <c r="F1856" s="8"/>
      <c r="G1856" s="8"/>
      <c r="H1856" s="8"/>
      <c r="I1856" s="8"/>
      <c r="J1856" s="8"/>
      <c r="K1856" s="8"/>
      <c r="L1856" s="8"/>
      <c r="M1856" s="8"/>
      <c r="N1856" s="8"/>
      <c r="O1856" s="8"/>
      <c r="P1856" s="8"/>
      <c r="Q1856" s="8"/>
      <c r="R1856" s="8"/>
      <c r="S1856" s="8"/>
      <c r="T1856" s="8"/>
      <c r="U1856" s="8"/>
      <c r="V1856" s="8"/>
      <c r="W1856" s="8"/>
    </row>
    <row r="1857" spans="1:23" ht="15.75" customHeight="1" x14ac:dyDescent="0.25">
      <c r="A1857" s="6" t="s">
        <v>3225</v>
      </c>
      <c r="B1857" s="8"/>
      <c r="C1857" s="8"/>
      <c r="D1857" s="8"/>
      <c r="E1857" s="8"/>
      <c r="F1857" s="8"/>
      <c r="G1857" s="8"/>
      <c r="H1857" s="8"/>
      <c r="I1857" s="8"/>
      <c r="J1857" s="8"/>
      <c r="K1857" s="8"/>
      <c r="L1857" s="8"/>
      <c r="M1857" s="8"/>
      <c r="N1857" s="8"/>
      <c r="O1857" s="8"/>
      <c r="P1857" s="8"/>
      <c r="Q1857" s="8"/>
      <c r="R1857" s="8"/>
      <c r="S1857" s="8"/>
      <c r="T1857" s="8"/>
      <c r="U1857" s="8"/>
      <c r="V1857" s="8"/>
      <c r="W1857" s="8"/>
    </row>
    <row r="1858" spans="1:23" ht="15.75" customHeight="1" x14ac:dyDescent="0.25">
      <c r="A1858" s="6" t="s">
        <v>3225</v>
      </c>
      <c r="B1858" s="8"/>
      <c r="C1858" s="8"/>
      <c r="D1858" s="8"/>
      <c r="E1858" s="8"/>
      <c r="F1858" s="8"/>
      <c r="G1858" s="8"/>
      <c r="H1858" s="8"/>
      <c r="I1858" s="8"/>
      <c r="J1858" s="8"/>
      <c r="K1858" s="8"/>
      <c r="L1858" s="8"/>
      <c r="M1858" s="8"/>
      <c r="N1858" s="8"/>
      <c r="O1858" s="8"/>
      <c r="P1858" s="8"/>
      <c r="Q1858" s="8"/>
      <c r="R1858" s="8"/>
      <c r="S1858" s="8"/>
      <c r="T1858" s="8"/>
      <c r="U1858" s="8"/>
      <c r="V1858" s="8"/>
      <c r="W1858" s="8"/>
    </row>
    <row r="1859" spans="1:23" ht="15.75" customHeight="1" x14ac:dyDescent="0.25">
      <c r="A1859" s="6" t="s">
        <v>3225</v>
      </c>
      <c r="B1859" s="8"/>
      <c r="C1859" s="8"/>
      <c r="D1859" s="8"/>
      <c r="E1859" s="8"/>
      <c r="F1859" s="8"/>
      <c r="G1859" s="8"/>
      <c r="H1859" s="8"/>
      <c r="I1859" s="8"/>
      <c r="J1859" s="8"/>
      <c r="K1859" s="8"/>
      <c r="L1859" s="8"/>
      <c r="M1859" s="8"/>
      <c r="N1859" s="8"/>
      <c r="O1859" s="8"/>
      <c r="P1859" s="8"/>
      <c r="Q1859" s="8"/>
      <c r="R1859" s="8"/>
      <c r="S1859" s="8"/>
      <c r="T1859" s="8"/>
      <c r="U1859" s="8"/>
      <c r="V1859" s="8"/>
      <c r="W1859" s="8"/>
    </row>
    <row r="1860" spans="1:23" ht="15.75" customHeight="1" x14ac:dyDescent="0.25">
      <c r="A1860" s="6" t="s">
        <v>3225</v>
      </c>
      <c r="B1860" s="8"/>
      <c r="C1860" s="8"/>
      <c r="D1860" s="8"/>
      <c r="E1860" s="8"/>
      <c r="F1860" s="8"/>
      <c r="G1860" s="8"/>
      <c r="H1860" s="8"/>
      <c r="I1860" s="8"/>
      <c r="J1860" s="8"/>
      <c r="K1860" s="8"/>
      <c r="L1860" s="8"/>
      <c r="M1860" s="8"/>
      <c r="N1860" s="8"/>
      <c r="O1860" s="8"/>
      <c r="P1860" s="8"/>
      <c r="Q1860" s="8"/>
      <c r="R1860" s="8"/>
      <c r="S1860" s="8"/>
      <c r="T1860" s="8"/>
      <c r="U1860" s="8"/>
      <c r="V1860" s="8"/>
      <c r="W1860" s="8"/>
    </row>
    <row r="1861" spans="1:23" ht="15.75" customHeight="1" x14ac:dyDescent="0.25">
      <c r="A1861" s="6" t="s">
        <v>3225</v>
      </c>
      <c r="B1861" s="8"/>
      <c r="C1861" s="8"/>
      <c r="D1861" s="8"/>
      <c r="E1861" s="8"/>
      <c r="F1861" s="8"/>
      <c r="G1861" s="8"/>
      <c r="H1861" s="8"/>
      <c r="I1861" s="8"/>
      <c r="J1861" s="8"/>
      <c r="K1861" s="8"/>
      <c r="L1861" s="8"/>
      <c r="M1861" s="8"/>
      <c r="N1861" s="8"/>
      <c r="O1861" s="8"/>
      <c r="P1861" s="8"/>
      <c r="Q1861" s="8"/>
      <c r="R1861" s="8"/>
      <c r="S1861" s="8"/>
      <c r="T1861" s="8"/>
      <c r="U1861" s="8"/>
      <c r="V1861" s="8"/>
      <c r="W1861" s="8"/>
    </row>
    <row r="1862" spans="1:23" ht="15.75" customHeight="1" x14ac:dyDescent="0.25">
      <c r="A1862" s="6" t="s">
        <v>3225</v>
      </c>
      <c r="B1862" s="8"/>
      <c r="C1862" s="8"/>
      <c r="D1862" s="8"/>
      <c r="E1862" s="8"/>
      <c r="F1862" s="8"/>
      <c r="G1862" s="8"/>
      <c r="H1862" s="8"/>
      <c r="I1862" s="8"/>
      <c r="J1862" s="8"/>
      <c r="K1862" s="8"/>
      <c r="L1862" s="8"/>
      <c r="M1862" s="8"/>
      <c r="N1862" s="8"/>
      <c r="O1862" s="8"/>
      <c r="P1862" s="8"/>
      <c r="Q1862" s="8"/>
      <c r="R1862" s="8"/>
      <c r="S1862" s="8"/>
      <c r="T1862" s="8"/>
      <c r="U1862" s="8"/>
      <c r="V1862" s="8"/>
      <c r="W1862" s="8"/>
    </row>
    <row r="1863" spans="1:23" ht="15.75" customHeight="1" x14ac:dyDescent="0.25">
      <c r="A1863" s="6" t="s">
        <v>3225</v>
      </c>
      <c r="B1863" s="8"/>
      <c r="C1863" s="8"/>
      <c r="D1863" s="8"/>
      <c r="E1863" s="8"/>
      <c r="F1863" s="8"/>
      <c r="G1863" s="8"/>
      <c r="H1863" s="8"/>
      <c r="I1863" s="8"/>
      <c r="J1863" s="8"/>
      <c r="K1863" s="8"/>
      <c r="L1863" s="8"/>
      <c r="M1863" s="8"/>
      <c r="N1863" s="8"/>
      <c r="O1863" s="8"/>
      <c r="P1863" s="8"/>
      <c r="Q1863" s="8"/>
      <c r="R1863" s="8"/>
      <c r="S1863" s="8"/>
      <c r="T1863" s="8"/>
      <c r="U1863" s="8"/>
      <c r="V1863" s="8"/>
      <c r="W1863" s="8"/>
    </row>
    <row r="1864" spans="1:23" ht="15.75" customHeight="1" x14ac:dyDescent="0.25">
      <c r="A1864" s="6" t="s">
        <v>3225</v>
      </c>
      <c r="B1864" s="8"/>
      <c r="C1864" s="8"/>
      <c r="D1864" s="8"/>
      <c r="E1864" s="8"/>
      <c r="F1864" s="8"/>
      <c r="G1864" s="8"/>
      <c r="H1864" s="8"/>
      <c r="I1864" s="8"/>
      <c r="J1864" s="8"/>
      <c r="K1864" s="8"/>
      <c r="L1864" s="8"/>
      <c r="M1864" s="8"/>
      <c r="N1864" s="8"/>
      <c r="O1864" s="8"/>
      <c r="P1864" s="8"/>
      <c r="Q1864" s="8"/>
      <c r="R1864" s="8"/>
      <c r="S1864" s="8"/>
      <c r="T1864" s="8"/>
      <c r="U1864" s="8"/>
      <c r="V1864" s="8"/>
      <c r="W1864" s="8"/>
    </row>
    <row r="1865" spans="1:23" ht="15.75" customHeight="1" x14ac:dyDescent="0.25">
      <c r="A1865" s="6" t="s">
        <v>3225</v>
      </c>
      <c r="B1865" s="8"/>
      <c r="C1865" s="8"/>
      <c r="D1865" s="8"/>
      <c r="E1865" s="8"/>
      <c r="F1865" s="8"/>
      <c r="G1865" s="8"/>
      <c r="H1865" s="8"/>
      <c r="I1865" s="8"/>
      <c r="J1865" s="8"/>
      <c r="K1865" s="8"/>
      <c r="L1865" s="8"/>
      <c r="M1865" s="8"/>
      <c r="N1865" s="8"/>
      <c r="O1865" s="8"/>
      <c r="P1865" s="8"/>
      <c r="Q1865" s="8"/>
      <c r="R1865" s="8"/>
      <c r="S1865" s="8"/>
      <c r="T1865" s="8"/>
      <c r="U1865" s="8"/>
      <c r="V1865" s="8"/>
      <c r="W1865" s="8"/>
    </row>
    <row r="1866" spans="1:23" ht="15.75" customHeight="1" x14ac:dyDescent="0.25">
      <c r="A1866" s="6" t="s">
        <v>3225</v>
      </c>
      <c r="B1866" s="8"/>
      <c r="C1866" s="8"/>
      <c r="D1866" s="8"/>
      <c r="E1866" s="8"/>
      <c r="F1866" s="8"/>
      <c r="G1866" s="8"/>
      <c r="H1866" s="8"/>
      <c r="I1866" s="8"/>
      <c r="J1866" s="8"/>
      <c r="K1866" s="8"/>
      <c r="L1866" s="8"/>
      <c r="M1866" s="8"/>
      <c r="N1866" s="8"/>
      <c r="O1866" s="8"/>
      <c r="P1866" s="8"/>
      <c r="Q1866" s="8"/>
      <c r="R1866" s="8"/>
      <c r="S1866" s="8"/>
      <c r="T1866" s="8"/>
      <c r="U1866" s="8"/>
      <c r="V1866" s="8"/>
      <c r="W1866" s="8"/>
    </row>
    <row r="1867" spans="1:23" ht="15.75" customHeight="1" x14ac:dyDescent="0.25">
      <c r="A1867" s="6" t="s">
        <v>3225</v>
      </c>
      <c r="B1867" s="8"/>
      <c r="C1867" s="8"/>
      <c r="D1867" s="8"/>
      <c r="E1867" s="8"/>
      <c r="F1867" s="8"/>
      <c r="G1867" s="8"/>
      <c r="H1867" s="8"/>
      <c r="I1867" s="8"/>
      <c r="J1867" s="8"/>
      <c r="K1867" s="8"/>
      <c r="L1867" s="8"/>
      <c r="M1867" s="8"/>
      <c r="N1867" s="8"/>
      <c r="O1867" s="8"/>
      <c r="P1867" s="8"/>
      <c r="Q1867" s="8"/>
      <c r="R1867" s="8"/>
      <c r="S1867" s="8"/>
      <c r="T1867" s="8"/>
      <c r="U1867" s="8"/>
      <c r="V1867" s="8"/>
      <c r="W1867" s="8"/>
    </row>
    <row r="1868" spans="1:23" ht="15.75" customHeight="1" x14ac:dyDescent="0.25">
      <c r="A1868" s="6" t="s">
        <v>3225</v>
      </c>
      <c r="B1868" s="8"/>
      <c r="C1868" s="8"/>
      <c r="D1868" s="8"/>
      <c r="E1868" s="8"/>
      <c r="F1868" s="8"/>
      <c r="G1868" s="8"/>
      <c r="H1868" s="8"/>
      <c r="I1868" s="8"/>
      <c r="J1868" s="8"/>
      <c r="K1868" s="8"/>
      <c r="L1868" s="8"/>
      <c r="M1868" s="8"/>
      <c r="N1868" s="8"/>
      <c r="O1868" s="8"/>
      <c r="P1868" s="8"/>
      <c r="Q1868" s="8"/>
      <c r="R1868" s="8"/>
      <c r="S1868" s="8"/>
      <c r="T1868" s="8"/>
      <c r="U1868" s="8"/>
      <c r="V1868" s="8"/>
      <c r="W1868" s="8"/>
    </row>
    <row r="1869" spans="1:23" ht="15.75" customHeight="1" x14ac:dyDescent="0.25">
      <c r="A1869" s="6" t="s">
        <v>3225</v>
      </c>
      <c r="B1869" s="8"/>
      <c r="C1869" s="8"/>
      <c r="D1869" s="8"/>
      <c r="E1869" s="8"/>
      <c r="F1869" s="8"/>
      <c r="G1869" s="8"/>
      <c r="H1869" s="8"/>
      <c r="I1869" s="8"/>
      <c r="J1869" s="8"/>
      <c r="K1869" s="8"/>
      <c r="L1869" s="8"/>
      <c r="M1869" s="8"/>
      <c r="N1869" s="8"/>
      <c r="O1869" s="8"/>
      <c r="P1869" s="8"/>
      <c r="Q1869" s="8"/>
      <c r="R1869" s="8"/>
      <c r="S1869" s="8"/>
      <c r="T1869" s="8"/>
      <c r="U1869" s="8"/>
      <c r="V1869" s="8"/>
      <c r="W1869" s="8"/>
    </row>
    <row r="1870" spans="1:23" ht="15.75" customHeight="1" x14ac:dyDescent="0.25">
      <c r="A1870" s="6" t="s">
        <v>3225</v>
      </c>
      <c r="B1870" s="8"/>
      <c r="C1870" s="8"/>
      <c r="D1870" s="8"/>
      <c r="E1870" s="8"/>
      <c r="F1870" s="8"/>
      <c r="G1870" s="8"/>
      <c r="H1870" s="8"/>
      <c r="I1870" s="8"/>
      <c r="J1870" s="8"/>
      <c r="K1870" s="8"/>
      <c r="L1870" s="8"/>
      <c r="M1870" s="8"/>
      <c r="N1870" s="8"/>
      <c r="O1870" s="8"/>
      <c r="P1870" s="8"/>
      <c r="Q1870" s="8"/>
      <c r="R1870" s="8"/>
      <c r="S1870" s="8"/>
      <c r="T1870" s="8"/>
      <c r="U1870" s="8"/>
      <c r="V1870" s="8"/>
      <c r="W1870" s="8"/>
    </row>
    <row r="1871" spans="1:23" ht="15.75" customHeight="1" x14ac:dyDescent="0.25">
      <c r="A1871" s="6" t="s">
        <v>3225</v>
      </c>
      <c r="B1871" s="8"/>
      <c r="C1871" s="8"/>
      <c r="D1871" s="8"/>
      <c r="E1871" s="8"/>
      <c r="F1871" s="8"/>
      <c r="G1871" s="8"/>
      <c r="H1871" s="8"/>
      <c r="I1871" s="8"/>
      <c r="J1871" s="8"/>
      <c r="K1871" s="8"/>
      <c r="L1871" s="8"/>
      <c r="M1871" s="8"/>
      <c r="N1871" s="8"/>
      <c r="O1871" s="8"/>
      <c r="P1871" s="8"/>
      <c r="Q1871" s="8"/>
      <c r="R1871" s="8"/>
      <c r="S1871" s="8"/>
      <c r="T1871" s="8"/>
      <c r="U1871" s="8"/>
      <c r="V1871" s="8"/>
      <c r="W1871" s="8"/>
    </row>
    <row r="1872" spans="1:23" ht="15.75" customHeight="1" x14ac:dyDescent="0.25">
      <c r="A1872" s="6" t="s">
        <v>3225</v>
      </c>
      <c r="B1872" s="8"/>
      <c r="C1872" s="8"/>
      <c r="D1872" s="8"/>
      <c r="E1872" s="8"/>
      <c r="F1872" s="8"/>
      <c r="G1872" s="8"/>
      <c r="H1872" s="8"/>
      <c r="I1872" s="8"/>
      <c r="J1872" s="8"/>
      <c r="K1872" s="8"/>
      <c r="L1872" s="8"/>
      <c r="M1872" s="8"/>
      <c r="N1872" s="8"/>
      <c r="O1872" s="8"/>
      <c r="P1872" s="8"/>
      <c r="Q1872" s="8"/>
      <c r="R1872" s="8"/>
      <c r="S1872" s="8"/>
      <c r="T1872" s="8"/>
      <c r="U1872" s="8"/>
      <c r="V1872" s="8"/>
      <c r="W1872" s="8"/>
    </row>
    <row r="1873" spans="1:23" ht="15.75" customHeight="1" x14ac:dyDescent="0.25">
      <c r="A1873" s="6" t="s">
        <v>3225</v>
      </c>
      <c r="B1873" s="8"/>
      <c r="C1873" s="8"/>
      <c r="D1873" s="8"/>
      <c r="E1873" s="8"/>
      <c r="F1873" s="8"/>
      <c r="G1873" s="8"/>
      <c r="H1873" s="8"/>
      <c r="I1873" s="8"/>
      <c r="J1873" s="8"/>
      <c r="K1873" s="8"/>
      <c r="L1873" s="8"/>
      <c r="M1873" s="8"/>
      <c r="N1873" s="8"/>
      <c r="O1873" s="8"/>
      <c r="P1873" s="8"/>
      <c r="Q1873" s="8"/>
      <c r="R1873" s="8"/>
      <c r="S1873" s="8"/>
      <c r="T1873" s="8"/>
      <c r="U1873" s="8"/>
      <c r="V1873" s="8"/>
      <c r="W1873" s="8"/>
    </row>
    <row r="1874" spans="1:23" ht="15.75" customHeight="1" x14ac:dyDescent="0.25">
      <c r="A1874" s="6" t="s">
        <v>3225</v>
      </c>
      <c r="B1874" s="8"/>
      <c r="C1874" s="8"/>
      <c r="D1874" s="8"/>
      <c r="E1874" s="8"/>
      <c r="F1874" s="8"/>
      <c r="G1874" s="8"/>
      <c r="H1874" s="8"/>
      <c r="I1874" s="8"/>
      <c r="J1874" s="8"/>
      <c r="K1874" s="8"/>
      <c r="L1874" s="8"/>
      <c r="M1874" s="8"/>
      <c r="N1874" s="8"/>
      <c r="O1874" s="8"/>
      <c r="P1874" s="8"/>
      <c r="Q1874" s="8"/>
      <c r="R1874" s="8"/>
      <c r="S1874" s="8"/>
      <c r="T1874" s="8"/>
      <c r="U1874" s="8"/>
      <c r="V1874" s="8"/>
      <c r="W1874" s="8"/>
    </row>
    <row r="1875" spans="1:23" ht="15.75" customHeight="1" x14ac:dyDescent="0.25">
      <c r="A1875" s="6" t="s">
        <v>3225</v>
      </c>
      <c r="B1875" s="8"/>
      <c r="C1875" s="8"/>
      <c r="D1875" s="8"/>
      <c r="E1875" s="8"/>
      <c r="F1875" s="8"/>
      <c r="G1875" s="8"/>
      <c r="H1875" s="8"/>
      <c r="I1875" s="8"/>
      <c r="J1875" s="8"/>
      <c r="K1875" s="8"/>
      <c r="L1875" s="8"/>
      <c r="M1875" s="8"/>
      <c r="N1875" s="8"/>
      <c r="O1875" s="8"/>
      <c r="P1875" s="8"/>
      <c r="Q1875" s="8"/>
      <c r="R1875" s="8"/>
      <c r="S1875" s="8"/>
      <c r="T1875" s="8"/>
      <c r="U1875" s="8"/>
      <c r="V1875" s="8"/>
      <c r="W1875" s="8"/>
    </row>
    <row r="1876" spans="1:23" ht="15.75" customHeight="1" x14ac:dyDescent="0.25">
      <c r="A1876" s="8" t="s">
        <v>3225</v>
      </c>
      <c r="B1876" s="8"/>
      <c r="C1876" s="8"/>
      <c r="D1876" s="8"/>
      <c r="E1876" s="8"/>
      <c r="F1876" s="8"/>
      <c r="G1876" s="8"/>
      <c r="H1876" s="8"/>
      <c r="I1876" s="8"/>
      <c r="J1876" s="8"/>
      <c r="K1876" s="8"/>
      <c r="L1876" s="8"/>
      <c r="M1876" s="8"/>
      <c r="N1876" s="8"/>
      <c r="O1876" s="8"/>
      <c r="P1876" s="8"/>
      <c r="Q1876" s="8"/>
      <c r="R1876" s="8"/>
      <c r="S1876" s="8"/>
      <c r="T1876" s="8"/>
      <c r="U1876" s="8"/>
      <c r="V1876" s="8"/>
      <c r="W1876" s="8"/>
    </row>
    <row r="1877" spans="1:23" ht="15.75" customHeight="1" x14ac:dyDescent="0.25">
      <c r="A1877" s="6" t="s">
        <v>3225</v>
      </c>
      <c r="B1877" s="8"/>
      <c r="C1877" s="8"/>
      <c r="D1877" s="8"/>
      <c r="E1877" s="8"/>
      <c r="F1877" s="8"/>
      <c r="G1877" s="8"/>
      <c r="H1877" s="8"/>
      <c r="I1877" s="8"/>
      <c r="J1877" s="8"/>
      <c r="K1877" s="8"/>
      <c r="L1877" s="8"/>
      <c r="M1877" s="8"/>
      <c r="N1877" s="8"/>
      <c r="O1877" s="8"/>
      <c r="P1877" s="8"/>
      <c r="Q1877" s="8"/>
      <c r="R1877" s="8"/>
      <c r="S1877" s="8"/>
      <c r="T1877" s="8"/>
      <c r="U1877" s="8"/>
      <c r="V1877" s="8"/>
      <c r="W1877" s="8"/>
    </row>
    <row r="1878" spans="1:23" ht="15.75" customHeight="1" x14ac:dyDescent="0.25">
      <c r="A1878" s="6" t="s">
        <v>3225</v>
      </c>
      <c r="B1878" s="8"/>
      <c r="C1878" s="8"/>
      <c r="D1878" s="8"/>
      <c r="E1878" s="8"/>
      <c r="F1878" s="8"/>
      <c r="G1878" s="8"/>
      <c r="H1878" s="8"/>
      <c r="I1878" s="8"/>
      <c r="J1878" s="8"/>
      <c r="K1878" s="8"/>
      <c r="L1878" s="8"/>
      <c r="M1878" s="8"/>
      <c r="N1878" s="8"/>
      <c r="O1878" s="8"/>
      <c r="P1878" s="8"/>
      <c r="Q1878" s="8"/>
      <c r="R1878" s="8"/>
      <c r="S1878" s="8"/>
      <c r="T1878" s="8"/>
      <c r="U1878" s="8"/>
      <c r="V1878" s="8"/>
      <c r="W1878" s="8"/>
    </row>
    <row r="1879" spans="1:23" ht="15.75" customHeight="1" x14ac:dyDescent="0.25">
      <c r="A1879" s="6" t="s">
        <v>3225</v>
      </c>
      <c r="B1879" s="8"/>
      <c r="C1879" s="8"/>
      <c r="D1879" s="8"/>
      <c r="E1879" s="8"/>
      <c r="F1879" s="8"/>
      <c r="G1879" s="8"/>
      <c r="H1879" s="8"/>
      <c r="I1879" s="8"/>
      <c r="J1879" s="8"/>
      <c r="K1879" s="8"/>
      <c r="L1879" s="8"/>
      <c r="M1879" s="8"/>
      <c r="N1879" s="8"/>
      <c r="O1879" s="8"/>
      <c r="P1879" s="8"/>
      <c r="Q1879" s="8"/>
      <c r="R1879" s="8"/>
      <c r="S1879" s="8"/>
      <c r="T1879" s="8"/>
      <c r="U1879" s="8"/>
      <c r="V1879" s="8"/>
      <c r="W1879" s="8"/>
    </row>
    <row r="1880" spans="1:23" ht="15.75" customHeight="1" x14ac:dyDescent="0.25">
      <c r="A1880" s="6" t="s">
        <v>3225</v>
      </c>
      <c r="B1880" s="8"/>
      <c r="C1880" s="8"/>
      <c r="D1880" s="8"/>
      <c r="E1880" s="8"/>
      <c r="F1880" s="8"/>
      <c r="G1880" s="8"/>
      <c r="H1880" s="8"/>
      <c r="I1880" s="8"/>
      <c r="J1880" s="8"/>
      <c r="K1880" s="8"/>
      <c r="L1880" s="8"/>
      <c r="M1880" s="8"/>
      <c r="N1880" s="8"/>
      <c r="O1880" s="8"/>
      <c r="P1880" s="8"/>
      <c r="Q1880" s="8"/>
      <c r="R1880" s="8"/>
      <c r="S1880" s="8"/>
      <c r="T1880" s="8"/>
      <c r="U1880" s="8"/>
      <c r="V1880" s="8"/>
      <c r="W1880" s="8"/>
    </row>
    <row r="1881" spans="1:23" ht="15.75" customHeight="1" x14ac:dyDescent="0.25">
      <c r="A1881" s="6" t="s">
        <v>3932</v>
      </c>
      <c r="B1881" s="8"/>
      <c r="C1881" s="8"/>
      <c r="D1881" s="8"/>
      <c r="E1881" s="8"/>
      <c r="F1881" s="8"/>
      <c r="G1881" s="8"/>
      <c r="H1881" s="8"/>
      <c r="I1881" s="8"/>
      <c r="J1881" s="8"/>
      <c r="K1881" s="8"/>
      <c r="L1881" s="8"/>
      <c r="M1881" s="8"/>
      <c r="N1881" s="8"/>
      <c r="O1881" s="8"/>
      <c r="P1881" s="8"/>
      <c r="Q1881" s="8"/>
      <c r="R1881" s="8"/>
      <c r="S1881" s="8"/>
      <c r="T1881" s="8"/>
      <c r="U1881" s="8"/>
      <c r="V1881" s="8"/>
      <c r="W1881" s="8"/>
    </row>
    <row r="1882" spans="1:23" ht="15.75" customHeight="1" x14ac:dyDescent="0.25">
      <c r="A1882" s="6" t="s">
        <v>3932</v>
      </c>
      <c r="B1882" s="8"/>
      <c r="C1882" s="8"/>
      <c r="D1882" s="8"/>
      <c r="E1882" s="8"/>
      <c r="F1882" s="8"/>
      <c r="G1882" s="8"/>
      <c r="H1882" s="8"/>
      <c r="I1882" s="8"/>
      <c r="J1882" s="8"/>
      <c r="K1882" s="8"/>
      <c r="L1882" s="8"/>
      <c r="M1882" s="8"/>
      <c r="N1882" s="8"/>
      <c r="O1882" s="8"/>
      <c r="P1882" s="8"/>
      <c r="Q1882" s="8"/>
      <c r="R1882" s="8"/>
      <c r="S1882" s="8"/>
      <c r="T1882" s="8"/>
      <c r="U1882" s="8"/>
      <c r="V1882" s="8"/>
      <c r="W1882" s="8"/>
    </row>
    <row r="1883" spans="1:23" ht="15.75" customHeight="1" x14ac:dyDescent="0.25">
      <c r="A1883" s="6" t="s">
        <v>4257</v>
      </c>
      <c r="B1883" s="8"/>
      <c r="C1883" s="8"/>
      <c r="D1883" s="8"/>
      <c r="E1883" s="8"/>
      <c r="F1883" s="8"/>
      <c r="G1883" s="8"/>
      <c r="H1883" s="8"/>
      <c r="I1883" s="8"/>
      <c r="J1883" s="8"/>
      <c r="K1883" s="8"/>
      <c r="L1883" s="8"/>
      <c r="M1883" s="8"/>
      <c r="N1883" s="8"/>
      <c r="O1883" s="8"/>
      <c r="P1883" s="8"/>
      <c r="Q1883" s="8"/>
      <c r="R1883" s="8"/>
      <c r="S1883" s="8"/>
      <c r="T1883" s="8"/>
      <c r="U1883" s="8"/>
      <c r="V1883" s="8"/>
      <c r="W1883" s="8"/>
    </row>
    <row r="1884" spans="1:23" ht="15.75" customHeight="1" x14ac:dyDescent="0.25">
      <c r="A1884" s="6" t="s">
        <v>4258</v>
      </c>
      <c r="B1884" s="8"/>
      <c r="C1884" s="8"/>
      <c r="D1884" s="8"/>
      <c r="E1884" s="8"/>
      <c r="F1884" s="8"/>
      <c r="G1884" s="8"/>
      <c r="H1884" s="8"/>
      <c r="I1884" s="8"/>
      <c r="J1884" s="8"/>
      <c r="K1884" s="8"/>
      <c r="L1884" s="8"/>
      <c r="M1884" s="8"/>
      <c r="N1884" s="8"/>
      <c r="O1884" s="8"/>
      <c r="P1884" s="8"/>
      <c r="Q1884" s="8"/>
      <c r="R1884" s="8"/>
      <c r="S1884" s="8"/>
      <c r="T1884" s="8"/>
      <c r="U1884" s="8"/>
      <c r="V1884" s="8"/>
      <c r="W1884" s="8"/>
    </row>
    <row r="1885" spans="1:23" ht="15.75" customHeight="1" x14ac:dyDescent="0.25">
      <c r="A1885" s="6" t="s">
        <v>3361</v>
      </c>
      <c r="B1885" s="8"/>
      <c r="C1885" s="8"/>
      <c r="D1885" s="8"/>
      <c r="E1885" s="8"/>
      <c r="F1885" s="8"/>
      <c r="G1885" s="8"/>
      <c r="H1885" s="8"/>
      <c r="I1885" s="8"/>
      <c r="J1885" s="8"/>
      <c r="K1885" s="8"/>
      <c r="L1885" s="8"/>
      <c r="M1885" s="8"/>
      <c r="N1885" s="8"/>
      <c r="O1885" s="8"/>
      <c r="P1885" s="8"/>
      <c r="Q1885" s="8"/>
      <c r="R1885" s="8"/>
      <c r="S1885" s="8"/>
      <c r="T1885" s="8"/>
      <c r="U1885" s="8"/>
      <c r="V1885" s="8"/>
      <c r="W1885" s="8"/>
    </row>
    <row r="1886" spans="1:23" ht="15.75" customHeight="1" x14ac:dyDescent="0.25">
      <c r="A1886" s="6" t="s">
        <v>3361</v>
      </c>
      <c r="B1886" s="8"/>
      <c r="C1886" s="8"/>
      <c r="D1886" s="8"/>
      <c r="E1886" s="8"/>
      <c r="F1886" s="8"/>
      <c r="G1886" s="8"/>
      <c r="H1886" s="8"/>
      <c r="I1886" s="8"/>
      <c r="J1886" s="8"/>
      <c r="K1886" s="8"/>
      <c r="L1886" s="8"/>
      <c r="M1886" s="8"/>
      <c r="N1886" s="8"/>
      <c r="O1886" s="8"/>
      <c r="P1886" s="8"/>
      <c r="Q1886" s="8"/>
      <c r="R1886" s="8"/>
      <c r="S1886" s="8"/>
      <c r="T1886" s="8"/>
      <c r="U1886" s="8"/>
      <c r="V1886" s="8"/>
      <c r="W1886" s="8"/>
    </row>
    <row r="1887" spans="1:23" ht="15.75" customHeight="1" x14ac:dyDescent="0.25">
      <c r="A1887" s="6" t="s">
        <v>3361</v>
      </c>
      <c r="B1887" s="8"/>
      <c r="C1887" s="8"/>
      <c r="D1887" s="8"/>
      <c r="E1887" s="8"/>
      <c r="F1887" s="8"/>
      <c r="G1887" s="8"/>
      <c r="H1887" s="8"/>
      <c r="I1887" s="8"/>
      <c r="J1887" s="8"/>
      <c r="K1887" s="8"/>
      <c r="L1887" s="8"/>
      <c r="M1887" s="8"/>
      <c r="N1887" s="8"/>
      <c r="O1887" s="8"/>
      <c r="P1887" s="8"/>
      <c r="Q1887" s="8"/>
      <c r="R1887" s="8"/>
      <c r="S1887" s="8"/>
      <c r="T1887" s="8"/>
      <c r="U1887" s="8"/>
      <c r="V1887" s="8"/>
      <c r="W1887" s="8"/>
    </row>
    <row r="1888" spans="1:23" ht="15.75" customHeight="1" x14ac:dyDescent="0.25">
      <c r="A1888" s="6" t="s">
        <v>3361</v>
      </c>
      <c r="B1888" s="8"/>
      <c r="C1888" s="8"/>
      <c r="D1888" s="8"/>
      <c r="E1888" s="8"/>
      <c r="F1888" s="8"/>
      <c r="G1888" s="8"/>
      <c r="H1888" s="8"/>
      <c r="I1888" s="8"/>
      <c r="J1888" s="8"/>
      <c r="K1888" s="8"/>
      <c r="L1888" s="8"/>
      <c r="M1888" s="8"/>
      <c r="N1888" s="8"/>
      <c r="O1888" s="8"/>
      <c r="P1888" s="8"/>
      <c r="Q1888" s="8"/>
      <c r="R1888" s="8"/>
      <c r="S1888" s="8"/>
      <c r="T1888" s="8"/>
      <c r="U1888" s="8"/>
      <c r="V1888" s="8"/>
      <c r="W1888" s="8"/>
    </row>
    <row r="1889" spans="1:23" ht="15.75" customHeight="1" x14ac:dyDescent="0.25">
      <c r="A1889" s="6" t="s">
        <v>3361</v>
      </c>
      <c r="B1889" s="8"/>
      <c r="C1889" s="8"/>
      <c r="D1889" s="8"/>
      <c r="E1889" s="8"/>
      <c r="F1889" s="8"/>
      <c r="G1889" s="8"/>
      <c r="H1889" s="8"/>
      <c r="I1889" s="8"/>
      <c r="J1889" s="8"/>
      <c r="K1889" s="8"/>
      <c r="L1889" s="8"/>
      <c r="M1889" s="8"/>
      <c r="N1889" s="8"/>
      <c r="O1889" s="8"/>
      <c r="P1889" s="8"/>
      <c r="Q1889" s="8"/>
      <c r="R1889" s="8"/>
      <c r="S1889" s="8"/>
      <c r="T1889" s="8"/>
      <c r="U1889" s="8"/>
      <c r="V1889" s="8"/>
      <c r="W1889" s="8"/>
    </row>
    <row r="1890" spans="1:23" ht="15.75" customHeight="1" x14ac:dyDescent="0.25">
      <c r="A1890" s="6" t="s">
        <v>3361</v>
      </c>
      <c r="B1890" s="8"/>
      <c r="C1890" s="8"/>
      <c r="D1890" s="8"/>
      <c r="E1890" s="8"/>
      <c r="F1890" s="8"/>
      <c r="G1890" s="8"/>
      <c r="H1890" s="8"/>
      <c r="I1890" s="8"/>
      <c r="J1890" s="8"/>
      <c r="K1890" s="8"/>
      <c r="L1890" s="8"/>
      <c r="M1890" s="8"/>
      <c r="N1890" s="8"/>
      <c r="O1890" s="8"/>
      <c r="P1890" s="8"/>
      <c r="Q1890" s="8"/>
      <c r="R1890" s="8"/>
      <c r="S1890" s="8"/>
      <c r="T1890" s="8"/>
      <c r="U1890" s="8"/>
      <c r="V1890" s="8"/>
      <c r="W1890" s="8"/>
    </row>
    <row r="1891" spans="1:23" ht="15.75" customHeight="1" x14ac:dyDescent="0.25">
      <c r="A1891" s="6" t="s">
        <v>3361</v>
      </c>
      <c r="B1891" s="8"/>
      <c r="C1891" s="8"/>
      <c r="D1891" s="8"/>
      <c r="E1891" s="8"/>
      <c r="F1891" s="8"/>
      <c r="G1891" s="8"/>
      <c r="H1891" s="8"/>
      <c r="I1891" s="8"/>
      <c r="J1891" s="8"/>
      <c r="K1891" s="8"/>
      <c r="L1891" s="8"/>
      <c r="M1891" s="8"/>
      <c r="N1891" s="8"/>
      <c r="O1891" s="8"/>
      <c r="P1891" s="8"/>
      <c r="Q1891" s="8"/>
      <c r="R1891" s="8"/>
      <c r="S1891" s="8"/>
      <c r="T1891" s="8"/>
      <c r="U1891" s="8"/>
      <c r="V1891" s="8"/>
      <c r="W1891" s="8"/>
    </row>
    <row r="1892" spans="1:23" ht="15.75" customHeight="1" x14ac:dyDescent="0.25">
      <c r="A1892" s="6" t="s">
        <v>3361</v>
      </c>
      <c r="B1892" s="8"/>
      <c r="C1892" s="8"/>
      <c r="D1892" s="8"/>
      <c r="E1892" s="8"/>
      <c r="F1892" s="8"/>
      <c r="G1892" s="8"/>
      <c r="H1892" s="8"/>
      <c r="I1892" s="8"/>
      <c r="J1892" s="8"/>
      <c r="K1892" s="8"/>
      <c r="L1892" s="8"/>
      <c r="M1892" s="8"/>
      <c r="N1892" s="8"/>
      <c r="O1892" s="8"/>
      <c r="P1892" s="8"/>
      <c r="Q1892" s="8"/>
      <c r="R1892" s="8"/>
      <c r="S1892" s="8"/>
      <c r="T1892" s="8"/>
      <c r="U1892" s="8"/>
      <c r="V1892" s="8"/>
      <c r="W1892" s="8"/>
    </row>
    <row r="1893" spans="1:23" ht="15.75" customHeight="1" x14ac:dyDescent="0.25">
      <c r="A1893" s="6" t="s">
        <v>3361</v>
      </c>
      <c r="B1893" s="8"/>
      <c r="C1893" s="8"/>
      <c r="D1893" s="8"/>
      <c r="E1893" s="8"/>
      <c r="F1893" s="8"/>
      <c r="G1893" s="8"/>
      <c r="H1893" s="8"/>
      <c r="I1893" s="8"/>
      <c r="J1893" s="8"/>
      <c r="K1893" s="8"/>
      <c r="L1893" s="8"/>
      <c r="M1893" s="8"/>
      <c r="N1893" s="8"/>
      <c r="O1893" s="8"/>
      <c r="P1893" s="8"/>
      <c r="Q1893" s="8"/>
      <c r="R1893" s="8"/>
      <c r="S1893" s="8"/>
      <c r="T1893" s="8"/>
      <c r="U1893" s="8"/>
      <c r="V1893" s="8"/>
      <c r="W1893" s="8"/>
    </row>
    <row r="1894" spans="1:23" ht="15.75" customHeight="1" x14ac:dyDescent="0.25">
      <c r="A1894" s="6" t="s">
        <v>3361</v>
      </c>
      <c r="B1894" s="8"/>
      <c r="C1894" s="8"/>
      <c r="D1894" s="8"/>
      <c r="E1894" s="8"/>
      <c r="F1894" s="8"/>
      <c r="G1894" s="8"/>
      <c r="H1894" s="8"/>
      <c r="I1894" s="8"/>
      <c r="J1894" s="8"/>
      <c r="K1894" s="8"/>
      <c r="L1894" s="8"/>
      <c r="M1894" s="8"/>
      <c r="N1894" s="8"/>
      <c r="O1894" s="8"/>
      <c r="P1894" s="8"/>
      <c r="Q1894" s="8"/>
      <c r="R1894" s="8"/>
      <c r="S1894" s="8"/>
      <c r="T1894" s="8"/>
      <c r="U1894" s="8"/>
      <c r="V1894" s="8"/>
      <c r="W1894" s="8"/>
    </row>
    <row r="1895" spans="1:23" ht="15.75" customHeight="1" x14ac:dyDescent="0.25">
      <c r="A1895" s="6" t="s">
        <v>3361</v>
      </c>
      <c r="B1895" s="8"/>
      <c r="C1895" s="8"/>
      <c r="D1895" s="8"/>
      <c r="E1895" s="8"/>
      <c r="F1895" s="8"/>
      <c r="G1895" s="8"/>
      <c r="H1895" s="8"/>
      <c r="I1895" s="8"/>
      <c r="J1895" s="8"/>
      <c r="K1895" s="8"/>
      <c r="L1895" s="8"/>
      <c r="M1895" s="8"/>
      <c r="N1895" s="8"/>
      <c r="O1895" s="8"/>
      <c r="P1895" s="8"/>
      <c r="Q1895" s="8"/>
      <c r="R1895" s="8"/>
      <c r="S1895" s="8"/>
      <c r="T1895" s="8"/>
      <c r="U1895" s="8"/>
      <c r="V1895" s="8"/>
      <c r="W1895" s="8"/>
    </row>
    <row r="1896" spans="1:23" ht="15.75" customHeight="1" x14ac:dyDescent="0.25">
      <c r="A1896" s="6" t="s">
        <v>3361</v>
      </c>
      <c r="B1896" s="8"/>
      <c r="C1896" s="8"/>
      <c r="D1896" s="8"/>
      <c r="E1896" s="8"/>
      <c r="F1896" s="8"/>
      <c r="G1896" s="8"/>
      <c r="H1896" s="8"/>
      <c r="I1896" s="8"/>
      <c r="J1896" s="8"/>
      <c r="K1896" s="8"/>
      <c r="L1896" s="8"/>
      <c r="M1896" s="8"/>
      <c r="N1896" s="8"/>
      <c r="O1896" s="8"/>
      <c r="P1896" s="8"/>
      <c r="Q1896" s="8"/>
      <c r="R1896" s="8"/>
      <c r="S1896" s="8"/>
      <c r="T1896" s="8"/>
      <c r="U1896" s="8"/>
      <c r="V1896" s="8"/>
      <c r="W1896" s="8"/>
    </row>
    <row r="1897" spans="1:23" ht="15.75" customHeight="1" x14ac:dyDescent="0.25">
      <c r="A1897" s="6" t="s">
        <v>3383</v>
      </c>
      <c r="B1897" s="8"/>
      <c r="C1897" s="8"/>
      <c r="D1897" s="8"/>
      <c r="E1897" s="8"/>
      <c r="F1897" s="8"/>
      <c r="G1897" s="8"/>
      <c r="H1897" s="8"/>
      <c r="I1897" s="8"/>
      <c r="J1897" s="8"/>
      <c r="K1897" s="8"/>
      <c r="L1897" s="8"/>
      <c r="M1897" s="8"/>
      <c r="N1897" s="8"/>
      <c r="O1897" s="8"/>
      <c r="P1897" s="8"/>
      <c r="Q1897" s="8"/>
      <c r="R1897" s="8"/>
      <c r="S1897" s="8"/>
      <c r="T1897" s="8"/>
      <c r="U1897" s="8"/>
      <c r="V1897" s="8"/>
      <c r="W1897" s="8"/>
    </row>
    <row r="1898" spans="1:23" ht="15.75" customHeight="1" x14ac:dyDescent="0.25">
      <c r="A1898" s="6" t="s">
        <v>3383</v>
      </c>
      <c r="B1898" s="8"/>
      <c r="C1898" s="8"/>
      <c r="D1898" s="8"/>
      <c r="E1898" s="8"/>
      <c r="F1898" s="8"/>
      <c r="G1898" s="8"/>
      <c r="H1898" s="8"/>
      <c r="I1898" s="8"/>
      <c r="J1898" s="8"/>
      <c r="K1898" s="8"/>
      <c r="L1898" s="8"/>
      <c r="M1898" s="8"/>
      <c r="N1898" s="8"/>
      <c r="O1898" s="8"/>
      <c r="P1898" s="8"/>
      <c r="Q1898" s="8"/>
      <c r="R1898" s="8"/>
      <c r="S1898" s="8"/>
      <c r="T1898" s="8"/>
      <c r="U1898" s="8"/>
      <c r="V1898" s="8"/>
      <c r="W1898" s="8"/>
    </row>
    <row r="1899" spans="1:23" ht="15.75" customHeight="1" x14ac:dyDescent="0.25">
      <c r="A1899" s="6" t="s">
        <v>3383</v>
      </c>
      <c r="B1899" s="8"/>
      <c r="C1899" s="8"/>
      <c r="D1899" s="8"/>
      <c r="E1899" s="8"/>
      <c r="F1899" s="8"/>
      <c r="G1899" s="8"/>
      <c r="H1899" s="8"/>
      <c r="I1899" s="8"/>
      <c r="J1899" s="8"/>
      <c r="K1899" s="8"/>
      <c r="L1899" s="8"/>
      <c r="M1899" s="8"/>
      <c r="N1899" s="8"/>
      <c r="O1899" s="8"/>
      <c r="P1899" s="8"/>
      <c r="Q1899" s="8"/>
      <c r="R1899" s="8"/>
      <c r="S1899" s="8"/>
      <c r="T1899" s="8"/>
      <c r="U1899" s="8"/>
      <c r="V1899" s="8"/>
      <c r="W1899" s="8"/>
    </row>
    <row r="1900" spans="1:23" ht="15.75" customHeight="1" x14ac:dyDescent="0.25">
      <c r="A1900" s="6" t="s">
        <v>3383</v>
      </c>
      <c r="B1900" s="8"/>
      <c r="C1900" s="8"/>
      <c r="D1900" s="8"/>
      <c r="E1900" s="8"/>
      <c r="F1900" s="8"/>
      <c r="G1900" s="8"/>
      <c r="H1900" s="8"/>
      <c r="I1900" s="8"/>
      <c r="J1900" s="8"/>
      <c r="K1900" s="8"/>
      <c r="L1900" s="8"/>
      <c r="M1900" s="8"/>
      <c r="N1900" s="8"/>
      <c r="O1900" s="8"/>
      <c r="P1900" s="8"/>
      <c r="Q1900" s="8"/>
      <c r="R1900" s="8"/>
      <c r="S1900" s="8"/>
      <c r="T1900" s="8"/>
      <c r="U1900" s="8"/>
      <c r="V1900" s="8"/>
      <c r="W1900" s="8"/>
    </row>
    <row r="1901" spans="1:23" ht="15.75" customHeight="1" x14ac:dyDescent="0.25">
      <c r="A1901" s="8" t="s">
        <v>3383</v>
      </c>
      <c r="B1901" s="8"/>
      <c r="C1901" s="8"/>
      <c r="D1901" s="8"/>
      <c r="E1901" s="8"/>
      <c r="F1901" s="8"/>
      <c r="G1901" s="8"/>
      <c r="H1901" s="8"/>
      <c r="I1901" s="8"/>
      <c r="J1901" s="8"/>
      <c r="K1901" s="8"/>
      <c r="L1901" s="8"/>
      <c r="M1901" s="8"/>
      <c r="N1901" s="8"/>
      <c r="O1901" s="8"/>
      <c r="P1901" s="8"/>
      <c r="Q1901" s="8"/>
      <c r="R1901" s="8"/>
      <c r="S1901" s="8"/>
      <c r="T1901" s="8"/>
      <c r="U1901" s="8"/>
      <c r="V1901" s="8"/>
      <c r="W1901" s="8"/>
    </row>
    <row r="1902" spans="1:23" ht="15.75" customHeight="1" x14ac:dyDescent="0.25">
      <c r="A1902" s="6" t="s">
        <v>3383</v>
      </c>
      <c r="B1902" s="8"/>
      <c r="C1902" s="8"/>
      <c r="D1902" s="8"/>
      <c r="E1902" s="8"/>
      <c r="F1902" s="8"/>
      <c r="G1902" s="8"/>
      <c r="H1902" s="8"/>
      <c r="I1902" s="8"/>
      <c r="J1902" s="8"/>
      <c r="K1902" s="8"/>
      <c r="L1902" s="8"/>
      <c r="M1902" s="8"/>
      <c r="N1902" s="8"/>
      <c r="O1902" s="8"/>
      <c r="P1902" s="8"/>
      <c r="Q1902" s="8"/>
      <c r="R1902" s="8"/>
      <c r="S1902" s="8"/>
      <c r="T1902" s="8"/>
      <c r="U1902" s="8"/>
      <c r="V1902" s="8"/>
      <c r="W1902" s="8"/>
    </row>
    <row r="1903" spans="1:23" ht="15.75" customHeight="1" x14ac:dyDescent="0.25">
      <c r="A1903" s="6" t="s">
        <v>3383</v>
      </c>
      <c r="B1903" s="8"/>
      <c r="C1903" s="8"/>
      <c r="D1903" s="8"/>
      <c r="E1903" s="8"/>
      <c r="F1903" s="8"/>
      <c r="G1903" s="8"/>
      <c r="H1903" s="8"/>
      <c r="I1903" s="8"/>
      <c r="J1903" s="8"/>
      <c r="K1903" s="8"/>
      <c r="L1903" s="8"/>
      <c r="M1903" s="8"/>
      <c r="N1903" s="8"/>
      <c r="O1903" s="8"/>
      <c r="P1903" s="8"/>
      <c r="Q1903" s="8"/>
      <c r="R1903" s="8"/>
      <c r="S1903" s="8"/>
      <c r="T1903" s="8"/>
      <c r="U1903" s="8"/>
      <c r="V1903" s="8"/>
      <c r="W1903" s="8"/>
    </row>
    <row r="1904" spans="1:23" ht="15.75" customHeight="1" x14ac:dyDescent="0.25">
      <c r="A1904" s="6" t="s">
        <v>3383</v>
      </c>
      <c r="B1904" s="8"/>
      <c r="C1904" s="8"/>
      <c r="D1904" s="8"/>
      <c r="E1904" s="8"/>
      <c r="F1904" s="8"/>
      <c r="G1904" s="8"/>
      <c r="H1904" s="8"/>
      <c r="I1904" s="8"/>
      <c r="J1904" s="8"/>
      <c r="K1904" s="8"/>
      <c r="L1904" s="8"/>
      <c r="M1904" s="8"/>
      <c r="N1904" s="8"/>
      <c r="O1904" s="8"/>
      <c r="P1904" s="8"/>
      <c r="Q1904" s="8"/>
      <c r="R1904" s="8"/>
      <c r="S1904" s="8"/>
      <c r="T1904" s="8"/>
      <c r="U1904" s="8"/>
      <c r="V1904" s="8"/>
      <c r="W1904" s="8"/>
    </row>
    <row r="1905" spans="1:23" ht="15.75" customHeight="1" x14ac:dyDescent="0.25">
      <c r="A1905" s="6" t="s">
        <v>3383</v>
      </c>
      <c r="B1905" s="8"/>
      <c r="C1905" s="8"/>
      <c r="D1905" s="8"/>
      <c r="E1905" s="8"/>
      <c r="F1905" s="8"/>
      <c r="G1905" s="8"/>
      <c r="H1905" s="8"/>
      <c r="I1905" s="8"/>
      <c r="J1905" s="8"/>
      <c r="K1905" s="8"/>
      <c r="L1905" s="8"/>
      <c r="M1905" s="8"/>
      <c r="N1905" s="8"/>
      <c r="O1905" s="8"/>
      <c r="P1905" s="8"/>
      <c r="Q1905" s="8"/>
      <c r="R1905" s="8"/>
      <c r="S1905" s="8"/>
      <c r="T1905" s="8"/>
      <c r="U1905" s="8"/>
      <c r="V1905" s="8"/>
      <c r="W1905" s="8"/>
    </row>
    <row r="1906" spans="1:23" ht="15.75" customHeight="1" x14ac:dyDescent="0.25">
      <c r="A1906" s="6" t="s">
        <v>3383</v>
      </c>
      <c r="B1906" s="8"/>
      <c r="C1906" s="8"/>
      <c r="D1906" s="8"/>
      <c r="E1906" s="8"/>
      <c r="F1906" s="8"/>
      <c r="G1906" s="8"/>
      <c r="H1906" s="8"/>
      <c r="I1906" s="8"/>
      <c r="J1906" s="8"/>
      <c r="K1906" s="8"/>
      <c r="L1906" s="8"/>
      <c r="M1906" s="8"/>
      <c r="N1906" s="8"/>
      <c r="O1906" s="8"/>
      <c r="P1906" s="8"/>
      <c r="Q1906" s="8"/>
      <c r="R1906" s="8"/>
      <c r="S1906" s="8"/>
      <c r="T1906" s="8"/>
      <c r="U1906" s="8"/>
      <c r="V1906" s="8"/>
      <c r="W1906" s="8"/>
    </row>
    <row r="1907" spans="1:23" ht="15.75" customHeight="1" x14ac:dyDescent="0.25">
      <c r="A1907" s="6" t="s">
        <v>3387</v>
      </c>
      <c r="B1907" s="8"/>
      <c r="C1907" s="8"/>
      <c r="D1907" s="8"/>
      <c r="E1907" s="8"/>
      <c r="F1907" s="8"/>
      <c r="G1907" s="8"/>
      <c r="H1907" s="8"/>
      <c r="I1907" s="8"/>
      <c r="J1907" s="8"/>
      <c r="K1907" s="8"/>
      <c r="L1907" s="8"/>
      <c r="M1907" s="8"/>
      <c r="N1907" s="8"/>
      <c r="O1907" s="8"/>
      <c r="P1907" s="8"/>
      <c r="Q1907" s="8"/>
      <c r="R1907" s="8"/>
      <c r="S1907" s="8"/>
      <c r="T1907" s="8"/>
      <c r="U1907" s="8"/>
      <c r="V1907" s="8"/>
      <c r="W1907" s="8"/>
    </row>
    <row r="1908" spans="1:23" ht="15.75" customHeight="1" x14ac:dyDescent="0.25">
      <c r="A1908" s="6" t="s">
        <v>3387</v>
      </c>
      <c r="B1908" s="8"/>
      <c r="C1908" s="8"/>
      <c r="D1908" s="8"/>
      <c r="E1908" s="8"/>
      <c r="F1908" s="8"/>
      <c r="G1908" s="8"/>
      <c r="H1908" s="8"/>
      <c r="I1908" s="8"/>
      <c r="J1908" s="8"/>
      <c r="K1908" s="8"/>
      <c r="L1908" s="8"/>
      <c r="M1908" s="8"/>
      <c r="N1908" s="8"/>
      <c r="O1908" s="8"/>
      <c r="P1908" s="8"/>
      <c r="Q1908" s="8"/>
      <c r="R1908" s="8"/>
      <c r="S1908" s="8"/>
      <c r="T1908" s="8"/>
      <c r="U1908" s="8"/>
      <c r="V1908" s="8"/>
      <c r="W1908" s="8"/>
    </row>
    <row r="1909" spans="1:23" ht="15.75" customHeight="1" x14ac:dyDescent="0.25">
      <c r="A1909" s="6" t="s">
        <v>3387</v>
      </c>
      <c r="B1909" s="8"/>
      <c r="C1909" s="8"/>
      <c r="D1909" s="8"/>
      <c r="E1909" s="8"/>
      <c r="F1909" s="8"/>
      <c r="G1909" s="8"/>
      <c r="H1909" s="8"/>
      <c r="I1909" s="8"/>
      <c r="J1909" s="8"/>
      <c r="K1909" s="8"/>
      <c r="L1909" s="8"/>
      <c r="M1909" s="8"/>
      <c r="N1909" s="8"/>
      <c r="O1909" s="8"/>
      <c r="P1909" s="8"/>
      <c r="Q1909" s="8"/>
      <c r="R1909" s="8"/>
      <c r="S1909" s="8"/>
      <c r="T1909" s="8"/>
      <c r="U1909" s="8"/>
      <c r="V1909" s="8"/>
      <c r="W1909" s="8"/>
    </row>
    <row r="1910" spans="1:23" ht="15.75" customHeight="1" x14ac:dyDescent="0.25">
      <c r="A1910" s="6" t="s">
        <v>3387</v>
      </c>
      <c r="B1910" s="8"/>
      <c r="C1910" s="8"/>
      <c r="D1910" s="8"/>
      <c r="E1910" s="8"/>
      <c r="F1910" s="8"/>
      <c r="G1910" s="8"/>
      <c r="H1910" s="8"/>
      <c r="I1910" s="8"/>
      <c r="J1910" s="8"/>
      <c r="K1910" s="8"/>
      <c r="L1910" s="8"/>
      <c r="M1910" s="8"/>
      <c r="N1910" s="8"/>
      <c r="O1910" s="8"/>
      <c r="P1910" s="8"/>
      <c r="Q1910" s="8"/>
      <c r="R1910" s="8"/>
      <c r="S1910" s="8"/>
      <c r="T1910" s="8"/>
      <c r="U1910" s="8"/>
      <c r="V1910" s="8"/>
      <c r="W1910" s="8"/>
    </row>
    <row r="1911" spans="1:23" ht="15.75" customHeight="1" x14ac:dyDescent="0.25">
      <c r="A1911" s="6" t="s">
        <v>3387</v>
      </c>
      <c r="B1911" s="8"/>
      <c r="C1911" s="8"/>
      <c r="D1911" s="8"/>
      <c r="E1911" s="8"/>
      <c r="F1911" s="8"/>
      <c r="G1911" s="8"/>
      <c r="H1911" s="8"/>
      <c r="I1911" s="8"/>
      <c r="J1911" s="8"/>
      <c r="K1911" s="8"/>
      <c r="L1911" s="8"/>
      <c r="M1911" s="8"/>
      <c r="N1911" s="8"/>
      <c r="O1911" s="8"/>
      <c r="P1911" s="8"/>
      <c r="Q1911" s="8"/>
      <c r="R1911" s="8"/>
      <c r="S1911" s="8"/>
      <c r="T1911" s="8"/>
      <c r="U1911" s="8"/>
      <c r="V1911" s="8"/>
      <c r="W1911" s="8"/>
    </row>
    <row r="1912" spans="1:23" ht="15.75" customHeight="1" x14ac:dyDescent="0.25">
      <c r="A1912" s="6" t="s">
        <v>3387</v>
      </c>
      <c r="B1912" s="8"/>
      <c r="C1912" s="8"/>
      <c r="D1912" s="8"/>
      <c r="E1912" s="8"/>
      <c r="F1912" s="8"/>
      <c r="G1912" s="8"/>
      <c r="H1912" s="8"/>
      <c r="I1912" s="8"/>
      <c r="J1912" s="8"/>
      <c r="K1912" s="8"/>
      <c r="L1912" s="8"/>
      <c r="M1912" s="8"/>
      <c r="N1912" s="8"/>
      <c r="O1912" s="8"/>
      <c r="P1912" s="8"/>
      <c r="Q1912" s="8"/>
      <c r="R1912" s="8"/>
      <c r="S1912" s="8"/>
      <c r="T1912" s="8"/>
      <c r="U1912" s="8"/>
      <c r="V1912" s="8"/>
      <c r="W1912" s="8"/>
    </row>
    <row r="1913" spans="1:23" ht="15.75" customHeight="1" x14ac:dyDescent="0.25">
      <c r="A1913" s="6" t="s">
        <v>3387</v>
      </c>
      <c r="B1913" s="8"/>
      <c r="C1913" s="8"/>
      <c r="D1913" s="8"/>
      <c r="E1913" s="8"/>
      <c r="F1913" s="8"/>
      <c r="G1913" s="8"/>
      <c r="H1913" s="8"/>
      <c r="I1913" s="8"/>
      <c r="J1913" s="8"/>
      <c r="K1913" s="8"/>
      <c r="L1913" s="8"/>
      <c r="M1913" s="8"/>
      <c r="N1913" s="8"/>
      <c r="O1913" s="8"/>
      <c r="P1913" s="8"/>
      <c r="Q1913" s="8"/>
      <c r="R1913" s="8"/>
      <c r="S1913" s="8"/>
      <c r="T1913" s="8"/>
      <c r="U1913" s="8"/>
      <c r="V1913" s="8"/>
      <c r="W1913" s="8"/>
    </row>
    <row r="1914" spans="1:23" ht="15.75" customHeight="1" x14ac:dyDescent="0.25">
      <c r="A1914" s="6" t="s">
        <v>3387</v>
      </c>
      <c r="B1914" s="8"/>
      <c r="C1914" s="8"/>
      <c r="D1914" s="8"/>
      <c r="E1914" s="8"/>
      <c r="F1914" s="8"/>
      <c r="G1914" s="8"/>
      <c r="H1914" s="8"/>
      <c r="I1914" s="8"/>
      <c r="J1914" s="8"/>
      <c r="K1914" s="8"/>
      <c r="L1914" s="8"/>
      <c r="M1914" s="8"/>
      <c r="N1914" s="8"/>
      <c r="O1914" s="8"/>
      <c r="P1914" s="8"/>
      <c r="Q1914" s="8"/>
      <c r="R1914" s="8"/>
      <c r="S1914" s="8"/>
      <c r="T1914" s="8"/>
      <c r="U1914" s="8"/>
      <c r="V1914" s="8"/>
      <c r="W1914" s="8"/>
    </row>
    <row r="1915" spans="1:23" ht="15.75" customHeight="1" x14ac:dyDescent="0.25">
      <c r="A1915" s="6" t="s">
        <v>3387</v>
      </c>
      <c r="B1915" s="8"/>
      <c r="C1915" s="8"/>
      <c r="D1915" s="8"/>
      <c r="E1915" s="8"/>
      <c r="F1915" s="8"/>
      <c r="G1915" s="8"/>
      <c r="H1915" s="8"/>
      <c r="I1915" s="8"/>
      <c r="J1915" s="8"/>
      <c r="K1915" s="8"/>
      <c r="L1915" s="8"/>
      <c r="M1915" s="8"/>
      <c r="N1915" s="8"/>
      <c r="O1915" s="8"/>
      <c r="P1915" s="8"/>
      <c r="Q1915" s="8"/>
      <c r="R1915" s="8"/>
      <c r="S1915" s="8"/>
      <c r="T1915" s="8"/>
      <c r="U1915" s="8"/>
      <c r="V1915" s="8"/>
      <c r="W1915" s="8"/>
    </row>
    <row r="1916" spans="1:23" ht="15.75" customHeight="1" x14ac:dyDescent="0.25">
      <c r="A1916" s="8" t="s">
        <v>3387</v>
      </c>
      <c r="B1916" s="8"/>
      <c r="C1916" s="8"/>
      <c r="D1916" s="8"/>
      <c r="E1916" s="8"/>
      <c r="F1916" s="8"/>
      <c r="G1916" s="8"/>
      <c r="H1916" s="8"/>
      <c r="I1916" s="8"/>
      <c r="J1916" s="8"/>
      <c r="K1916" s="8"/>
      <c r="L1916" s="8"/>
      <c r="M1916" s="8"/>
      <c r="N1916" s="8"/>
      <c r="O1916" s="8"/>
      <c r="P1916" s="8"/>
      <c r="Q1916" s="8"/>
      <c r="R1916" s="8"/>
      <c r="S1916" s="8"/>
      <c r="T1916" s="8"/>
      <c r="U1916" s="8"/>
      <c r="V1916" s="8"/>
      <c r="W1916" s="8"/>
    </row>
    <row r="1917" spans="1:23" ht="15.75" customHeight="1" x14ac:dyDescent="0.25">
      <c r="A1917" s="6" t="s">
        <v>3327</v>
      </c>
      <c r="B1917" s="8"/>
      <c r="C1917" s="8"/>
      <c r="D1917" s="8"/>
      <c r="E1917" s="8"/>
      <c r="F1917" s="8"/>
      <c r="G1917" s="8"/>
      <c r="H1917" s="8"/>
      <c r="I1917" s="8"/>
      <c r="J1917" s="8"/>
      <c r="K1917" s="8"/>
      <c r="L1917" s="8"/>
      <c r="M1917" s="8"/>
      <c r="N1917" s="8"/>
      <c r="O1917" s="8"/>
      <c r="P1917" s="8"/>
      <c r="Q1917" s="8"/>
      <c r="R1917" s="8"/>
      <c r="S1917" s="8"/>
      <c r="T1917" s="8"/>
      <c r="U1917" s="8"/>
      <c r="V1917" s="8"/>
      <c r="W1917" s="8"/>
    </row>
    <row r="1918" spans="1:23" ht="15.75" customHeight="1" x14ac:dyDescent="0.25">
      <c r="A1918" s="6" t="s">
        <v>3327</v>
      </c>
      <c r="B1918" s="8"/>
      <c r="C1918" s="8"/>
      <c r="D1918" s="8"/>
      <c r="E1918" s="8"/>
      <c r="F1918" s="8"/>
      <c r="G1918" s="8"/>
      <c r="H1918" s="8"/>
      <c r="I1918" s="8"/>
      <c r="J1918" s="8"/>
      <c r="K1918" s="8"/>
      <c r="L1918" s="8"/>
      <c r="M1918" s="8"/>
      <c r="N1918" s="8"/>
      <c r="O1918" s="8"/>
      <c r="P1918" s="8"/>
      <c r="Q1918" s="8"/>
      <c r="R1918" s="8"/>
      <c r="S1918" s="8"/>
      <c r="T1918" s="8"/>
      <c r="U1918" s="8"/>
      <c r="V1918" s="8"/>
      <c r="W1918" s="8"/>
    </row>
    <row r="1919" spans="1:23" ht="15.75" customHeight="1" x14ac:dyDescent="0.25">
      <c r="A1919" s="6" t="s">
        <v>3327</v>
      </c>
      <c r="B1919" s="8"/>
      <c r="C1919" s="8"/>
      <c r="D1919" s="8"/>
      <c r="E1919" s="8"/>
      <c r="F1919" s="8"/>
      <c r="G1919" s="8"/>
      <c r="H1919" s="8"/>
      <c r="I1919" s="8"/>
      <c r="J1919" s="8"/>
      <c r="K1919" s="8"/>
      <c r="L1919" s="8"/>
      <c r="M1919" s="8"/>
      <c r="N1919" s="8"/>
      <c r="O1919" s="8"/>
      <c r="P1919" s="8"/>
      <c r="Q1919" s="8"/>
      <c r="R1919" s="8"/>
      <c r="S1919" s="8"/>
      <c r="T1919" s="8"/>
      <c r="U1919" s="8"/>
      <c r="V1919" s="8"/>
      <c r="W1919" s="8"/>
    </row>
    <row r="1920" spans="1:23" ht="15.75" customHeight="1" x14ac:dyDescent="0.25">
      <c r="A1920" s="6" t="s">
        <v>3327</v>
      </c>
      <c r="B1920" s="8"/>
      <c r="C1920" s="8"/>
      <c r="D1920" s="8"/>
      <c r="E1920" s="8"/>
      <c r="F1920" s="8"/>
      <c r="G1920" s="8"/>
      <c r="H1920" s="8"/>
      <c r="I1920" s="8"/>
      <c r="J1920" s="8"/>
      <c r="K1920" s="8"/>
      <c r="L1920" s="8"/>
      <c r="M1920" s="8"/>
      <c r="N1920" s="8"/>
      <c r="O1920" s="8"/>
      <c r="P1920" s="8"/>
      <c r="Q1920" s="8"/>
      <c r="R1920" s="8"/>
      <c r="S1920" s="8"/>
      <c r="T1920" s="8"/>
      <c r="U1920" s="8"/>
      <c r="V1920" s="8"/>
      <c r="W1920" s="8"/>
    </row>
    <row r="1921" spans="1:23" ht="15.75" customHeight="1" x14ac:dyDescent="0.25">
      <c r="A1921" s="6" t="s">
        <v>3327</v>
      </c>
      <c r="B1921" s="8"/>
      <c r="C1921" s="8"/>
      <c r="D1921" s="8"/>
      <c r="E1921" s="8"/>
      <c r="F1921" s="8"/>
      <c r="G1921" s="8"/>
      <c r="H1921" s="8"/>
      <c r="I1921" s="8"/>
      <c r="J1921" s="8"/>
      <c r="K1921" s="8"/>
      <c r="L1921" s="8"/>
      <c r="M1921" s="8"/>
      <c r="N1921" s="8"/>
      <c r="O1921" s="8"/>
      <c r="P1921" s="8"/>
      <c r="Q1921" s="8"/>
      <c r="R1921" s="8"/>
      <c r="S1921" s="8"/>
      <c r="T1921" s="8"/>
      <c r="U1921" s="8"/>
      <c r="V1921" s="8"/>
      <c r="W1921" s="8"/>
    </row>
    <row r="1922" spans="1:23" ht="15.75" customHeight="1" x14ac:dyDescent="0.25">
      <c r="A1922" s="6" t="s">
        <v>3327</v>
      </c>
      <c r="B1922" s="8"/>
      <c r="C1922" s="8"/>
      <c r="D1922" s="8"/>
      <c r="E1922" s="8"/>
      <c r="F1922" s="8"/>
      <c r="G1922" s="8"/>
      <c r="H1922" s="8"/>
      <c r="I1922" s="8"/>
      <c r="J1922" s="8"/>
      <c r="K1922" s="8"/>
      <c r="L1922" s="8"/>
      <c r="M1922" s="8"/>
      <c r="N1922" s="8"/>
      <c r="O1922" s="8"/>
      <c r="P1922" s="8"/>
      <c r="Q1922" s="8"/>
      <c r="R1922" s="8"/>
      <c r="S1922" s="8"/>
      <c r="T1922" s="8"/>
      <c r="U1922" s="8"/>
      <c r="V1922" s="8"/>
      <c r="W1922" s="8"/>
    </row>
    <row r="1923" spans="1:23" ht="15.75" customHeight="1" x14ac:dyDescent="0.25">
      <c r="A1923" s="6" t="s">
        <v>3327</v>
      </c>
      <c r="B1923" s="8"/>
      <c r="C1923" s="8"/>
      <c r="D1923" s="8"/>
      <c r="E1923" s="8"/>
      <c r="F1923" s="8"/>
      <c r="G1923" s="8"/>
      <c r="H1923" s="8"/>
      <c r="I1923" s="8"/>
      <c r="J1923" s="8"/>
      <c r="K1923" s="8"/>
      <c r="L1923" s="8"/>
      <c r="M1923" s="8"/>
      <c r="N1923" s="8"/>
      <c r="O1923" s="8"/>
      <c r="P1923" s="8"/>
      <c r="Q1923" s="8"/>
      <c r="R1923" s="8"/>
      <c r="S1923" s="8"/>
      <c r="T1923" s="8"/>
      <c r="U1923" s="8"/>
      <c r="V1923" s="8"/>
      <c r="W1923" s="8"/>
    </row>
    <row r="1924" spans="1:23" ht="15.75" customHeight="1" x14ac:dyDescent="0.25">
      <c r="A1924" s="6" t="s">
        <v>3327</v>
      </c>
      <c r="B1924" s="8"/>
      <c r="C1924" s="8"/>
      <c r="D1924" s="8"/>
      <c r="E1924" s="8"/>
      <c r="F1924" s="8"/>
      <c r="G1924" s="8"/>
      <c r="H1924" s="8"/>
      <c r="I1924" s="8"/>
      <c r="J1924" s="8"/>
      <c r="K1924" s="8"/>
      <c r="L1924" s="8"/>
      <c r="M1924" s="8"/>
      <c r="N1924" s="8"/>
      <c r="O1924" s="8"/>
      <c r="P1924" s="8"/>
      <c r="Q1924" s="8"/>
      <c r="R1924" s="8"/>
      <c r="S1924" s="8"/>
      <c r="T1924" s="8"/>
      <c r="U1924" s="8"/>
      <c r="V1924" s="8"/>
      <c r="W1924" s="8"/>
    </row>
    <row r="1925" spans="1:23" ht="15.75" customHeight="1" x14ac:dyDescent="0.25">
      <c r="A1925" s="6" t="s">
        <v>3327</v>
      </c>
      <c r="B1925" s="8"/>
      <c r="C1925" s="8"/>
      <c r="D1925" s="8"/>
      <c r="E1925" s="8"/>
      <c r="F1925" s="8"/>
      <c r="G1925" s="8"/>
      <c r="H1925" s="8"/>
      <c r="I1925" s="8"/>
      <c r="J1925" s="8"/>
      <c r="K1925" s="8"/>
      <c r="L1925" s="8"/>
      <c r="M1925" s="8"/>
      <c r="N1925" s="8"/>
      <c r="O1925" s="8"/>
      <c r="P1925" s="8"/>
      <c r="Q1925" s="8"/>
      <c r="R1925" s="8"/>
      <c r="S1925" s="8"/>
      <c r="T1925" s="8"/>
      <c r="U1925" s="8"/>
      <c r="V1925" s="8"/>
      <c r="W1925" s="8"/>
    </row>
    <row r="1926" spans="1:23" ht="15.75" customHeight="1" x14ac:dyDescent="0.25">
      <c r="A1926" s="6" t="s">
        <v>3327</v>
      </c>
      <c r="B1926" s="8"/>
      <c r="C1926" s="8"/>
      <c r="D1926" s="8"/>
      <c r="E1926" s="8"/>
      <c r="F1926" s="8"/>
      <c r="G1926" s="8"/>
      <c r="H1926" s="8"/>
      <c r="I1926" s="8"/>
      <c r="J1926" s="8"/>
      <c r="K1926" s="8"/>
      <c r="L1926" s="8"/>
      <c r="M1926" s="8"/>
      <c r="N1926" s="8"/>
      <c r="O1926" s="8"/>
      <c r="P1926" s="8"/>
      <c r="Q1926" s="8"/>
      <c r="R1926" s="8"/>
      <c r="S1926" s="8"/>
      <c r="T1926" s="8"/>
      <c r="U1926" s="8"/>
      <c r="V1926" s="8"/>
      <c r="W1926" s="8"/>
    </row>
    <row r="1927" spans="1:23" ht="15.75" customHeight="1" x14ac:dyDescent="0.25">
      <c r="A1927" s="6" t="s">
        <v>3327</v>
      </c>
      <c r="B1927" s="8"/>
      <c r="C1927" s="8"/>
      <c r="D1927" s="8"/>
      <c r="E1927" s="8"/>
      <c r="F1927" s="8"/>
      <c r="G1927" s="8"/>
      <c r="H1927" s="8"/>
      <c r="I1927" s="8"/>
      <c r="J1927" s="8"/>
      <c r="K1927" s="8"/>
      <c r="L1927" s="8"/>
      <c r="M1927" s="8"/>
      <c r="N1927" s="8"/>
      <c r="O1927" s="8"/>
      <c r="P1927" s="8"/>
      <c r="Q1927" s="8"/>
      <c r="R1927" s="8"/>
      <c r="S1927" s="8"/>
      <c r="T1927" s="8"/>
      <c r="U1927" s="8"/>
      <c r="V1927" s="8"/>
      <c r="W1927" s="8"/>
    </row>
    <row r="1928" spans="1:23" ht="15.75" customHeight="1" x14ac:dyDescent="0.25">
      <c r="A1928" s="6" t="s">
        <v>3327</v>
      </c>
      <c r="B1928" s="8"/>
      <c r="C1928" s="8"/>
      <c r="D1928" s="8"/>
      <c r="E1928" s="8"/>
      <c r="F1928" s="8"/>
      <c r="G1928" s="8"/>
      <c r="H1928" s="8"/>
      <c r="I1928" s="8"/>
      <c r="J1928" s="8"/>
      <c r="K1928" s="8"/>
      <c r="L1928" s="8"/>
      <c r="M1928" s="8"/>
      <c r="N1928" s="8"/>
      <c r="O1928" s="8"/>
      <c r="P1928" s="8"/>
      <c r="Q1928" s="8"/>
      <c r="R1928" s="8"/>
      <c r="S1928" s="8"/>
      <c r="T1928" s="8"/>
      <c r="U1928" s="8"/>
      <c r="V1928" s="8"/>
      <c r="W1928" s="8"/>
    </row>
    <row r="1929" spans="1:23" ht="15.75" customHeight="1" x14ac:dyDescent="0.25">
      <c r="A1929" s="6" t="s">
        <v>3327</v>
      </c>
      <c r="B1929" s="8"/>
      <c r="C1929" s="8"/>
      <c r="D1929" s="8"/>
      <c r="E1929" s="8"/>
      <c r="F1929" s="8"/>
      <c r="G1929" s="8"/>
      <c r="H1929" s="8"/>
      <c r="I1929" s="8"/>
      <c r="J1929" s="8"/>
      <c r="K1929" s="8"/>
      <c r="L1929" s="8"/>
      <c r="M1929" s="8"/>
      <c r="N1929" s="8"/>
      <c r="O1929" s="8"/>
      <c r="P1929" s="8"/>
      <c r="Q1929" s="8"/>
      <c r="R1929" s="8"/>
      <c r="S1929" s="8"/>
      <c r="T1929" s="8"/>
      <c r="U1929" s="8"/>
      <c r="V1929" s="8"/>
      <c r="W1929" s="8"/>
    </row>
    <row r="1930" spans="1:23" ht="15.75" customHeight="1" x14ac:dyDescent="0.25">
      <c r="A1930" s="6" t="s">
        <v>3327</v>
      </c>
      <c r="B1930" s="8"/>
      <c r="C1930" s="8"/>
      <c r="D1930" s="8"/>
      <c r="E1930" s="8"/>
      <c r="F1930" s="8"/>
      <c r="G1930" s="8"/>
      <c r="H1930" s="8"/>
      <c r="I1930" s="8"/>
      <c r="J1930" s="8"/>
      <c r="K1930" s="8"/>
      <c r="L1930" s="8"/>
      <c r="M1930" s="8"/>
      <c r="N1930" s="8"/>
      <c r="O1930" s="8"/>
      <c r="P1930" s="8"/>
      <c r="Q1930" s="8"/>
      <c r="R1930" s="8"/>
      <c r="S1930" s="8"/>
      <c r="T1930" s="8"/>
      <c r="U1930" s="8"/>
      <c r="V1930" s="8"/>
      <c r="W1930" s="8"/>
    </row>
    <row r="1931" spans="1:23" ht="15.75" customHeight="1" x14ac:dyDescent="0.25">
      <c r="A1931" s="6" t="s">
        <v>3937</v>
      </c>
      <c r="B1931" s="8"/>
      <c r="C1931" s="8"/>
      <c r="D1931" s="8"/>
      <c r="E1931" s="8"/>
      <c r="F1931" s="8"/>
      <c r="G1931" s="8"/>
      <c r="H1931" s="8"/>
      <c r="I1931" s="8"/>
      <c r="J1931" s="8"/>
      <c r="K1931" s="8"/>
      <c r="L1931" s="8"/>
      <c r="M1931" s="8"/>
      <c r="N1931" s="8"/>
      <c r="O1931" s="8"/>
      <c r="P1931" s="8"/>
      <c r="Q1931" s="8"/>
      <c r="R1931" s="8"/>
      <c r="S1931" s="8"/>
      <c r="T1931" s="8"/>
      <c r="U1931" s="8"/>
      <c r="V1931" s="8"/>
      <c r="W1931" s="8"/>
    </row>
    <row r="1932" spans="1:23" ht="15.75" customHeight="1" x14ac:dyDescent="0.25">
      <c r="A1932" s="6" t="s">
        <v>3937</v>
      </c>
      <c r="B1932" s="8"/>
      <c r="C1932" s="8"/>
      <c r="D1932" s="8"/>
      <c r="E1932" s="8"/>
      <c r="F1932" s="8"/>
      <c r="G1932" s="8"/>
      <c r="H1932" s="8"/>
      <c r="I1932" s="8"/>
      <c r="J1932" s="8"/>
      <c r="K1932" s="8"/>
      <c r="L1932" s="8"/>
      <c r="M1932" s="8"/>
      <c r="N1932" s="8"/>
      <c r="O1932" s="8"/>
      <c r="P1932" s="8"/>
      <c r="Q1932" s="8"/>
      <c r="R1932" s="8"/>
      <c r="S1932" s="8"/>
      <c r="T1932" s="8"/>
      <c r="U1932" s="8"/>
      <c r="V1932" s="8"/>
      <c r="W1932" s="8"/>
    </row>
    <row r="1933" spans="1:23" ht="15.75" customHeight="1" x14ac:dyDescent="0.25">
      <c r="A1933" s="6" t="s">
        <v>3257</v>
      </c>
      <c r="B1933" s="8"/>
      <c r="C1933" s="8"/>
      <c r="D1933" s="8"/>
      <c r="E1933" s="8"/>
      <c r="F1933" s="8"/>
      <c r="G1933" s="8"/>
      <c r="H1933" s="8"/>
      <c r="I1933" s="8"/>
      <c r="J1933" s="8"/>
      <c r="K1933" s="8"/>
      <c r="L1933" s="8"/>
      <c r="M1933" s="8"/>
      <c r="N1933" s="8"/>
      <c r="O1933" s="8"/>
      <c r="P1933" s="8"/>
      <c r="Q1933" s="8"/>
      <c r="R1933" s="8"/>
      <c r="S1933" s="8"/>
      <c r="T1933" s="8"/>
      <c r="U1933" s="8"/>
      <c r="V1933" s="8"/>
      <c r="W1933" s="8"/>
    </row>
    <row r="1934" spans="1:23" ht="15.75" customHeight="1" x14ac:dyDescent="0.25">
      <c r="A1934" s="6" t="s">
        <v>3257</v>
      </c>
      <c r="B1934" s="8"/>
      <c r="C1934" s="8"/>
      <c r="D1934" s="8"/>
      <c r="E1934" s="8"/>
      <c r="F1934" s="8"/>
      <c r="G1934" s="8"/>
      <c r="H1934" s="8"/>
      <c r="I1934" s="8"/>
      <c r="J1934" s="8"/>
      <c r="K1934" s="8"/>
      <c r="L1934" s="8"/>
      <c r="M1934" s="8"/>
      <c r="N1934" s="8"/>
      <c r="O1934" s="8"/>
      <c r="P1934" s="8"/>
      <c r="Q1934" s="8"/>
      <c r="R1934" s="8"/>
      <c r="S1934" s="8"/>
      <c r="T1934" s="8"/>
      <c r="U1934" s="8"/>
      <c r="V1934" s="8"/>
      <c r="W1934" s="8"/>
    </row>
    <row r="1935" spans="1:23" ht="15.75" customHeight="1" x14ac:dyDescent="0.25">
      <c r="A1935" s="6" t="s">
        <v>3257</v>
      </c>
      <c r="B1935" s="8"/>
      <c r="C1935" s="8"/>
      <c r="D1935" s="8"/>
      <c r="E1935" s="8"/>
      <c r="F1935" s="8"/>
      <c r="G1935" s="8"/>
      <c r="H1935" s="8"/>
      <c r="I1935" s="8"/>
      <c r="J1935" s="8"/>
      <c r="K1935" s="8"/>
      <c r="L1935" s="8"/>
      <c r="M1935" s="8"/>
      <c r="N1935" s="8"/>
      <c r="O1935" s="8"/>
      <c r="P1935" s="8"/>
      <c r="Q1935" s="8"/>
      <c r="R1935" s="8"/>
      <c r="S1935" s="8"/>
      <c r="T1935" s="8"/>
      <c r="U1935" s="8"/>
      <c r="V1935" s="8"/>
      <c r="W1935" s="8"/>
    </row>
    <row r="1936" spans="1:23" ht="15.75" customHeight="1" x14ac:dyDescent="0.25">
      <c r="A1936" s="6" t="s">
        <v>3257</v>
      </c>
      <c r="B1936" s="8"/>
      <c r="C1936" s="8"/>
      <c r="D1936" s="8"/>
      <c r="E1936" s="8"/>
      <c r="F1936" s="8"/>
      <c r="G1936" s="8"/>
      <c r="H1936" s="8"/>
      <c r="I1936" s="8"/>
      <c r="J1936" s="8"/>
      <c r="K1936" s="8"/>
      <c r="L1936" s="8"/>
      <c r="M1936" s="8"/>
      <c r="N1936" s="8"/>
      <c r="O1936" s="8"/>
      <c r="P1936" s="8"/>
      <c r="Q1936" s="8"/>
      <c r="R1936" s="8"/>
      <c r="S1936" s="8"/>
      <c r="T1936" s="8"/>
      <c r="U1936" s="8"/>
      <c r="V1936" s="8"/>
      <c r="W1936" s="8"/>
    </row>
    <row r="1937" spans="1:23" ht="15.75" customHeight="1" x14ac:dyDescent="0.25">
      <c r="A1937" s="6" t="s">
        <v>3257</v>
      </c>
      <c r="B1937" s="8"/>
      <c r="C1937" s="8"/>
      <c r="D1937" s="8"/>
      <c r="E1937" s="8"/>
      <c r="F1937" s="8"/>
      <c r="G1937" s="8"/>
      <c r="H1937" s="8"/>
      <c r="I1937" s="8"/>
      <c r="J1937" s="8"/>
      <c r="K1937" s="8"/>
      <c r="L1937" s="8"/>
      <c r="M1937" s="8"/>
      <c r="N1937" s="8"/>
      <c r="O1937" s="8"/>
      <c r="P1937" s="8"/>
      <c r="Q1937" s="8"/>
      <c r="R1937" s="8"/>
      <c r="S1937" s="8"/>
      <c r="T1937" s="8"/>
      <c r="U1937" s="8"/>
      <c r="V1937" s="8"/>
      <c r="W1937" s="8"/>
    </row>
    <row r="1938" spans="1:23" ht="15.75" customHeight="1" x14ac:dyDescent="0.25">
      <c r="A1938" s="6" t="s">
        <v>3257</v>
      </c>
      <c r="B1938" s="8"/>
      <c r="C1938" s="8"/>
      <c r="D1938" s="8"/>
      <c r="E1938" s="8"/>
      <c r="F1938" s="8"/>
      <c r="G1938" s="8"/>
      <c r="H1938" s="8"/>
      <c r="I1938" s="8"/>
      <c r="J1938" s="8"/>
      <c r="K1938" s="8"/>
      <c r="L1938" s="8"/>
      <c r="M1938" s="8"/>
      <c r="N1938" s="8"/>
      <c r="O1938" s="8"/>
      <c r="P1938" s="8"/>
      <c r="Q1938" s="8"/>
      <c r="R1938" s="8"/>
      <c r="S1938" s="8"/>
      <c r="T1938" s="8"/>
      <c r="U1938" s="8"/>
      <c r="V1938" s="8"/>
      <c r="W1938" s="8"/>
    </row>
    <row r="1939" spans="1:23" ht="15.75" customHeight="1" x14ac:dyDescent="0.25">
      <c r="A1939" s="6" t="s">
        <v>3257</v>
      </c>
      <c r="B1939" s="8"/>
      <c r="C1939" s="8"/>
      <c r="D1939" s="8"/>
      <c r="E1939" s="8"/>
      <c r="F1939" s="8"/>
      <c r="G1939" s="8"/>
      <c r="H1939" s="8"/>
      <c r="I1939" s="8"/>
      <c r="J1939" s="8"/>
      <c r="K1939" s="8"/>
      <c r="L1939" s="8"/>
      <c r="M1939" s="8"/>
      <c r="N1939" s="8"/>
      <c r="O1939" s="8"/>
      <c r="P1939" s="8"/>
      <c r="Q1939" s="8"/>
      <c r="R1939" s="8"/>
      <c r="S1939" s="8"/>
      <c r="T1939" s="8"/>
      <c r="U1939" s="8"/>
      <c r="V1939" s="8"/>
      <c r="W1939" s="8"/>
    </row>
    <row r="1940" spans="1:23" ht="15.75" customHeight="1" x14ac:dyDescent="0.25">
      <c r="A1940" s="6" t="s">
        <v>3257</v>
      </c>
      <c r="B1940" s="8"/>
      <c r="C1940" s="8"/>
      <c r="D1940" s="8"/>
      <c r="E1940" s="8"/>
      <c r="F1940" s="8"/>
      <c r="G1940" s="8"/>
      <c r="H1940" s="8"/>
      <c r="I1940" s="8"/>
      <c r="J1940" s="8"/>
      <c r="K1940" s="8"/>
      <c r="L1940" s="8"/>
      <c r="M1940" s="8"/>
      <c r="N1940" s="8"/>
      <c r="O1940" s="8"/>
      <c r="P1940" s="8"/>
      <c r="Q1940" s="8"/>
      <c r="R1940" s="8"/>
      <c r="S1940" s="8"/>
      <c r="T1940" s="8"/>
      <c r="U1940" s="8"/>
      <c r="V1940" s="8"/>
      <c r="W1940" s="8"/>
    </row>
    <row r="1941" spans="1:23" ht="15.75" customHeight="1" x14ac:dyDescent="0.25">
      <c r="A1941" s="6" t="s">
        <v>3257</v>
      </c>
      <c r="B1941" s="8"/>
      <c r="C1941" s="8"/>
      <c r="D1941" s="8"/>
      <c r="E1941" s="8"/>
      <c r="F1941" s="8"/>
      <c r="G1941" s="8"/>
      <c r="H1941" s="8"/>
      <c r="I1941" s="8"/>
      <c r="J1941" s="8"/>
      <c r="K1941" s="8"/>
      <c r="L1941" s="8"/>
      <c r="M1941" s="8"/>
      <c r="N1941" s="8"/>
      <c r="O1941" s="8"/>
      <c r="P1941" s="8"/>
      <c r="Q1941" s="8"/>
      <c r="R1941" s="8"/>
      <c r="S1941" s="8"/>
      <c r="T1941" s="8"/>
      <c r="U1941" s="8"/>
      <c r="V1941" s="8"/>
      <c r="W1941" s="8"/>
    </row>
    <row r="1942" spans="1:23" ht="15.75" customHeight="1" x14ac:dyDescent="0.25">
      <c r="A1942" s="6" t="s">
        <v>3257</v>
      </c>
      <c r="B1942" s="8"/>
      <c r="C1942" s="8"/>
      <c r="D1942" s="8"/>
      <c r="E1942" s="8"/>
      <c r="F1942" s="8"/>
      <c r="G1942" s="8"/>
      <c r="H1942" s="8"/>
      <c r="I1942" s="8"/>
      <c r="J1942" s="8"/>
      <c r="K1942" s="8"/>
      <c r="L1942" s="8"/>
      <c r="M1942" s="8"/>
      <c r="N1942" s="8"/>
      <c r="O1942" s="8"/>
      <c r="P1942" s="8"/>
      <c r="Q1942" s="8"/>
      <c r="R1942" s="8"/>
      <c r="S1942" s="8"/>
      <c r="T1942" s="8"/>
      <c r="U1942" s="8"/>
      <c r="V1942" s="8"/>
      <c r="W1942" s="8"/>
    </row>
    <row r="1943" spans="1:23" ht="15.75" customHeight="1" x14ac:dyDescent="0.25">
      <c r="A1943" s="6" t="s">
        <v>3257</v>
      </c>
      <c r="B1943" s="8"/>
      <c r="C1943" s="8"/>
      <c r="D1943" s="8"/>
      <c r="E1943" s="8"/>
      <c r="F1943" s="8"/>
      <c r="G1943" s="8"/>
      <c r="H1943" s="8"/>
      <c r="I1943" s="8"/>
      <c r="J1943" s="8"/>
      <c r="K1943" s="8"/>
      <c r="L1943" s="8"/>
      <c r="M1943" s="8"/>
      <c r="N1943" s="8"/>
      <c r="O1943" s="8"/>
      <c r="P1943" s="8"/>
      <c r="Q1943" s="8"/>
      <c r="R1943" s="8"/>
      <c r="S1943" s="8"/>
      <c r="T1943" s="8"/>
      <c r="U1943" s="8"/>
      <c r="V1943" s="8"/>
      <c r="W1943" s="8"/>
    </row>
    <row r="1944" spans="1:23" ht="15.75" customHeight="1" x14ac:dyDescent="0.25">
      <c r="A1944" s="6" t="s">
        <v>3257</v>
      </c>
      <c r="B1944" s="8"/>
      <c r="C1944" s="8"/>
      <c r="D1944" s="8"/>
      <c r="E1944" s="8"/>
      <c r="F1944" s="8"/>
      <c r="G1944" s="8"/>
      <c r="H1944" s="8"/>
      <c r="I1944" s="8"/>
      <c r="J1944" s="8"/>
      <c r="K1944" s="8"/>
      <c r="L1944" s="8"/>
      <c r="M1944" s="8"/>
      <c r="N1944" s="8"/>
      <c r="O1944" s="8"/>
      <c r="P1944" s="8"/>
      <c r="Q1944" s="8"/>
      <c r="R1944" s="8"/>
      <c r="S1944" s="8"/>
      <c r="T1944" s="8"/>
      <c r="U1944" s="8"/>
      <c r="V1944" s="8"/>
      <c r="W1944" s="8"/>
    </row>
    <row r="1945" spans="1:23" ht="15.75" customHeight="1" x14ac:dyDescent="0.25">
      <c r="A1945" s="6" t="s">
        <v>3257</v>
      </c>
      <c r="B1945" s="8"/>
      <c r="C1945" s="8"/>
      <c r="D1945" s="8"/>
      <c r="E1945" s="8"/>
      <c r="F1945" s="8"/>
      <c r="G1945" s="8"/>
      <c r="H1945" s="8"/>
      <c r="I1945" s="8"/>
      <c r="J1945" s="8"/>
      <c r="K1945" s="8"/>
      <c r="L1945" s="8"/>
      <c r="M1945" s="8"/>
      <c r="N1945" s="8"/>
      <c r="O1945" s="8"/>
      <c r="P1945" s="8"/>
      <c r="Q1945" s="8"/>
      <c r="R1945" s="8"/>
      <c r="S1945" s="8"/>
      <c r="T1945" s="8"/>
      <c r="U1945" s="8"/>
      <c r="V1945" s="8"/>
      <c r="W1945" s="8"/>
    </row>
    <row r="1946" spans="1:23" ht="15.75" customHeight="1" x14ac:dyDescent="0.25">
      <c r="A1946" s="6" t="s">
        <v>3257</v>
      </c>
      <c r="B1946" s="8"/>
      <c r="C1946" s="8"/>
      <c r="D1946" s="8"/>
      <c r="E1946" s="8"/>
      <c r="F1946" s="8"/>
      <c r="G1946" s="8"/>
      <c r="H1946" s="8"/>
      <c r="I1946" s="8"/>
      <c r="J1946" s="8"/>
      <c r="K1946" s="8"/>
      <c r="L1946" s="8"/>
      <c r="M1946" s="8"/>
      <c r="N1946" s="8"/>
      <c r="O1946" s="8"/>
      <c r="P1946" s="8"/>
      <c r="Q1946" s="8"/>
      <c r="R1946" s="8"/>
      <c r="S1946" s="8"/>
      <c r="T1946" s="8"/>
      <c r="U1946" s="8"/>
      <c r="V1946" s="8"/>
      <c r="W1946" s="8"/>
    </row>
    <row r="1947" spans="1:23" ht="15.75" customHeight="1" x14ac:dyDescent="0.25">
      <c r="A1947" s="6" t="s">
        <v>3257</v>
      </c>
      <c r="B1947" s="8"/>
      <c r="C1947" s="8"/>
      <c r="D1947" s="8"/>
      <c r="E1947" s="8"/>
      <c r="F1947" s="8"/>
      <c r="G1947" s="8"/>
      <c r="H1947" s="8"/>
      <c r="I1947" s="8"/>
      <c r="J1947" s="8"/>
      <c r="K1947" s="8"/>
      <c r="L1947" s="8"/>
      <c r="M1947" s="8"/>
      <c r="N1947" s="8"/>
      <c r="O1947" s="8"/>
      <c r="P1947" s="8"/>
      <c r="Q1947" s="8"/>
      <c r="R1947" s="8"/>
      <c r="S1947" s="8"/>
      <c r="T1947" s="8"/>
      <c r="U1947" s="8"/>
      <c r="V1947" s="8"/>
      <c r="W1947" s="8"/>
    </row>
    <row r="1948" spans="1:23" ht="15.75" customHeight="1" x14ac:dyDescent="0.25">
      <c r="A1948" s="6" t="s">
        <v>3257</v>
      </c>
      <c r="B1948" s="8"/>
      <c r="C1948" s="8"/>
      <c r="D1948" s="8"/>
      <c r="E1948" s="8"/>
      <c r="F1948" s="8"/>
      <c r="G1948" s="8"/>
      <c r="H1948" s="8"/>
      <c r="I1948" s="8"/>
      <c r="J1948" s="8"/>
      <c r="K1948" s="8"/>
      <c r="L1948" s="8"/>
      <c r="M1948" s="8"/>
      <c r="N1948" s="8"/>
      <c r="O1948" s="8"/>
      <c r="P1948" s="8"/>
      <c r="Q1948" s="8"/>
      <c r="R1948" s="8"/>
      <c r="S1948" s="8"/>
      <c r="T1948" s="8"/>
      <c r="U1948" s="8"/>
      <c r="V1948" s="8"/>
      <c r="W1948" s="8"/>
    </row>
    <row r="1949" spans="1:23" ht="15.75" customHeight="1" x14ac:dyDescent="0.25">
      <c r="A1949" s="6" t="s">
        <v>3257</v>
      </c>
      <c r="B1949" s="8"/>
      <c r="C1949" s="8"/>
      <c r="D1949" s="8"/>
      <c r="E1949" s="8"/>
      <c r="F1949" s="8"/>
      <c r="G1949" s="8"/>
      <c r="H1949" s="8"/>
      <c r="I1949" s="8"/>
      <c r="J1949" s="8"/>
      <c r="K1949" s="8"/>
      <c r="L1949" s="8"/>
      <c r="M1949" s="8"/>
      <c r="N1949" s="8"/>
      <c r="O1949" s="8"/>
      <c r="P1949" s="8"/>
      <c r="Q1949" s="8"/>
      <c r="R1949" s="8"/>
      <c r="S1949" s="8"/>
      <c r="T1949" s="8"/>
      <c r="U1949" s="8"/>
      <c r="V1949" s="8"/>
      <c r="W1949" s="8"/>
    </row>
    <row r="1950" spans="1:23" ht="15.75" customHeight="1" x14ac:dyDescent="0.25">
      <c r="A1950" s="6" t="s">
        <v>3257</v>
      </c>
      <c r="B1950" s="8"/>
      <c r="C1950" s="8"/>
      <c r="D1950" s="8"/>
      <c r="E1950" s="8"/>
      <c r="F1950" s="8"/>
      <c r="G1950" s="8"/>
      <c r="H1950" s="8"/>
      <c r="I1950" s="8"/>
      <c r="J1950" s="8"/>
      <c r="K1950" s="8"/>
      <c r="L1950" s="8"/>
      <c r="M1950" s="8"/>
      <c r="N1950" s="8"/>
      <c r="O1950" s="8"/>
      <c r="P1950" s="8"/>
      <c r="Q1950" s="8"/>
      <c r="R1950" s="8"/>
      <c r="S1950" s="8"/>
      <c r="T1950" s="8"/>
      <c r="U1950" s="8"/>
      <c r="V1950" s="8"/>
      <c r="W1950" s="8"/>
    </row>
    <row r="1951" spans="1:23" ht="15.75" customHeight="1" x14ac:dyDescent="0.25">
      <c r="A1951" s="6" t="s">
        <v>3257</v>
      </c>
      <c r="B1951" s="8"/>
      <c r="C1951" s="8"/>
      <c r="D1951" s="8"/>
      <c r="E1951" s="8"/>
      <c r="F1951" s="8"/>
      <c r="G1951" s="8"/>
      <c r="H1951" s="8"/>
      <c r="I1951" s="8"/>
      <c r="J1951" s="8"/>
      <c r="K1951" s="8"/>
      <c r="L1951" s="8"/>
      <c r="M1951" s="8"/>
      <c r="N1951" s="8"/>
      <c r="O1951" s="8"/>
      <c r="P1951" s="8"/>
      <c r="Q1951" s="8"/>
      <c r="R1951" s="8"/>
      <c r="S1951" s="8"/>
      <c r="T1951" s="8"/>
      <c r="U1951" s="8"/>
      <c r="V1951" s="8"/>
      <c r="W1951" s="8"/>
    </row>
    <row r="1952" spans="1:23" ht="15.75" customHeight="1" x14ac:dyDescent="0.25">
      <c r="A1952" s="6" t="s">
        <v>3257</v>
      </c>
      <c r="B1952" s="8"/>
      <c r="C1952" s="8"/>
      <c r="D1952" s="8"/>
      <c r="E1952" s="8"/>
      <c r="F1952" s="8"/>
      <c r="G1952" s="8"/>
      <c r="H1952" s="8"/>
      <c r="I1952" s="8"/>
      <c r="J1952" s="8"/>
      <c r="K1952" s="8"/>
      <c r="L1952" s="8"/>
      <c r="M1952" s="8"/>
      <c r="N1952" s="8"/>
      <c r="O1952" s="8"/>
      <c r="P1952" s="8"/>
      <c r="Q1952" s="8"/>
      <c r="R1952" s="8"/>
      <c r="S1952" s="8"/>
      <c r="T1952" s="8"/>
      <c r="U1952" s="8"/>
      <c r="V1952" s="8"/>
      <c r="W1952" s="8"/>
    </row>
    <row r="1953" spans="1:23" ht="15.75" customHeight="1" x14ac:dyDescent="0.25">
      <c r="A1953" s="6" t="s">
        <v>3257</v>
      </c>
      <c r="B1953" s="8"/>
      <c r="C1953" s="8"/>
      <c r="D1953" s="8"/>
      <c r="E1953" s="8"/>
      <c r="F1953" s="8"/>
      <c r="G1953" s="8"/>
      <c r="H1953" s="8"/>
      <c r="I1953" s="8"/>
      <c r="J1953" s="8"/>
      <c r="K1953" s="8"/>
      <c r="L1953" s="8"/>
      <c r="M1953" s="8"/>
      <c r="N1953" s="8"/>
      <c r="O1953" s="8"/>
      <c r="P1953" s="8"/>
      <c r="Q1953" s="8"/>
      <c r="R1953" s="8"/>
      <c r="S1953" s="8"/>
      <c r="T1953" s="8"/>
      <c r="U1953" s="8"/>
      <c r="V1953" s="8"/>
      <c r="W1953" s="8"/>
    </row>
    <row r="1954" spans="1:23" ht="15.75" customHeight="1" x14ac:dyDescent="0.25">
      <c r="A1954" s="6" t="s">
        <v>3257</v>
      </c>
      <c r="B1954" s="8"/>
      <c r="C1954" s="8"/>
      <c r="D1954" s="8"/>
      <c r="E1954" s="8"/>
      <c r="F1954" s="8"/>
      <c r="G1954" s="8"/>
      <c r="H1954" s="8"/>
      <c r="I1954" s="8"/>
      <c r="J1954" s="8"/>
      <c r="K1954" s="8"/>
      <c r="L1954" s="8"/>
      <c r="M1954" s="8"/>
      <c r="N1954" s="8"/>
      <c r="O1954" s="8"/>
      <c r="P1954" s="8"/>
      <c r="Q1954" s="8"/>
      <c r="R1954" s="8"/>
      <c r="S1954" s="8"/>
      <c r="T1954" s="8"/>
      <c r="U1954" s="8"/>
      <c r="V1954" s="8"/>
      <c r="W1954" s="8"/>
    </row>
    <row r="1955" spans="1:23" ht="15.75" customHeight="1" x14ac:dyDescent="0.25">
      <c r="A1955" s="6" t="s">
        <v>3257</v>
      </c>
      <c r="B1955" s="8"/>
      <c r="C1955" s="8"/>
      <c r="D1955" s="8"/>
      <c r="E1955" s="8"/>
      <c r="F1955" s="8"/>
      <c r="G1955" s="8"/>
      <c r="H1955" s="8"/>
      <c r="I1955" s="8"/>
      <c r="J1955" s="8"/>
      <c r="K1955" s="8"/>
      <c r="L1955" s="8"/>
      <c r="M1955" s="8"/>
      <c r="N1955" s="8"/>
      <c r="O1955" s="8"/>
      <c r="P1955" s="8"/>
      <c r="Q1955" s="8"/>
      <c r="R1955" s="8"/>
      <c r="S1955" s="8"/>
      <c r="T1955" s="8"/>
      <c r="U1955" s="8"/>
      <c r="V1955" s="8"/>
      <c r="W1955" s="8"/>
    </row>
    <row r="1956" spans="1:23" ht="15.75" customHeight="1" x14ac:dyDescent="0.25">
      <c r="A1956" s="6" t="s">
        <v>3257</v>
      </c>
      <c r="B1956" s="8"/>
      <c r="C1956" s="8"/>
      <c r="D1956" s="8"/>
      <c r="E1956" s="8"/>
      <c r="F1956" s="8"/>
      <c r="G1956" s="8"/>
      <c r="H1956" s="8"/>
      <c r="I1956" s="8"/>
      <c r="J1956" s="8"/>
      <c r="K1956" s="8"/>
      <c r="L1956" s="8"/>
      <c r="M1956" s="8"/>
      <c r="N1956" s="8"/>
      <c r="O1956" s="8"/>
      <c r="P1956" s="8"/>
      <c r="Q1956" s="8"/>
      <c r="R1956" s="8"/>
      <c r="S1956" s="8"/>
      <c r="T1956" s="8"/>
      <c r="U1956" s="8"/>
      <c r="V1956" s="8"/>
      <c r="W1956" s="8"/>
    </row>
    <row r="1957" spans="1:23" ht="15.75" customHeight="1" x14ac:dyDescent="0.25">
      <c r="A1957" s="6" t="s">
        <v>4259</v>
      </c>
      <c r="B1957" s="8"/>
      <c r="C1957" s="8"/>
      <c r="D1957" s="8"/>
      <c r="E1957" s="8"/>
      <c r="F1957" s="8"/>
      <c r="G1957" s="8"/>
      <c r="H1957" s="8"/>
      <c r="I1957" s="8"/>
      <c r="J1957" s="8"/>
      <c r="K1957" s="8"/>
      <c r="L1957" s="8"/>
      <c r="M1957" s="8"/>
      <c r="N1957" s="8"/>
      <c r="O1957" s="8"/>
      <c r="P1957" s="8"/>
      <c r="Q1957" s="8"/>
      <c r="R1957" s="8"/>
      <c r="S1957" s="8"/>
      <c r="T1957" s="8"/>
      <c r="U1957" s="8"/>
      <c r="V1957" s="8"/>
      <c r="W1957" s="8"/>
    </row>
    <row r="1958" spans="1:23" ht="15.75" customHeight="1" x14ac:dyDescent="0.25">
      <c r="A1958" s="6" t="s">
        <v>4260</v>
      </c>
      <c r="B1958" s="8"/>
      <c r="C1958" s="8"/>
      <c r="D1958" s="8"/>
      <c r="E1958" s="8"/>
      <c r="F1958" s="8"/>
      <c r="G1958" s="8"/>
      <c r="H1958" s="8"/>
      <c r="I1958" s="8"/>
      <c r="J1958" s="8"/>
      <c r="K1958" s="8"/>
      <c r="L1958" s="8"/>
      <c r="M1958" s="8"/>
      <c r="N1958" s="8"/>
      <c r="O1958" s="8"/>
      <c r="P1958" s="8"/>
      <c r="Q1958" s="8"/>
      <c r="R1958" s="8"/>
      <c r="S1958" s="8"/>
      <c r="T1958" s="8"/>
      <c r="U1958" s="8"/>
      <c r="V1958" s="8"/>
      <c r="W1958" s="8"/>
    </row>
    <row r="1959" spans="1:23" ht="15.75" customHeight="1" x14ac:dyDescent="0.25">
      <c r="A1959" s="6" t="s">
        <v>4261</v>
      </c>
      <c r="B1959" s="8"/>
      <c r="C1959" s="8"/>
      <c r="D1959" s="8"/>
      <c r="E1959" s="8"/>
      <c r="F1959" s="8"/>
      <c r="G1959" s="8"/>
      <c r="H1959" s="8"/>
      <c r="I1959" s="8"/>
      <c r="J1959" s="8"/>
      <c r="K1959" s="8"/>
      <c r="L1959" s="8"/>
      <c r="M1959" s="8"/>
      <c r="N1959" s="8"/>
      <c r="O1959" s="8"/>
      <c r="P1959" s="8"/>
      <c r="Q1959" s="8"/>
      <c r="R1959" s="8"/>
      <c r="S1959" s="8"/>
      <c r="T1959" s="8"/>
      <c r="U1959" s="8"/>
      <c r="V1959" s="8"/>
      <c r="W1959" s="8"/>
    </row>
    <row r="1960" spans="1:23" ht="15.75" customHeight="1" x14ac:dyDescent="0.25">
      <c r="A1960" s="6" t="s">
        <v>3513</v>
      </c>
      <c r="B1960" s="8"/>
      <c r="C1960" s="8"/>
      <c r="D1960" s="8"/>
      <c r="E1960" s="8"/>
      <c r="F1960" s="8"/>
      <c r="G1960" s="8"/>
      <c r="H1960" s="8"/>
      <c r="I1960" s="8"/>
      <c r="J1960" s="8"/>
      <c r="K1960" s="8"/>
      <c r="L1960" s="8"/>
      <c r="M1960" s="8"/>
      <c r="N1960" s="8"/>
      <c r="O1960" s="8"/>
      <c r="P1960" s="8"/>
      <c r="Q1960" s="8"/>
      <c r="R1960" s="8"/>
      <c r="S1960" s="8"/>
      <c r="T1960" s="8"/>
      <c r="U1960" s="8"/>
      <c r="V1960" s="8"/>
      <c r="W1960" s="8"/>
    </row>
    <row r="1961" spans="1:23" ht="15.75" customHeight="1" x14ac:dyDescent="0.25">
      <c r="A1961" s="6" t="s">
        <v>3513</v>
      </c>
      <c r="B1961" s="8"/>
      <c r="C1961" s="8"/>
      <c r="D1961" s="8"/>
      <c r="E1961" s="8"/>
      <c r="F1961" s="8"/>
      <c r="G1961" s="8"/>
      <c r="H1961" s="8"/>
      <c r="I1961" s="8"/>
      <c r="J1961" s="8"/>
      <c r="K1961" s="8"/>
      <c r="L1961" s="8"/>
      <c r="M1961" s="8"/>
      <c r="N1961" s="8"/>
      <c r="O1961" s="8"/>
      <c r="P1961" s="8"/>
      <c r="Q1961" s="8"/>
      <c r="R1961" s="8"/>
      <c r="S1961" s="8"/>
      <c r="T1961" s="8"/>
      <c r="U1961" s="8"/>
      <c r="V1961" s="8"/>
      <c r="W1961" s="8"/>
    </row>
    <row r="1962" spans="1:23" ht="15.75" customHeight="1" x14ac:dyDescent="0.25">
      <c r="A1962" s="6" t="s">
        <v>3513</v>
      </c>
      <c r="B1962" s="8"/>
      <c r="C1962" s="8"/>
      <c r="D1962" s="8"/>
      <c r="E1962" s="8"/>
      <c r="F1962" s="8"/>
      <c r="G1962" s="8"/>
      <c r="H1962" s="8"/>
      <c r="I1962" s="8"/>
      <c r="J1962" s="8"/>
      <c r="K1962" s="8"/>
      <c r="L1962" s="8"/>
      <c r="M1962" s="8"/>
      <c r="N1962" s="8"/>
      <c r="O1962" s="8"/>
      <c r="P1962" s="8"/>
      <c r="Q1962" s="8"/>
      <c r="R1962" s="8"/>
      <c r="S1962" s="8"/>
      <c r="T1962" s="8"/>
      <c r="U1962" s="8"/>
      <c r="V1962" s="8"/>
      <c r="W1962" s="8"/>
    </row>
    <row r="1963" spans="1:23" ht="15.75" customHeight="1" x14ac:dyDescent="0.25">
      <c r="A1963" s="6" t="s">
        <v>3513</v>
      </c>
      <c r="B1963" s="8"/>
      <c r="C1963" s="8"/>
      <c r="D1963" s="8"/>
      <c r="E1963" s="8"/>
      <c r="F1963" s="8"/>
      <c r="G1963" s="8"/>
      <c r="H1963" s="8"/>
      <c r="I1963" s="8"/>
      <c r="J1963" s="8"/>
      <c r="K1963" s="8"/>
      <c r="L1963" s="8"/>
      <c r="M1963" s="8"/>
      <c r="N1963" s="8"/>
      <c r="O1963" s="8"/>
      <c r="P1963" s="8"/>
      <c r="Q1963" s="8"/>
      <c r="R1963" s="8"/>
      <c r="S1963" s="8"/>
      <c r="T1963" s="8"/>
      <c r="U1963" s="8"/>
      <c r="V1963" s="8"/>
      <c r="W1963" s="8"/>
    </row>
    <row r="1964" spans="1:23" ht="15.75" customHeight="1" x14ac:dyDescent="0.25">
      <c r="A1964" s="6" t="s">
        <v>3513</v>
      </c>
      <c r="B1964" s="8"/>
      <c r="C1964" s="8"/>
      <c r="D1964" s="8"/>
      <c r="E1964" s="8"/>
      <c r="F1964" s="8"/>
      <c r="G1964" s="8"/>
      <c r="H1964" s="8"/>
      <c r="I1964" s="8"/>
      <c r="J1964" s="8"/>
      <c r="K1964" s="8"/>
      <c r="L1964" s="8"/>
      <c r="M1964" s="8"/>
      <c r="N1964" s="8"/>
      <c r="O1964" s="8"/>
      <c r="P1964" s="8"/>
      <c r="Q1964" s="8"/>
      <c r="R1964" s="8"/>
      <c r="S1964" s="8"/>
      <c r="T1964" s="8"/>
      <c r="U1964" s="8"/>
      <c r="V1964" s="8"/>
      <c r="W1964" s="8"/>
    </row>
    <row r="1965" spans="1:23" ht="15.75" customHeight="1" x14ac:dyDescent="0.25">
      <c r="A1965" s="6" t="s">
        <v>3513</v>
      </c>
      <c r="B1965" s="8"/>
      <c r="C1965" s="8"/>
      <c r="D1965" s="8"/>
      <c r="E1965" s="8"/>
      <c r="F1965" s="8"/>
      <c r="G1965" s="8"/>
      <c r="H1965" s="8"/>
      <c r="I1965" s="8"/>
      <c r="J1965" s="8"/>
      <c r="K1965" s="8"/>
      <c r="L1965" s="8"/>
      <c r="M1965" s="8"/>
      <c r="N1965" s="8"/>
      <c r="O1965" s="8"/>
      <c r="P1965" s="8"/>
      <c r="Q1965" s="8"/>
      <c r="R1965" s="8"/>
      <c r="S1965" s="8"/>
      <c r="T1965" s="8"/>
      <c r="U1965" s="8"/>
      <c r="V1965" s="8"/>
      <c r="W1965" s="8"/>
    </row>
    <row r="1966" spans="1:23" ht="15.75" customHeight="1" x14ac:dyDescent="0.25">
      <c r="A1966" s="6" t="s">
        <v>4262</v>
      </c>
      <c r="B1966" s="8"/>
      <c r="C1966" s="8"/>
      <c r="D1966" s="8"/>
      <c r="E1966" s="8"/>
      <c r="F1966" s="8"/>
      <c r="G1966" s="8"/>
      <c r="H1966" s="8"/>
      <c r="I1966" s="8"/>
      <c r="J1966" s="8"/>
      <c r="K1966" s="8"/>
      <c r="L1966" s="8"/>
      <c r="M1966" s="8"/>
      <c r="N1966" s="8"/>
      <c r="O1966" s="8"/>
      <c r="P1966" s="8"/>
      <c r="Q1966" s="8"/>
      <c r="R1966" s="8"/>
      <c r="S1966" s="8"/>
      <c r="T1966" s="8"/>
      <c r="U1966" s="8"/>
      <c r="V1966" s="8"/>
      <c r="W1966" s="8"/>
    </row>
    <row r="1967" spans="1:23" ht="15.75" customHeight="1" x14ac:dyDescent="0.25">
      <c r="A1967" s="6" t="s">
        <v>249</v>
      </c>
      <c r="B1967" s="8"/>
      <c r="C1967" s="8"/>
      <c r="D1967" s="8"/>
      <c r="E1967" s="8"/>
      <c r="F1967" s="8"/>
      <c r="G1967" s="8"/>
      <c r="H1967" s="8"/>
      <c r="I1967" s="8"/>
      <c r="J1967" s="8"/>
      <c r="K1967" s="8"/>
      <c r="L1967" s="8"/>
      <c r="M1967" s="8"/>
      <c r="N1967" s="8"/>
      <c r="O1967" s="8"/>
      <c r="P1967" s="8"/>
      <c r="Q1967" s="8"/>
      <c r="R1967" s="8"/>
      <c r="S1967" s="8"/>
      <c r="T1967" s="8"/>
      <c r="U1967" s="8"/>
      <c r="V1967" s="8"/>
      <c r="W1967" s="8"/>
    </row>
    <row r="1968" spans="1:23" ht="15.75" customHeight="1" x14ac:dyDescent="0.25">
      <c r="A1968" s="6" t="s">
        <v>249</v>
      </c>
      <c r="B1968" s="8"/>
      <c r="C1968" s="8"/>
      <c r="D1968" s="8"/>
      <c r="E1968" s="8"/>
      <c r="F1968" s="8"/>
      <c r="G1968" s="8"/>
      <c r="H1968" s="8"/>
      <c r="I1968" s="8"/>
      <c r="J1968" s="8"/>
      <c r="K1968" s="8"/>
      <c r="L1968" s="8"/>
      <c r="M1968" s="8"/>
      <c r="N1968" s="8"/>
      <c r="O1968" s="8"/>
      <c r="P1968" s="8"/>
      <c r="Q1968" s="8"/>
      <c r="R1968" s="8"/>
      <c r="S1968" s="8"/>
      <c r="T1968" s="8"/>
      <c r="U1968" s="8"/>
      <c r="V1968" s="8"/>
      <c r="W1968" s="8"/>
    </row>
    <row r="1969" spans="1:23" ht="15.75" customHeight="1" x14ac:dyDescent="0.25">
      <c r="A1969" s="6" t="s">
        <v>249</v>
      </c>
      <c r="B1969" s="8"/>
      <c r="C1969" s="8"/>
      <c r="D1969" s="8"/>
      <c r="E1969" s="8"/>
      <c r="F1969" s="8"/>
      <c r="G1969" s="8"/>
      <c r="H1969" s="8"/>
      <c r="I1969" s="8"/>
      <c r="J1969" s="8"/>
      <c r="K1969" s="8"/>
      <c r="L1969" s="8"/>
      <c r="M1969" s="8"/>
      <c r="N1969" s="8"/>
      <c r="O1969" s="8"/>
      <c r="P1969" s="8"/>
      <c r="Q1969" s="8"/>
      <c r="R1969" s="8"/>
      <c r="S1969" s="8"/>
      <c r="T1969" s="8"/>
      <c r="U1969" s="8"/>
      <c r="V1969" s="8"/>
      <c r="W1969" s="8"/>
    </row>
    <row r="1970" spans="1:23" ht="15.75" customHeight="1" x14ac:dyDescent="0.25">
      <c r="A1970" s="6" t="s">
        <v>249</v>
      </c>
      <c r="B1970" s="8"/>
      <c r="C1970" s="8"/>
      <c r="D1970" s="8"/>
      <c r="E1970" s="8"/>
      <c r="F1970" s="8"/>
      <c r="G1970" s="8"/>
      <c r="H1970" s="8"/>
      <c r="I1970" s="8"/>
      <c r="J1970" s="8"/>
      <c r="K1970" s="8"/>
      <c r="L1970" s="8"/>
      <c r="M1970" s="8"/>
      <c r="N1970" s="8"/>
      <c r="O1970" s="8"/>
      <c r="P1970" s="8"/>
      <c r="Q1970" s="8"/>
      <c r="R1970" s="8"/>
      <c r="S1970" s="8"/>
      <c r="T1970" s="8"/>
      <c r="U1970" s="8"/>
      <c r="V1970" s="8"/>
      <c r="W1970" s="8"/>
    </row>
    <row r="1971" spans="1:23" ht="15.75" customHeight="1" x14ac:dyDescent="0.25">
      <c r="A1971" s="6" t="s">
        <v>249</v>
      </c>
      <c r="B1971" s="8"/>
      <c r="C1971" s="8"/>
      <c r="D1971" s="8"/>
      <c r="E1971" s="8"/>
      <c r="F1971" s="8"/>
      <c r="G1971" s="8"/>
      <c r="H1971" s="8"/>
      <c r="I1971" s="8"/>
      <c r="J1971" s="8"/>
      <c r="K1971" s="8"/>
      <c r="L1971" s="8"/>
      <c r="M1971" s="8"/>
      <c r="N1971" s="8"/>
      <c r="O1971" s="8"/>
      <c r="P1971" s="8"/>
      <c r="Q1971" s="8"/>
      <c r="R1971" s="8"/>
      <c r="S1971" s="8"/>
      <c r="T1971" s="8"/>
      <c r="U1971" s="8"/>
      <c r="V1971" s="8"/>
      <c r="W1971" s="8"/>
    </row>
    <row r="1972" spans="1:23" ht="15.75" customHeight="1" x14ac:dyDescent="0.25">
      <c r="A1972" s="6" t="s">
        <v>249</v>
      </c>
      <c r="B1972" s="8"/>
      <c r="C1972" s="8"/>
      <c r="D1972" s="8"/>
      <c r="E1972" s="8"/>
      <c r="F1972" s="8"/>
      <c r="G1972" s="8"/>
      <c r="H1972" s="8"/>
      <c r="I1972" s="8"/>
      <c r="J1972" s="8"/>
      <c r="K1972" s="8"/>
      <c r="L1972" s="8"/>
      <c r="M1972" s="8"/>
      <c r="N1972" s="8"/>
      <c r="O1972" s="8"/>
      <c r="P1972" s="8"/>
      <c r="Q1972" s="8"/>
      <c r="R1972" s="8"/>
      <c r="S1972" s="8"/>
      <c r="T1972" s="8"/>
      <c r="U1972" s="8"/>
      <c r="V1972" s="8"/>
      <c r="W1972" s="8"/>
    </row>
    <row r="1973" spans="1:23" ht="15.75" customHeight="1" x14ac:dyDescent="0.25">
      <c r="A1973" s="6" t="s">
        <v>249</v>
      </c>
      <c r="B1973" s="8"/>
      <c r="C1973" s="8"/>
      <c r="D1973" s="8"/>
      <c r="E1973" s="8"/>
      <c r="F1973" s="8"/>
      <c r="G1973" s="8"/>
      <c r="H1973" s="8"/>
      <c r="I1973" s="8"/>
      <c r="J1973" s="8"/>
      <c r="K1973" s="8"/>
      <c r="L1973" s="8"/>
      <c r="M1973" s="8"/>
      <c r="N1973" s="8"/>
      <c r="O1973" s="8"/>
      <c r="P1973" s="8"/>
      <c r="Q1973" s="8"/>
      <c r="R1973" s="8"/>
      <c r="S1973" s="8"/>
      <c r="T1973" s="8"/>
      <c r="U1973" s="8"/>
      <c r="V1973" s="8"/>
      <c r="W1973" s="8"/>
    </row>
    <row r="1974" spans="1:23" ht="15.75" customHeight="1" x14ac:dyDescent="0.25">
      <c r="A1974" s="6" t="s">
        <v>249</v>
      </c>
      <c r="B1974" s="8"/>
      <c r="C1974" s="8"/>
      <c r="D1974" s="8"/>
      <c r="E1974" s="8"/>
      <c r="F1974" s="8"/>
      <c r="G1974" s="8"/>
      <c r="H1974" s="8"/>
      <c r="I1974" s="8"/>
      <c r="J1974" s="8"/>
      <c r="K1974" s="8"/>
      <c r="L1974" s="8"/>
      <c r="M1974" s="8"/>
      <c r="N1974" s="8"/>
      <c r="O1974" s="8"/>
      <c r="P1974" s="8"/>
      <c r="Q1974" s="8"/>
      <c r="R1974" s="8"/>
      <c r="S1974" s="8"/>
      <c r="T1974" s="8"/>
      <c r="U1974" s="8"/>
      <c r="V1974" s="8"/>
      <c r="W1974" s="8"/>
    </row>
    <row r="1975" spans="1:23" ht="15.75" customHeight="1" x14ac:dyDescent="0.25">
      <c r="A1975" s="6" t="s">
        <v>249</v>
      </c>
      <c r="B1975" s="8"/>
      <c r="C1975" s="8"/>
      <c r="D1975" s="8"/>
      <c r="E1975" s="8"/>
      <c r="F1975" s="8"/>
      <c r="G1975" s="8"/>
      <c r="H1975" s="8"/>
      <c r="I1975" s="8"/>
      <c r="J1975" s="8"/>
      <c r="K1975" s="8"/>
      <c r="L1975" s="8"/>
      <c r="M1975" s="8"/>
      <c r="N1975" s="8"/>
      <c r="O1975" s="8"/>
      <c r="P1975" s="8"/>
      <c r="Q1975" s="8"/>
      <c r="R1975" s="8"/>
      <c r="S1975" s="8"/>
      <c r="T1975" s="8"/>
      <c r="U1975" s="8"/>
      <c r="V1975" s="8"/>
      <c r="W1975" s="8"/>
    </row>
    <row r="1976" spans="1:23" ht="15.75" customHeight="1" x14ac:dyDescent="0.25">
      <c r="A1976" s="6" t="s">
        <v>249</v>
      </c>
      <c r="B1976" s="8"/>
      <c r="C1976" s="8"/>
      <c r="D1976" s="8"/>
      <c r="E1976" s="8"/>
      <c r="F1976" s="8"/>
      <c r="G1976" s="8"/>
      <c r="H1976" s="8"/>
      <c r="I1976" s="8"/>
      <c r="J1976" s="8"/>
      <c r="K1976" s="8"/>
      <c r="L1976" s="8"/>
      <c r="M1976" s="8"/>
      <c r="N1976" s="8"/>
      <c r="O1976" s="8"/>
      <c r="P1976" s="8"/>
      <c r="Q1976" s="8"/>
      <c r="R1976" s="8"/>
      <c r="S1976" s="8"/>
      <c r="T1976" s="8"/>
      <c r="U1976" s="8"/>
      <c r="V1976" s="8"/>
      <c r="W1976" s="8"/>
    </row>
    <row r="1977" spans="1:23" ht="15.75" customHeight="1" x14ac:dyDescent="0.25">
      <c r="A1977" s="6" t="s">
        <v>249</v>
      </c>
      <c r="B1977" s="8"/>
      <c r="C1977" s="8"/>
      <c r="D1977" s="8"/>
      <c r="E1977" s="8"/>
      <c r="F1977" s="8"/>
      <c r="G1977" s="8"/>
      <c r="H1977" s="8"/>
      <c r="I1977" s="8"/>
      <c r="J1977" s="8"/>
      <c r="K1977" s="8"/>
      <c r="L1977" s="8"/>
      <c r="M1977" s="8"/>
      <c r="N1977" s="8"/>
      <c r="O1977" s="8"/>
      <c r="P1977" s="8"/>
      <c r="Q1977" s="8"/>
      <c r="R1977" s="8"/>
      <c r="S1977" s="8"/>
      <c r="T1977" s="8"/>
      <c r="U1977" s="8"/>
      <c r="V1977" s="8"/>
      <c r="W1977" s="8"/>
    </row>
    <row r="1978" spans="1:23" ht="15.75" customHeight="1" x14ac:dyDescent="0.25">
      <c r="A1978" s="6" t="s">
        <v>249</v>
      </c>
      <c r="B1978" s="8"/>
      <c r="C1978" s="8"/>
      <c r="D1978" s="8"/>
      <c r="E1978" s="8"/>
      <c r="F1978" s="8"/>
      <c r="G1978" s="8"/>
      <c r="H1978" s="8"/>
      <c r="I1978" s="8"/>
      <c r="J1978" s="8"/>
      <c r="K1978" s="8"/>
      <c r="L1978" s="8"/>
      <c r="M1978" s="8"/>
      <c r="N1978" s="8"/>
      <c r="O1978" s="8"/>
      <c r="P1978" s="8"/>
      <c r="Q1978" s="8"/>
      <c r="R1978" s="8"/>
      <c r="S1978" s="8"/>
      <c r="T1978" s="8"/>
      <c r="U1978" s="8"/>
      <c r="V1978" s="8"/>
      <c r="W1978" s="8"/>
    </row>
    <row r="1979" spans="1:23" ht="15.75" customHeight="1" x14ac:dyDescent="0.25">
      <c r="A1979" s="6" t="s">
        <v>249</v>
      </c>
      <c r="B1979" s="8"/>
      <c r="C1979" s="8"/>
      <c r="D1979" s="8"/>
      <c r="E1979" s="8"/>
      <c r="F1979" s="8"/>
      <c r="G1979" s="8"/>
      <c r="H1979" s="8"/>
      <c r="I1979" s="8"/>
      <c r="J1979" s="8"/>
      <c r="K1979" s="8"/>
      <c r="L1979" s="8"/>
      <c r="M1979" s="8"/>
      <c r="N1979" s="8"/>
      <c r="O1979" s="8"/>
      <c r="P1979" s="8"/>
      <c r="Q1979" s="8"/>
      <c r="R1979" s="8"/>
      <c r="S1979" s="8"/>
      <c r="T1979" s="8"/>
      <c r="U1979" s="8"/>
      <c r="V1979" s="8"/>
      <c r="W1979" s="8"/>
    </row>
    <row r="1980" spans="1:23" ht="15.75" customHeight="1" x14ac:dyDescent="0.25">
      <c r="A1980" s="6" t="s">
        <v>249</v>
      </c>
      <c r="B1980" s="8"/>
      <c r="C1980" s="8"/>
      <c r="D1980" s="8"/>
      <c r="E1980" s="8"/>
      <c r="F1980" s="8"/>
      <c r="G1980" s="8"/>
      <c r="H1980" s="8"/>
      <c r="I1980" s="8"/>
      <c r="J1980" s="8"/>
      <c r="K1980" s="8"/>
      <c r="L1980" s="8"/>
      <c r="M1980" s="8"/>
      <c r="N1980" s="8"/>
      <c r="O1980" s="8"/>
      <c r="P1980" s="8"/>
      <c r="Q1980" s="8"/>
      <c r="R1980" s="8"/>
      <c r="S1980" s="8"/>
      <c r="T1980" s="8"/>
      <c r="U1980" s="8"/>
      <c r="V1980" s="8"/>
      <c r="W1980" s="8"/>
    </row>
    <row r="1981" spans="1:23" ht="15.75" customHeight="1" x14ac:dyDescent="0.25">
      <c r="A1981" s="6" t="s">
        <v>249</v>
      </c>
      <c r="B1981" s="8"/>
      <c r="C1981" s="8"/>
      <c r="D1981" s="8"/>
      <c r="E1981" s="8"/>
      <c r="F1981" s="8"/>
      <c r="G1981" s="8"/>
      <c r="H1981" s="8"/>
      <c r="I1981" s="8"/>
      <c r="J1981" s="8"/>
      <c r="K1981" s="8"/>
      <c r="L1981" s="8"/>
      <c r="M1981" s="8"/>
      <c r="N1981" s="8"/>
      <c r="O1981" s="8"/>
      <c r="P1981" s="8"/>
      <c r="Q1981" s="8"/>
      <c r="R1981" s="8"/>
      <c r="S1981" s="8"/>
      <c r="T1981" s="8"/>
      <c r="U1981" s="8"/>
      <c r="V1981" s="8"/>
      <c r="W1981" s="8"/>
    </row>
    <row r="1982" spans="1:23" ht="15.75" customHeight="1" x14ac:dyDescent="0.25">
      <c r="A1982" s="6" t="s">
        <v>249</v>
      </c>
      <c r="B1982" s="8"/>
      <c r="C1982" s="8"/>
      <c r="D1982" s="8"/>
      <c r="E1982" s="8"/>
      <c r="F1982" s="8"/>
      <c r="G1982" s="8"/>
      <c r="H1982" s="8"/>
      <c r="I1982" s="8"/>
      <c r="J1982" s="8"/>
      <c r="K1982" s="8"/>
      <c r="L1982" s="8"/>
      <c r="M1982" s="8"/>
      <c r="N1982" s="8"/>
      <c r="O1982" s="8"/>
      <c r="P1982" s="8"/>
      <c r="Q1982" s="8"/>
      <c r="R1982" s="8"/>
      <c r="S1982" s="8"/>
      <c r="T1982" s="8"/>
      <c r="U1982" s="8"/>
      <c r="V1982" s="8"/>
      <c r="W1982" s="8"/>
    </row>
    <row r="1983" spans="1:23" ht="15.75" customHeight="1" x14ac:dyDescent="0.25">
      <c r="A1983" s="6" t="s">
        <v>249</v>
      </c>
      <c r="B1983" s="8"/>
      <c r="C1983" s="8"/>
      <c r="D1983" s="8"/>
      <c r="E1983" s="8"/>
      <c r="F1983" s="8"/>
      <c r="G1983" s="8"/>
      <c r="H1983" s="8"/>
      <c r="I1983" s="8"/>
      <c r="J1983" s="8"/>
      <c r="K1983" s="8"/>
      <c r="L1983" s="8"/>
      <c r="M1983" s="8"/>
      <c r="N1983" s="8"/>
      <c r="O1983" s="8"/>
      <c r="P1983" s="8"/>
      <c r="Q1983" s="8"/>
      <c r="R1983" s="8"/>
      <c r="S1983" s="8"/>
      <c r="T1983" s="8"/>
      <c r="U1983" s="8"/>
      <c r="V1983" s="8"/>
      <c r="W1983" s="8"/>
    </row>
    <row r="1984" spans="1:23" ht="15.75" customHeight="1" x14ac:dyDescent="0.25">
      <c r="A1984" s="6" t="s">
        <v>249</v>
      </c>
      <c r="B1984" s="8"/>
      <c r="C1984" s="8"/>
      <c r="D1984" s="8"/>
      <c r="E1984" s="8"/>
      <c r="F1984" s="8"/>
      <c r="G1984" s="8"/>
      <c r="H1984" s="8"/>
      <c r="I1984" s="8"/>
      <c r="J1984" s="8"/>
      <c r="K1984" s="8"/>
      <c r="L1984" s="8"/>
      <c r="M1984" s="8"/>
      <c r="N1984" s="8"/>
      <c r="O1984" s="8"/>
      <c r="P1984" s="8"/>
      <c r="Q1984" s="8"/>
      <c r="R1984" s="8"/>
      <c r="S1984" s="8"/>
      <c r="T1984" s="8"/>
      <c r="U1984" s="8"/>
      <c r="V1984" s="8"/>
      <c r="W1984" s="8"/>
    </row>
    <row r="1985" spans="1:23" ht="15.75" customHeight="1" x14ac:dyDescent="0.25">
      <c r="A1985" s="6" t="s">
        <v>249</v>
      </c>
      <c r="B1985" s="8"/>
      <c r="C1985" s="8"/>
      <c r="D1985" s="8"/>
      <c r="E1985" s="8"/>
      <c r="F1985" s="8"/>
      <c r="G1985" s="8"/>
      <c r="H1985" s="8"/>
      <c r="I1985" s="8"/>
      <c r="J1985" s="8"/>
      <c r="K1985" s="8"/>
      <c r="L1985" s="8"/>
      <c r="M1985" s="8"/>
      <c r="N1985" s="8"/>
      <c r="O1985" s="8"/>
      <c r="P1985" s="8"/>
      <c r="Q1985" s="8"/>
      <c r="R1985" s="8"/>
      <c r="S1985" s="8"/>
      <c r="T1985" s="8"/>
      <c r="U1985" s="8"/>
      <c r="V1985" s="8"/>
      <c r="W1985" s="8"/>
    </row>
    <row r="1986" spans="1:23" ht="15.75" customHeight="1" x14ac:dyDescent="0.25">
      <c r="A1986" s="6" t="s">
        <v>249</v>
      </c>
      <c r="B1986" s="8"/>
      <c r="C1986" s="8"/>
      <c r="D1986" s="8"/>
      <c r="E1986" s="8"/>
      <c r="F1986" s="8"/>
      <c r="G1986" s="8"/>
      <c r="H1986" s="8"/>
      <c r="I1986" s="8"/>
      <c r="J1986" s="8"/>
      <c r="K1986" s="8"/>
      <c r="L1986" s="8"/>
      <c r="M1986" s="8"/>
      <c r="N1986" s="8"/>
      <c r="O1986" s="8"/>
      <c r="P1986" s="8"/>
      <c r="Q1986" s="8"/>
      <c r="R1986" s="8"/>
      <c r="S1986" s="8"/>
      <c r="T1986" s="8"/>
      <c r="U1986" s="8"/>
      <c r="V1986" s="8"/>
      <c r="W1986" s="8"/>
    </row>
    <row r="1987" spans="1:23" ht="15.75" customHeight="1" x14ac:dyDescent="0.25">
      <c r="A1987" s="6" t="s">
        <v>249</v>
      </c>
      <c r="B1987" s="8"/>
      <c r="C1987" s="8"/>
      <c r="D1987" s="8"/>
      <c r="E1987" s="8"/>
      <c r="F1987" s="8"/>
      <c r="G1987" s="8"/>
      <c r="H1987" s="8"/>
      <c r="I1987" s="8"/>
      <c r="J1987" s="8"/>
      <c r="K1987" s="8"/>
      <c r="L1987" s="8"/>
      <c r="M1987" s="8"/>
      <c r="N1987" s="8"/>
      <c r="O1987" s="8"/>
      <c r="P1987" s="8"/>
      <c r="Q1987" s="8"/>
      <c r="R1987" s="8"/>
      <c r="S1987" s="8"/>
      <c r="T1987" s="8"/>
      <c r="U1987" s="8"/>
      <c r="V1987" s="8"/>
      <c r="W1987" s="8"/>
    </row>
    <row r="1988" spans="1:23" ht="15.75" customHeight="1" x14ac:dyDescent="0.25">
      <c r="A1988" s="6" t="s">
        <v>249</v>
      </c>
      <c r="B1988" s="8"/>
      <c r="C1988" s="8"/>
      <c r="D1988" s="8"/>
      <c r="E1988" s="8"/>
      <c r="F1988" s="8"/>
      <c r="G1988" s="8"/>
      <c r="H1988" s="8"/>
      <c r="I1988" s="8"/>
      <c r="J1988" s="8"/>
      <c r="K1988" s="8"/>
      <c r="L1988" s="8"/>
      <c r="M1988" s="8"/>
      <c r="N1988" s="8"/>
      <c r="O1988" s="8"/>
      <c r="P1988" s="8"/>
      <c r="Q1988" s="8"/>
      <c r="R1988" s="8"/>
      <c r="S1988" s="8"/>
      <c r="T1988" s="8"/>
      <c r="U1988" s="8"/>
      <c r="V1988" s="8"/>
      <c r="W1988" s="8"/>
    </row>
    <row r="1989" spans="1:23" ht="15.75" customHeight="1" x14ac:dyDescent="0.25">
      <c r="A1989" s="6" t="s">
        <v>249</v>
      </c>
      <c r="B1989" s="8"/>
      <c r="C1989" s="8"/>
      <c r="D1989" s="8"/>
      <c r="E1989" s="8"/>
      <c r="F1989" s="8"/>
      <c r="G1989" s="8"/>
      <c r="H1989" s="8"/>
      <c r="I1989" s="8"/>
      <c r="J1989" s="8"/>
      <c r="K1989" s="8"/>
      <c r="L1989" s="8"/>
      <c r="M1989" s="8"/>
      <c r="N1989" s="8"/>
      <c r="O1989" s="8"/>
      <c r="P1989" s="8"/>
      <c r="Q1989" s="8"/>
      <c r="R1989" s="8"/>
      <c r="S1989" s="8"/>
      <c r="T1989" s="8"/>
      <c r="U1989" s="8"/>
      <c r="V1989" s="8"/>
      <c r="W1989" s="8"/>
    </row>
    <row r="1990" spans="1:23" ht="15.75" customHeight="1" x14ac:dyDescent="0.25">
      <c r="A1990" s="6" t="s">
        <v>249</v>
      </c>
      <c r="B1990" s="8"/>
      <c r="C1990" s="8"/>
      <c r="D1990" s="8"/>
      <c r="E1990" s="8"/>
      <c r="F1990" s="8"/>
      <c r="G1990" s="8"/>
      <c r="H1990" s="8"/>
      <c r="I1990" s="8"/>
      <c r="J1990" s="8"/>
      <c r="K1990" s="8"/>
      <c r="L1990" s="8"/>
      <c r="M1990" s="8"/>
      <c r="N1990" s="8"/>
      <c r="O1990" s="8"/>
      <c r="P1990" s="8"/>
      <c r="Q1990" s="8"/>
      <c r="R1990" s="8"/>
      <c r="S1990" s="8"/>
      <c r="T1990" s="8"/>
      <c r="U1990" s="8"/>
      <c r="V1990" s="8"/>
      <c r="W1990" s="8"/>
    </row>
    <row r="1991" spans="1:23" ht="15.75" customHeight="1" x14ac:dyDescent="0.25">
      <c r="A1991" s="6" t="s">
        <v>249</v>
      </c>
      <c r="B1991" s="8"/>
      <c r="C1991" s="8"/>
      <c r="D1991" s="8"/>
      <c r="E1991" s="8"/>
      <c r="F1991" s="8"/>
      <c r="G1991" s="8"/>
      <c r="H1991" s="8"/>
      <c r="I1991" s="8"/>
      <c r="J1991" s="8"/>
      <c r="K1991" s="8"/>
      <c r="L1991" s="8"/>
      <c r="M1991" s="8"/>
      <c r="N1991" s="8"/>
      <c r="O1991" s="8"/>
      <c r="P1991" s="8"/>
      <c r="Q1991" s="8"/>
      <c r="R1991" s="8"/>
      <c r="S1991" s="8"/>
      <c r="T1991" s="8"/>
      <c r="U1991" s="8"/>
      <c r="V1991" s="8"/>
      <c r="W1991" s="8"/>
    </row>
    <row r="1992" spans="1:23" ht="15.75" customHeight="1" x14ac:dyDescent="0.25">
      <c r="A1992" s="6" t="s">
        <v>249</v>
      </c>
      <c r="B1992" s="8"/>
      <c r="C1992" s="8"/>
      <c r="D1992" s="8"/>
      <c r="E1992" s="8"/>
      <c r="F1992" s="8"/>
      <c r="G1992" s="8"/>
      <c r="H1992" s="8"/>
      <c r="I1992" s="8"/>
      <c r="J1992" s="8"/>
      <c r="K1992" s="8"/>
      <c r="L1992" s="8"/>
      <c r="M1992" s="8"/>
      <c r="N1992" s="8"/>
      <c r="O1992" s="8"/>
      <c r="P1992" s="8"/>
      <c r="Q1992" s="8"/>
      <c r="R1992" s="8"/>
      <c r="S1992" s="8"/>
      <c r="T1992" s="8"/>
      <c r="U1992" s="8"/>
      <c r="V1992" s="8"/>
      <c r="W1992" s="8"/>
    </row>
    <row r="1993" spans="1:23" ht="15.75" customHeight="1" x14ac:dyDescent="0.25">
      <c r="A1993" s="6" t="s">
        <v>249</v>
      </c>
      <c r="B1993" s="8"/>
      <c r="C1993" s="8"/>
      <c r="D1993" s="8"/>
      <c r="E1993" s="8"/>
      <c r="F1993" s="8"/>
      <c r="G1993" s="8"/>
      <c r="H1993" s="8"/>
      <c r="I1993" s="8"/>
      <c r="J1993" s="8"/>
      <c r="K1993" s="8"/>
      <c r="L1993" s="8"/>
      <c r="M1993" s="8"/>
      <c r="N1993" s="8"/>
      <c r="O1993" s="8"/>
      <c r="P1993" s="8"/>
      <c r="Q1993" s="8"/>
      <c r="R1993" s="8"/>
      <c r="S1993" s="8"/>
      <c r="T1993" s="8"/>
      <c r="U1993" s="8"/>
      <c r="V1993" s="8"/>
      <c r="W1993" s="8"/>
    </row>
    <row r="1994" spans="1:23" ht="15.75" customHeight="1" x14ac:dyDescent="0.25">
      <c r="A1994" s="6" t="s">
        <v>249</v>
      </c>
      <c r="B1994" s="8"/>
      <c r="C1994" s="8"/>
      <c r="D1994" s="8"/>
      <c r="E1994" s="8"/>
      <c r="F1994" s="8"/>
      <c r="G1994" s="8"/>
      <c r="H1994" s="8"/>
      <c r="I1994" s="8"/>
      <c r="J1994" s="8"/>
      <c r="K1994" s="8"/>
      <c r="L1994" s="8"/>
      <c r="M1994" s="8"/>
      <c r="N1994" s="8"/>
      <c r="O1994" s="8"/>
      <c r="P1994" s="8"/>
      <c r="Q1994" s="8"/>
      <c r="R1994" s="8"/>
      <c r="S1994" s="8"/>
      <c r="T1994" s="8"/>
      <c r="U1994" s="8"/>
      <c r="V1994" s="8"/>
      <c r="W1994" s="8"/>
    </row>
    <row r="1995" spans="1:23" ht="15.75" customHeight="1" x14ac:dyDescent="0.25">
      <c r="A1995" s="6" t="s">
        <v>249</v>
      </c>
      <c r="B1995" s="8"/>
      <c r="C1995" s="8"/>
      <c r="D1995" s="8"/>
      <c r="E1995" s="8"/>
      <c r="F1995" s="8"/>
      <c r="G1995" s="8"/>
      <c r="H1995" s="8"/>
      <c r="I1995" s="8"/>
      <c r="J1995" s="8"/>
      <c r="K1995" s="8"/>
      <c r="L1995" s="8"/>
      <c r="M1995" s="8"/>
      <c r="N1995" s="8"/>
      <c r="O1995" s="8"/>
      <c r="P1995" s="8"/>
      <c r="Q1995" s="8"/>
      <c r="R1995" s="8"/>
      <c r="S1995" s="8"/>
      <c r="T1995" s="8"/>
      <c r="U1995" s="8"/>
      <c r="V1995" s="8"/>
      <c r="W1995" s="8"/>
    </row>
    <row r="1996" spans="1:23" ht="15.75" customHeight="1" x14ac:dyDescent="0.25">
      <c r="A1996" s="6" t="s">
        <v>249</v>
      </c>
      <c r="B1996" s="8"/>
      <c r="C1996" s="8"/>
      <c r="D1996" s="8"/>
      <c r="E1996" s="8"/>
      <c r="F1996" s="8"/>
      <c r="G1996" s="8"/>
      <c r="H1996" s="8"/>
      <c r="I1996" s="8"/>
      <c r="J1996" s="8"/>
      <c r="K1996" s="8"/>
      <c r="L1996" s="8"/>
      <c r="M1996" s="8"/>
      <c r="N1996" s="8"/>
      <c r="O1996" s="8"/>
      <c r="P1996" s="8"/>
      <c r="Q1996" s="8"/>
      <c r="R1996" s="8"/>
      <c r="S1996" s="8"/>
      <c r="T1996" s="8"/>
      <c r="U1996" s="8"/>
      <c r="V1996" s="8"/>
      <c r="W1996" s="8"/>
    </row>
    <row r="1997" spans="1:23" ht="15.75" customHeight="1" x14ac:dyDescent="0.25">
      <c r="A1997" s="6" t="s">
        <v>249</v>
      </c>
      <c r="B1997" s="8"/>
      <c r="C1997" s="8"/>
      <c r="D1997" s="8"/>
      <c r="E1997" s="8"/>
      <c r="F1997" s="8"/>
      <c r="G1997" s="8"/>
      <c r="H1997" s="8"/>
      <c r="I1997" s="8"/>
      <c r="J1997" s="8"/>
      <c r="K1997" s="8"/>
      <c r="L1997" s="8"/>
      <c r="M1997" s="8"/>
      <c r="N1997" s="8"/>
      <c r="O1997" s="8"/>
      <c r="P1997" s="8"/>
      <c r="Q1997" s="8"/>
      <c r="R1997" s="8"/>
      <c r="S1997" s="8"/>
      <c r="T1997" s="8"/>
      <c r="U1997" s="8"/>
      <c r="V1997" s="8"/>
      <c r="W1997" s="8"/>
    </row>
    <row r="1998" spans="1:23" ht="15.75" customHeight="1" x14ac:dyDescent="0.25">
      <c r="A1998" s="6" t="s">
        <v>249</v>
      </c>
      <c r="B1998" s="8"/>
      <c r="C1998" s="8"/>
      <c r="D1998" s="8"/>
      <c r="E1998" s="8"/>
      <c r="F1998" s="8"/>
      <c r="G1998" s="8"/>
      <c r="H1998" s="8"/>
      <c r="I1998" s="8"/>
      <c r="J1998" s="8"/>
      <c r="K1998" s="8"/>
      <c r="L1998" s="8"/>
      <c r="M1998" s="8"/>
      <c r="N1998" s="8"/>
      <c r="O1998" s="8"/>
      <c r="P1998" s="8"/>
      <c r="Q1998" s="8"/>
      <c r="R1998" s="8"/>
      <c r="S1998" s="8"/>
      <c r="T1998" s="8"/>
      <c r="U1998" s="8"/>
      <c r="V1998" s="8"/>
      <c r="W1998" s="8"/>
    </row>
    <row r="1999" spans="1:23" ht="15.75" customHeight="1" x14ac:dyDescent="0.25">
      <c r="A1999" s="6" t="s">
        <v>249</v>
      </c>
      <c r="B1999" s="8"/>
      <c r="C1999" s="8"/>
      <c r="D1999" s="8"/>
      <c r="E1999" s="8"/>
      <c r="F1999" s="8"/>
      <c r="G1999" s="8"/>
      <c r="H1999" s="8"/>
      <c r="I1999" s="8"/>
      <c r="J1999" s="8"/>
      <c r="K1999" s="8"/>
      <c r="L1999" s="8"/>
      <c r="M1999" s="8"/>
      <c r="N1999" s="8"/>
      <c r="O1999" s="8"/>
      <c r="P1999" s="8"/>
      <c r="Q1999" s="8"/>
      <c r="R1999" s="8"/>
      <c r="S1999" s="8"/>
      <c r="T1999" s="8"/>
      <c r="U1999" s="8"/>
      <c r="V1999" s="8"/>
      <c r="W1999" s="8"/>
    </row>
    <row r="2000" spans="1:23" ht="15.75" customHeight="1" x14ac:dyDescent="0.25">
      <c r="A2000" s="6" t="s">
        <v>249</v>
      </c>
      <c r="B2000" s="8"/>
      <c r="C2000" s="8"/>
      <c r="D2000" s="8"/>
      <c r="E2000" s="8"/>
      <c r="F2000" s="8"/>
      <c r="G2000" s="8"/>
      <c r="H2000" s="8"/>
      <c r="I2000" s="8"/>
      <c r="J2000" s="8"/>
      <c r="K2000" s="8"/>
      <c r="L2000" s="8"/>
      <c r="M2000" s="8"/>
      <c r="N2000" s="8"/>
      <c r="O2000" s="8"/>
      <c r="P2000" s="8"/>
      <c r="Q2000" s="8"/>
      <c r="R2000" s="8"/>
      <c r="S2000" s="8"/>
      <c r="T2000" s="8"/>
      <c r="U2000" s="8"/>
      <c r="V2000" s="8"/>
      <c r="W2000" s="8"/>
    </row>
    <row r="2001" spans="1:23" ht="15.75" customHeight="1" x14ac:dyDescent="0.25">
      <c r="A2001" s="6" t="s">
        <v>249</v>
      </c>
      <c r="B2001" s="8"/>
      <c r="C2001" s="8"/>
      <c r="D2001" s="8"/>
      <c r="E2001" s="8"/>
      <c r="F2001" s="8"/>
      <c r="G2001" s="8"/>
      <c r="H2001" s="8"/>
      <c r="I2001" s="8"/>
      <c r="J2001" s="8"/>
      <c r="K2001" s="8"/>
      <c r="L2001" s="8"/>
      <c r="M2001" s="8"/>
      <c r="N2001" s="8"/>
      <c r="O2001" s="8"/>
      <c r="P2001" s="8"/>
      <c r="Q2001" s="8"/>
      <c r="R2001" s="8"/>
      <c r="S2001" s="8"/>
      <c r="T2001" s="8"/>
      <c r="U2001" s="8"/>
      <c r="V2001" s="8"/>
      <c r="W2001" s="8"/>
    </row>
    <row r="2002" spans="1:23" ht="15.75" customHeight="1" x14ac:dyDescent="0.25">
      <c r="A2002" s="6" t="s">
        <v>249</v>
      </c>
      <c r="B2002" s="8"/>
      <c r="C2002" s="8"/>
      <c r="D2002" s="8"/>
      <c r="E2002" s="8"/>
      <c r="F2002" s="8"/>
      <c r="G2002" s="8"/>
      <c r="H2002" s="8"/>
      <c r="I2002" s="8"/>
      <c r="J2002" s="8"/>
      <c r="K2002" s="8"/>
      <c r="L2002" s="8"/>
      <c r="M2002" s="8"/>
      <c r="N2002" s="8"/>
      <c r="O2002" s="8"/>
      <c r="P2002" s="8"/>
      <c r="Q2002" s="8"/>
      <c r="R2002" s="8"/>
      <c r="S2002" s="8"/>
      <c r="T2002" s="8"/>
      <c r="U2002" s="8"/>
      <c r="V2002" s="8"/>
      <c r="W2002" s="8"/>
    </row>
    <row r="2003" spans="1:23" ht="15.75" customHeight="1" x14ac:dyDescent="0.25">
      <c r="A2003" s="6" t="s">
        <v>249</v>
      </c>
      <c r="B2003" s="8"/>
      <c r="C2003" s="8"/>
      <c r="D2003" s="8"/>
      <c r="E2003" s="8"/>
      <c r="F2003" s="8"/>
      <c r="G2003" s="8"/>
      <c r="H2003" s="8"/>
      <c r="I2003" s="8"/>
      <c r="J2003" s="8"/>
      <c r="K2003" s="8"/>
      <c r="L2003" s="8"/>
      <c r="M2003" s="8"/>
      <c r="N2003" s="8"/>
      <c r="O2003" s="8"/>
      <c r="P2003" s="8"/>
      <c r="Q2003" s="8"/>
      <c r="R2003" s="8"/>
      <c r="S2003" s="8"/>
      <c r="T2003" s="8"/>
      <c r="U2003" s="8"/>
      <c r="V2003" s="8"/>
      <c r="W2003" s="8"/>
    </row>
    <row r="2004" spans="1:23" ht="15.75" customHeight="1" x14ac:dyDescent="0.25">
      <c r="A2004" s="6" t="s">
        <v>249</v>
      </c>
      <c r="B2004" s="8"/>
      <c r="C2004" s="8"/>
      <c r="D2004" s="8"/>
      <c r="E2004" s="8"/>
      <c r="F2004" s="8"/>
      <c r="G2004" s="8"/>
      <c r="H2004" s="8"/>
      <c r="I2004" s="8"/>
      <c r="J2004" s="8"/>
      <c r="K2004" s="8"/>
      <c r="L2004" s="8"/>
      <c r="M2004" s="8"/>
      <c r="N2004" s="8"/>
      <c r="O2004" s="8"/>
      <c r="P2004" s="8"/>
      <c r="Q2004" s="8"/>
      <c r="R2004" s="8"/>
      <c r="S2004" s="8"/>
      <c r="T2004" s="8"/>
      <c r="U2004" s="8"/>
      <c r="V2004" s="8"/>
      <c r="W2004" s="8"/>
    </row>
    <row r="2005" spans="1:23" ht="15.75" customHeight="1" x14ac:dyDescent="0.25">
      <c r="A2005" s="6" t="s">
        <v>249</v>
      </c>
      <c r="B2005" s="8"/>
      <c r="C2005" s="8"/>
      <c r="D2005" s="8"/>
      <c r="E2005" s="8"/>
      <c r="F2005" s="8"/>
      <c r="G2005" s="8"/>
      <c r="H2005" s="8"/>
      <c r="I2005" s="8"/>
      <c r="J2005" s="8"/>
      <c r="K2005" s="8"/>
      <c r="L2005" s="8"/>
      <c r="M2005" s="8"/>
      <c r="N2005" s="8"/>
      <c r="O2005" s="8"/>
      <c r="P2005" s="8"/>
      <c r="Q2005" s="8"/>
      <c r="R2005" s="8"/>
      <c r="S2005" s="8"/>
      <c r="T2005" s="8"/>
      <c r="U2005" s="8"/>
      <c r="V2005" s="8"/>
      <c r="W2005" s="8"/>
    </row>
    <row r="2006" spans="1:23" ht="15.75" customHeight="1" x14ac:dyDescent="0.25">
      <c r="A2006" s="6" t="s">
        <v>249</v>
      </c>
      <c r="B2006" s="8"/>
      <c r="C2006" s="8"/>
      <c r="D2006" s="8"/>
      <c r="E2006" s="8"/>
      <c r="F2006" s="8"/>
      <c r="G2006" s="8"/>
      <c r="H2006" s="8"/>
      <c r="I2006" s="8"/>
      <c r="J2006" s="8"/>
      <c r="K2006" s="8"/>
      <c r="L2006" s="8"/>
      <c r="M2006" s="8"/>
      <c r="N2006" s="8"/>
      <c r="O2006" s="8"/>
      <c r="P2006" s="8"/>
      <c r="Q2006" s="8"/>
      <c r="R2006" s="8"/>
      <c r="S2006" s="8"/>
      <c r="T2006" s="8"/>
      <c r="U2006" s="8"/>
      <c r="V2006" s="8"/>
      <c r="W2006" s="8"/>
    </row>
    <row r="2007" spans="1:23" ht="15.75" customHeight="1" x14ac:dyDescent="0.25">
      <c r="A2007" s="6" t="s">
        <v>249</v>
      </c>
      <c r="B2007" s="8"/>
      <c r="C2007" s="8"/>
      <c r="D2007" s="8"/>
      <c r="E2007" s="8"/>
      <c r="F2007" s="8"/>
      <c r="G2007" s="8"/>
      <c r="H2007" s="8"/>
      <c r="I2007" s="8"/>
      <c r="J2007" s="8"/>
      <c r="K2007" s="8"/>
      <c r="L2007" s="8"/>
      <c r="M2007" s="8"/>
      <c r="N2007" s="8"/>
      <c r="O2007" s="8"/>
      <c r="P2007" s="8"/>
      <c r="Q2007" s="8"/>
      <c r="R2007" s="8"/>
      <c r="S2007" s="8"/>
      <c r="T2007" s="8"/>
      <c r="U2007" s="8"/>
      <c r="V2007" s="8"/>
      <c r="W2007" s="8"/>
    </row>
    <row r="2008" spans="1:23" ht="15.75" customHeight="1" x14ac:dyDescent="0.25">
      <c r="A2008" s="6" t="s">
        <v>249</v>
      </c>
      <c r="B2008" s="8"/>
      <c r="C2008" s="8"/>
      <c r="D2008" s="8"/>
      <c r="E2008" s="8"/>
      <c r="F2008" s="8"/>
      <c r="G2008" s="8"/>
      <c r="H2008" s="8"/>
      <c r="I2008" s="8"/>
      <c r="J2008" s="8"/>
      <c r="K2008" s="8"/>
      <c r="L2008" s="8"/>
      <c r="M2008" s="8"/>
      <c r="N2008" s="8"/>
      <c r="O2008" s="8"/>
      <c r="P2008" s="8"/>
      <c r="Q2008" s="8"/>
      <c r="R2008" s="8"/>
      <c r="S2008" s="8"/>
      <c r="T2008" s="8"/>
      <c r="U2008" s="8"/>
      <c r="V2008" s="8"/>
      <c r="W2008" s="8"/>
    </row>
    <row r="2009" spans="1:23" ht="15.75" customHeight="1" x14ac:dyDescent="0.25">
      <c r="A2009" s="6" t="s">
        <v>249</v>
      </c>
      <c r="B2009" s="8"/>
      <c r="C2009" s="8"/>
      <c r="D2009" s="8"/>
      <c r="E2009" s="8"/>
      <c r="F2009" s="8"/>
      <c r="G2009" s="8"/>
      <c r="H2009" s="8"/>
      <c r="I2009" s="8"/>
      <c r="J2009" s="8"/>
      <c r="K2009" s="8"/>
      <c r="L2009" s="8"/>
      <c r="M2009" s="8"/>
      <c r="N2009" s="8"/>
      <c r="O2009" s="8"/>
      <c r="P2009" s="8"/>
      <c r="Q2009" s="8"/>
      <c r="R2009" s="8"/>
      <c r="S2009" s="8"/>
      <c r="T2009" s="8"/>
      <c r="U2009" s="8"/>
      <c r="V2009" s="8"/>
      <c r="W2009" s="8"/>
    </row>
    <row r="2010" spans="1:23" ht="15.75" customHeight="1" x14ac:dyDescent="0.25">
      <c r="A2010" s="8" t="s">
        <v>249</v>
      </c>
      <c r="B2010" s="8"/>
      <c r="C2010" s="8"/>
      <c r="D2010" s="8"/>
      <c r="E2010" s="8"/>
      <c r="F2010" s="8"/>
      <c r="G2010" s="8"/>
      <c r="H2010" s="8"/>
      <c r="I2010" s="8"/>
      <c r="J2010" s="8"/>
      <c r="K2010" s="8"/>
      <c r="L2010" s="8"/>
      <c r="M2010" s="8"/>
      <c r="N2010" s="8"/>
      <c r="O2010" s="8"/>
      <c r="P2010" s="8"/>
      <c r="Q2010" s="8"/>
      <c r="R2010" s="8"/>
      <c r="S2010" s="8"/>
      <c r="T2010" s="8"/>
      <c r="U2010" s="8"/>
      <c r="V2010" s="8"/>
      <c r="W2010" s="8"/>
    </row>
    <row r="2011" spans="1:23" ht="15.75" customHeight="1" x14ac:dyDescent="0.25">
      <c r="A2011" s="6" t="s">
        <v>249</v>
      </c>
      <c r="B2011" s="8"/>
      <c r="C2011" s="8"/>
      <c r="D2011" s="8"/>
      <c r="E2011" s="8"/>
      <c r="F2011" s="8"/>
      <c r="G2011" s="8"/>
      <c r="H2011" s="8"/>
      <c r="I2011" s="8"/>
      <c r="J2011" s="8"/>
      <c r="K2011" s="8"/>
      <c r="L2011" s="8"/>
      <c r="M2011" s="8"/>
      <c r="N2011" s="8"/>
      <c r="O2011" s="8"/>
      <c r="P2011" s="8"/>
      <c r="Q2011" s="8"/>
      <c r="R2011" s="8"/>
      <c r="S2011" s="8"/>
      <c r="T2011" s="8"/>
      <c r="U2011" s="8"/>
      <c r="V2011" s="8"/>
      <c r="W2011" s="8"/>
    </row>
    <row r="2012" spans="1:23" ht="15.75" customHeight="1" x14ac:dyDescent="0.25">
      <c r="A2012" s="6" t="s">
        <v>249</v>
      </c>
      <c r="B2012" s="8"/>
      <c r="C2012" s="8"/>
      <c r="D2012" s="8"/>
      <c r="E2012" s="8"/>
      <c r="F2012" s="8"/>
      <c r="G2012" s="8"/>
      <c r="H2012" s="8"/>
      <c r="I2012" s="8"/>
      <c r="J2012" s="8"/>
      <c r="K2012" s="8"/>
      <c r="L2012" s="8"/>
      <c r="M2012" s="8"/>
      <c r="N2012" s="8"/>
      <c r="O2012" s="8"/>
      <c r="P2012" s="8"/>
      <c r="Q2012" s="8"/>
      <c r="R2012" s="8"/>
      <c r="S2012" s="8"/>
      <c r="T2012" s="8"/>
      <c r="U2012" s="8"/>
      <c r="V2012" s="8"/>
      <c r="W2012" s="8"/>
    </row>
    <row r="2013" spans="1:23" ht="15.75" customHeight="1" x14ac:dyDescent="0.25">
      <c r="A2013" s="6" t="s">
        <v>249</v>
      </c>
      <c r="B2013" s="8"/>
      <c r="C2013" s="8"/>
      <c r="D2013" s="8"/>
      <c r="E2013" s="8"/>
      <c r="F2013" s="8"/>
      <c r="G2013" s="8"/>
      <c r="H2013" s="8"/>
      <c r="I2013" s="8"/>
      <c r="J2013" s="8"/>
      <c r="K2013" s="8"/>
      <c r="L2013" s="8"/>
      <c r="M2013" s="8"/>
      <c r="N2013" s="8"/>
      <c r="O2013" s="8"/>
      <c r="P2013" s="8"/>
      <c r="Q2013" s="8"/>
      <c r="R2013" s="8"/>
      <c r="S2013" s="8"/>
      <c r="T2013" s="8"/>
      <c r="U2013" s="8"/>
      <c r="V2013" s="8"/>
      <c r="W2013" s="8"/>
    </row>
    <row r="2014" spans="1:23" ht="15.75" customHeight="1" x14ac:dyDescent="0.25">
      <c r="A2014" s="8" t="s">
        <v>249</v>
      </c>
      <c r="B2014" s="8"/>
      <c r="C2014" s="8"/>
      <c r="D2014" s="8"/>
      <c r="E2014" s="8"/>
      <c r="F2014" s="8"/>
      <c r="G2014" s="8"/>
      <c r="H2014" s="8"/>
      <c r="I2014" s="8"/>
      <c r="J2014" s="8"/>
      <c r="K2014" s="8"/>
      <c r="L2014" s="8"/>
      <c r="M2014" s="8"/>
      <c r="N2014" s="8"/>
      <c r="O2014" s="8"/>
      <c r="P2014" s="8"/>
      <c r="Q2014" s="8"/>
      <c r="R2014" s="8"/>
      <c r="S2014" s="8"/>
      <c r="T2014" s="8"/>
      <c r="U2014" s="8"/>
      <c r="V2014" s="8"/>
      <c r="W2014" s="8"/>
    </row>
    <row r="2015" spans="1:23" ht="15.75" customHeight="1" x14ac:dyDescent="0.25">
      <c r="A2015" s="6" t="s">
        <v>249</v>
      </c>
      <c r="B2015" s="8"/>
      <c r="C2015" s="8"/>
      <c r="D2015" s="8"/>
      <c r="E2015" s="8"/>
      <c r="F2015" s="8"/>
      <c r="G2015" s="8"/>
      <c r="H2015" s="8"/>
      <c r="I2015" s="8"/>
      <c r="J2015" s="8"/>
      <c r="K2015" s="8"/>
      <c r="L2015" s="8"/>
      <c r="M2015" s="8"/>
      <c r="N2015" s="8"/>
      <c r="O2015" s="8"/>
      <c r="P2015" s="8"/>
      <c r="Q2015" s="8"/>
      <c r="R2015" s="8"/>
      <c r="S2015" s="8"/>
      <c r="T2015" s="8"/>
      <c r="U2015" s="8"/>
      <c r="V2015" s="8"/>
      <c r="W2015" s="8"/>
    </row>
    <row r="2016" spans="1:23" ht="15.75" customHeight="1" x14ac:dyDescent="0.25">
      <c r="A2016" s="6" t="s">
        <v>249</v>
      </c>
      <c r="B2016" s="8"/>
      <c r="C2016" s="8"/>
      <c r="D2016" s="8"/>
      <c r="E2016" s="8"/>
      <c r="F2016" s="8"/>
      <c r="G2016" s="8"/>
      <c r="H2016" s="8"/>
      <c r="I2016" s="8"/>
      <c r="J2016" s="8"/>
      <c r="K2016" s="8"/>
      <c r="L2016" s="8"/>
      <c r="M2016" s="8"/>
      <c r="N2016" s="8"/>
      <c r="O2016" s="8"/>
      <c r="P2016" s="8"/>
      <c r="Q2016" s="8"/>
      <c r="R2016" s="8"/>
      <c r="S2016" s="8"/>
      <c r="T2016" s="8"/>
      <c r="U2016" s="8"/>
      <c r="V2016" s="8"/>
      <c r="W2016" s="8"/>
    </row>
    <row r="2017" spans="1:23" ht="15.75" customHeight="1" x14ac:dyDescent="0.25">
      <c r="A2017" s="6" t="s">
        <v>249</v>
      </c>
      <c r="B2017" s="8"/>
      <c r="C2017" s="8"/>
      <c r="D2017" s="8"/>
      <c r="E2017" s="8"/>
      <c r="F2017" s="8"/>
      <c r="G2017" s="8"/>
      <c r="H2017" s="8"/>
      <c r="I2017" s="8"/>
      <c r="J2017" s="8"/>
      <c r="K2017" s="8"/>
      <c r="L2017" s="8"/>
      <c r="M2017" s="8"/>
      <c r="N2017" s="8"/>
      <c r="O2017" s="8"/>
      <c r="P2017" s="8"/>
      <c r="Q2017" s="8"/>
      <c r="R2017" s="8"/>
      <c r="S2017" s="8"/>
      <c r="T2017" s="8"/>
      <c r="U2017" s="8"/>
      <c r="V2017" s="8"/>
      <c r="W2017" s="8"/>
    </row>
    <row r="2018" spans="1:23" ht="15.75" customHeight="1" x14ac:dyDescent="0.25">
      <c r="A2018" s="6" t="s">
        <v>249</v>
      </c>
      <c r="B2018" s="8"/>
      <c r="C2018" s="8"/>
      <c r="D2018" s="8"/>
      <c r="E2018" s="8"/>
      <c r="F2018" s="8"/>
      <c r="G2018" s="8"/>
      <c r="H2018" s="8"/>
      <c r="I2018" s="8"/>
      <c r="J2018" s="8"/>
      <c r="K2018" s="8"/>
      <c r="L2018" s="8"/>
      <c r="M2018" s="8"/>
      <c r="N2018" s="8"/>
      <c r="O2018" s="8"/>
      <c r="P2018" s="8"/>
      <c r="Q2018" s="8"/>
      <c r="R2018" s="8"/>
      <c r="S2018" s="8"/>
      <c r="T2018" s="8"/>
      <c r="U2018" s="8"/>
      <c r="V2018" s="8"/>
      <c r="W2018" s="8"/>
    </row>
    <row r="2019" spans="1:23" ht="15.75" customHeight="1" x14ac:dyDescent="0.25">
      <c r="A2019" s="6" t="s">
        <v>249</v>
      </c>
      <c r="B2019" s="8"/>
      <c r="C2019" s="8"/>
      <c r="D2019" s="8"/>
      <c r="E2019" s="8"/>
      <c r="F2019" s="8"/>
      <c r="G2019" s="8"/>
      <c r="H2019" s="8"/>
      <c r="I2019" s="8"/>
      <c r="J2019" s="8"/>
      <c r="K2019" s="8"/>
      <c r="L2019" s="8"/>
      <c r="M2019" s="8"/>
      <c r="N2019" s="8"/>
      <c r="O2019" s="8"/>
      <c r="P2019" s="8"/>
      <c r="Q2019" s="8"/>
      <c r="R2019" s="8"/>
      <c r="S2019" s="8"/>
      <c r="T2019" s="8"/>
      <c r="U2019" s="8"/>
      <c r="V2019" s="8"/>
      <c r="W2019" s="8"/>
    </row>
    <row r="2020" spans="1:23" ht="15.75" customHeight="1" x14ac:dyDescent="0.25">
      <c r="A2020" s="8" t="s">
        <v>249</v>
      </c>
      <c r="B2020" s="8"/>
      <c r="C2020" s="8"/>
      <c r="D2020" s="8"/>
      <c r="E2020" s="8"/>
      <c r="F2020" s="8"/>
      <c r="G2020" s="8"/>
      <c r="H2020" s="8"/>
      <c r="I2020" s="8"/>
      <c r="J2020" s="8"/>
      <c r="K2020" s="8"/>
      <c r="L2020" s="8"/>
      <c r="M2020" s="8"/>
      <c r="N2020" s="8"/>
      <c r="O2020" s="8"/>
      <c r="P2020" s="8"/>
      <c r="Q2020" s="8"/>
      <c r="R2020" s="8"/>
      <c r="S2020" s="8"/>
      <c r="T2020" s="8"/>
      <c r="U2020" s="8"/>
      <c r="V2020" s="8"/>
      <c r="W2020" s="8"/>
    </row>
    <row r="2021" spans="1:23" ht="15.75" customHeight="1" x14ac:dyDescent="0.25">
      <c r="A2021" s="6" t="s">
        <v>249</v>
      </c>
      <c r="B2021" s="8"/>
      <c r="C2021" s="8"/>
      <c r="D2021" s="8"/>
      <c r="E2021" s="8"/>
      <c r="F2021" s="8"/>
      <c r="G2021" s="8"/>
      <c r="H2021" s="8"/>
      <c r="I2021" s="8"/>
      <c r="J2021" s="8"/>
      <c r="K2021" s="8"/>
      <c r="L2021" s="8"/>
      <c r="M2021" s="8"/>
      <c r="N2021" s="8"/>
      <c r="O2021" s="8"/>
      <c r="P2021" s="8"/>
      <c r="Q2021" s="8"/>
      <c r="R2021" s="8"/>
      <c r="S2021" s="8"/>
      <c r="T2021" s="8"/>
      <c r="U2021" s="8"/>
      <c r="V2021" s="8"/>
      <c r="W2021" s="8"/>
    </row>
    <row r="2022" spans="1:23" ht="15.75" customHeight="1" x14ac:dyDescent="0.25">
      <c r="A2022" s="6" t="s">
        <v>4263</v>
      </c>
      <c r="B2022" s="8"/>
      <c r="C2022" s="8"/>
      <c r="D2022" s="8"/>
      <c r="E2022" s="8"/>
      <c r="F2022" s="8"/>
      <c r="G2022" s="8"/>
      <c r="H2022" s="8"/>
      <c r="I2022" s="8"/>
      <c r="J2022" s="8"/>
      <c r="K2022" s="8"/>
      <c r="L2022" s="8"/>
      <c r="M2022" s="8"/>
      <c r="N2022" s="8"/>
      <c r="O2022" s="8"/>
      <c r="P2022" s="8"/>
      <c r="Q2022" s="8"/>
      <c r="R2022" s="8"/>
      <c r="S2022" s="8"/>
      <c r="T2022" s="8"/>
      <c r="U2022" s="8"/>
      <c r="V2022" s="8"/>
      <c r="W2022" s="8"/>
    </row>
    <row r="2023" spans="1:23" ht="15.75" customHeight="1" x14ac:dyDescent="0.25">
      <c r="A2023" s="6" t="s">
        <v>3559</v>
      </c>
      <c r="B2023" s="8"/>
      <c r="C2023" s="8"/>
      <c r="D2023" s="8"/>
      <c r="E2023" s="8"/>
      <c r="F2023" s="8"/>
      <c r="G2023" s="8"/>
      <c r="H2023" s="8"/>
      <c r="I2023" s="8"/>
      <c r="J2023" s="8"/>
      <c r="K2023" s="8"/>
      <c r="L2023" s="8"/>
      <c r="M2023" s="8"/>
      <c r="N2023" s="8"/>
      <c r="O2023" s="8"/>
      <c r="P2023" s="8"/>
      <c r="Q2023" s="8"/>
      <c r="R2023" s="8"/>
      <c r="S2023" s="8"/>
      <c r="T2023" s="8"/>
      <c r="U2023" s="8"/>
      <c r="V2023" s="8"/>
      <c r="W2023" s="8"/>
    </row>
    <row r="2024" spans="1:23" ht="15.75" customHeight="1" x14ac:dyDescent="0.25">
      <c r="A2024" s="6" t="s">
        <v>3559</v>
      </c>
      <c r="B2024" s="8"/>
      <c r="C2024" s="8"/>
      <c r="D2024" s="8"/>
      <c r="E2024" s="8"/>
      <c r="F2024" s="8"/>
      <c r="G2024" s="8"/>
      <c r="H2024" s="8"/>
      <c r="I2024" s="8"/>
      <c r="J2024" s="8"/>
      <c r="K2024" s="8"/>
      <c r="L2024" s="8"/>
      <c r="M2024" s="8"/>
      <c r="N2024" s="8"/>
      <c r="O2024" s="8"/>
      <c r="P2024" s="8"/>
      <c r="Q2024" s="8"/>
      <c r="R2024" s="8"/>
      <c r="S2024" s="8"/>
      <c r="T2024" s="8"/>
      <c r="U2024" s="8"/>
      <c r="V2024" s="8"/>
      <c r="W2024" s="8"/>
    </row>
    <row r="2025" spans="1:23" ht="15.75" customHeight="1" x14ac:dyDescent="0.25">
      <c r="A2025" s="6" t="s">
        <v>3559</v>
      </c>
      <c r="B2025" s="8"/>
      <c r="C2025" s="8"/>
      <c r="D2025" s="8"/>
      <c r="E2025" s="8"/>
      <c r="F2025" s="8"/>
      <c r="G2025" s="8"/>
      <c r="H2025" s="8"/>
      <c r="I2025" s="8"/>
      <c r="J2025" s="8"/>
      <c r="K2025" s="8"/>
      <c r="L2025" s="8"/>
      <c r="M2025" s="8"/>
      <c r="N2025" s="8"/>
      <c r="O2025" s="8"/>
      <c r="P2025" s="8"/>
      <c r="Q2025" s="8"/>
      <c r="R2025" s="8"/>
      <c r="S2025" s="8"/>
      <c r="T2025" s="8"/>
      <c r="U2025" s="8"/>
      <c r="V2025" s="8"/>
      <c r="W2025" s="8"/>
    </row>
    <row r="2026" spans="1:23" ht="15.75" customHeight="1" x14ac:dyDescent="0.25">
      <c r="A2026" s="6" t="s">
        <v>3559</v>
      </c>
      <c r="B2026" s="8"/>
      <c r="C2026" s="8"/>
      <c r="D2026" s="8"/>
      <c r="E2026" s="8"/>
      <c r="F2026" s="8"/>
      <c r="G2026" s="8"/>
      <c r="H2026" s="8"/>
      <c r="I2026" s="8"/>
      <c r="J2026" s="8"/>
      <c r="K2026" s="8"/>
      <c r="L2026" s="8"/>
      <c r="M2026" s="8"/>
      <c r="N2026" s="8"/>
      <c r="O2026" s="8"/>
      <c r="P2026" s="8"/>
      <c r="Q2026" s="8"/>
      <c r="R2026" s="8"/>
      <c r="S2026" s="8"/>
      <c r="T2026" s="8"/>
      <c r="U2026" s="8"/>
      <c r="V2026" s="8"/>
      <c r="W2026" s="8"/>
    </row>
    <row r="2027" spans="1:23" ht="15.75" customHeight="1" x14ac:dyDescent="0.25">
      <c r="A2027" s="6" t="s">
        <v>3559</v>
      </c>
      <c r="B2027" s="8"/>
      <c r="C2027" s="8"/>
      <c r="D2027" s="8"/>
      <c r="E2027" s="8"/>
      <c r="F2027" s="8"/>
      <c r="G2027" s="8"/>
      <c r="H2027" s="8"/>
      <c r="I2027" s="8"/>
      <c r="J2027" s="8"/>
      <c r="K2027" s="8"/>
      <c r="L2027" s="8"/>
      <c r="M2027" s="8"/>
      <c r="N2027" s="8"/>
      <c r="O2027" s="8"/>
      <c r="P2027" s="8"/>
      <c r="Q2027" s="8"/>
      <c r="R2027" s="8"/>
      <c r="S2027" s="8"/>
      <c r="T2027" s="8"/>
      <c r="U2027" s="8"/>
      <c r="V2027" s="8"/>
      <c r="W2027" s="8"/>
    </row>
    <row r="2028" spans="1:23" ht="15.75" customHeight="1" x14ac:dyDescent="0.25">
      <c r="A2028" s="6" t="s">
        <v>3941</v>
      </c>
      <c r="B2028" s="8"/>
      <c r="C2028" s="8"/>
      <c r="D2028" s="8"/>
      <c r="E2028" s="8"/>
      <c r="F2028" s="8"/>
      <c r="G2028" s="8"/>
      <c r="H2028" s="8"/>
      <c r="I2028" s="8"/>
      <c r="J2028" s="8"/>
      <c r="K2028" s="8"/>
      <c r="L2028" s="8"/>
      <c r="M2028" s="8"/>
      <c r="N2028" s="8"/>
      <c r="O2028" s="8"/>
      <c r="P2028" s="8"/>
      <c r="Q2028" s="8"/>
      <c r="R2028" s="8"/>
      <c r="S2028" s="8"/>
      <c r="T2028" s="8"/>
      <c r="U2028" s="8"/>
      <c r="V2028" s="8"/>
      <c r="W2028" s="8"/>
    </row>
    <row r="2029" spans="1:23" ht="15.75" customHeight="1" x14ac:dyDescent="0.25">
      <c r="A2029" s="6" t="s">
        <v>3941</v>
      </c>
      <c r="B2029" s="8"/>
      <c r="C2029" s="8"/>
      <c r="D2029" s="8"/>
      <c r="E2029" s="8"/>
      <c r="F2029" s="8"/>
      <c r="G2029" s="8"/>
      <c r="H2029" s="8"/>
      <c r="I2029" s="8"/>
      <c r="J2029" s="8"/>
      <c r="K2029" s="8"/>
      <c r="L2029" s="8"/>
      <c r="M2029" s="8"/>
      <c r="N2029" s="8"/>
      <c r="O2029" s="8"/>
      <c r="P2029" s="8"/>
      <c r="Q2029" s="8"/>
      <c r="R2029" s="8"/>
      <c r="S2029" s="8"/>
      <c r="T2029" s="8"/>
      <c r="U2029" s="8"/>
      <c r="V2029" s="8"/>
      <c r="W2029" s="8"/>
    </row>
    <row r="2030" spans="1:23" ht="15.75" customHeight="1" x14ac:dyDescent="0.25">
      <c r="A2030" s="6" t="s">
        <v>4264</v>
      </c>
      <c r="B2030" s="8"/>
      <c r="C2030" s="8"/>
      <c r="D2030" s="8"/>
      <c r="E2030" s="8"/>
      <c r="F2030" s="8"/>
      <c r="G2030" s="8"/>
      <c r="H2030" s="8"/>
      <c r="I2030" s="8"/>
      <c r="J2030" s="8"/>
      <c r="K2030" s="8"/>
      <c r="L2030" s="8"/>
      <c r="M2030" s="8"/>
      <c r="N2030" s="8"/>
      <c r="O2030" s="8"/>
      <c r="P2030" s="8"/>
      <c r="Q2030" s="8"/>
      <c r="R2030" s="8"/>
      <c r="S2030" s="8"/>
      <c r="T2030" s="8"/>
      <c r="U2030" s="8"/>
      <c r="V2030" s="8"/>
      <c r="W2030" s="8"/>
    </row>
    <row r="2031" spans="1:23" ht="15.75" customHeight="1" x14ac:dyDescent="0.25">
      <c r="A2031" s="6" t="s">
        <v>4265</v>
      </c>
      <c r="B2031" s="8"/>
      <c r="C2031" s="8"/>
      <c r="D2031" s="8"/>
      <c r="E2031" s="8"/>
      <c r="F2031" s="8"/>
      <c r="G2031" s="8"/>
      <c r="H2031" s="8"/>
      <c r="I2031" s="8"/>
      <c r="J2031" s="8"/>
      <c r="K2031" s="8"/>
      <c r="L2031" s="8"/>
      <c r="M2031" s="8"/>
      <c r="N2031" s="8"/>
      <c r="O2031" s="8"/>
      <c r="P2031" s="8"/>
      <c r="Q2031" s="8"/>
      <c r="R2031" s="8"/>
      <c r="S2031" s="8"/>
      <c r="T2031" s="8"/>
      <c r="U2031" s="8"/>
      <c r="V2031" s="8"/>
      <c r="W2031" s="8"/>
    </row>
    <row r="2032" spans="1:23" ht="15.75" customHeight="1" x14ac:dyDescent="0.25">
      <c r="A2032" s="6" t="s">
        <v>4266</v>
      </c>
      <c r="B2032" s="8"/>
      <c r="C2032" s="8"/>
      <c r="D2032" s="8"/>
      <c r="E2032" s="8"/>
      <c r="F2032" s="8"/>
      <c r="G2032" s="8"/>
      <c r="H2032" s="8"/>
      <c r="I2032" s="8"/>
      <c r="J2032" s="8"/>
      <c r="K2032" s="8"/>
      <c r="L2032" s="8"/>
      <c r="M2032" s="8"/>
      <c r="N2032" s="8"/>
      <c r="O2032" s="8"/>
      <c r="P2032" s="8"/>
      <c r="Q2032" s="8"/>
      <c r="R2032" s="8"/>
      <c r="S2032" s="8"/>
      <c r="T2032" s="8"/>
      <c r="U2032" s="8"/>
      <c r="V2032" s="8"/>
      <c r="W2032" s="8"/>
    </row>
    <row r="2033" spans="1:23" ht="15.75" customHeight="1" x14ac:dyDescent="0.25">
      <c r="A2033" s="6" t="s">
        <v>3942</v>
      </c>
      <c r="B2033" s="8"/>
      <c r="C2033" s="8"/>
      <c r="D2033" s="8"/>
      <c r="E2033" s="8"/>
      <c r="F2033" s="8"/>
      <c r="G2033" s="8"/>
      <c r="H2033" s="8"/>
      <c r="I2033" s="8"/>
      <c r="J2033" s="8"/>
      <c r="K2033" s="8"/>
      <c r="L2033" s="8"/>
      <c r="M2033" s="8"/>
      <c r="N2033" s="8"/>
      <c r="O2033" s="8"/>
      <c r="P2033" s="8"/>
      <c r="Q2033" s="8"/>
      <c r="R2033" s="8"/>
      <c r="S2033" s="8"/>
      <c r="T2033" s="8"/>
      <c r="U2033" s="8"/>
      <c r="V2033" s="8"/>
      <c r="W2033" s="8"/>
    </row>
    <row r="2034" spans="1:23" ht="15.75" customHeight="1" x14ac:dyDescent="0.25">
      <c r="A2034" s="6" t="s">
        <v>3942</v>
      </c>
      <c r="B2034" s="8"/>
      <c r="C2034" s="8"/>
      <c r="D2034" s="8"/>
      <c r="E2034" s="8"/>
      <c r="F2034" s="8"/>
      <c r="G2034" s="8"/>
      <c r="H2034" s="8"/>
      <c r="I2034" s="8"/>
      <c r="J2034" s="8"/>
      <c r="K2034" s="8"/>
      <c r="L2034" s="8"/>
      <c r="M2034" s="8"/>
      <c r="N2034" s="8"/>
      <c r="O2034" s="8"/>
      <c r="P2034" s="8"/>
      <c r="Q2034" s="8"/>
      <c r="R2034" s="8"/>
      <c r="S2034" s="8"/>
      <c r="T2034" s="8"/>
      <c r="U2034" s="8"/>
      <c r="V2034" s="8"/>
      <c r="W2034" s="8"/>
    </row>
    <row r="2035" spans="1:23" ht="15.75" customHeight="1" x14ac:dyDescent="0.25">
      <c r="A2035" s="6" t="s">
        <v>4267</v>
      </c>
      <c r="B2035" s="8"/>
      <c r="C2035" s="8"/>
      <c r="D2035" s="8"/>
      <c r="E2035" s="8"/>
      <c r="F2035" s="8"/>
      <c r="G2035" s="8"/>
      <c r="H2035" s="8"/>
      <c r="I2035" s="8"/>
      <c r="J2035" s="8"/>
      <c r="K2035" s="8"/>
      <c r="L2035" s="8"/>
      <c r="M2035" s="8"/>
      <c r="N2035" s="8"/>
      <c r="O2035" s="8"/>
      <c r="P2035" s="8"/>
      <c r="Q2035" s="8"/>
      <c r="R2035" s="8"/>
      <c r="S2035" s="8"/>
      <c r="T2035" s="8"/>
      <c r="U2035" s="8"/>
      <c r="V2035" s="8"/>
      <c r="W2035" s="8"/>
    </row>
    <row r="2036" spans="1:23" ht="15.75" customHeight="1" x14ac:dyDescent="0.25">
      <c r="A2036" s="6" t="s">
        <v>4268</v>
      </c>
      <c r="B2036" s="8"/>
      <c r="C2036" s="8"/>
      <c r="D2036" s="8"/>
      <c r="E2036" s="8"/>
      <c r="F2036" s="8"/>
      <c r="G2036" s="8"/>
      <c r="H2036" s="8"/>
      <c r="I2036" s="8"/>
      <c r="J2036" s="8"/>
      <c r="K2036" s="8"/>
      <c r="L2036" s="8"/>
      <c r="M2036" s="8"/>
      <c r="N2036" s="8"/>
      <c r="O2036" s="8"/>
      <c r="P2036" s="8"/>
      <c r="Q2036" s="8"/>
      <c r="R2036" s="8"/>
      <c r="S2036" s="8"/>
      <c r="T2036" s="8"/>
      <c r="U2036" s="8"/>
      <c r="V2036" s="8"/>
      <c r="W2036" s="8"/>
    </row>
    <row r="2037" spans="1:23" ht="15.75" customHeight="1" x14ac:dyDescent="0.25">
      <c r="A2037" s="6" t="s">
        <v>4269</v>
      </c>
      <c r="B2037" s="8"/>
      <c r="C2037" s="8"/>
      <c r="D2037" s="8"/>
      <c r="E2037" s="8"/>
      <c r="F2037" s="8"/>
      <c r="G2037" s="8"/>
      <c r="H2037" s="8"/>
      <c r="I2037" s="8"/>
      <c r="J2037" s="8"/>
      <c r="K2037" s="8"/>
      <c r="L2037" s="8"/>
      <c r="M2037" s="8"/>
      <c r="N2037" s="8"/>
      <c r="O2037" s="8"/>
      <c r="P2037" s="8"/>
      <c r="Q2037" s="8"/>
      <c r="R2037" s="8"/>
      <c r="S2037" s="8"/>
      <c r="T2037" s="8"/>
      <c r="U2037" s="8"/>
      <c r="V2037" s="8"/>
      <c r="W2037" s="8"/>
    </row>
    <row r="2038" spans="1:23" ht="15.75" customHeight="1" x14ac:dyDescent="0.25">
      <c r="A2038" s="6" t="s">
        <v>4270</v>
      </c>
      <c r="B2038" s="8"/>
      <c r="C2038" s="8"/>
      <c r="D2038" s="8"/>
      <c r="E2038" s="8"/>
      <c r="F2038" s="8"/>
      <c r="G2038" s="8"/>
      <c r="H2038" s="8"/>
      <c r="I2038" s="8"/>
      <c r="J2038" s="8"/>
      <c r="K2038" s="8"/>
      <c r="L2038" s="8"/>
      <c r="M2038" s="8"/>
      <c r="N2038" s="8"/>
      <c r="O2038" s="8"/>
      <c r="P2038" s="8"/>
      <c r="Q2038" s="8"/>
      <c r="R2038" s="8"/>
      <c r="S2038" s="8"/>
      <c r="T2038" s="8"/>
      <c r="U2038" s="8"/>
      <c r="V2038" s="8"/>
      <c r="W2038" s="8"/>
    </row>
    <row r="2039" spans="1:23" ht="15.75" customHeight="1" x14ac:dyDescent="0.25">
      <c r="A2039" s="6" t="s">
        <v>3480</v>
      </c>
      <c r="B2039" s="8"/>
      <c r="C2039" s="8"/>
      <c r="D2039" s="8"/>
      <c r="E2039" s="8"/>
      <c r="F2039" s="8"/>
      <c r="G2039" s="8"/>
      <c r="H2039" s="8"/>
      <c r="I2039" s="8"/>
      <c r="J2039" s="8"/>
      <c r="K2039" s="8"/>
      <c r="L2039" s="8"/>
      <c r="M2039" s="8"/>
      <c r="N2039" s="8"/>
      <c r="O2039" s="8"/>
      <c r="P2039" s="8"/>
      <c r="Q2039" s="8"/>
      <c r="R2039" s="8"/>
      <c r="S2039" s="8"/>
      <c r="T2039" s="8"/>
      <c r="U2039" s="8"/>
      <c r="V2039" s="8"/>
      <c r="W2039" s="8"/>
    </row>
    <row r="2040" spans="1:23" ht="15.75" customHeight="1" x14ac:dyDescent="0.25">
      <c r="A2040" s="6" t="s">
        <v>3480</v>
      </c>
      <c r="B2040" s="8"/>
      <c r="C2040" s="8"/>
      <c r="D2040" s="8"/>
      <c r="E2040" s="8"/>
      <c r="F2040" s="8"/>
      <c r="G2040" s="8"/>
      <c r="H2040" s="8"/>
      <c r="I2040" s="8"/>
      <c r="J2040" s="8"/>
      <c r="K2040" s="8"/>
      <c r="L2040" s="8"/>
      <c r="M2040" s="8"/>
      <c r="N2040" s="8"/>
      <c r="O2040" s="8"/>
      <c r="P2040" s="8"/>
      <c r="Q2040" s="8"/>
      <c r="R2040" s="8"/>
      <c r="S2040" s="8"/>
      <c r="T2040" s="8"/>
      <c r="U2040" s="8"/>
      <c r="V2040" s="8"/>
      <c r="W2040" s="8"/>
    </row>
    <row r="2041" spans="1:23" ht="15.75" customHeight="1" x14ac:dyDescent="0.25">
      <c r="A2041" s="6" t="s">
        <v>3480</v>
      </c>
      <c r="B2041" s="8"/>
      <c r="C2041" s="8"/>
      <c r="D2041" s="8"/>
      <c r="E2041" s="8"/>
      <c r="F2041" s="8"/>
      <c r="G2041" s="8"/>
      <c r="H2041" s="8"/>
      <c r="I2041" s="8"/>
      <c r="J2041" s="8"/>
      <c r="K2041" s="8"/>
      <c r="L2041" s="8"/>
      <c r="M2041" s="8"/>
      <c r="N2041" s="8"/>
      <c r="O2041" s="8"/>
      <c r="P2041" s="8"/>
      <c r="Q2041" s="8"/>
      <c r="R2041" s="8"/>
      <c r="S2041" s="8"/>
      <c r="T2041" s="8"/>
      <c r="U2041" s="8"/>
      <c r="V2041" s="8"/>
      <c r="W2041" s="8"/>
    </row>
    <row r="2042" spans="1:23" ht="15.75" customHeight="1" x14ac:dyDescent="0.25">
      <c r="A2042" s="6" t="s">
        <v>3480</v>
      </c>
      <c r="B2042" s="8"/>
      <c r="C2042" s="8"/>
      <c r="D2042" s="8"/>
      <c r="E2042" s="8"/>
      <c r="F2042" s="8"/>
      <c r="G2042" s="8"/>
      <c r="H2042" s="8"/>
      <c r="I2042" s="8"/>
      <c r="J2042" s="8"/>
      <c r="K2042" s="8"/>
      <c r="L2042" s="8"/>
      <c r="M2042" s="8"/>
      <c r="N2042" s="8"/>
      <c r="O2042" s="8"/>
      <c r="P2042" s="8"/>
      <c r="Q2042" s="8"/>
      <c r="R2042" s="8"/>
      <c r="S2042" s="8"/>
      <c r="T2042" s="8"/>
      <c r="U2042" s="8"/>
      <c r="V2042" s="8"/>
      <c r="W2042" s="8"/>
    </row>
    <row r="2043" spans="1:23" ht="15.75" customHeight="1" x14ac:dyDescent="0.25">
      <c r="A2043" s="6" t="s">
        <v>4271</v>
      </c>
      <c r="B2043" s="8"/>
      <c r="C2043" s="8"/>
      <c r="D2043" s="8"/>
      <c r="E2043" s="8"/>
      <c r="F2043" s="8"/>
      <c r="G2043" s="8"/>
      <c r="H2043" s="8"/>
      <c r="I2043" s="8"/>
      <c r="J2043" s="8"/>
      <c r="K2043" s="8"/>
      <c r="L2043" s="8"/>
      <c r="M2043" s="8"/>
      <c r="N2043" s="8"/>
      <c r="O2043" s="8"/>
      <c r="P2043" s="8"/>
      <c r="Q2043" s="8"/>
      <c r="R2043" s="8"/>
      <c r="S2043" s="8"/>
      <c r="T2043" s="8"/>
      <c r="U2043" s="8"/>
      <c r="V2043" s="8"/>
      <c r="W2043" s="8"/>
    </row>
    <row r="2044" spans="1:23" ht="15.75" customHeight="1" x14ac:dyDescent="0.25">
      <c r="A2044" s="6" t="s">
        <v>4272</v>
      </c>
      <c r="B2044" s="8"/>
      <c r="C2044" s="8"/>
      <c r="D2044" s="8"/>
      <c r="E2044" s="8"/>
      <c r="F2044" s="8"/>
      <c r="G2044" s="8"/>
      <c r="H2044" s="8"/>
      <c r="I2044" s="8"/>
      <c r="J2044" s="8"/>
      <c r="K2044" s="8"/>
      <c r="L2044" s="8"/>
      <c r="M2044" s="8"/>
      <c r="N2044" s="8"/>
      <c r="O2044" s="8"/>
      <c r="P2044" s="8"/>
      <c r="Q2044" s="8"/>
      <c r="R2044" s="8"/>
      <c r="S2044" s="8"/>
      <c r="T2044" s="8"/>
      <c r="U2044" s="8"/>
      <c r="V2044" s="8"/>
      <c r="W2044" s="8"/>
    </row>
    <row r="2045" spans="1:23" ht="15.75" customHeight="1" x14ac:dyDescent="0.25">
      <c r="A2045" s="6" t="s">
        <v>3415</v>
      </c>
      <c r="B2045" s="8"/>
      <c r="C2045" s="8"/>
      <c r="D2045" s="8"/>
      <c r="E2045" s="8"/>
      <c r="F2045" s="8"/>
      <c r="G2045" s="8"/>
      <c r="H2045" s="8"/>
      <c r="I2045" s="8"/>
      <c r="J2045" s="8"/>
      <c r="K2045" s="8"/>
      <c r="L2045" s="8"/>
      <c r="M2045" s="8"/>
      <c r="N2045" s="8"/>
      <c r="O2045" s="8"/>
      <c r="P2045" s="8"/>
      <c r="Q2045" s="8"/>
      <c r="R2045" s="8"/>
      <c r="S2045" s="8"/>
      <c r="T2045" s="8"/>
      <c r="U2045" s="8"/>
      <c r="V2045" s="8"/>
      <c r="W2045" s="8"/>
    </row>
    <row r="2046" spans="1:23" ht="15.75" customHeight="1" x14ac:dyDescent="0.25">
      <c r="A2046" s="6" t="s">
        <v>3415</v>
      </c>
      <c r="B2046" s="8"/>
      <c r="C2046" s="8"/>
      <c r="D2046" s="8"/>
      <c r="E2046" s="8"/>
      <c r="F2046" s="8"/>
      <c r="G2046" s="8"/>
      <c r="H2046" s="8"/>
      <c r="I2046" s="8"/>
      <c r="J2046" s="8"/>
      <c r="K2046" s="8"/>
      <c r="L2046" s="8"/>
      <c r="M2046" s="8"/>
      <c r="N2046" s="8"/>
      <c r="O2046" s="8"/>
      <c r="P2046" s="8"/>
      <c r="Q2046" s="8"/>
      <c r="R2046" s="8"/>
      <c r="S2046" s="8"/>
      <c r="T2046" s="8"/>
      <c r="U2046" s="8"/>
      <c r="V2046" s="8"/>
      <c r="W2046" s="8"/>
    </row>
    <row r="2047" spans="1:23" ht="15.75" customHeight="1" x14ac:dyDescent="0.25">
      <c r="A2047" s="6" t="s">
        <v>3415</v>
      </c>
      <c r="B2047" s="8"/>
      <c r="C2047" s="8"/>
      <c r="D2047" s="8"/>
      <c r="E2047" s="8"/>
      <c r="F2047" s="8"/>
      <c r="G2047" s="8"/>
      <c r="H2047" s="8"/>
      <c r="I2047" s="8"/>
      <c r="J2047" s="8"/>
      <c r="K2047" s="8"/>
      <c r="L2047" s="8"/>
      <c r="M2047" s="8"/>
      <c r="N2047" s="8"/>
      <c r="O2047" s="8"/>
      <c r="P2047" s="8"/>
      <c r="Q2047" s="8"/>
      <c r="R2047" s="8"/>
      <c r="S2047" s="8"/>
      <c r="T2047" s="8"/>
      <c r="U2047" s="8"/>
      <c r="V2047" s="8"/>
      <c r="W2047" s="8"/>
    </row>
    <row r="2048" spans="1:23" ht="15.75" customHeight="1" x14ac:dyDescent="0.25">
      <c r="A2048" s="6" t="s">
        <v>3415</v>
      </c>
      <c r="B2048" s="8"/>
      <c r="C2048" s="8"/>
      <c r="D2048" s="8"/>
      <c r="E2048" s="8"/>
      <c r="F2048" s="8"/>
      <c r="G2048" s="8"/>
      <c r="H2048" s="8"/>
      <c r="I2048" s="8"/>
      <c r="J2048" s="8"/>
      <c r="K2048" s="8"/>
      <c r="L2048" s="8"/>
      <c r="M2048" s="8"/>
      <c r="N2048" s="8"/>
      <c r="O2048" s="8"/>
      <c r="P2048" s="8"/>
      <c r="Q2048" s="8"/>
      <c r="R2048" s="8"/>
      <c r="S2048" s="8"/>
      <c r="T2048" s="8"/>
      <c r="U2048" s="8"/>
      <c r="V2048" s="8"/>
      <c r="W2048" s="8"/>
    </row>
    <row r="2049" spans="1:23" ht="15.75" customHeight="1" x14ac:dyDescent="0.25">
      <c r="A2049" s="6" t="s">
        <v>3415</v>
      </c>
      <c r="B2049" s="8"/>
      <c r="C2049" s="8"/>
      <c r="D2049" s="8"/>
      <c r="E2049" s="8"/>
      <c r="F2049" s="8"/>
      <c r="G2049" s="8"/>
      <c r="H2049" s="8"/>
      <c r="I2049" s="8"/>
      <c r="J2049" s="8"/>
      <c r="K2049" s="8"/>
      <c r="L2049" s="8"/>
      <c r="M2049" s="8"/>
      <c r="N2049" s="8"/>
      <c r="O2049" s="8"/>
      <c r="P2049" s="8"/>
      <c r="Q2049" s="8"/>
      <c r="R2049" s="8"/>
      <c r="S2049" s="8"/>
      <c r="T2049" s="8"/>
      <c r="U2049" s="8"/>
      <c r="V2049" s="8"/>
      <c r="W2049" s="8"/>
    </row>
    <row r="2050" spans="1:23" ht="15.75" customHeight="1" x14ac:dyDescent="0.25">
      <c r="A2050" s="6" t="s">
        <v>3415</v>
      </c>
      <c r="B2050" s="8"/>
      <c r="C2050" s="8"/>
      <c r="D2050" s="8"/>
      <c r="E2050" s="8"/>
      <c r="F2050" s="8"/>
      <c r="G2050" s="8"/>
      <c r="H2050" s="8"/>
      <c r="I2050" s="8"/>
      <c r="J2050" s="8"/>
      <c r="K2050" s="8"/>
      <c r="L2050" s="8"/>
      <c r="M2050" s="8"/>
      <c r="N2050" s="8"/>
      <c r="O2050" s="8"/>
      <c r="P2050" s="8"/>
      <c r="Q2050" s="8"/>
      <c r="R2050" s="8"/>
      <c r="S2050" s="8"/>
      <c r="T2050" s="8"/>
      <c r="U2050" s="8"/>
      <c r="V2050" s="8"/>
      <c r="W2050" s="8"/>
    </row>
    <row r="2051" spans="1:23" ht="15.75" customHeight="1" x14ac:dyDescent="0.25">
      <c r="A2051" s="6" t="s">
        <v>3415</v>
      </c>
      <c r="B2051" s="8"/>
      <c r="C2051" s="8"/>
      <c r="D2051" s="8"/>
      <c r="E2051" s="8"/>
      <c r="F2051" s="8"/>
      <c r="G2051" s="8"/>
      <c r="H2051" s="8"/>
      <c r="I2051" s="8"/>
      <c r="J2051" s="8"/>
      <c r="K2051" s="8"/>
      <c r="L2051" s="8"/>
      <c r="M2051" s="8"/>
      <c r="N2051" s="8"/>
      <c r="O2051" s="8"/>
      <c r="P2051" s="8"/>
      <c r="Q2051" s="8"/>
      <c r="R2051" s="8"/>
      <c r="S2051" s="8"/>
      <c r="T2051" s="8"/>
      <c r="U2051" s="8"/>
      <c r="V2051" s="8"/>
      <c r="W2051" s="8"/>
    </row>
    <row r="2052" spans="1:23" ht="15.75" customHeight="1" x14ac:dyDescent="0.25">
      <c r="A2052" s="6" t="s">
        <v>3415</v>
      </c>
      <c r="B2052" s="8"/>
      <c r="C2052" s="8"/>
      <c r="D2052" s="8"/>
      <c r="E2052" s="8"/>
      <c r="F2052" s="8"/>
      <c r="G2052" s="8"/>
      <c r="H2052" s="8"/>
      <c r="I2052" s="8"/>
      <c r="J2052" s="8"/>
      <c r="K2052" s="8"/>
      <c r="L2052" s="8"/>
      <c r="M2052" s="8"/>
      <c r="N2052" s="8"/>
      <c r="O2052" s="8"/>
      <c r="P2052" s="8"/>
      <c r="Q2052" s="8"/>
      <c r="R2052" s="8"/>
      <c r="S2052" s="8"/>
      <c r="T2052" s="8"/>
      <c r="U2052" s="8"/>
      <c r="V2052" s="8"/>
      <c r="W2052" s="8"/>
    </row>
    <row r="2053" spans="1:23" ht="15.75" customHeight="1" x14ac:dyDescent="0.25">
      <c r="A2053" s="6" t="s">
        <v>3415</v>
      </c>
      <c r="B2053" s="8"/>
      <c r="C2053" s="8"/>
      <c r="D2053" s="8"/>
      <c r="E2053" s="8"/>
      <c r="F2053" s="8"/>
      <c r="G2053" s="8"/>
      <c r="H2053" s="8"/>
      <c r="I2053" s="8"/>
      <c r="J2053" s="8"/>
      <c r="K2053" s="8"/>
      <c r="L2053" s="8"/>
      <c r="M2053" s="8"/>
      <c r="N2053" s="8"/>
      <c r="O2053" s="8"/>
      <c r="P2053" s="8"/>
      <c r="Q2053" s="8"/>
      <c r="R2053" s="8"/>
      <c r="S2053" s="8"/>
      <c r="T2053" s="8"/>
      <c r="U2053" s="8"/>
      <c r="V2053" s="8"/>
      <c r="W2053" s="8"/>
    </row>
    <row r="2054" spans="1:23" ht="15.75" customHeight="1" x14ac:dyDescent="0.25">
      <c r="A2054" s="6" t="s">
        <v>4273</v>
      </c>
      <c r="B2054" s="8"/>
      <c r="C2054" s="8"/>
      <c r="D2054" s="8"/>
      <c r="E2054" s="8"/>
      <c r="F2054" s="8"/>
      <c r="G2054" s="8"/>
      <c r="H2054" s="8"/>
      <c r="I2054" s="8"/>
      <c r="J2054" s="8"/>
      <c r="K2054" s="8"/>
      <c r="L2054" s="8"/>
      <c r="M2054" s="8"/>
      <c r="N2054" s="8"/>
      <c r="O2054" s="8"/>
      <c r="P2054" s="8"/>
      <c r="Q2054" s="8"/>
      <c r="R2054" s="8"/>
      <c r="S2054" s="8"/>
      <c r="T2054" s="8"/>
      <c r="U2054" s="8"/>
      <c r="V2054" s="8"/>
      <c r="W2054" s="8"/>
    </row>
    <row r="2055" spans="1:23" ht="15.75" customHeight="1" x14ac:dyDescent="0.25">
      <c r="A2055" s="6" t="s">
        <v>4274</v>
      </c>
      <c r="B2055" s="8"/>
      <c r="C2055" s="8"/>
      <c r="D2055" s="8"/>
      <c r="E2055" s="8"/>
      <c r="F2055" s="8"/>
      <c r="G2055" s="8"/>
      <c r="H2055" s="8"/>
      <c r="I2055" s="8"/>
      <c r="J2055" s="8"/>
      <c r="K2055" s="8"/>
      <c r="L2055" s="8"/>
      <c r="M2055" s="8"/>
      <c r="N2055" s="8"/>
      <c r="O2055" s="8"/>
      <c r="P2055" s="8"/>
      <c r="Q2055" s="8"/>
      <c r="R2055" s="8"/>
      <c r="S2055" s="8"/>
      <c r="T2055" s="8"/>
      <c r="U2055" s="8"/>
      <c r="V2055" s="8"/>
      <c r="W2055" s="8"/>
    </row>
    <row r="2056" spans="1:23" ht="15.75" customHeight="1" x14ac:dyDescent="0.25">
      <c r="A2056" s="6" t="s">
        <v>4275</v>
      </c>
      <c r="B2056" s="8"/>
      <c r="C2056" s="8"/>
      <c r="D2056" s="8"/>
      <c r="E2056" s="8"/>
      <c r="F2056" s="8"/>
      <c r="G2056" s="8"/>
      <c r="H2056" s="8"/>
      <c r="I2056" s="8"/>
      <c r="J2056" s="8"/>
      <c r="K2056" s="8"/>
      <c r="L2056" s="8"/>
      <c r="M2056" s="8"/>
      <c r="N2056" s="8"/>
      <c r="O2056" s="8"/>
      <c r="P2056" s="8"/>
      <c r="Q2056" s="8"/>
      <c r="R2056" s="8"/>
      <c r="S2056" s="8"/>
      <c r="T2056" s="8"/>
      <c r="U2056" s="8"/>
      <c r="V2056" s="8"/>
      <c r="W2056" s="8"/>
    </row>
    <row r="2057" spans="1:23" ht="15.75" customHeight="1" x14ac:dyDescent="0.25">
      <c r="A2057" s="6" t="s">
        <v>4276</v>
      </c>
      <c r="B2057" s="8"/>
      <c r="C2057" s="8"/>
      <c r="D2057" s="8"/>
      <c r="E2057" s="8"/>
      <c r="F2057" s="8"/>
      <c r="G2057" s="8"/>
      <c r="H2057" s="8"/>
      <c r="I2057" s="8"/>
      <c r="J2057" s="8"/>
      <c r="K2057" s="8"/>
      <c r="L2057" s="8"/>
      <c r="M2057" s="8"/>
      <c r="N2057" s="8"/>
      <c r="O2057" s="8"/>
      <c r="P2057" s="8"/>
      <c r="Q2057" s="8"/>
      <c r="R2057" s="8"/>
      <c r="S2057" s="8"/>
      <c r="T2057" s="8"/>
      <c r="U2057" s="8"/>
      <c r="V2057" s="8"/>
      <c r="W2057" s="8"/>
    </row>
    <row r="2058" spans="1:23" ht="15.75" customHeight="1" x14ac:dyDescent="0.25">
      <c r="A2058" s="6" t="s">
        <v>3426</v>
      </c>
      <c r="B2058" s="8"/>
      <c r="C2058" s="8"/>
      <c r="D2058" s="8"/>
      <c r="E2058" s="8"/>
      <c r="F2058" s="8"/>
      <c r="G2058" s="8"/>
      <c r="H2058" s="8"/>
      <c r="I2058" s="8"/>
      <c r="J2058" s="8"/>
      <c r="K2058" s="8"/>
      <c r="L2058" s="8"/>
      <c r="M2058" s="8"/>
      <c r="N2058" s="8"/>
      <c r="O2058" s="8"/>
      <c r="P2058" s="8"/>
      <c r="Q2058" s="8"/>
      <c r="R2058" s="8"/>
      <c r="S2058" s="8"/>
      <c r="T2058" s="8"/>
      <c r="U2058" s="8"/>
      <c r="V2058" s="8"/>
      <c r="W2058" s="8"/>
    </row>
    <row r="2059" spans="1:23" ht="15.75" customHeight="1" x14ac:dyDescent="0.25">
      <c r="A2059" s="6" t="s">
        <v>3426</v>
      </c>
      <c r="B2059" s="8"/>
      <c r="C2059" s="8"/>
      <c r="D2059" s="8"/>
      <c r="E2059" s="8"/>
      <c r="F2059" s="8"/>
      <c r="G2059" s="8"/>
      <c r="H2059" s="8"/>
      <c r="I2059" s="8"/>
      <c r="J2059" s="8"/>
      <c r="K2059" s="8"/>
      <c r="L2059" s="8"/>
      <c r="M2059" s="8"/>
      <c r="N2059" s="8"/>
      <c r="O2059" s="8"/>
      <c r="P2059" s="8"/>
      <c r="Q2059" s="8"/>
      <c r="R2059" s="8"/>
      <c r="S2059" s="8"/>
      <c r="T2059" s="8"/>
      <c r="U2059" s="8"/>
      <c r="V2059" s="8"/>
      <c r="W2059" s="8"/>
    </row>
    <row r="2060" spans="1:23" ht="15.75" customHeight="1" x14ac:dyDescent="0.25">
      <c r="A2060" s="6" t="s">
        <v>3426</v>
      </c>
      <c r="B2060" s="8"/>
      <c r="C2060" s="8"/>
      <c r="D2060" s="8"/>
      <c r="E2060" s="8"/>
      <c r="F2060" s="8"/>
      <c r="G2060" s="8"/>
      <c r="H2060" s="8"/>
      <c r="I2060" s="8"/>
      <c r="J2060" s="8"/>
      <c r="K2060" s="8"/>
      <c r="L2060" s="8"/>
      <c r="M2060" s="8"/>
      <c r="N2060" s="8"/>
      <c r="O2060" s="8"/>
      <c r="P2060" s="8"/>
      <c r="Q2060" s="8"/>
      <c r="R2060" s="8"/>
      <c r="S2060" s="8"/>
      <c r="T2060" s="8"/>
      <c r="U2060" s="8"/>
      <c r="V2060" s="8"/>
      <c r="W2060" s="8"/>
    </row>
    <row r="2061" spans="1:23" ht="15.75" customHeight="1" x14ac:dyDescent="0.25">
      <c r="A2061" s="6" t="s">
        <v>3426</v>
      </c>
      <c r="B2061" s="8"/>
      <c r="C2061" s="8"/>
      <c r="D2061" s="8"/>
      <c r="E2061" s="8"/>
      <c r="F2061" s="8"/>
      <c r="G2061" s="8"/>
      <c r="H2061" s="8"/>
      <c r="I2061" s="8"/>
      <c r="J2061" s="8"/>
      <c r="K2061" s="8"/>
      <c r="L2061" s="8"/>
      <c r="M2061" s="8"/>
      <c r="N2061" s="8"/>
      <c r="O2061" s="8"/>
      <c r="P2061" s="8"/>
      <c r="Q2061" s="8"/>
      <c r="R2061" s="8"/>
      <c r="S2061" s="8"/>
      <c r="T2061" s="8"/>
      <c r="U2061" s="8"/>
      <c r="V2061" s="8"/>
      <c r="W2061" s="8"/>
    </row>
    <row r="2062" spans="1:23" ht="15.75" customHeight="1" x14ac:dyDescent="0.25">
      <c r="A2062" s="6" t="s">
        <v>3426</v>
      </c>
      <c r="B2062" s="8"/>
      <c r="C2062" s="8"/>
      <c r="D2062" s="8"/>
      <c r="E2062" s="8"/>
      <c r="F2062" s="8"/>
      <c r="G2062" s="8"/>
      <c r="H2062" s="8"/>
      <c r="I2062" s="8"/>
      <c r="J2062" s="8"/>
      <c r="K2062" s="8"/>
      <c r="L2062" s="8"/>
      <c r="M2062" s="8"/>
      <c r="N2062" s="8"/>
      <c r="O2062" s="8"/>
      <c r="P2062" s="8"/>
      <c r="Q2062" s="8"/>
      <c r="R2062" s="8"/>
      <c r="S2062" s="8"/>
      <c r="T2062" s="8"/>
      <c r="U2062" s="8"/>
      <c r="V2062" s="8"/>
      <c r="W2062" s="8"/>
    </row>
    <row r="2063" spans="1:23" ht="15.75" customHeight="1" x14ac:dyDescent="0.25">
      <c r="A2063" s="8" t="s">
        <v>3426</v>
      </c>
      <c r="B2063" s="8"/>
      <c r="C2063" s="8"/>
      <c r="D2063" s="8"/>
      <c r="E2063" s="8"/>
      <c r="F2063" s="8"/>
      <c r="G2063" s="8"/>
      <c r="H2063" s="8"/>
      <c r="I2063" s="8"/>
      <c r="J2063" s="8"/>
      <c r="K2063" s="8"/>
      <c r="L2063" s="8"/>
      <c r="M2063" s="8"/>
      <c r="N2063" s="8"/>
      <c r="O2063" s="8"/>
      <c r="P2063" s="8"/>
      <c r="Q2063" s="8"/>
      <c r="R2063" s="8"/>
      <c r="S2063" s="8"/>
      <c r="T2063" s="8"/>
      <c r="U2063" s="8"/>
      <c r="V2063" s="8"/>
      <c r="W2063" s="8"/>
    </row>
    <row r="2064" spans="1:23" ht="15.75" customHeight="1" x14ac:dyDescent="0.25">
      <c r="A2064" s="6" t="s">
        <v>3426</v>
      </c>
      <c r="B2064" s="8"/>
      <c r="C2064" s="8"/>
      <c r="D2064" s="8"/>
      <c r="E2064" s="8"/>
      <c r="F2064" s="8"/>
      <c r="G2064" s="8"/>
      <c r="H2064" s="8"/>
      <c r="I2064" s="8"/>
      <c r="J2064" s="8"/>
      <c r="K2064" s="8"/>
      <c r="L2064" s="8"/>
      <c r="M2064" s="8"/>
      <c r="N2064" s="8"/>
      <c r="O2064" s="8"/>
      <c r="P2064" s="8"/>
      <c r="Q2064" s="8"/>
      <c r="R2064" s="8"/>
      <c r="S2064" s="8"/>
      <c r="T2064" s="8"/>
      <c r="U2064" s="8"/>
      <c r="V2064" s="8"/>
      <c r="W2064" s="8"/>
    </row>
    <row r="2065" spans="1:23" ht="15.75" customHeight="1" x14ac:dyDescent="0.25">
      <c r="A2065" s="6" t="s">
        <v>3426</v>
      </c>
      <c r="B2065" s="8"/>
      <c r="C2065" s="8"/>
      <c r="D2065" s="8"/>
      <c r="E2065" s="8"/>
      <c r="F2065" s="8"/>
      <c r="G2065" s="8"/>
      <c r="H2065" s="8"/>
      <c r="I2065" s="8"/>
      <c r="J2065" s="8"/>
      <c r="K2065" s="8"/>
      <c r="L2065" s="8"/>
      <c r="M2065" s="8"/>
      <c r="N2065" s="8"/>
      <c r="O2065" s="8"/>
      <c r="P2065" s="8"/>
      <c r="Q2065" s="8"/>
      <c r="R2065" s="8"/>
      <c r="S2065" s="8"/>
      <c r="T2065" s="8"/>
      <c r="U2065" s="8"/>
      <c r="V2065" s="8"/>
      <c r="W2065" s="8"/>
    </row>
    <row r="2066" spans="1:23" ht="15.75" customHeight="1" x14ac:dyDescent="0.25">
      <c r="A2066" s="6" t="s">
        <v>214</v>
      </c>
      <c r="B2066" s="8"/>
      <c r="C2066" s="8"/>
      <c r="D2066" s="8"/>
      <c r="E2066" s="8"/>
      <c r="F2066" s="8"/>
      <c r="G2066" s="8"/>
      <c r="H2066" s="8"/>
      <c r="I2066" s="8"/>
      <c r="J2066" s="8"/>
      <c r="K2066" s="8"/>
      <c r="L2066" s="8"/>
      <c r="M2066" s="8"/>
      <c r="N2066" s="8"/>
      <c r="O2066" s="8"/>
      <c r="P2066" s="8"/>
      <c r="Q2066" s="8"/>
      <c r="R2066" s="8"/>
      <c r="S2066" s="8"/>
      <c r="T2066" s="8"/>
      <c r="U2066" s="8"/>
      <c r="V2066" s="8"/>
      <c r="W2066" s="8"/>
    </row>
    <row r="2067" spans="1:23" ht="15.75" customHeight="1" x14ac:dyDescent="0.25">
      <c r="A2067" s="6" t="s">
        <v>214</v>
      </c>
      <c r="B2067" s="8"/>
      <c r="C2067" s="8"/>
      <c r="D2067" s="8"/>
      <c r="E2067" s="8"/>
      <c r="F2067" s="8"/>
      <c r="G2067" s="8"/>
      <c r="H2067" s="8"/>
      <c r="I2067" s="8"/>
      <c r="J2067" s="8"/>
      <c r="K2067" s="8"/>
      <c r="L2067" s="8"/>
      <c r="M2067" s="8"/>
      <c r="N2067" s="8"/>
      <c r="O2067" s="8"/>
      <c r="P2067" s="8"/>
      <c r="Q2067" s="8"/>
      <c r="R2067" s="8"/>
      <c r="S2067" s="8"/>
      <c r="T2067" s="8"/>
      <c r="U2067" s="8"/>
      <c r="V2067" s="8"/>
      <c r="W2067" s="8"/>
    </row>
    <row r="2068" spans="1:23" ht="15.75" customHeight="1" x14ac:dyDescent="0.25">
      <c r="A2068" s="6" t="s">
        <v>214</v>
      </c>
      <c r="B2068" s="8"/>
      <c r="C2068" s="8"/>
      <c r="D2068" s="8"/>
      <c r="E2068" s="8"/>
      <c r="F2068" s="8"/>
      <c r="G2068" s="8"/>
      <c r="H2068" s="8"/>
      <c r="I2068" s="8"/>
      <c r="J2068" s="8"/>
      <c r="K2068" s="8"/>
      <c r="L2068" s="8"/>
      <c r="M2068" s="8"/>
      <c r="N2068" s="8"/>
      <c r="O2068" s="8"/>
      <c r="P2068" s="8"/>
      <c r="Q2068" s="8"/>
      <c r="R2068" s="8"/>
      <c r="S2068" s="8"/>
      <c r="T2068" s="8"/>
      <c r="U2068" s="8"/>
      <c r="V2068" s="8"/>
      <c r="W2068" s="8"/>
    </row>
    <row r="2069" spans="1:23" ht="15.75" customHeight="1" x14ac:dyDescent="0.25">
      <c r="A2069" s="6" t="s">
        <v>214</v>
      </c>
      <c r="B2069" s="8"/>
      <c r="C2069" s="8"/>
      <c r="D2069" s="8"/>
      <c r="E2069" s="8"/>
      <c r="F2069" s="8"/>
      <c r="G2069" s="8"/>
      <c r="H2069" s="8"/>
      <c r="I2069" s="8"/>
      <c r="J2069" s="8"/>
      <c r="K2069" s="8"/>
      <c r="L2069" s="8"/>
      <c r="M2069" s="8"/>
      <c r="N2069" s="8"/>
      <c r="O2069" s="8"/>
      <c r="P2069" s="8"/>
      <c r="Q2069" s="8"/>
      <c r="R2069" s="8"/>
      <c r="S2069" s="8"/>
      <c r="T2069" s="8"/>
      <c r="U2069" s="8"/>
      <c r="V2069" s="8"/>
      <c r="W2069" s="8"/>
    </row>
    <row r="2070" spans="1:23" ht="15.75" customHeight="1" x14ac:dyDescent="0.25">
      <c r="A2070" s="6" t="s">
        <v>214</v>
      </c>
      <c r="B2070" s="8"/>
      <c r="C2070" s="8"/>
      <c r="D2070" s="8"/>
      <c r="E2070" s="8"/>
      <c r="F2070" s="8"/>
      <c r="G2070" s="8"/>
      <c r="H2070" s="8"/>
      <c r="I2070" s="8"/>
      <c r="J2070" s="8"/>
      <c r="K2070" s="8"/>
      <c r="L2070" s="8"/>
      <c r="M2070" s="8"/>
      <c r="N2070" s="8"/>
      <c r="O2070" s="8"/>
      <c r="P2070" s="8"/>
      <c r="Q2070" s="8"/>
      <c r="R2070" s="8"/>
      <c r="S2070" s="8"/>
      <c r="T2070" s="8"/>
      <c r="U2070" s="8"/>
      <c r="V2070" s="8"/>
      <c r="W2070" s="8"/>
    </row>
    <row r="2071" spans="1:23" ht="15.75" customHeight="1" x14ac:dyDescent="0.25">
      <c r="A2071" s="6" t="s">
        <v>214</v>
      </c>
      <c r="B2071" s="8"/>
      <c r="C2071" s="8"/>
      <c r="D2071" s="8"/>
      <c r="E2071" s="8"/>
      <c r="F2071" s="8"/>
      <c r="G2071" s="8"/>
      <c r="H2071" s="8"/>
      <c r="I2071" s="8"/>
      <c r="J2071" s="8"/>
      <c r="K2071" s="8"/>
      <c r="L2071" s="8"/>
      <c r="M2071" s="8"/>
      <c r="N2071" s="8"/>
      <c r="O2071" s="8"/>
      <c r="P2071" s="8"/>
      <c r="Q2071" s="8"/>
      <c r="R2071" s="8"/>
      <c r="S2071" s="8"/>
      <c r="T2071" s="8"/>
      <c r="U2071" s="8"/>
      <c r="V2071" s="8"/>
      <c r="W2071" s="8"/>
    </row>
    <row r="2072" spans="1:23" ht="15.75" customHeight="1" x14ac:dyDescent="0.25">
      <c r="A2072" s="6" t="s">
        <v>214</v>
      </c>
      <c r="B2072" s="8"/>
      <c r="C2072" s="8"/>
      <c r="D2072" s="8"/>
      <c r="E2072" s="8"/>
      <c r="F2072" s="8"/>
      <c r="G2072" s="8"/>
      <c r="H2072" s="8"/>
      <c r="I2072" s="8"/>
      <c r="J2072" s="8"/>
      <c r="K2072" s="8"/>
      <c r="L2072" s="8"/>
      <c r="M2072" s="8"/>
      <c r="N2072" s="8"/>
      <c r="O2072" s="8"/>
      <c r="P2072" s="8"/>
      <c r="Q2072" s="8"/>
      <c r="R2072" s="8"/>
      <c r="S2072" s="8"/>
      <c r="T2072" s="8"/>
      <c r="U2072" s="8"/>
      <c r="V2072" s="8"/>
      <c r="W2072" s="8"/>
    </row>
    <row r="2073" spans="1:23" ht="15.75" customHeight="1" x14ac:dyDescent="0.25">
      <c r="A2073" s="6" t="s">
        <v>214</v>
      </c>
      <c r="B2073" s="8"/>
      <c r="C2073" s="8"/>
      <c r="D2073" s="8"/>
      <c r="E2073" s="8"/>
      <c r="F2073" s="8"/>
      <c r="G2073" s="8"/>
      <c r="H2073" s="8"/>
      <c r="I2073" s="8"/>
      <c r="J2073" s="8"/>
      <c r="K2073" s="8"/>
      <c r="L2073" s="8"/>
      <c r="M2073" s="8"/>
      <c r="N2073" s="8"/>
      <c r="O2073" s="8"/>
      <c r="P2073" s="8"/>
      <c r="Q2073" s="8"/>
      <c r="R2073" s="8"/>
      <c r="S2073" s="8"/>
      <c r="T2073" s="8"/>
      <c r="U2073" s="8"/>
      <c r="V2073" s="8"/>
      <c r="W2073" s="8"/>
    </row>
    <row r="2074" spans="1:23" ht="15.75" customHeight="1" x14ac:dyDescent="0.25">
      <c r="A2074" s="6" t="s">
        <v>214</v>
      </c>
      <c r="B2074" s="8"/>
      <c r="C2074" s="8"/>
      <c r="D2074" s="8"/>
      <c r="E2074" s="8"/>
      <c r="F2074" s="8"/>
      <c r="G2074" s="8"/>
      <c r="H2074" s="8"/>
      <c r="I2074" s="8"/>
      <c r="J2074" s="8"/>
      <c r="K2074" s="8"/>
      <c r="L2074" s="8"/>
      <c r="M2074" s="8"/>
      <c r="N2074" s="8"/>
      <c r="O2074" s="8"/>
      <c r="P2074" s="8"/>
      <c r="Q2074" s="8"/>
      <c r="R2074" s="8"/>
      <c r="S2074" s="8"/>
      <c r="T2074" s="8"/>
      <c r="U2074" s="8"/>
      <c r="V2074" s="8"/>
      <c r="W2074" s="8"/>
    </row>
    <row r="2075" spans="1:23" ht="15.75" customHeight="1" x14ac:dyDescent="0.25">
      <c r="A2075" s="6" t="s">
        <v>214</v>
      </c>
      <c r="B2075" s="8"/>
      <c r="C2075" s="8"/>
      <c r="D2075" s="8"/>
      <c r="E2075" s="8"/>
      <c r="F2075" s="8"/>
      <c r="G2075" s="8"/>
      <c r="H2075" s="8"/>
      <c r="I2075" s="8"/>
      <c r="J2075" s="8"/>
      <c r="K2075" s="8"/>
      <c r="L2075" s="8"/>
      <c r="M2075" s="8"/>
      <c r="N2075" s="8"/>
      <c r="O2075" s="8"/>
      <c r="P2075" s="8"/>
      <c r="Q2075" s="8"/>
      <c r="R2075" s="8"/>
      <c r="S2075" s="8"/>
      <c r="T2075" s="8"/>
      <c r="U2075" s="8"/>
      <c r="V2075" s="8"/>
      <c r="W2075" s="8"/>
    </row>
    <row r="2076" spans="1:23" ht="15.75" customHeight="1" x14ac:dyDescent="0.25">
      <c r="A2076" s="6" t="s">
        <v>214</v>
      </c>
      <c r="B2076" s="8"/>
      <c r="C2076" s="8"/>
      <c r="D2076" s="8"/>
      <c r="E2076" s="8"/>
      <c r="F2076" s="8"/>
      <c r="G2076" s="8"/>
      <c r="H2076" s="8"/>
      <c r="I2076" s="8"/>
      <c r="J2076" s="8"/>
      <c r="K2076" s="8"/>
      <c r="L2076" s="8"/>
      <c r="M2076" s="8"/>
      <c r="N2076" s="8"/>
      <c r="O2076" s="8"/>
      <c r="P2076" s="8"/>
      <c r="Q2076" s="8"/>
      <c r="R2076" s="8"/>
      <c r="S2076" s="8"/>
      <c r="T2076" s="8"/>
      <c r="U2076" s="8"/>
      <c r="V2076" s="8"/>
      <c r="W2076" s="8"/>
    </row>
    <row r="2077" spans="1:23" ht="15.75" customHeight="1" x14ac:dyDescent="0.25">
      <c r="A2077" s="6" t="s">
        <v>214</v>
      </c>
      <c r="B2077" s="8"/>
      <c r="C2077" s="8"/>
      <c r="D2077" s="8"/>
      <c r="E2077" s="8"/>
      <c r="F2077" s="8"/>
      <c r="G2077" s="8"/>
      <c r="H2077" s="8"/>
      <c r="I2077" s="8"/>
      <c r="J2077" s="8"/>
      <c r="K2077" s="8"/>
      <c r="L2077" s="8"/>
      <c r="M2077" s="8"/>
      <c r="N2077" s="8"/>
      <c r="O2077" s="8"/>
      <c r="P2077" s="8"/>
      <c r="Q2077" s="8"/>
      <c r="R2077" s="8"/>
      <c r="S2077" s="8"/>
      <c r="T2077" s="8"/>
      <c r="U2077" s="8"/>
      <c r="V2077" s="8"/>
      <c r="W2077" s="8"/>
    </row>
    <row r="2078" spans="1:23" ht="15.75" customHeight="1" x14ac:dyDescent="0.25">
      <c r="A2078" s="6" t="s">
        <v>214</v>
      </c>
      <c r="B2078" s="8"/>
      <c r="C2078" s="8"/>
      <c r="D2078" s="8"/>
      <c r="E2078" s="8"/>
      <c r="F2078" s="8"/>
      <c r="G2078" s="8"/>
      <c r="H2078" s="8"/>
      <c r="I2078" s="8"/>
      <c r="J2078" s="8"/>
      <c r="K2078" s="8"/>
      <c r="L2078" s="8"/>
      <c r="M2078" s="8"/>
      <c r="N2078" s="8"/>
      <c r="O2078" s="8"/>
      <c r="P2078" s="8"/>
      <c r="Q2078" s="8"/>
      <c r="R2078" s="8"/>
      <c r="S2078" s="8"/>
      <c r="T2078" s="8"/>
      <c r="U2078" s="8"/>
      <c r="V2078" s="8"/>
      <c r="W2078" s="8"/>
    </row>
    <row r="2079" spans="1:23" ht="15.75" customHeight="1" x14ac:dyDescent="0.25">
      <c r="A2079" s="6" t="s">
        <v>214</v>
      </c>
      <c r="B2079" s="8"/>
      <c r="C2079" s="8"/>
      <c r="D2079" s="8"/>
      <c r="E2079" s="8"/>
      <c r="F2079" s="8"/>
      <c r="G2079" s="8"/>
      <c r="H2079" s="8"/>
      <c r="I2079" s="8"/>
      <c r="J2079" s="8"/>
      <c r="K2079" s="8"/>
      <c r="L2079" s="8"/>
      <c r="M2079" s="8"/>
      <c r="N2079" s="8"/>
      <c r="O2079" s="8"/>
      <c r="P2079" s="8"/>
      <c r="Q2079" s="8"/>
      <c r="R2079" s="8"/>
      <c r="S2079" s="8"/>
      <c r="T2079" s="8"/>
      <c r="U2079" s="8"/>
      <c r="V2079" s="8"/>
      <c r="W2079" s="8"/>
    </row>
    <row r="2080" spans="1:23" ht="15.75" customHeight="1" x14ac:dyDescent="0.25">
      <c r="A2080" s="6" t="s">
        <v>214</v>
      </c>
      <c r="B2080" s="8"/>
      <c r="C2080" s="8"/>
      <c r="D2080" s="8"/>
      <c r="E2080" s="8"/>
      <c r="F2080" s="8"/>
      <c r="G2080" s="8"/>
      <c r="H2080" s="8"/>
      <c r="I2080" s="8"/>
      <c r="J2080" s="8"/>
      <c r="K2080" s="8"/>
      <c r="L2080" s="8"/>
      <c r="M2080" s="8"/>
      <c r="N2080" s="8"/>
      <c r="O2080" s="8"/>
      <c r="P2080" s="8"/>
      <c r="Q2080" s="8"/>
      <c r="R2080" s="8"/>
      <c r="S2080" s="8"/>
      <c r="T2080" s="8"/>
      <c r="U2080" s="8"/>
      <c r="V2080" s="8"/>
      <c r="W2080" s="8"/>
    </row>
    <row r="2081" spans="1:23" ht="15.75" customHeight="1" x14ac:dyDescent="0.25">
      <c r="A2081" s="6" t="s">
        <v>214</v>
      </c>
      <c r="B2081" s="8"/>
      <c r="C2081" s="8"/>
      <c r="D2081" s="8"/>
      <c r="E2081" s="8"/>
      <c r="F2081" s="8"/>
      <c r="G2081" s="8"/>
      <c r="H2081" s="8"/>
      <c r="I2081" s="8"/>
      <c r="J2081" s="8"/>
      <c r="K2081" s="8"/>
      <c r="L2081" s="8"/>
      <c r="M2081" s="8"/>
      <c r="N2081" s="8"/>
      <c r="O2081" s="8"/>
      <c r="P2081" s="8"/>
      <c r="Q2081" s="8"/>
      <c r="R2081" s="8"/>
      <c r="S2081" s="8"/>
      <c r="T2081" s="8"/>
      <c r="U2081" s="8"/>
      <c r="V2081" s="8"/>
      <c r="W2081" s="8"/>
    </row>
    <row r="2082" spans="1:23" ht="15.75" customHeight="1" x14ac:dyDescent="0.25">
      <c r="A2082" s="6" t="s">
        <v>214</v>
      </c>
      <c r="B2082" s="8"/>
      <c r="C2082" s="8"/>
      <c r="D2082" s="8"/>
      <c r="E2082" s="8"/>
      <c r="F2082" s="8"/>
      <c r="G2082" s="8"/>
      <c r="H2082" s="8"/>
      <c r="I2082" s="8"/>
      <c r="J2082" s="8"/>
      <c r="K2082" s="8"/>
      <c r="L2082" s="8"/>
      <c r="M2082" s="8"/>
      <c r="N2082" s="8"/>
      <c r="O2082" s="8"/>
      <c r="P2082" s="8"/>
      <c r="Q2082" s="8"/>
      <c r="R2082" s="8"/>
      <c r="S2082" s="8"/>
      <c r="T2082" s="8"/>
      <c r="U2082" s="8"/>
      <c r="V2082" s="8"/>
      <c r="W2082" s="8"/>
    </row>
    <row r="2083" spans="1:23" ht="15.75" customHeight="1" x14ac:dyDescent="0.25">
      <c r="A2083" s="6" t="s">
        <v>214</v>
      </c>
      <c r="B2083" s="8"/>
      <c r="C2083" s="8"/>
      <c r="D2083" s="8"/>
      <c r="E2083" s="8"/>
      <c r="F2083" s="8"/>
      <c r="G2083" s="8"/>
      <c r="H2083" s="8"/>
      <c r="I2083" s="8"/>
      <c r="J2083" s="8"/>
      <c r="K2083" s="8"/>
      <c r="L2083" s="8"/>
      <c r="M2083" s="8"/>
      <c r="N2083" s="8"/>
      <c r="O2083" s="8"/>
      <c r="P2083" s="8"/>
      <c r="Q2083" s="8"/>
      <c r="R2083" s="8"/>
      <c r="S2083" s="8"/>
      <c r="T2083" s="8"/>
      <c r="U2083" s="8"/>
      <c r="V2083" s="8"/>
      <c r="W2083" s="8"/>
    </row>
    <row r="2084" spans="1:23" ht="15.75" customHeight="1" x14ac:dyDescent="0.25">
      <c r="A2084" s="6" t="s">
        <v>214</v>
      </c>
      <c r="B2084" s="8"/>
      <c r="C2084" s="8"/>
      <c r="D2084" s="8"/>
      <c r="E2084" s="8"/>
      <c r="F2084" s="8"/>
      <c r="G2084" s="8"/>
      <c r="H2084" s="8"/>
      <c r="I2084" s="8"/>
      <c r="J2084" s="8"/>
      <c r="K2084" s="8"/>
      <c r="L2084" s="8"/>
      <c r="M2084" s="8"/>
      <c r="N2084" s="8"/>
      <c r="O2084" s="8"/>
      <c r="P2084" s="8"/>
      <c r="Q2084" s="8"/>
      <c r="R2084" s="8"/>
      <c r="S2084" s="8"/>
      <c r="T2084" s="8"/>
      <c r="U2084" s="8"/>
      <c r="V2084" s="8"/>
      <c r="W2084" s="8"/>
    </row>
    <row r="2085" spans="1:23" ht="15.75" customHeight="1" x14ac:dyDescent="0.25">
      <c r="A2085" s="6" t="s">
        <v>214</v>
      </c>
      <c r="B2085" s="8"/>
      <c r="C2085" s="8"/>
      <c r="D2085" s="8"/>
      <c r="E2085" s="8"/>
      <c r="F2085" s="8"/>
      <c r="G2085" s="8"/>
      <c r="H2085" s="8"/>
      <c r="I2085" s="8"/>
      <c r="J2085" s="8"/>
      <c r="K2085" s="8"/>
      <c r="L2085" s="8"/>
      <c r="M2085" s="8"/>
      <c r="N2085" s="8"/>
      <c r="O2085" s="8"/>
      <c r="P2085" s="8"/>
      <c r="Q2085" s="8"/>
      <c r="R2085" s="8"/>
      <c r="S2085" s="8"/>
      <c r="T2085" s="8"/>
      <c r="U2085" s="8"/>
      <c r="V2085" s="8"/>
      <c r="W2085" s="8"/>
    </row>
    <row r="2086" spans="1:23" ht="15.75" customHeight="1" x14ac:dyDescent="0.25">
      <c r="A2086" s="6" t="s">
        <v>214</v>
      </c>
      <c r="B2086" s="8"/>
      <c r="C2086" s="8"/>
      <c r="D2086" s="8"/>
      <c r="E2086" s="8"/>
      <c r="F2086" s="8"/>
      <c r="G2086" s="8"/>
      <c r="H2086" s="8"/>
      <c r="I2086" s="8"/>
      <c r="J2086" s="8"/>
      <c r="K2086" s="8"/>
      <c r="L2086" s="8"/>
      <c r="M2086" s="8"/>
      <c r="N2086" s="8"/>
      <c r="O2086" s="8"/>
      <c r="P2086" s="8"/>
      <c r="Q2086" s="8"/>
      <c r="R2086" s="8"/>
      <c r="S2086" s="8"/>
      <c r="T2086" s="8"/>
      <c r="U2086" s="8"/>
      <c r="V2086" s="8"/>
      <c r="W2086" s="8"/>
    </row>
    <row r="2087" spans="1:23" ht="15.75" customHeight="1" x14ac:dyDescent="0.25">
      <c r="A2087" s="6" t="s">
        <v>214</v>
      </c>
      <c r="B2087" s="8"/>
      <c r="C2087" s="8"/>
      <c r="D2087" s="8"/>
      <c r="E2087" s="8"/>
      <c r="F2087" s="8"/>
      <c r="G2087" s="8"/>
      <c r="H2087" s="8"/>
      <c r="I2087" s="8"/>
      <c r="J2087" s="8"/>
      <c r="K2087" s="8"/>
      <c r="L2087" s="8"/>
      <c r="M2087" s="8"/>
      <c r="N2087" s="8"/>
      <c r="O2087" s="8"/>
      <c r="P2087" s="8"/>
      <c r="Q2087" s="8"/>
      <c r="R2087" s="8"/>
      <c r="S2087" s="8"/>
      <c r="T2087" s="8"/>
      <c r="U2087" s="8"/>
      <c r="V2087" s="8"/>
      <c r="W2087" s="8"/>
    </row>
    <row r="2088" spans="1:23" ht="15.75" customHeight="1" x14ac:dyDescent="0.25">
      <c r="A2088" s="6" t="s">
        <v>214</v>
      </c>
      <c r="B2088" s="8"/>
      <c r="C2088" s="8"/>
      <c r="D2088" s="8"/>
      <c r="E2088" s="8"/>
      <c r="F2088" s="8"/>
      <c r="G2088" s="8"/>
      <c r="H2088" s="8"/>
      <c r="I2088" s="8"/>
      <c r="J2088" s="8"/>
      <c r="K2088" s="8"/>
      <c r="L2088" s="8"/>
      <c r="M2088" s="8"/>
      <c r="N2088" s="8"/>
      <c r="O2088" s="8"/>
      <c r="P2088" s="8"/>
      <c r="Q2088" s="8"/>
      <c r="R2088" s="8"/>
      <c r="S2088" s="8"/>
      <c r="T2088" s="8"/>
      <c r="U2088" s="8"/>
      <c r="V2088" s="8"/>
      <c r="W2088" s="8"/>
    </row>
    <row r="2089" spans="1:23" ht="15.75" customHeight="1" x14ac:dyDescent="0.25">
      <c r="A2089" s="6" t="s">
        <v>214</v>
      </c>
      <c r="B2089" s="8"/>
      <c r="C2089" s="8"/>
      <c r="D2089" s="8"/>
      <c r="E2089" s="8"/>
      <c r="F2089" s="8"/>
      <c r="G2089" s="8"/>
      <c r="H2089" s="8"/>
      <c r="I2089" s="8"/>
      <c r="J2089" s="8"/>
      <c r="K2089" s="8"/>
      <c r="L2089" s="8"/>
      <c r="M2089" s="8"/>
      <c r="N2089" s="8"/>
      <c r="O2089" s="8"/>
      <c r="P2089" s="8"/>
      <c r="Q2089" s="8"/>
      <c r="R2089" s="8"/>
      <c r="S2089" s="8"/>
      <c r="T2089" s="8"/>
      <c r="U2089" s="8"/>
      <c r="V2089" s="8"/>
      <c r="W2089" s="8"/>
    </row>
    <row r="2090" spans="1:23" ht="15.75" customHeight="1" x14ac:dyDescent="0.25">
      <c r="A2090" s="6" t="s">
        <v>214</v>
      </c>
      <c r="B2090" s="8"/>
      <c r="C2090" s="8"/>
      <c r="D2090" s="8"/>
      <c r="E2090" s="8"/>
      <c r="F2090" s="8"/>
      <c r="G2090" s="8"/>
      <c r="H2090" s="8"/>
      <c r="I2090" s="8"/>
      <c r="J2090" s="8"/>
      <c r="K2090" s="8"/>
      <c r="L2090" s="8"/>
      <c r="M2090" s="8"/>
      <c r="N2090" s="8"/>
      <c r="O2090" s="8"/>
      <c r="P2090" s="8"/>
      <c r="Q2090" s="8"/>
      <c r="R2090" s="8"/>
      <c r="S2090" s="8"/>
      <c r="T2090" s="8"/>
      <c r="U2090" s="8"/>
      <c r="V2090" s="8"/>
      <c r="W2090" s="8"/>
    </row>
    <row r="2091" spans="1:23" ht="15.75" customHeight="1" x14ac:dyDescent="0.25">
      <c r="A2091" s="6" t="s">
        <v>214</v>
      </c>
      <c r="B2091" s="8"/>
      <c r="C2091" s="8"/>
      <c r="D2091" s="8"/>
      <c r="E2091" s="8"/>
      <c r="F2091" s="8"/>
      <c r="G2091" s="8"/>
      <c r="H2091" s="8"/>
      <c r="I2091" s="8"/>
      <c r="J2091" s="8"/>
      <c r="K2091" s="8"/>
      <c r="L2091" s="8"/>
      <c r="M2091" s="8"/>
      <c r="N2091" s="8"/>
      <c r="O2091" s="8"/>
      <c r="P2091" s="8"/>
      <c r="Q2091" s="8"/>
      <c r="R2091" s="8"/>
      <c r="S2091" s="8"/>
      <c r="T2091" s="8"/>
      <c r="U2091" s="8"/>
      <c r="V2091" s="8"/>
      <c r="W2091" s="8"/>
    </row>
    <row r="2092" spans="1:23" ht="15.75" customHeight="1" x14ac:dyDescent="0.25">
      <c r="A2092" s="6" t="s">
        <v>214</v>
      </c>
      <c r="B2092" s="8"/>
      <c r="C2092" s="8"/>
      <c r="D2092" s="8"/>
      <c r="E2092" s="8"/>
      <c r="F2092" s="8"/>
      <c r="G2092" s="8"/>
      <c r="H2092" s="8"/>
      <c r="I2092" s="8"/>
      <c r="J2092" s="8"/>
      <c r="K2092" s="8"/>
      <c r="L2092" s="8"/>
      <c r="M2092" s="8"/>
      <c r="N2092" s="8"/>
      <c r="O2092" s="8"/>
      <c r="P2092" s="8"/>
      <c r="Q2092" s="8"/>
      <c r="R2092" s="8"/>
      <c r="S2092" s="8"/>
      <c r="T2092" s="8"/>
      <c r="U2092" s="8"/>
      <c r="V2092" s="8"/>
      <c r="W2092" s="8"/>
    </row>
    <row r="2093" spans="1:23" ht="15.75" customHeight="1" x14ac:dyDescent="0.25">
      <c r="A2093" s="6" t="s">
        <v>214</v>
      </c>
      <c r="B2093" s="8"/>
      <c r="C2093" s="8"/>
      <c r="D2093" s="8"/>
      <c r="E2093" s="8"/>
      <c r="F2093" s="8"/>
      <c r="G2093" s="8"/>
      <c r="H2093" s="8"/>
      <c r="I2093" s="8"/>
      <c r="J2093" s="8"/>
      <c r="K2093" s="8"/>
      <c r="L2093" s="8"/>
      <c r="M2093" s="8"/>
      <c r="N2093" s="8"/>
      <c r="O2093" s="8"/>
      <c r="P2093" s="8"/>
      <c r="Q2093" s="8"/>
      <c r="R2093" s="8"/>
      <c r="S2093" s="8"/>
      <c r="T2093" s="8"/>
      <c r="U2093" s="8"/>
      <c r="V2093" s="8"/>
      <c r="W2093" s="8"/>
    </row>
    <row r="2094" spans="1:23" ht="15.75" customHeight="1" x14ac:dyDescent="0.25">
      <c r="A2094" s="6" t="s">
        <v>214</v>
      </c>
      <c r="B2094" s="8"/>
      <c r="C2094" s="8"/>
      <c r="D2094" s="8"/>
      <c r="E2094" s="8"/>
      <c r="F2094" s="8"/>
      <c r="G2094" s="8"/>
      <c r="H2094" s="8"/>
      <c r="I2094" s="8"/>
      <c r="J2094" s="8"/>
      <c r="K2094" s="8"/>
      <c r="L2094" s="8"/>
      <c r="M2094" s="8"/>
      <c r="N2094" s="8"/>
      <c r="O2094" s="8"/>
      <c r="P2094" s="8"/>
      <c r="Q2094" s="8"/>
      <c r="R2094" s="8"/>
      <c r="S2094" s="8"/>
      <c r="T2094" s="8"/>
      <c r="U2094" s="8"/>
      <c r="V2094" s="8"/>
      <c r="W2094" s="8"/>
    </row>
    <row r="2095" spans="1:23" ht="15.75" customHeight="1" x14ac:dyDescent="0.25">
      <c r="A2095" s="6" t="s">
        <v>214</v>
      </c>
      <c r="B2095" s="8"/>
      <c r="C2095" s="8"/>
      <c r="D2095" s="8"/>
      <c r="E2095" s="8"/>
      <c r="F2095" s="8"/>
      <c r="G2095" s="8"/>
      <c r="H2095" s="8"/>
      <c r="I2095" s="8"/>
      <c r="J2095" s="8"/>
      <c r="K2095" s="8"/>
      <c r="L2095" s="8"/>
      <c r="M2095" s="8"/>
      <c r="N2095" s="8"/>
      <c r="O2095" s="8"/>
      <c r="P2095" s="8"/>
      <c r="Q2095" s="8"/>
      <c r="R2095" s="8"/>
      <c r="S2095" s="8"/>
      <c r="T2095" s="8"/>
      <c r="U2095" s="8"/>
      <c r="V2095" s="8"/>
      <c r="W2095" s="8"/>
    </row>
    <row r="2096" spans="1:23" ht="15.75" customHeight="1" x14ac:dyDescent="0.25">
      <c r="A2096" s="6" t="s">
        <v>214</v>
      </c>
      <c r="B2096" s="8"/>
      <c r="C2096" s="8"/>
      <c r="D2096" s="8"/>
      <c r="E2096" s="8"/>
      <c r="F2096" s="8"/>
      <c r="G2096" s="8"/>
      <c r="H2096" s="8"/>
      <c r="I2096" s="8"/>
      <c r="J2096" s="8"/>
      <c r="K2096" s="8"/>
      <c r="L2096" s="8"/>
      <c r="M2096" s="8"/>
      <c r="N2096" s="8"/>
      <c r="O2096" s="8"/>
      <c r="P2096" s="8"/>
      <c r="Q2096" s="8"/>
      <c r="R2096" s="8"/>
      <c r="S2096" s="8"/>
      <c r="T2096" s="8"/>
      <c r="U2096" s="8"/>
      <c r="V2096" s="8"/>
      <c r="W2096" s="8"/>
    </row>
    <row r="2097" spans="1:23" ht="15.75" customHeight="1" x14ac:dyDescent="0.25">
      <c r="A2097" s="6" t="s">
        <v>214</v>
      </c>
      <c r="B2097" s="8"/>
      <c r="C2097" s="8"/>
      <c r="D2097" s="8"/>
      <c r="E2097" s="8"/>
      <c r="F2097" s="8"/>
      <c r="G2097" s="8"/>
      <c r="H2097" s="8"/>
      <c r="I2097" s="8"/>
      <c r="J2097" s="8"/>
      <c r="K2097" s="8"/>
      <c r="L2097" s="8"/>
      <c r="M2097" s="8"/>
      <c r="N2097" s="8"/>
      <c r="O2097" s="8"/>
      <c r="P2097" s="8"/>
      <c r="Q2097" s="8"/>
      <c r="R2097" s="8"/>
      <c r="S2097" s="8"/>
      <c r="T2097" s="8"/>
      <c r="U2097" s="8"/>
      <c r="V2097" s="8"/>
      <c r="W2097" s="8"/>
    </row>
    <row r="2098" spans="1:23" ht="15.75" customHeight="1" x14ac:dyDescent="0.25">
      <c r="A2098" s="6" t="s">
        <v>214</v>
      </c>
      <c r="B2098" s="8"/>
      <c r="C2098" s="8"/>
      <c r="D2098" s="8"/>
      <c r="E2098" s="8"/>
      <c r="F2098" s="8"/>
      <c r="G2098" s="8"/>
      <c r="H2098" s="8"/>
      <c r="I2098" s="8"/>
      <c r="J2098" s="8"/>
      <c r="K2098" s="8"/>
      <c r="L2098" s="8"/>
      <c r="M2098" s="8"/>
      <c r="N2098" s="8"/>
      <c r="O2098" s="8"/>
      <c r="P2098" s="8"/>
      <c r="Q2098" s="8"/>
      <c r="R2098" s="8"/>
      <c r="S2098" s="8"/>
      <c r="T2098" s="8"/>
      <c r="U2098" s="8"/>
      <c r="V2098" s="8"/>
      <c r="W2098" s="8"/>
    </row>
    <row r="2099" spans="1:23" ht="15.75" customHeight="1" x14ac:dyDescent="0.25">
      <c r="A2099" s="6" t="s">
        <v>214</v>
      </c>
      <c r="B2099" s="8"/>
      <c r="C2099" s="8"/>
      <c r="D2099" s="8"/>
      <c r="E2099" s="8"/>
      <c r="F2099" s="8"/>
      <c r="G2099" s="8"/>
      <c r="H2099" s="8"/>
      <c r="I2099" s="8"/>
      <c r="J2099" s="8"/>
      <c r="K2099" s="8"/>
      <c r="L2099" s="8"/>
      <c r="M2099" s="8"/>
      <c r="N2099" s="8"/>
      <c r="O2099" s="8"/>
      <c r="P2099" s="8"/>
      <c r="Q2099" s="8"/>
      <c r="R2099" s="8"/>
      <c r="S2099" s="8"/>
      <c r="T2099" s="8"/>
      <c r="U2099" s="8"/>
      <c r="V2099" s="8"/>
      <c r="W2099" s="8"/>
    </row>
    <row r="2100" spans="1:23" ht="15.75" customHeight="1" x14ac:dyDescent="0.25">
      <c r="A2100" s="6" t="s">
        <v>214</v>
      </c>
      <c r="B2100" s="8"/>
      <c r="C2100" s="8"/>
      <c r="D2100" s="8"/>
      <c r="E2100" s="8"/>
      <c r="F2100" s="8"/>
      <c r="G2100" s="8"/>
      <c r="H2100" s="8"/>
      <c r="I2100" s="8"/>
      <c r="J2100" s="8"/>
      <c r="K2100" s="8"/>
      <c r="L2100" s="8"/>
      <c r="M2100" s="8"/>
      <c r="N2100" s="8"/>
      <c r="O2100" s="8"/>
      <c r="P2100" s="8"/>
      <c r="Q2100" s="8"/>
      <c r="R2100" s="8"/>
      <c r="S2100" s="8"/>
      <c r="T2100" s="8"/>
      <c r="U2100" s="8"/>
      <c r="V2100" s="8"/>
      <c r="W2100" s="8"/>
    </row>
    <row r="2101" spans="1:23" ht="15.75" customHeight="1" x14ac:dyDescent="0.25">
      <c r="A2101" s="6" t="s">
        <v>214</v>
      </c>
      <c r="B2101" s="8"/>
      <c r="C2101" s="8"/>
      <c r="D2101" s="8"/>
      <c r="E2101" s="8"/>
      <c r="F2101" s="8"/>
      <c r="G2101" s="8"/>
      <c r="H2101" s="8"/>
      <c r="I2101" s="8"/>
      <c r="J2101" s="8"/>
      <c r="K2101" s="8"/>
      <c r="L2101" s="8"/>
      <c r="M2101" s="8"/>
      <c r="N2101" s="8"/>
      <c r="O2101" s="8"/>
      <c r="P2101" s="8"/>
      <c r="Q2101" s="8"/>
      <c r="R2101" s="8"/>
      <c r="S2101" s="8"/>
      <c r="T2101" s="8"/>
      <c r="U2101" s="8"/>
      <c r="V2101" s="8"/>
      <c r="W2101" s="8"/>
    </row>
    <row r="2102" spans="1:23" ht="15.75" customHeight="1" x14ac:dyDescent="0.25">
      <c r="A2102" s="6" t="s">
        <v>214</v>
      </c>
      <c r="B2102" s="8"/>
      <c r="C2102" s="8"/>
      <c r="D2102" s="8"/>
      <c r="E2102" s="8"/>
      <c r="F2102" s="8"/>
      <c r="G2102" s="8"/>
      <c r="H2102" s="8"/>
      <c r="I2102" s="8"/>
      <c r="J2102" s="8"/>
      <c r="K2102" s="8"/>
      <c r="L2102" s="8"/>
      <c r="M2102" s="8"/>
      <c r="N2102" s="8"/>
      <c r="O2102" s="8"/>
      <c r="P2102" s="8"/>
      <c r="Q2102" s="8"/>
      <c r="R2102" s="8"/>
      <c r="S2102" s="8"/>
      <c r="T2102" s="8"/>
      <c r="U2102" s="8"/>
      <c r="V2102" s="8"/>
      <c r="W2102" s="8"/>
    </row>
    <row r="2103" spans="1:23" ht="15.75" customHeight="1" x14ac:dyDescent="0.25">
      <c r="A2103" s="6" t="s">
        <v>214</v>
      </c>
      <c r="B2103" s="8"/>
      <c r="C2103" s="8"/>
      <c r="D2103" s="8"/>
      <c r="E2103" s="8"/>
      <c r="F2103" s="8"/>
      <c r="G2103" s="8"/>
      <c r="H2103" s="8"/>
      <c r="I2103" s="8"/>
      <c r="J2103" s="8"/>
      <c r="K2103" s="8"/>
      <c r="L2103" s="8"/>
      <c r="M2103" s="8"/>
      <c r="N2103" s="8"/>
      <c r="O2103" s="8"/>
      <c r="P2103" s="8"/>
      <c r="Q2103" s="8"/>
      <c r="R2103" s="8"/>
      <c r="S2103" s="8"/>
      <c r="T2103" s="8"/>
      <c r="U2103" s="8"/>
      <c r="V2103" s="8"/>
      <c r="W2103" s="8"/>
    </row>
    <row r="2104" spans="1:23" ht="15.75" customHeight="1" x14ac:dyDescent="0.25">
      <c r="A2104" s="6" t="s">
        <v>214</v>
      </c>
      <c r="B2104" s="8"/>
      <c r="C2104" s="8"/>
      <c r="D2104" s="8"/>
      <c r="E2104" s="8"/>
      <c r="F2104" s="8"/>
      <c r="G2104" s="8"/>
      <c r="H2104" s="8"/>
      <c r="I2104" s="8"/>
      <c r="J2104" s="8"/>
      <c r="K2104" s="8"/>
      <c r="L2104" s="8"/>
      <c r="M2104" s="8"/>
      <c r="N2104" s="8"/>
      <c r="O2104" s="8"/>
      <c r="P2104" s="8"/>
      <c r="Q2104" s="8"/>
      <c r="R2104" s="8"/>
      <c r="S2104" s="8"/>
      <c r="T2104" s="8"/>
      <c r="U2104" s="8"/>
      <c r="V2104" s="8"/>
      <c r="W2104" s="8"/>
    </row>
    <row r="2105" spans="1:23" ht="15.75" customHeight="1" x14ac:dyDescent="0.25">
      <c r="A2105" s="6" t="s">
        <v>214</v>
      </c>
      <c r="B2105" s="8"/>
      <c r="C2105" s="8"/>
      <c r="D2105" s="8"/>
      <c r="E2105" s="8"/>
      <c r="F2105" s="8"/>
      <c r="G2105" s="8"/>
      <c r="H2105" s="8"/>
      <c r="I2105" s="8"/>
      <c r="J2105" s="8"/>
      <c r="K2105" s="8"/>
      <c r="L2105" s="8"/>
      <c r="M2105" s="8"/>
      <c r="N2105" s="8"/>
      <c r="O2105" s="8"/>
      <c r="P2105" s="8"/>
      <c r="Q2105" s="8"/>
      <c r="R2105" s="8"/>
      <c r="S2105" s="8"/>
      <c r="T2105" s="8"/>
      <c r="U2105" s="8"/>
      <c r="V2105" s="8"/>
      <c r="W2105" s="8"/>
    </row>
    <row r="2106" spans="1:23" ht="15.75" customHeight="1" x14ac:dyDescent="0.25">
      <c r="A2106" s="6" t="s">
        <v>214</v>
      </c>
      <c r="B2106" s="8"/>
      <c r="C2106" s="8"/>
      <c r="D2106" s="8"/>
      <c r="E2106" s="8"/>
      <c r="F2106" s="8"/>
      <c r="G2106" s="8"/>
      <c r="H2106" s="8"/>
      <c r="I2106" s="8"/>
      <c r="J2106" s="8"/>
      <c r="K2106" s="8"/>
      <c r="L2106" s="8"/>
      <c r="M2106" s="8"/>
      <c r="N2106" s="8"/>
      <c r="O2106" s="8"/>
      <c r="P2106" s="8"/>
      <c r="Q2106" s="8"/>
      <c r="R2106" s="8"/>
      <c r="S2106" s="8"/>
      <c r="T2106" s="8"/>
      <c r="U2106" s="8"/>
      <c r="V2106" s="8"/>
      <c r="W2106" s="8"/>
    </row>
    <row r="2107" spans="1:23" ht="15.75" customHeight="1" x14ac:dyDescent="0.25">
      <c r="A2107" s="6" t="s">
        <v>214</v>
      </c>
      <c r="B2107" s="8"/>
      <c r="C2107" s="8"/>
      <c r="D2107" s="8"/>
      <c r="E2107" s="8"/>
      <c r="F2107" s="8"/>
      <c r="G2107" s="8"/>
      <c r="H2107" s="8"/>
      <c r="I2107" s="8"/>
      <c r="J2107" s="8"/>
      <c r="K2107" s="8"/>
      <c r="L2107" s="8"/>
      <c r="M2107" s="8"/>
      <c r="N2107" s="8"/>
      <c r="O2107" s="8"/>
      <c r="P2107" s="8"/>
      <c r="Q2107" s="8"/>
      <c r="R2107" s="8"/>
      <c r="S2107" s="8"/>
      <c r="T2107" s="8"/>
      <c r="U2107" s="8"/>
      <c r="V2107" s="8"/>
      <c r="W2107" s="8"/>
    </row>
    <row r="2108" spans="1:23" ht="15.75" customHeight="1" x14ac:dyDescent="0.25">
      <c r="A2108" s="6" t="s">
        <v>214</v>
      </c>
      <c r="B2108" s="8"/>
      <c r="C2108" s="8"/>
      <c r="D2108" s="8"/>
      <c r="E2108" s="8"/>
      <c r="F2108" s="8"/>
      <c r="G2108" s="8"/>
      <c r="H2108" s="8"/>
      <c r="I2108" s="8"/>
      <c r="J2108" s="8"/>
      <c r="K2108" s="8"/>
      <c r="L2108" s="8"/>
      <c r="M2108" s="8"/>
      <c r="N2108" s="8"/>
      <c r="O2108" s="8"/>
      <c r="P2108" s="8"/>
      <c r="Q2108" s="8"/>
      <c r="R2108" s="8"/>
      <c r="S2108" s="8"/>
      <c r="T2108" s="8"/>
      <c r="U2108" s="8"/>
      <c r="V2108" s="8"/>
      <c r="W2108" s="8"/>
    </row>
    <row r="2109" spans="1:23" ht="15.75" customHeight="1" x14ac:dyDescent="0.25">
      <c r="A2109" s="6" t="s">
        <v>214</v>
      </c>
      <c r="B2109" s="8"/>
      <c r="C2109" s="8"/>
      <c r="D2109" s="8"/>
      <c r="E2109" s="8"/>
      <c r="F2109" s="8"/>
      <c r="G2109" s="8"/>
      <c r="H2109" s="8"/>
      <c r="I2109" s="8"/>
      <c r="J2109" s="8"/>
      <c r="K2109" s="8"/>
      <c r="L2109" s="8"/>
      <c r="M2109" s="8"/>
      <c r="N2109" s="8"/>
      <c r="O2109" s="8"/>
      <c r="P2109" s="8"/>
      <c r="Q2109" s="8"/>
      <c r="R2109" s="8"/>
      <c r="S2109" s="8"/>
      <c r="T2109" s="8"/>
      <c r="U2109" s="8"/>
      <c r="V2109" s="8"/>
      <c r="W2109" s="8"/>
    </row>
    <row r="2110" spans="1:23" ht="15.75" customHeight="1" x14ac:dyDescent="0.25">
      <c r="A2110" s="6" t="s">
        <v>214</v>
      </c>
      <c r="B2110" s="8"/>
      <c r="C2110" s="8"/>
      <c r="D2110" s="8"/>
      <c r="E2110" s="8"/>
      <c r="F2110" s="8"/>
      <c r="G2110" s="8"/>
      <c r="H2110" s="8"/>
      <c r="I2110" s="8"/>
      <c r="J2110" s="8"/>
      <c r="K2110" s="8"/>
      <c r="L2110" s="8"/>
      <c r="M2110" s="8"/>
      <c r="N2110" s="8"/>
      <c r="O2110" s="8"/>
      <c r="P2110" s="8"/>
      <c r="Q2110" s="8"/>
      <c r="R2110" s="8"/>
      <c r="S2110" s="8"/>
      <c r="T2110" s="8"/>
      <c r="U2110" s="8"/>
      <c r="V2110" s="8"/>
      <c r="W2110" s="8"/>
    </row>
    <row r="2111" spans="1:23" ht="15.75" customHeight="1" x14ac:dyDescent="0.25">
      <c r="A2111" s="6" t="s">
        <v>214</v>
      </c>
      <c r="B2111" s="8"/>
      <c r="C2111" s="8"/>
      <c r="D2111" s="8"/>
      <c r="E2111" s="8"/>
      <c r="F2111" s="8"/>
      <c r="G2111" s="8"/>
      <c r="H2111" s="8"/>
      <c r="I2111" s="8"/>
      <c r="J2111" s="8"/>
      <c r="K2111" s="8"/>
      <c r="L2111" s="8"/>
      <c r="M2111" s="8"/>
      <c r="N2111" s="8"/>
      <c r="O2111" s="8"/>
      <c r="P2111" s="8"/>
      <c r="Q2111" s="8"/>
      <c r="R2111" s="8"/>
      <c r="S2111" s="8"/>
      <c r="T2111" s="8"/>
      <c r="U2111" s="8"/>
      <c r="V2111" s="8"/>
      <c r="W2111" s="8"/>
    </row>
    <row r="2112" spans="1:23" ht="15.75" customHeight="1" x14ac:dyDescent="0.25">
      <c r="A2112" s="6" t="s">
        <v>214</v>
      </c>
      <c r="B2112" s="8"/>
      <c r="C2112" s="8"/>
      <c r="D2112" s="8"/>
      <c r="E2112" s="8"/>
      <c r="F2112" s="8"/>
      <c r="G2112" s="8"/>
      <c r="H2112" s="8"/>
      <c r="I2112" s="8"/>
      <c r="J2112" s="8"/>
      <c r="K2112" s="8"/>
      <c r="L2112" s="8"/>
      <c r="M2112" s="8"/>
      <c r="N2112" s="8"/>
      <c r="O2112" s="8"/>
      <c r="P2112" s="8"/>
      <c r="Q2112" s="8"/>
      <c r="R2112" s="8"/>
      <c r="S2112" s="8"/>
      <c r="T2112" s="8"/>
      <c r="U2112" s="8"/>
      <c r="V2112" s="8"/>
      <c r="W2112" s="8"/>
    </row>
    <row r="2113" spans="1:23" ht="15.75" customHeight="1" x14ac:dyDescent="0.25">
      <c r="A2113" s="6" t="s">
        <v>214</v>
      </c>
      <c r="B2113" s="8"/>
      <c r="C2113" s="8"/>
      <c r="D2113" s="8"/>
      <c r="E2113" s="8"/>
      <c r="F2113" s="8"/>
      <c r="G2113" s="8"/>
      <c r="H2113" s="8"/>
      <c r="I2113" s="8"/>
      <c r="J2113" s="8"/>
      <c r="K2113" s="8"/>
      <c r="L2113" s="8"/>
      <c r="M2113" s="8"/>
      <c r="N2113" s="8"/>
      <c r="O2113" s="8"/>
      <c r="P2113" s="8"/>
      <c r="Q2113" s="8"/>
      <c r="R2113" s="8"/>
      <c r="S2113" s="8"/>
      <c r="T2113" s="8"/>
      <c r="U2113" s="8"/>
      <c r="V2113" s="8"/>
      <c r="W2113" s="8"/>
    </row>
    <row r="2114" spans="1:23" ht="15.75" customHeight="1" x14ac:dyDescent="0.25">
      <c r="A2114" s="6" t="s">
        <v>214</v>
      </c>
      <c r="B2114" s="8"/>
      <c r="C2114" s="8"/>
      <c r="D2114" s="8"/>
      <c r="E2114" s="8"/>
      <c r="F2114" s="8"/>
      <c r="G2114" s="8"/>
      <c r="H2114" s="8"/>
      <c r="I2114" s="8"/>
      <c r="J2114" s="8"/>
      <c r="K2114" s="8"/>
      <c r="L2114" s="8"/>
      <c r="M2114" s="8"/>
      <c r="N2114" s="8"/>
      <c r="O2114" s="8"/>
      <c r="P2114" s="8"/>
      <c r="Q2114" s="8"/>
      <c r="R2114" s="8"/>
      <c r="S2114" s="8"/>
      <c r="T2114" s="8"/>
      <c r="U2114" s="8"/>
      <c r="V2114" s="8"/>
      <c r="W2114" s="8"/>
    </row>
    <row r="2115" spans="1:23" ht="15.75" customHeight="1" x14ac:dyDescent="0.25">
      <c r="A2115" s="6" t="s">
        <v>214</v>
      </c>
      <c r="B2115" s="8"/>
      <c r="C2115" s="8"/>
      <c r="D2115" s="8"/>
      <c r="E2115" s="8"/>
      <c r="F2115" s="8"/>
      <c r="G2115" s="8"/>
      <c r="H2115" s="8"/>
      <c r="I2115" s="8"/>
      <c r="J2115" s="8"/>
      <c r="K2115" s="8"/>
      <c r="L2115" s="8"/>
      <c r="M2115" s="8"/>
      <c r="N2115" s="8"/>
      <c r="O2115" s="8"/>
      <c r="P2115" s="8"/>
      <c r="Q2115" s="8"/>
      <c r="R2115" s="8"/>
      <c r="S2115" s="8"/>
      <c r="T2115" s="8"/>
      <c r="U2115" s="8"/>
      <c r="V2115" s="8"/>
      <c r="W2115" s="8"/>
    </row>
    <row r="2116" spans="1:23" ht="15.75" customHeight="1" x14ac:dyDescent="0.25">
      <c r="A2116" s="6" t="s">
        <v>214</v>
      </c>
      <c r="B2116" s="8"/>
      <c r="C2116" s="8"/>
      <c r="D2116" s="8"/>
      <c r="E2116" s="8"/>
      <c r="F2116" s="8"/>
      <c r="G2116" s="8"/>
      <c r="H2116" s="8"/>
      <c r="I2116" s="8"/>
      <c r="J2116" s="8"/>
      <c r="K2116" s="8"/>
      <c r="L2116" s="8"/>
      <c r="M2116" s="8"/>
      <c r="N2116" s="8"/>
      <c r="O2116" s="8"/>
      <c r="P2116" s="8"/>
      <c r="Q2116" s="8"/>
      <c r="R2116" s="8"/>
      <c r="S2116" s="8"/>
      <c r="T2116" s="8"/>
      <c r="U2116" s="8"/>
      <c r="V2116" s="8"/>
      <c r="W2116" s="8"/>
    </row>
    <row r="2117" spans="1:23" ht="15.75" customHeight="1" x14ac:dyDescent="0.25">
      <c r="A2117" s="6" t="s">
        <v>214</v>
      </c>
      <c r="B2117" s="8"/>
      <c r="C2117" s="8"/>
      <c r="D2117" s="8"/>
      <c r="E2117" s="8"/>
      <c r="F2117" s="8"/>
      <c r="G2117" s="8"/>
      <c r="H2117" s="8"/>
      <c r="I2117" s="8"/>
      <c r="J2117" s="8"/>
      <c r="K2117" s="8"/>
      <c r="L2117" s="8"/>
      <c r="M2117" s="8"/>
      <c r="N2117" s="8"/>
      <c r="O2117" s="8"/>
      <c r="P2117" s="8"/>
      <c r="Q2117" s="8"/>
      <c r="R2117" s="8"/>
      <c r="S2117" s="8"/>
      <c r="T2117" s="8"/>
      <c r="U2117" s="8"/>
      <c r="V2117" s="8"/>
      <c r="W2117" s="8"/>
    </row>
    <row r="2118" spans="1:23" ht="15.75" customHeight="1" x14ac:dyDescent="0.25">
      <c r="A2118" s="6" t="s">
        <v>214</v>
      </c>
      <c r="B2118" s="8"/>
      <c r="C2118" s="8"/>
      <c r="D2118" s="8"/>
      <c r="E2118" s="8"/>
      <c r="F2118" s="8"/>
      <c r="G2118" s="8"/>
      <c r="H2118" s="8"/>
      <c r="I2118" s="8"/>
      <c r="J2118" s="8"/>
      <c r="K2118" s="8"/>
      <c r="L2118" s="8"/>
      <c r="M2118" s="8"/>
      <c r="N2118" s="8"/>
      <c r="O2118" s="8"/>
      <c r="P2118" s="8"/>
      <c r="Q2118" s="8"/>
      <c r="R2118" s="8"/>
      <c r="S2118" s="8"/>
      <c r="T2118" s="8"/>
      <c r="U2118" s="8"/>
      <c r="V2118" s="8"/>
      <c r="W2118" s="8"/>
    </row>
    <row r="2119" spans="1:23" ht="15.75" customHeight="1" x14ac:dyDescent="0.25">
      <c r="A2119" s="6" t="s">
        <v>214</v>
      </c>
      <c r="B2119" s="8"/>
      <c r="C2119" s="8"/>
      <c r="D2119" s="8"/>
      <c r="E2119" s="8"/>
      <c r="F2119" s="8"/>
      <c r="G2119" s="8"/>
      <c r="H2119" s="8"/>
      <c r="I2119" s="8"/>
      <c r="J2119" s="8"/>
      <c r="K2119" s="8"/>
      <c r="L2119" s="8"/>
      <c r="M2119" s="8"/>
      <c r="N2119" s="8"/>
      <c r="O2119" s="8"/>
      <c r="P2119" s="8"/>
      <c r="Q2119" s="8"/>
      <c r="R2119" s="8"/>
      <c r="S2119" s="8"/>
      <c r="T2119" s="8"/>
      <c r="U2119" s="8"/>
      <c r="V2119" s="8"/>
      <c r="W2119" s="8"/>
    </row>
    <row r="2120" spans="1:23" ht="15.75" customHeight="1" x14ac:dyDescent="0.25">
      <c r="A2120" s="6" t="s">
        <v>214</v>
      </c>
      <c r="B2120" s="8"/>
      <c r="C2120" s="8"/>
      <c r="D2120" s="8"/>
      <c r="E2120" s="8"/>
      <c r="F2120" s="8"/>
      <c r="G2120" s="8"/>
      <c r="H2120" s="8"/>
      <c r="I2120" s="8"/>
      <c r="J2120" s="8"/>
      <c r="K2120" s="8"/>
      <c r="L2120" s="8"/>
      <c r="M2120" s="8"/>
      <c r="N2120" s="8"/>
      <c r="O2120" s="8"/>
      <c r="P2120" s="8"/>
      <c r="Q2120" s="8"/>
      <c r="R2120" s="8"/>
      <c r="S2120" s="8"/>
      <c r="T2120" s="8"/>
      <c r="U2120" s="8"/>
      <c r="V2120" s="8"/>
      <c r="W2120" s="8"/>
    </row>
    <row r="2121" spans="1:23" ht="15.75" customHeight="1" x14ac:dyDescent="0.25">
      <c r="A2121" s="6" t="s">
        <v>214</v>
      </c>
      <c r="B2121" s="8"/>
      <c r="C2121" s="8"/>
      <c r="D2121" s="8"/>
      <c r="E2121" s="8"/>
      <c r="F2121" s="8"/>
      <c r="G2121" s="8"/>
      <c r="H2121" s="8"/>
      <c r="I2121" s="8"/>
      <c r="J2121" s="8"/>
      <c r="K2121" s="8"/>
      <c r="L2121" s="8"/>
      <c r="M2121" s="8"/>
      <c r="N2121" s="8"/>
      <c r="O2121" s="8"/>
      <c r="P2121" s="8"/>
      <c r="Q2121" s="8"/>
      <c r="R2121" s="8"/>
      <c r="S2121" s="8"/>
      <c r="T2121" s="8"/>
      <c r="U2121" s="8"/>
      <c r="V2121" s="8"/>
      <c r="W2121" s="8"/>
    </row>
    <row r="2122" spans="1:23" ht="15.75" customHeight="1" x14ac:dyDescent="0.25">
      <c r="A2122" s="6" t="s">
        <v>214</v>
      </c>
      <c r="B2122" s="8"/>
      <c r="C2122" s="8"/>
      <c r="D2122" s="8"/>
      <c r="E2122" s="8"/>
      <c r="F2122" s="8"/>
      <c r="G2122" s="8"/>
      <c r="H2122" s="8"/>
      <c r="I2122" s="8"/>
      <c r="J2122" s="8"/>
      <c r="K2122" s="8"/>
      <c r="L2122" s="8"/>
      <c r="M2122" s="8"/>
      <c r="N2122" s="8"/>
      <c r="O2122" s="8"/>
      <c r="P2122" s="8"/>
      <c r="Q2122" s="8"/>
      <c r="R2122" s="8"/>
      <c r="S2122" s="8"/>
      <c r="T2122" s="8"/>
      <c r="U2122" s="8"/>
      <c r="V2122" s="8"/>
      <c r="W2122" s="8"/>
    </row>
    <row r="2123" spans="1:23" ht="15.75" customHeight="1" x14ac:dyDescent="0.25">
      <c r="A2123" s="6" t="s">
        <v>214</v>
      </c>
      <c r="B2123" s="8"/>
      <c r="C2123" s="8"/>
      <c r="D2123" s="8"/>
      <c r="E2123" s="8"/>
      <c r="F2123" s="8"/>
      <c r="G2123" s="8"/>
      <c r="H2123" s="8"/>
      <c r="I2123" s="8"/>
      <c r="J2123" s="8"/>
      <c r="K2123" s="8"/>
      <c r="L2123" s="8"/>
      <c r="M2123" s="8"/>
      <c r="N2123" s="8"/>
      <c r="O2123" s="8"/>
      <c r="P2123" s="8"/>
      <c r="Q2123" s="8"/>
      <c r="R2123" s="8"/>
      <c r="S2123" s="8"/>
      <c r="T2123" s="8"/>
      <c r="U2123" s="8"/>
      <c r="V2123" s="8"/>
      <c r="W2123" s="8"/>
    </row>
    <row r="2124" spans="1:23" ht="15.75" customHeight="1" x14ac:dyDescent="0.25">
      <c r="A2124" s="6" t="s">
        <v>214</v>
      </c>
      <c r="B2124" s="8"/>
      <c r="C2124" s="8"/>
      <c r="D2124" s="8"/>
      <c r="E2124" s="8"/>
      <c r="F2124" s="8"/>
      <c r="G2124" s="8"/>
      <c r="H2124" s="8"/>
      <c r="I2124" s="8"/>
      <c r="J2124" s="8"/>
      <c r="K2124" s="8"/>
      <c r="L2124" s="8"/>
      <c r="M2124" s="8"/>
      <c r="N2124" s="8"/>
      <c r="O2124" s="8"/>
      <c r="P2124" s="8"/>
      <c r="Q2124" s="8"/>
      <c r="R2124" s="8"/>
      <c r="S2124" s="8"/>
      <c r="T2124" s="8"/>
      <c r="U2124" s="8"/>
      <c r="V2124" s="8"/>
      <c r="W2124" s="8"/>
    </row>
    <row r="2125" spans="1:23" ht="15.75" customHeight="1" x14ac:dyDescent="0.25">
      <c r="A2125" s="6" t="s">
        <v>214</v>
      </c>
      <c r="B2125" s="8"/>
      <c r="C2125" s="8"/>
      <c r="D2125" s="8"/>
      <c r="E2125" s="8"/>
      <c r="F2125" s="8"/>
      <c r="G2125" s="8"/>
      <c r="H2125" s="8"/>
      <c r="I2125" s="8"/>
      <c r="J2125" s="8"/>
      <c r="K2125" s="8"/>
      <c r="L2125" s="8"/>
      <c r="M2125" s="8"/>
      <c r="N2125" s="8"/>
      <c r="O2125" s="8"/>
      <c r="P2125" s="8"/>
      <c r="Q2125" s="8"/>
      <c r="R2125" s="8"/>
      <c r="S2125" s="8"/>
      <c r="T2125" s="8"/>
      <c r="U2125" s="8"/>
      <c r="V2125" s="8"/>
      <c r="W2125" s="8"/>
    </row>
    <row r="2126" spans="1:23" ht="15.75" customHeight="1" x14ac:dyDescent="0.25">
      <c r="A2126" s="6" t="s">
        <v>214</v>
      </c>
      <c r="B2126" s="8"/>
      <c r="C2126" s="8"/>
      <c r="D2126" s="8"/>
      <c r="E2126" s="8"/>
      <c r="F2126" s="8"/>
      <c r="G2126" s="8"/>
      <c r="H2126" s="8"/>
      <c r="I2126" s="8"/>
      <c r="J2126" s="8"/>
      <c r="K2126" s="8"/>
      <c r="L2126" s="8"/>
      <c r="M2126" s="8"/>
      <c r="N2126" s="8"/>
      <c r="O2126" s="8"/>
      <c r="P2126" s="8"/>
      <c r="Q2126" s="8"/>
      <c r="R2126" s="8"/>
      <c r="S2126" s="8"/>
      <c r="T2126" s="8"/>
      <c r="U2126" s="8"/>
      <c r="V2126" s="8"/>
      <c r="W2126" s="8"/>
    </row>
    <row r="2127" spans="1:23" ht="15.75" customHeight="1" x14ac:dyDescent="0.25">
      <c r="A2127" s="6" t="s">
        <v>214</v>
      </c>
      <c r="B2127" s="8"/>
      <c r="C2127" s="8"/>
      <c r="D2127" s="8"/>
      <c r="E2127" s="8"/>
      <c r="F2127" s="8"/>
      <c r="G2127" s="8"/>
      <c r="H2127" s="8"/>
      <c r="I2127" s="8"/>
      <c r="J2127" s="8"/>
      <c r="K2127" s="8"/>
      <c r="L2127" s="8"/>
      <c r="M2127" s="8"/>
      <c r="N2127" s="8"/>
      <c r="O2127" s="8"/>
      <c r="P2127" s="8"/>
      <c r="Q2127" s="8"/>
      <c r="R2127" s="8"/>
      <c r="S2127" s="8"/>
      <c r="T2127" s="8"/>
      <c r="U2127" s="8"/>
      <c r="V2127" s="8"/>
      <c r="W2127" s="8"/>
    </row>
    <row r="2128" spans="1:23" ht="15.75" customHeight="1" x14ac:dyDescent="0.25">
      <c r="A2128" s="6" t="s">
        <v>214</v>
      </c>
      <c r="B2128" s="8"/>
      <c r="C2128" s="8"/>
      <c r="D2128" s="8"/>
      <c r="E2128" s="8"/>
      <c r="F2128" s="8"/>
      <c r="G2128" s="8"/>
      <c r="H2128" s="8"/>
      <c r="I2128" s="8"/>
      <c r="J2128" s="8"/>
      <c r="K2128" s="8"/>
      <c r="L2128" s="8"/>
      <c r="M2128" s="8"/>
      <c r="N2128" s="8"/>
      <c r="O2128" s="8"/>
      <c r="P2128" s="8"/>
      <c r="Q2128" s="8"/>
      <c r="R2128" s="8"/>
      <c r="S2128" s="8"/>
      <c r="T2128" s="8"/>
      <c r="U2128" s="8"/>
      <c r="V2128" s="8"/>
      <c r="W2128" s="8"/>
    </row>
    <row r="2129" spans="1:23" ht="15.75" customHeight="1" x14ac:dyDescent="0.25">
      <c r="A2129" s="6" t="s">
        <v>214</v>
      </c>
      <c r="B2129" s="8"/>
      <c r="C2129" s="8"/>
      <c r="D2129" s="8"/>
      <c r="E2129" s="8"/>
      <c r="F2129" s="8"/>
      <c r="G2129" s="8"/>
      <c r="H2129" s="8"/>
      <c r="I2129" s="8"/>
      <c r="J2129" s="8"/>
      <c r="K2129" s="8"/>
      <c r="L2129" s="8"/>
      <c r="M2129" s="8"/>
      <c r="N2129" s="8"/>
      <c r="O2129" s="8"/>
      <c r="P2129" s="8"/>
      <c r="Q2129" s="8"/>
      <c r="R2129" s="8"/>
      <c r="S2129" s="8"/>
      <c r="T2129" s="8"/>
      <c r="U2129" s="8"/>
      <c r="V2129" s="8"/>
      <c r="W2129" s="8"/>
    </row>
    <row r="2130" spans="1:23" ht="15.75" customHeight="1" x14ac:dyDescent="0.25">
      <c r="A2130" s="6" t="s">
        <v>214</v>
      </c>
      <c r="B2130" s="8"/>
      <c r="C2130" s="8"/>
      <c r="D2130" s="8"/>
      <c r="E2130" s="8"/>
      <c r="F2130" s="8"/>
      <c r="G2130" s="8"/>
      <c r="H2130" s="8"/>
      <c r="I2130" s="8"/>
      <c r="J2130" s="8"/>
      <c r="K2130" s="8"/>
      <c r="L2130" s="8"/>
      <c r="M2130" s="8"/>
      <c r="N2130" s="8"/>
      <c r="O2130" s="8"/>
      <c r="P2130" s="8"/>
      <c r="Q2130" s="8"/>
      <c r="R2130" s="8"/>
      <c r="S2130" s="8"/>
      <c r="T2130" s="8"/>
      <c r="U2130" s="8"/>
      <c r="V2130" s="8"/>
      <c r="W2130" s="8"/>
    </row>
    <row r="2131" spans="1:23" ht="15.75" customHeight="1" x14ac:dyDescent="0.25">
      <c r="A2131" s="6" t="s">
        <v>214</v>
      </c>
      <c r="B2131" s="8"/>
      <c r="C2131" s="8"/>
      <c r="D2131" s="8"/>
      <c r="E2131" s="8"/>
      <c r="F2131" s="8"/>
      <c r="G2131" s="8"/>
      <c r="H2131" s="8"/>
      <c r="I2131" s="8"/>
      <c r="J2131" s="8"/>
      <c r="K2131" s="8"/>
      <c r="L2131" s="8"/>
      <c r="M2131" s="8"/>
      <c r="N2131" s="8"/>
      <c r="O2131" s="8"/>
      <c r="P2131" s="8"/>
      <c r="Q2131" s="8"/>
      <c r="R2131" s="8"/>
      <c r="S2131" s="8"/>
      <c r="T2131" s="8"/>
      <c r="U2131" s="8"/>
      <c r="V2131" s="8"/>
      <c r="W2131" s="8"/>
    </row>
    <row r="2132" spans="1:23" ht="15.75" customHeight="1" x14ac:dyDescent="0.25">
      <c r="A2132" s="6" t="s">
        <v>214</v>
      </c>
      <c r="B2132" s="8"/>
      <c r="C2132" s="8"/>
      <c r="D2132" s="8"/>
      <c r="E2132" s="8"/>
      <c r="F2132" s="8"/>
      <c r="G2132" s="8"/>
      <c r="H2132" s="8"/>
      <c r="I2132" s="8"/>
      <c r="J2132" s="8"/>
      <c r="K2132" s="8"/>
      <c r="L2132" s="8"/>
      <c r="M2132" s="8"/>
      <c r="N2132" s="8"/>
      <c r="O2132" s="8"/>
      <c r="P2132" s="8"/>
      <c r="Q2132" s="8"/>
      <c r="R2132" s="8"/>
      <c r="S2132" s="8"/>
      <c r="T2132" s="8"/>
      <c r="U2132" s="8"/>
      <c r="V2132" s="8"/>
      <c r="W2132" s="8"/>
    </row>
    <row r="2133" spans="1:23" ht="15.75" customHeight="1" x14ac:dyDescent="0.25">
      <c r="A2133" s="6" t="s">
        <v>214</v>
      </c>
      <c r="B2133" s="8"/>
      <c r="C2133" s="8"/>
      <c r="D2133" s="8"/>
      <c r="E2133" s="8"/>
      <c r="F2133" s="8"/>
      <c r="G2133" s="8"/>
      <c r="H2133" s="8"/>
      <c r="I2133" s="8"/>
      <c r="J2133" s="8"/>
      <c r="K2133" s="8"/>
      <c r="L2133" s="8"/>
      <c r="M2133" s="8"/>
      <c r="N2133" s="8"/>
      <c r="O2133" s="8"/>
      <c r="P2133" s="8"/>
      <c r="Q2133" s="8"/>
      <c r="R2133" s="8"/>
      <c r="S2133" s="8"/>
      <c r="T2133" s="8"/>
      <c r="U2133" s="8"/>
      <c r="V2133" s="8"/>
      <c r="W2133" s="8"/>
    </row>
    <row r="2134" spans="1:23" ht="15.75" customHeight="1" x14ac:dyDescent="0.25">
      <c r="A2134" s="6" t="s">
        <v>214</v>
      </c>
      <c r="B2134" s="8"/>
      <c r="C2134" s="8"/>
      <c r="D2134" s="8"/>
      <c r="E2134" s="8"/>
      <c r="F2134" s="8"/>
      <c r="G2134" s="8"/>
      <c r="H2134" s="8"/>
      <c r="I2134" s="8"/>
      <c r="J2134" s="8"/>
      <c r="K2134" s="8"/>
      <c r="L2134" s="8"/>
      <c r="M2134" s="8"/>
      <c r="N2134" s="8"/>
      <c r="O2134" s="8"/>
      <c r="P2134" s="8"/>
      <c r="Q2134" s="8"/>
      <c r="R2134" s="8"/>
      <c r="S2134" s="8"/>
      <c r="T2134" s="8"/>
      <c r="U2134" s="8"/>
      <c r="V2134" s="8"/>
      <c r="W2134" s="8"/>
    </row>
    <row r="2135" spans="1:23" ht="15.75" customHeight="1" x14ac:dyDescent="0.25">
      <c r="A2135" s="6" t="s">
        <v>214</v>
      </c>
      <c r="B2135" s="8"/>
      <c r="C2135" s="8"/>
      <c r="D2135" s="8"/>
      <c r="E2135" s="8"/>
      <c r="F2135" s="8"/>
      <c r="G2135" s="8"/>
      <c r="H2135" s="8"/>
      <c r="I2135" s="8"/>
      <c r="J2135" s="8"/>
      <c r="K2135" s="8"/>
      <c r="L2135" s="8"/>
      <c r="M2135" s="8"/>
      <c r="N2135" s="8"/>
      <c r="O2135" s="8"/>
      <c r="P2135" s="8"/>
      <c r="Q2135" s="8"/>
      <c r="R2135" s="8"/>
      <c r="S2135" s="8"/>
      <c r="T2135" s="8"/>
      <c r="U2135" s="8"/>
      <c r="V2135" s="8"/>
      <c r="W2135" s="8"/>
    </row>
    <row r="2136" spans="1:23" ht="15.75" customHeight="1" x14ac:dyDescent="0.25">
      <c r="A2136" s="6" t="s">
        <v>214</v>
      </c>
      <c r="B2136" s="8"/>
      <c r="C2136" s="8"/>
      <c r="D2136" s="8"/>
      <c r="E2136" s="8"/>
      <c r="F2136" s="8"/>
      <c r="G2136" s="8"/>
      <c r="H2136" s="8"/>
      <c r="I2136" s="8"/>
      <c r="J2136" s="8"/>
      <c r="K2136" s="8"/>
      <c r="L2136" s="8"/>
      <c r="M2136" s="8"/>
      <c r="N2136" s="8"/>
      <c r="O2136" s="8"/>
      <c r="P2136" s="8"/>
      <c r="Q2136" s="8"/>
      <c r="R2136" s="8"/>
      <c r="S2136" s="8"/>
      <c r="T2136" s="8"/>
      <c r="U2136" s="8"/>
      <c r="V2136" s="8"/>
      <c r="W2136" s="8"/>
    </row>
    <row r="2137" spans="1:23" ht="15.75" customHeight="1" x14ac:dyDescent="0.25">
      <c r="A2137" s="6" t="s">
        <v>214</v>
      </c>
      <c r="B2137" s="8"/>
      <c r="C2137" s="8"/>
      <c r="D2137" s="8"/>
      <c r="E2137" s="8"/>
      <c r="F2137" s="8"/>
      <c r="G2137" s="8"/>
      <c r="H2137" s="8"/>
      <c r="I2137" s="8"/>
      <c r="J2137" s="8"/>
      <c r="K2137" s="8"/>
      <c r="L2137" s="8"/>
      <c r="M2137" s="8"/>
      <c r="N2137" s="8"/>
      <c r="O2137" s="8"/>
      <c r="P2137" s="8"/>
      <c r="Q2137" s="8"/>
      <c r="R2137" s="8"/>
      <c r="S2137" s="8"/>
      <c r="T2137" s="8"/>
      <c r="U2137" s="8"/>
      <c r="V2137" s="8"/>
      <c r="W2137" s="8"/>
    </row>
    <row r="2138" spans="1:23" ht="15.75" customHeight="1" x14ac:dyDescent="0.25">
      <c r="A2138" s="6" t="s">
        <v>214</v>
      </c>
      <c r="B2138" s="8"/>
      <c r="C2138" s="8"/>
      <c r="D2138" s="8"/>
      <c r="E2138" s="8"/>
      <c r="F2138" s="8"/>
      <c r="G2138" s="8"/>
      <c r="H2138" s="8"/>
      <c r="I2138" s="8"/>
      <c r="J2138" s="8"/>
      <c r="K2138" s="8"/>
      <c r="L2138" s="8"/>
      <c r="M2138" s="8"/>
      <c r="N2138" s="8"/>
      <c r="O2138" s="8"/>
      <c r="P2138" s="8"/>
      <c r="Q2138" s="8"/>
      <c r="R2138" s="8"/>
      <c r="S2138" s="8"/>
      <c r="T2138" s="8"/>
      <c r="U2138" s="8"/>
      <c r="V2138" s="8"/>
      <c r="W2138" s="8"/>
    </row>
    <row r="2139" spans="1:23" ht="15.75" customHeight="1" x14ac:dyDescent="0.25">
      <c r="A2139" s="6" t="s">
        <v>214</v>
      </c>
      <c r="B2139" s="8"/>
      <c r="C2139" s="8"/>
      <c r="D2139" s="8"/>
      <c r="E2139" s="8"/>
      <c r="F2139" s="8"/>
      <c r="G2139" s="8"/>
      <c r="H2139" s="8"/>
      <c r="I2139" s="8"/>
      <c r="J2139" s="8"/>
      <c r="K2139" s="8"/>
      <c r="L2139" s="8"/>
      <c r="M2139" s="8"/>
      <c r="N2139" s="8"/>
      <c r="O2139" s="8"/>
      <c r="P2139" s="8"/>
      <c r="Q2139" s="8"/>
      <c r="R2139" s="8"/>
      <c r="S2139" s="8"/>
      <c r="T2139" s="8"/>
      <c r="U2139" s="8"/>
      <c r="V2139" s="8"/>
      <c r="W2139" s="8"/>
    </row>
    <row r="2140" spans="1:23" ht="15.75" customHeight="1" x14ac:dyDescent="0.25">
      <c r="A2140" s="6" t="s">
        <v>214</v>
      </c>
      <c r="B2140" s="8"/>
      <c r="C2140" s="8"/>
      <c r="D2140" s="8"/>
      <c r="E2140" s="8"/>
      <c r="F2140" s="8"/>
      <c r="G2140" s="8"/>
      <c r="H2140" s="8"/>
      <c r="I2140" s="8"/>
      <c r="J2140" s="8"/>
      <c r="K2140" s="8"/>
      <c r="L2140" s="8"/>
      <c r="M2140" s="8"/>
      <c r="N2140" s="8"/>
      <c r="O2140" s="8"/>
      <c r="P2140" s="8"/>
      <c r="Q2140" s="8"/>
      <c r="R2140" s="8"/>
      <c r="S2140" s="8"/>
      <c r="T2140" s="8"/>
      <c r="U2140" s="8"/>
      <c r="V2140" s="8"/>
      <c r="W2140" s="8"/>
    </row>
    <row r="2141" spans="1:23" ht="15.75" customHeight="1" x14ac:dyDescent="0.25">
      <c r="A2141" s="6" t="s">
        <v>214</v>
      </c>
      <c r="B2141" s="8"/>
      <c r="C2141" s="8"/>
      <c r="D2141" s="8"/>
      <c r="E2141" s="8"/>
      <c r="F2141" s="8"/>
      <c r="G2141" s="8"/>
      <c r="H2141" s="8"/>
      <c r="I2141" s="8"/>
      <c r="J2141" s="8"/>
      <c r="K2141" s="8"/>
      <c r="L2141" s="8"/>
      <c r="M2141" s="8"/>
      <c r="N2141" s="8"/>
      <c r="O2141" s="8"/>
      <c r="P2141" s="8"/>
      <c r="Q2141" s="8"/>
      <c r="R2141" s="8"/>
      <c r="S2141" s="8"/>
      <c r="T2141" s="8"/>
      <c r="U2141" s="8"/>
      <c r="V2141" s="8"/>
      <c r="W2141" s="8"/>
    </row>
    <row r="2142" spans="1:23" ht="15.75" customHeight="1" x14ac:dyDescent="0.25">
      <c r="A2142" s="6" t="s">
        <v>214</v>
      </c>
      <c r="B2142" s="8"/>
      <c r="C2142" s="8"/>
      <c r="D2142" s="8"/>
      <c r="E2142" s="8"/>
      <c r="F2142" s="8"/>
      <c r="G2142" s="8"/>
      <c r="H2142" s="8"/>
      <c r="I2142" s="8"/>
      <c r="J2142" s="8"/>
      <c r="K2142" s="8"/>
      <c r="L2142" s="8"/>
      <c r="M2142" s="8"/>
      <c r="N2142" s="8"/>
      <c r="O2142" s="8"/>
      <c r="P2142" s="8"/>
      <c r="Q2142" s="8"/>
      <c r="R2142" s="8"/>
      <c r="S2142" s="8"/>
      <c r="T2142" s="8"/>
      <c r="U2142" s="8"/>
      <c r="V2142" s="8"/>
      <c r="W2142" s="8"/>
    </row>
    <row r="2143" spans="1:23" ht="15.75" customHeight="1" x14ac:dyDescent="0.25">
      <c r="A2143" s="6" t="s">
        <v>214</v>
      </c>
      <c r="B2143" s="8"/>
      <c r="C2143" s="8"/>
      <c r="D2143" s="8"/>
      <c r="E2143" s="8"/>
      <c r="F2143" s="8"/>
      <c r="G2143" s="8"/>
      <c r="H2143" s="8"/>
      <c r="I2143" s="8"/>
      <c r="J2143" s="8"/>
      <c r="K2143" s="8"/>
      <c r="L2143" s="8"/>
      <c r="M2143" s="8"/>
      <c r="N2143" s="8"/>
      <c r="O2143" s="8"/>
      <c r="P2143" s="8"/>
      <c r="Q2143" s="8"/>
      <c r="R2143" s="8"/>
      <c r="S2143" s="8"/>
      <c r="T2143" s="8"/>
      <c r="U2143" s="8"/>
      <c r="V2143" s="8"/>
      <c r="W2143" s="8"/>
    </row>
    <row r="2144" spans="1:23" ht="15.75" customHeight="1" x14ac:dyDescent="0.25">
      <c r="A2144" s="6" t="s">
        <v>214</v>
      </c>
      <c r="B2144" s="8"/>
      <c r="C2144" s="8"/>
      <c r="D2144" s="8"/>
      <c r="E2144" s="8"/>
      <c r="F2144" s="8"/>
      <c r="G2144" s="8"/>
      <c r="H2144" s="8"/>
      <c r="I2144" s="8"/>
      <c r="J2144" s="8"/>
      <c r="K2144" s="8"/>
      <c r="L2144" s="8"/>
      <c r="M2144" s="8"/>
      <c r="N2144" s="8"/>
      <c r="O2144" s="8"/>
      <c r="P2144" s="8"/>
      <c r="Q2144" s="8"/>
      <c r="R2144" s="8"/>
      <c r="S2144" s="8"/>
      <c r="T2144" s="8"/>
      <c r="U2144" s="8"/>
      <c r="V2144" s="8"/>
      <c r="W2144" s="8"/>
    </row>
    <row r="2145" spans="1:23" ht="15.75" customHeight="1" x14ac:dyDescent="0.25">
      <c r="A2145" s="6" t="s">
        <v>214</v>
      </c>
      <c r="B2145" s="8"/>
      <c r="C2145" s="8"/>
      <c r="D2145" s="8"/>
      <c r="E2145" s="8"/>
      <c r="F2145" s="8"/>
      <c r="G2145" s="8"/>
      <c r="H2145" s="8"/>
      <c r="I2145" s="8"/>
      <c r="J2145" s="8"/>
      <c r="K2145" s="8"/>
      <c r="L2145" s="8"/>
      <c r="M2145" s="8"/>
      <c r="N2145" s="8"/>
      <c r="O2145" s="8"/>
      <c r="P2145" s="8"/>
      <c r="Q2145" s="8"/>
      <c r="R2145" s="8"/>
      <c r="S2145" s="8"/>
      <c r="T2145" s="8"/>
      <c r="U2145" s="8"/>
      <c r="V2145" s="8"/>
      <c r="W2145" s="8"/>
    </row>
    <row r="2146" spans="1:23" ht="15.75" customHeight="1" x14ac:dyDescent="0.25">
      <c r="A2146" s="6" t="s">
        <v>214</v>
      </c>
      <c r="B2146" s="8"/>
      <c r="C2146" s="8"/>
      <c r="D2146" s="8"/>
      <c r="E2146" s="8"/>
      <c r="F2146" s="8"/>
      <c r="G2146" s="8"/>
      <c r="H2146" s="8"/>
      <c r="I2146" s="8"/>
      <c r="J2146" s="8"/>
      <c r="K2146" s="8"/>
      <c r="L2146" s="8"/>
      <c r="M2146" s="8"/>
      <c r="N2146" s="8"/>
      <c r="O2146" s="8"/>
      <c r="P2146" s="8"/>
      <c r="Q2146" s="8"/>
      <c r="R2146" s="8"/>
      <c r="S2146" s="8"/>
      <c r="T2146" s="8"/>
      <c r="U2146" s="8"/>
      <c r="V2146" s="8"/>
      <c r="W2146" s="8"/>
    </row>
    <row r="2147" spans="1:23" ht="15.75" customHeight="1" x14ac:dyDescent="0.25">
      <c r="A2147" s="6" t="s">
        <v>214</v>
      </c>
      <c r="B2147" s="8"/>
      <c r="C2147" s="8"/>
      <c r="D2147" s="8"/>
      <c r="E2147" s="8"/>
      <c r="F2147" s="8"/>
      <c r="G2147" s="8"/>
      <c r="H2147" s="8"/>
      <c r="I2147" s="8"/>
      <c r="J2147" s="8"/>
      <c r="K2147" s="8"/>
      <c r="L2147" s="8"/>
      <c r="M2147" s="8"/>
      <c r="N2147" s="8"/>
      <c r="O2147" s="8"/>
      <c r="P2147" s="8"/>
      <c r="Q2147" s="8"/>
      <c r="R2147" s="8"/>
      <c r="S2147" s="8"/>
      <c r="T2147" s="8"/>
      <c r="U2147" s="8"/>
      <c r="V2147" s="8"/>
      <c r="W2147" s="8"/>
    </row>
    <row r="2148" spans="1:23" ht="15.75" customHeight="1" x14ac:dyDescent="0.25">
      <c r="A2148" s="8" t="s">
        <v>214</v>
      </c>
      <c r="B2148" s="8"/>
      <c r="C2148" s="8"/>
      <c r="D2148" s="8"/>
      <c r="E2148" s="8"/>
      <c r="F2148" s="8"/>
      <c r="G2148" s="8"/>
      <c r="H2148" s="8"/>
      <c r="I2148" s="8"/>
      <c r="J2148" s="8"/>
      <c r="K2148" s="8"/>
      <c r="L2148" s="8"/>
      <c r="M2148" s="8"/>
      <c r="N2148" s="8"/>
      <c r="O2148" s="8"/>
      <c r="P2148" s="8"/>
      <c r="Q2148" s="8"/>
      <c r="R2148" s="8"/>
      <c r="S2148" s="8"/>
      <c r="T2148" s="8"/>
      <c r="U2148" s="8"/>
      <c r="V2148" s="8"/>
      <c r="W2148" s="8"/>
    </row>
    <row r="2149" spans="1:23" ht="15.75" customHeight="1" x14ac:dyDescent="0.25">
      <c r="A2149" s="6" t="s">
        <v>214</v>
      </c>
      <c r="B2149" s="8"/>
      <c r="C2149" s="8"/>
      <c r="D2149" s="8"/>
      <c r="E2149" s="8"/>
      <c r="F2149" s="8"/>
      <c r="G2149" s="8"/>
      <c r="H2149" s="8"/>
      <c r="I2149" s="8"/>
      <c r="J2149" s="8"/>
      <c r="K2149" s="8"/>
      <c r="L2149" s="8"/>
      <c r="M2149" s="8"/>
      <c r="N2149" s="8"/>
      <c r="O2149" s="8"/>
      <c r="P2149" s="8"/>
      <c r="Q2149" s="8"/>
      <c r="R2149" s="8"/>
      <c r="S2149" s="8"/>
      <c r="T2149" s="8"/>
      <c r="U2149" s="8"/>
      <c r="V2149" s="8"/>
      <c r="W2149" s="8"/>
    </row>
    <row r="2150" spans="1:23" ht="15.75" customHeight="1" x14ac:dyDescent="0.25">
      <c r="A2150" s="6" t="s">
        <v>214</v>
      </c>
      <c r="B2150" s="8"/>
      <c r="C2150" s="8"/>
      <c r="D2150" s="8"/>
      <c r="E2150" s="8"/>
      <c r="F2150" s="8"/>
      <c r="G2150" s="8"/>
      <c r="H2150" s="8"/>
      <c r="I2150" s="8"/>
      <c r="J2150" s="8"/>
      <c r="K2150" s="8"/>
      <c r="L2150" s="8"/>
      <c r="M2150" s="8"/>
      <c r="N2150" s="8"/>
      <c r="O2150" s="8"/>
      <c r="P2150" s="8"/>
      <c r="Q2150" s="8"/>
      <c r="R2150" s="8"/>
      <c r="S2150" s="8"/>
      <c r="T2150" s="8"/>
      <c r="U2150" s="8"/>
      <c r="V2150" s="8"/>
      <c r="W2150" s="8"/>
    </row>
    <row r="2151" spans="1:23" ht="15.75" customHeight="1" x14ac:dyDescent="0.25">
      <c r="A2151" s="6" t="s">
        <v>214</v>
      </c>
      <c r="B2151" s="8"/>
      <c r="C2151" s="8"/>
      <c r="D2151" s="8"/>
      <c r="E2151" s="8"/>
      <c r="F2151" s="8"/>
      <c r="G2151" s="8"/>
      <c r="H2151" s="8"/>
      <c r="I2151" s="8"/>
      <c r="J2151" s="8"/>
      <c r="K2151" s="8"/>
      <c r="L2151" s="8"/>
      <c r="M2151" s="8"/>
      <c r="N2151" s="8"/>
      <c r="O2151" s="8"/>
      <c r="P2151" s="8"/>
      <c r="Q2151" s="8"/>
      <c r="R2151" s="8"/>
      <c r="S2151" s="8"/>
      <c r="T2151" s="8"/>
      <c r="U2151" s="8"/>
      <c r="V2151" s="8"/>
      <c r="W2151" s="8"/>
    </row>
    <row r="2152" spans="1:23" ht="15.75" customHeight="1" x14ac:dyDescent="0.25">
      <c r="A2152" s="8" t="s">
        <v>4277</v>
      </c>
      <c r="B2152" s="8"/>
      <c r="C2152" s="8"/>
      <c r="D2152" s="8"/>
      <c r="E2152" s="8"/>
      <c r="F2152" s="8"/>
      <c r="G2152" s="8"/>
      <c r="H2152" s="8"/>
      <c r="I2152" s="8"/>
      <c r="J2152" s="8"/>
      <c r="K2152" s="8"/>
      <c r="L2152" s="8"/>
      <c r="M2152" s="8"/>
      <c r="N2152" s="8"/>
      <c r="O2152" s="8"/>
      <c r="P2152" s="8"/>
      <c r="Q2152" s="8"/>
      <c r="R2152" s="8"/>
      <c r="S2152" s="8"/>
      <c r="T2152" s="8"/>
      <c r="U2152" s="8"/>
      <c r="V2152" s="8"/>
      <c r="W2152" s="8"/>
    </row>
    <row r="2153" spans="1:23" ht="15.75" customHeight="1" x14ac:dyDescent="0.25">
      <c r="A2153" s="6" t="s">
        <v>3944</v>
      </c>
      <c r="B2153" s="8"/>
      <c r="C2153" s="8"/>
      <c r="D2153" s="8"/>
      <c r="E2153" s="8"/>
      <c r="F2153" s="8"/>
      <c r="G2153" s="8"/>
      <c r="H2153" s="8"/>
      <c r="I2153" s="8"/>
      <c r="J2153" s="8"/>
      <c r="K2153" s="8"/>
      <c r="L2153" s="8"/>
      <c r="M2153" s="8"/>
      <c r="N2153" s="8"/>
      <c r="O2153" s="8"/>
      <c r="P2153" s="8"/>
      <c r="Q2153" s="8"/>
      <c r="R2153" s="8"/>
      <c r="S2153" s="8"/>
      <c r="T2153" s="8"/>
      <c r="U2153" s="8"/>
      <c r="V2153" s="8"/>
      <c r="W2153" s="8"/>
    </row>
    <row r="2154" spans="1:23" ht="15.75" customHeight="1" x14ac:dyDescent="0.25">
      <c r="A2154" s="6" t="s">
        <v>3944</v>
      </c>
      <c r="B2154" s="8"/>
      <c r="C2154" s="8"/>
      <c r="D2154" s="8"/>
      <c r="E2154" s="8"/>
      <c r="F2154" s="8"/>
      <c r="G2154" s="8"/>
      <c r="H2154" s="8"/>
      <c r="I2154" s="8"/>
      <c r="J2154" s="8"/>
      <c r="K2154" s="8"/>
      <c r="L2154" s="8"/>
      <c r="M2154" s="8"/>
      <c r="N2154" s="8"/>
      <c r="O2154" s="8"/>
      <c r="P2154" s="8"/>
      <c r="Q2154" s="8"/>
      <c r="R2154" s="8"/>
      <c r="S2154" s="8"/>
      <c r="T2154" s="8"/>
      <c r="U2154" s="8"/>
      <c r="V2154" s="8"/>
      <c r="W2154" s="8"/>
    </row>
    <row r="2155" spans="1:23" ht="15.75" customHeight="1" x14ac:dyDescent="0.25">
      <c r="A2155" s="6" t="s">
        <v>3948</v>
      </c>
      <c r="B2155" s="8"/>
      <c r="C2155" s="8"/>
      <c r="D2155" s="8"/>
      <c r="E2155" s="8"/>
      <c r="F2155" s="8"/>
      <c r="G2155" s="8"/>
      <c r="H2155" s="8"/>
      <c r="I2155" s="8"/>
      <c r="J2155" s="8"/>
      <c r="K2155" s="8"/>
      <c r="L2155" s="8"/>
      <c r="M2155" s="8"/>
      <c r="N2155" s="8"/>
      <c r="O2155" s="8"/>
      <c r="P2155" s="8"/>
      <c r="Q2155" s="8"/>
      <c r="R2155" s="8"/>
      <c r="S2155" s="8"/>
      <c r="T2155" s="8"/>
      <c r="U2155" s="8"/>
      <c r="V2155" s="8"/>
      <c r="W2155" s="8"/>
    </row>
    <row r="2156" spans="1:23" ht="15.75" customHeight="1" x14ac:dyDescent="0.25">
      <c r="A2156" s="6" t="s">
        <v>3948</v>
      </c>
      <c r="B2156" s="8"/>
      <c r="C2156" s="8"/>
      <c r="D2156" s="8"/>
      <c r="E2156" s="8"/>
      <c r="F2156" s="8"/>
      <c r="G2156" s="8"/>
      <c r="H2156" s="8"/>
      <c r="I2156" s="8"/>
      <c r="J2156" s="8"/>
      <c r="K2156" s="8"/>
      <c r="L2156" s="8"/>
      <c r="M2156" s="8"/>
      <c r="N2156" s="8"/>
      <c r="O2156" s="8"/>
      <c r="P2156" s="8"/>
      <c r="Q2156" s="8"/>
      <c r="R2156" s="8"/>
      <c r="S2156" s="8"/>
      <c r="T2156" s="8"/>
      <c r="U2156" s="8"/>
      <c r="V2156" s="8"/>
      <c r="W2156" s="8"/>
    </row>
    <row r="2157" spans="1:23" ht="15.75" customHeight="1" x14ac:dyDescent="0.25">
      <c r="A2157" s="6" t="s">
        <v>3950</v>
      </c>
      <c r="B2157" s="8"/>
      <c r="C2157" s="8"/>
      <c r="D2157" s="8"/>
      <c r="E2157" s="8"/>
      <c r="F2157" s="8"/>
      <c r="G2157" s="8"/>
      <c r="H2157" s="8"/>
      <c r="I2157" s="8"/>
      <c r="J2157" s="8"/>
      <c r="K2157" s="8"/>
      <c r="L2157" s="8"/>
      <c r="M2157" s="8"/>
      <c r="N2157" s="8"/>
      <c r="O2157" s="8"/>
      <c r="P2157" s="8"/>
      <c r="Q2157" s="8"/>
      <c r="R2157" s="8"/>
      <c r="S2157" s="8"/>
      <c r="T2157" s="8"/>
      <c r="U2157" s="8"/>
      <c r="V2157" s="8"/>
      <c r="W2157" s="8"/>
    </row>
    <row r="2158" spans="1:23" ht="15.75" customHeight="1" x14ac:dyDescent="0.25">
      <c r="A2158" s="6" t="s">
        <v>3950</v>
      </c>
      <c r="B2158" s="8"/>
      <c r="C2158" s="8"/>
      <c r="D2158" s="8"/>
      <c r="E2158" s="8"/>
      <c r="F2158" s="8"/>
      <c r="G2158" s="8"/>
      <c r="H2158" s="8"/>
      <c r="I2158" s="8"/>
      <c r="J2158" s="8"/>
      <c r="K2158" s="8"/>
      <c r="L2158" s="8"/>
      <c r="M2158" s="8"/>
      <c r="N2158" s="8"/>
      <c r="O2158" s="8"/>
      <c r="P2158" s="8"/>
      <c r="Q2158" s="8"/>
      <c r="R2158" s="8"/>
      <c r="S2158" s="8"/>
      <c r="T2158" s="8"/>
      <c r="U2158" s="8"/>
      <c r="V2158" s="8"/>
      <c r="W2158" s="8"/>
    </row>
    <row r="2159" spans="1:23" ht="15.75" customHeight="1" x14ac:dyDescent="0.25">
      <c r="A2159" s="6" t="s">
        <v>192</v>
      </c>
      <c r="B2159" s="8"/>
      <c r="C2159" s="8"/>
      <c r="D2159" s="8"/>
      <c r="E2159" s="8"/>
      <c r="F2159" s="8"/>
      <c r="G2159" s="8"/>
      <c r="H2159" s="8"/>
      <c r="I2159" s="8"/>
      <c r="J2159" s="8"/>
      <c r="K2159" s="8"/>
      <c r="L2159" s="8"/>
      <c r="M2159" s="8"/>
      <c r="N2159" s="8"/>
      <c r="O2159" s="8"/>
      <c r="P2159" s="8"/>
      <c r="Q2159" s="8"/>
      <c r="R2159" s="8"/>
      <c r="S2159" s="8"/>
      <c r="T2159" s="8"/>
      <c r="U2159" s="8"/>
      <c r="V2159" s="8"/>
      <c r="W2159" s="8"/>
    </row>
    <row r="2160" spans="1:23" ht="15.75" customHeight="1" x14ac:dyDescent="0.25">
      <c r="A2160" s="6" t="s">
        <v>192</v>
      </c>
      <c r="B2160" s="8"/>
      <c r="C2160" s="8"/>
      <c r="D2160" s="8"/>
      <c r="E2160" s="8"/>
      <c r="F2160" s="8"/>
      <c r="G2160" s="8"/>
      <c r="H2160" s="8"/>
      <c r="I2160" s="8"/>
      <c r="J2160" s="8"/>
      <c r="K2160" s="8"/>
      <c r="L2160" s="8"/>
      <c r="M2160" s="8"/>
      <c r="N2160" s="8"/>
      <c r="O2160" s="8"/>
      <c r="P2160" s="8"/>
      <c r="Q2160" s="8"/>
      <c r="R2160" s="8"/>
      <c r="S2160" s="8"/>
      <c r="T2160" s="8"/>
      <c r="U2160" s="8"/>
      <c r="V2160" s="8"/>
      <c r="W2160" s="8"/>
    </row>
    <row r="2161" spans="1:23" ht="15.75" customHeight="1" x14ac:dyDescent="0.25">
      <c r="A2161" s="6" t="s">
        <v>192</v>
      </c>
      <c r="B2161" s="8"/>
      <c r="C2161" s="8"/>
      <c r="D2161" s="8"/>
      <c r="E2161" s="8"/>
      <c r="F2161" s="8"/>
      <c r="G2161" s="8"/>
      <c r="H2161" s="8"/>
      <c r="I2161" s="8"/>
      <c r="J2161" s="8"/>
      <c r="K2161" s="8"/>
      <c r="L2161" s="8"/>
      <c r="M2161" s="8"/>
      <c r="N2161" s="8"/>
      <c r="O2161" s="8"/>
      <c r="P2161" s="8"/>
      <c r="Q2161" s="8"/>
      <c r="R2161" s="8"/>
      <c r="S2161" s="8"/>
      <c r="T2161" s="8"/>
      <c r="U2161" s="8"/>
      <c r="V2161" s="8"/>
      <c r="W2161" s="8"/>
    </row>
    <row r="2162" spans="1:23" ht="15.75" customHeight="1" x14ac:dyDescent="0.25">
      <c r="A2162" s="6" t="s">
        <v>192</v>
      </c>
      <c r="B2162" s="8"/>
      <c r="C2162" s="8"/>
      <c r="D2162" s="8"/>
      <c r="E2162" s="8"/>
      <c r="F2162" s="8"/>
      <c r="G2162" s="8"/>
      <c r="H2162" s="8"/>
      <c r="I2162" s="8"/>
      <c r="J2162" s="8"/>
      <c r="K2162" s="8"/>
      <c r="L2162" s="8"/>
      <c r="M2162" s="8"/>
      <c r="N2162" s="8"/>
      <c r="O2162" s="8"/>
      <c r="P2162" s="8"/>
      <c r="Q2162" s="8"/>
      <c r="R2162" s="8"/>
      <c r="S2162" s="8"/>
      <c r="T2162" s="8"/>
      <c r="U2162" s="8"/>
      <c r="V2162" s="8"/>
      <c r="W2162" s="8"/>
    </row>
    <row r="2163" spans="1:23" ht="15.75" customHeight="1" x14ac:dyDescent="0.25">
      <c r="A2163" s="6" t="s">
        <v>192</v>
      </c>
      <c r="B2163" s="8"/>
      <c r="C2163" s="8"/>
      <c r="D2163" s="8"/>
      <c r="E2163" s="8"/>
      <c r="F2163" s="8"/>
      <c r="G2163" s="8"/>
      <c r="H2163" s="8"/>
      <c r="I2163" s="8"/>
      <c r="J2163" s="8"/>
      <c r="K2163" s="8"/>
      <c r="L2163" s="8"/>
      <c r="M2163" s="8"/>
      <c r="N2163" s="8"/>
      <c r="O2163" s="8"/>
      <c r="P2163" s="8"/>
      <c r="Q2163" s="8"/>
      <c r="R2163" s="8"/>
      <c r="S2163" s="8"/>
      <c r="T2163" s="8"/>
      <c r="U2163" s="8"/>
      <c r="V2163" s="8"/>
      <c r="W2163" s="8"/>
    </row>
    <row r="2164" spans="1:23" ht="15.75" customHeight="1" x14ac:dyDescent="0.25">
      <c r="A2164" s="6" t="s">
        <v>192</v>
      </c>
      <c r="B2164" s="8"/>
      <c r="C2164" s="8"/>
      <c r="D2164" s="8"/>
      <c r="E2164" s="8"/>
      <c r="F2164" s="8"/>
      <c r="G2164" s="8"/>
      <c r="H2164" s="8"/>
      <c r="I2164" s="8"/>
      <c r="J2164" s="8"/>
      <c r="K2164" s="8"/>
      <c r="L2164" s="8"/>
      <c r="M2164" s="8"/>
      <c r="N2164" s="8"/>
      <c r="O2164" s="8"/>
      <c r="P2164" s="8"/>
      <c r="Q2164" s="8"/>
      <c r="R2164" s="8"/>
      <c r="S2164" s="8"/>
      <c r="T2164" s="8"/>
      <c r="U2164" s="8"/>
      <c r="V2164" s="8"/>
      <c r="W2164" s="8"/>
    </row>
    <row r="2165" spans="1:23" ht="15.75" customHeight="1" x14ac:dyDescent="0.25">
      <c r="A2165" s="6" t="s">
        <v>192</v>
      </c>
      <c r="B2165" s="8"/>
      <c r="C2165" s="8"/>
      <c r="D2165" s="8"/>
      <c r="E2165" s="8"/>
      <c r="F2165" s="8"/>
      <c r="G2165" s="8"/>
      <c r="H2165" s="8"/>
      <c r="I2165" s="8"/>
      <c r="J2165" s="8"/>
      <c r="K2165" s="8"/>
      <c r="L2165" s="8"/>
      <c r="M2165" s="8"/>
      <c r="N2165" s="8"/>
      <c r="O2165" s="8"/>
      <c r="P2165" s="8"/>
      <c r="Q2165" s="8"/>
      <c r="R2165" s="8"/>
      <c r="S2165" s="8"/>
      <c r="T2165" s="8"/>
      <c r="U2165" s="8"/>
      <c r="V2165" s="8"/>
      <c r="W2165" s="8"/>
    </row>
    <row r="2166" spans="1:23" ht="15.75" customHeight="1" x14ac:dyDescent="0.25">
      <c r="A2166" s="6" t="s">
        <v>192</v>
      </c>
      <c r="B2166" s="8"/>
      <c r="C2166" s="8"/>
      <c r="D2166" s="8"/>
      <c r="E2166" s="8"/>
      <c r="F2166" s="8"/>
      <c r="G2166" s="8"/>
      <c r="H2166" s="8"/>
      <c r="I2166" s="8"/>
      <c r="J2166" s="8"/>
      <c r="K2166" s="8"/>
      <c r="L2166" s="8"/>
      <c r="M2166" s="8"/>
      <c r="N2166" s="8"/>
      <c r="O2166" s="8"/>
      <c r="P2166" s="8"/>
      <c r="Q2166" s="8"/>
      <c r="R2166" s="8"/>
      <c r="S2166" s="8"/>
      <c r="T2166" s="8"/>
      <c r="U2166" s="8"/>
      <c r="V2166" s="8"/>
      <c r="W2166" s="8"/>
    </row>
    <row r="2167" spans="1:23" ht="15.75" customHeight="1" x14ac:dyDescent="0.25">
      <c r="A2167" s="6" t="s">
        <v>192</v>
      </c>
      <c r="B2167" s="8"/>
      <c r="C2167" s="8"/>
      <c r="D2167" s="8"/>
      <c r="E2167" s="8"/>
      <c r="F2167" s="8"/>
      <c r="G2167" s="8"/>
      <c r="H2167" s="8"/>
      <c r="I2167" s="8"/>
      <c r="J2167" s="8"/>
      <c r="K2167" s="8"/>
      <c r="L2167" s="8"/>
      <c r="M2167" s="8"/>
      <c r="N2167" s="8"/>
      <c r="O2167" s="8"/>
      <c r="P2167" s="8"/>
      <c r="Q2167" s="8"/>
      <c r="R2167" s="8"/>
      <c r="S2167" s="8"/>
      <c r="T2167" s="8"/>
      <c r="U2167" s="8"/>
      <c r="V2167" s="8"/>
      <c r="W2167" s="8"/>
    </row>
    <row r="2168" spans="1:23" ht="15.75" customHeight="1" x14ac:dyDescent="0.25">
      <c r="A2168" s="6" t="s">
        <v>192</v>
      </c>
      <c r="B2168" s="8"/>
      <c r="C2168" s="8"/>
      <c r="D2168" s="8"/>
      <c r="E2168" s="8"/>
      <c r="F2168" s="8"/>
      <c r="G2168" s="8"/>
      <c r="H2168" s="8"/>
      <c r="I2168" s="8"/>
      <c r="J2168" s="8"/>
      <c r="K2168" s="8"/>
      <c r="L2168" s="8"/>
      <c r="M2168" s="8"/>
      <c r="N2168" s="8"/>
      <c r="O2168" s="8"/>
      <c r="P2168" s="8"/>
      <c r="Q2168" s="8"/>
      <c r="R2168" s="8"/>
      <c r="S2168" s="8"/>
      <c r="T2168" s="8"/>
      <c r="U2168" s="8"/>
      <c r="V2168" s="8"/>
      <c r="W2168" s="8"/>
    </row>
    <row r="2169" spans="1:23" ht="15.75" customHeight="1" x14ac:dyDescent="0.25">
      <c r="A2169" s="6" t="s">
        <v>192</v>
      </c>
      <c r="B2169" s="8"/>
      <c r="C2169" s="8"/>
      <c r="D2169" s="8"/>
      <c r="E2169" s="8"/>
      <c r="F2169" s="8"/>
      <c r="G2169" s="8"/>
      <c r="H2169" s="8"/>
      <c r="I2169" s="8"/>
      <c r="J2169" s="8"/>
      <c r="K2169" s="8"/>
      <c r="L2169" s="8"/>
      <c r="M2169" s="8"/>
      <c r="N2169" s="8"/>
      <c r="O2169" s="8"/>
      <c r="P2169" s="8"/>
      <c r="Q2169" s="8"/>
      <c r="R2169" s="8"/>
      <c r="S2169" s="8"/>
      <c r="T2169" s="8"/>
      <c r="U2169" s="8"/>
      <c r="V2169" s="8"/>
      <c r="W2169" s="8"/>
    </row>
    <row r="2170" spans="1:23" ht="15.75" customHeight="1" x14ac:dyDescent="0.25">
      <c r="A2170" s="6" t="s">
        <v>192</v>
      </c>
      <c r="B2170" s="8"/>
      <c r="C2170" s="8"/>
      <c r="D2170" s="8"/>
      <c r="E2170" s="8"/>
      <c r="F2170" s="8"/>
      <c r="G2170" s="8"/>
      <c r="H2170" s="8"/>
      <c r="I2170" s="8"/>
      <c r="J2170" s="8"/>
      <c r="K2170" s="8"/>
      <c r="L2170" s="8"/>
      <c r="M2170" s="8"/>
      <c r="N2170" s="8"/>
      <c r="O2170" s="8"/>
      <c r="P2170" s="8"/>
      <c r="Q2170" s="8"/>
      <c r="R2170" s="8"/>
      <c r="S2170" s="8"/>
      <c r="T2170" s="8"/>
      <c r="U2170" s="8"/>
      <c r="V2170" s="8"/>
      <c r="W2170" s="8"/>
    </row>
    <row r="2171" spans="1:23" ht="15.75" customHeight="1" x14ac:dyDescent="0.25">
      <c r="A2171" s="6" t="s">
        <v>192</v>
      </c>
      <c r="B2171" s="8"/>
      <c r="C2171" s="8"/>
      <c r="D2171" s="8"/>
      <c r="E2171" s="8"/>
      <c r="F2171" s="8"/>
      <c r="G2171" s="8"/>
      <c r="H2171" s="8"/>
      <c r="I2171" s="8"/>
      <c r="J2171" s="8"/>
      <c r="K2171" s="8"/>
      <c r="L2171" s="8"/>
      <c r="M2171" s="8"/>
      <c r="N2171" s="8"/>
      <c r="O2171" s="8"/>
      <c r="P2171" s="8"/>
      <c r="Q2171" s="8"/>
      <c r="R2171" s="8"/>
      <c r="S2171" s="8"/>
      <c r="T2171" s="8"/>
      <c r="U2171" s="8"/>
      <c r="V2171" s="8"/>
      <c r="W2171" s="8"/>
    </row>
    <row r="2172" spans="1:23" ht="15.75" customHeight="1" x14ac:dyDescent="0.25">
      <c r="A2172" s="8" t="s">
        <v>192</v>
      </c>
      <c r="B2172" s="8"/>
      <c r="C2172" s="8"/>
      <c r="D2172" s="8"/>
      <c r="E2172" s="8"/>
      <c r="F2172" s="8"/>
      <c r="G2172" s="8"/>
      <c r="H2172" s="8"/>
      <c r="I2172" s="8"/>
      <c r="J2172" s="8"/>
      <c r="K2172" s="8"/>
      <c r="L2172" s="8"/>
      <c r="M2172" s="8"/>
      <c r="N2172" s="8"/>
      <c r="O2172" s="8"/>
      <c r="P2172" s="8"/>
      <c r="Q2172" s="8"/>
      <c r="R2172" s="8"/>
      <c r="S2172" s="8"/>
      <c r="T2172" s="8"/>
      <c r="U2172" s="8"/>
      <c r="V2172" s="8"/>
      <c r="W2172" s="8"/>
    </row>
    <row r="2173" spans="1:23" ht="15.75" customHeight="1" x14ac:dyDescent="0.25">
      <c r="A2173" s="6" t="s">
        <v>192</v>
      </c>
      <c r="B2173" s="8"/>
      <c r="C2173" s="8"/>
      <c r="D2173" s="8"/>
      <c r="E2173" s="8"/>
      <c r="F2173" s="8"/>
      <c r="G2173" s="8"/>
      <c r="H2173" s="8"/>
      <c r="I2173" s="8"/>
      <c r="J2173" s="8"/>
      <c r="K2173" s="8"/>
      <c r="L2173" s="8"/>
      <c r="M2173" s="8"/>
      <c r="N2173" s="8"/>
      <c r="O2173" s="8"/>
      <c r="P2173" s="8"/>
      <c r="Q2173" s="8"/>
      <c r="R2173" s="8"/>
      <c r="S2173" s="8"/>
      <c r="T2173" s="8"/>
      <c r="U2173" s="8"/>
      <c r="V2173" s="8"/>
      <c r="W2173" s="8"/>
    </row>
    <row r="2174" spans="1:23" ht="15.75" customHeight="1" x14ac:dyDescent="0.25">
      <c r="A2174" s="8" t="s">
        <v>192</v>
      </c>
      <c r="B2174" s="8"/>
      <c r="C2174" s="8"/>
      <c r="D2174" s="8"/>
      <c r="E2174" s="8"/>
      <c r="F2174" s="8"/>
      <c r="G2174" s="8"/>
      <c r="H2174" s="8"/>
      <c r="I2174" s="8"/>
      <c r="J2174" s="8"/>
      <c r="K2174" s="8"/>
      <c r="L2174" s="8"/>
      <c r="M2174" s="8"/>
      <c r="N2174" s="8"/>
      <c r="O2174" s="8"/>
      <c r="P2174" s="8"/>
      <c r="Q2174" s="8"/>
      <c r="R2174" s="8"/>
      <c r="S2174" s="8"/>
      <c r="T2174" s="8"/>
      <c r="U2174" s="8"/>
      <c r="V2174" s="8"/>
      <c r="W2174" s="8"/>
    </row>
    <row r="2175" spans="1:23" ht="15.75" customHeight="1" x14ac:dyDescent="0.25">
      <c r="A2175" s="6" t="s">
        <v>192</v>
      </c>
      <c r="B2175" s="8"/>
      <c r="C2175" s="8"/>
      <c r="D2175" s="8"/>
      <c r="E2175" s="8"/>
      <c r="F2175" s="8"/>
      <c r="G2175" s="8"/>
      <c r="H2175" s="8"/>
      <c r="I2175" s="8"/>
      <c r="J2175" s="8"/>
      <c r="K2175" s="8"/>
      <c r="L2175" s="8"/>
      <c r="M2175" s="8"/>
      <c r="N2175" s="8"/>
      <c r="O2175" s="8"/>
      <c r="P2175" s="8"/>
      <c r="Q2175" s="8"/>
      <c r="R2175" s="8"/>
      <c r="S2175" s="8"/>
      <c r="T2175" s="8"/>
      <c r="U2175" s="8"/>
      <c r="V2175" s="8"/>
      <c r="W2175" s="8"/>
    </row>
    <row r="2176" spans="1:23" ht="15.75" customHeight="1" x14ac:dyDescent="0.25">
      <c r="A2176" s="6" t="s">
        <v>192</v>
      </c>
      <c r="B2176" s="8"/>
      <c r="C2176" s="8"/>
      <c r="D2176" s="8"/>
      <c r="E2176" s="8"/>
      <c r="F2176" s="8"/>
      <c r="G2176" s="8"/>
      <c r="H2176" s="8"/>
      <c r="I2176" s="8"/>
      <c r="J2176" s="8"/>
      <c r="K2176" s="8"/>
      <c r="L2176" s="8"/>
      <c r="M2176" s="8"/>
      <c r="N2176" s="8"/>
      <c r="O2176" s="8"/>
      <c r="P2176" s="8"/>
      <c r="Q2176" s="8"/>
      <c r="R2176" s="8"/>
      <c r="S2176" s="8"/>
      <c r="T2176" s="8"/>
      <c r="U2176" s="8"/>
      <c r="V2176" s="8"/>
      <c r="W2176" s="8"/>
    </row>
    <row r="2177" spans="1:23" ht="15.75" customHeight="1" x14ac:dyDescent="0.25">
      <c r="A2177" s="6" t="s">
        <v>192</v>
      </c>
      <c r="B2177" s="8"/>
      <c r="C2177" s="8"/>
      <c r="D2177" s="8"/>
      <c r="E2177" s="8"/>
      <c r="F2177" s="8"/>
      <c r="G2177" s="8"/>
      <c r="H2177" s="8"/>
      <c r="I2177" s="8"/>
      <c r="J2177" s="8"/>
      <c r="K2177" s="8"/>
      <c r="L2177" s="8"/>
      <c r="M2177" s="8"/>
      <c r="N2177" s="8"/>
      <c r="O2177" s="8"/>
      <c r="P2177" s="8"/>
      <c r="Q2177" s="8"/>
      <c r="R2177" s="8"/>
      <c r="S2177" s="8"/>
      <c r="T2177" s="8"/>
      <c r="U2177" s="8"/>
      <c r="V2177" s="8"/>
      <c r="W2177" s="8"/>
    </row>
    <row r="2178" spans="1:23" ht="15.75" customHeight="1" x14ac:dyDescent="0.25">
      <c r="A2178" s="6" t="s">
        <v>192</v>
      </c>
      <c r="B2178" s="8"/>
      <c r="C2178" s="8"/>
      <c r="D2178" s="8"/>
      <c r="E2178" s="8"/>
      <c r="F2178" s="8"/>
      <c r="G2178" s="8"/>
      <c r="H2178" s="8"/>
      <c r="I2178" s="8"/>
      <c r="J2178" s="8"/>
      <c r="K2178" s="8"/>
      <c r="L2178" s="8"/>
      <c r="M2178" s="8"/>
      <c r="N2178" s="8"/>
      <c r="O2178" s="8"/>
      <c r="P2178" s="8"/>
      <c r="Q2178" s="8"/>
      <c r="R2178" s="8"/>
      <c r="S2178" s="8"/>
      <c r="T2178" s="8"/>
      <c r="U2178" s="8"/>
      <c r="V2178" s="8"/>
      <c r="W2178" s="8"/>
    </row>
    <row r="2179" spans="1:23" ht="15.75" customHeight="1" x14ac:dyDescent="0.25">
      <c r="A2179" s="6" t="s">
        <v>192</v>
      </c>
      <c r="B2179" s="8"/>
      <c r="C2179" s="8"/>
      <c r="D2179" s="8"/>
      <c r="E2179" s="8"/>
      <c r="F2179" s="8"/>
      <c r="G2179" s="8"/>
      <c r="H2179" s="8"/>
      <c r="I2179" s="8"/>
      <c r="J2179" s="8"/>
      <c r="K2179" s="8"/>
      <c r="L2179" s="8"/>
      <c r="M2179" s="8"/>
      <c r="N2179" s="8"/>
      <c r="O2179" s="8"/>
      <c r="P2179" s="8"/>
      <c r="Q2179" s="8"/>
      <c r="R2179" s="8"/>
      <c r="S2179" s="8"/>
      <c r="T2179" s="8"/>
      <c r="U2179" s="8"/>
      <c r="V2179" s="8"/>
      <c r="W2179" s="8"/>
    </row>
    <row r="2180" spans="1:23" ht="15.75" customHeight="1" x14ac:dyDescent="0.25">
      <c r="A2180" s="6" t="s">
        <v>192</v>
      </c>
      <c r="B2180" s="8"/>
      <c r="C2180" s="8"/>
      <c r="D2180" s="8"/>
      <c r="E2180" s="8"/>
      <c r="F2180" s="8"/>
      <c r="G2180" s="8"/>
      <c r="H2180" s="8"/>
      <c r="I2180" s="8"/>
      <c r="J2180" s="8"/>
      <c r="K2180" s="8"/>
      <c r="L2180" s="8"/>
      <c r="M2180" s="8"/>
      <c r="N2180" s="8"/>
      <c r="O2180" s="8"/>
      <c r="P2180" s="8"/>
      <c r="Q2180" s="8"/>
      <c r="R2180" s="8"/>
      <c r="S2180" s="8"/>
      <c r="T2180" s="8"/>
      <c r="U2180" s="8"/>
      <c r="V2180" s="8"/>
      <c r="W2180" s="8"/>
    </row>
    <row r="2181" spans="1:23" ht="15.75" customHeight="1" x14ac:dyDescent="0.25">
      <c r="A2181" s="6" t="s">
        <v>192</v>
      </c>
      <c r="B2181" s="8"/>
      <c r="C2181" s="8"/>
      <c r="D2181" s="8"/>
      <c r="E2181" s="8"/>
      <c r="F2181" s="8"/>
      <c r="G2181" s="8"/>
      <c r="H2181" s="8"/>
      <c r="I2181" s="8"/>
      <c r="J2181" s="8"/>
      <c r="K2181" s="8"/>
      <c r="L2181" s="8"/>
      <c r="M2181" s="8"/>
      <c r="N2181" s="8"/>
      <c r="O2181" s="8"/>
      <c r="P2181" s="8"/>
      <c r="Q2181" s="8"/>
      <c r="R2181" s="8"/>
      <c r="S2181" s="8"/>
      <c r="T2181" s="8"/>
      <c r="U2181" s="8"/>
      <c r="V2181" s="8"/>
      <c r="W2181" s="8"/>
    </row>
    <row r="2182" spans="1:23" ht="15.75" customHeight="1" x14ac:dyDescent="0.25">
      <c r="A2182" s="6" t="s">
        <v>192</v>
      </c>
      <c r="B2182" s="8"/>
      <c r="C2182" s="8"/>
      <c r="D2182" s="8"/>
      <c r="E2182" s="8"/>
      <c r="F2182" s="8"/>
      <c r="G2182" s="8"/>
      <c r="H2182" s="8"/>
      <c r="I2182" s="8"/>
      <c r="J2182" s="8"/>
      <c r="K2182" s="8"/>
      <c r="L2182" s="8"/>
      <c r="M2182" s="8"/>
      <c r="N2182" s="8"/>
      <c r="O2182" s="8"/>
      <c r="P2182" s="8"/>
      <c r="Q2182" s="8"/>
      <c r="R2182" s="8"/>
      <c r="S2182" s="8"/>
      <c r="T2182" s="8"/>
      <c r="U2182" s="8"/>
      <c r="V2182" s="8"/>
      <c r="W2182" s="8"/>
    </row>
    <row r="2183" spans="1:23" ht="15.75" customHeight="1" x14ac:dyDescent="0.25">
      <c r="A2183" s="6" t="s">
        <v>192</v>
      </c>
      <c r="B2183" s="8"/>
      <c r="C2183" s="8"/>
      <c r="D2183" s="8"/>
      <c r="E2183" s="8"/>
      <c r="F2183" s="8"/>
      <c r="G2183" s="8"/>
      <c r="H2183" s="8"/>
      <c r="I2183" s="8"/>
      <c r="J2183" s="8"/>
      <c r="K2183" s="8"/>
      <c r="L2183" s="8"/>
      <c r="M2183" s="8"/>
      <c r="N2183" s="8"/>
      <c r="O2183" s="8"/>
      <c r="P2183" s="8"/>
      <c r="Q2183" s="8"/>
      <c r="R2183" s="8"/>
      <c r="S2183" s="8"/>
      <c r="T2183" s="8"/>
      <c r="U2183" s="8"/>
      <c r="V2183" s="8"/>
      <c r="W2183" s="8"/>
    </row>
    <row r="2184" spans="1:23" ht="15.75" customHeight="1" x14ac:dyDescent="0.25">
      <c r="A2184" s="6" t="s">
        <v>192</v>
      </c>
      <c r="B2184" s="8"/>
      <c r="C2184" s="8"/>
      <c r="D2184" s="8"/>
      <c r="E2184" s="8"/>
      <c r="F2184" s="8"/>
      <c r="G2184" s="8"/>
      <c r="H2184" s="8"/>
      <c r="I2184" s="8"/>
      <c r="J2184" s="8"/>
      <c r="K2184" s="8"/>
      <c r="L2184" s="8"/>
      <c r="M2184" s="8"/>
      <c r="N2184" s="8"/>
      <c r="O2184" s="8"/>
      <c r="P2184" s="8"/>
      <c r="Q2184" s="8"/>
      <c r="R2184" s="8"/>
      <c r="S2184" s="8"/>
      <c r="T2184" s="8"/>
      <c r="U2184" s="8"/>
      <c r="V2184" s="8"/>
      <c r="W2184" s="8"/>
    </row>
    <row r="2185" spans="1:23" ht="15.75" customHeight="1" x14ac:dyDescent="0.25">
      <c r="A2185" s="6" t="s">
        <v>192</v>
      </c>
      <c r="B2185" s="8"/>
      <c r="C2185" s="8"/>
      <c r="D2185" s="8"/>
      <c r="E2185" s="8"/>
      <c r="F2185" s="8"/>
      <c r="G2185" s="8"/>
      <c r="H2185" s="8"/>
      <c r="I2185" s="8"/>
      <c r="J2185" s="8"/>
      <c r="K2185" s="8"/>
      <c r="L2185" s="8"/>
      <c r="M2185" s="8"/>
      <c r="N2185" s="8"/>
      <c r="O2185" s="8"/>
      <c r="P2185" s="8"/>
      <c r="Q2185" s="8"/>
      <c r="R2185" s="8"/>
      <c r="S2185" s="8"/>
      <c r="T2185" s="8"/>
      <c r="U2185" s="8"/>
      <c r="V2185" s="8"/>
      <c r="W2185" s="8"/>
    </row>
    <row r="2186" spans="1:23" ht="15.75" customHeight="1" x14ac:dyDescent="0.25">
      <c r="A2186" s="6" t="s">
        <v>192</v>
      </c>
      <c r="B2186" s="8"/>
      <c r="C2186" s="8"/>
      <c r="D2186" s="8"/>
      <c r="E2186" s="8"/>
      <c r="F2186" s="8"/>
      <c r="G2186" s="8"/>
      <c r="H2186" s="8"/>
      <c r="I2186" s="8"/>
      <c r="J2186" s="8"/>
      <c r="K2186" s="8"/>
      <c r="L2186" s="8"/>
      <c r="M2186" s="8"/>
      <c r="N2186" s="8"/>
      <c r="O2186" s="8"/>
      <c r="P2186" s="8"/>
      <c r="Q2186" s="8"/>
      <c r="R2186" s="8"/>
      <c r="S2186" s="8"/>
      <c r="T2186" s="8"/>
      <c r="U2186" s="8"/>
      <c r="V2186" s="8"/>
      <c r="W2186" s="8"/>
    </row>
    <row r="2187" spans="1:23" ht="15.75" customHeight="1" x14ac:dyDescent="0.25">
      <c r="A2187" s="6" t="s">
        <v>192</v>
      </c>
      <c r="B2187" s="8"/>
      <c r="C2187" s="8"/>
      <c r="D2187" s="8"/>
      <c r="E2187" s="8"/>
      <c r="F2187" s="8"/>
      <c r="G2187" s="8"/>
      <c r="H2187" s="8"/>
      <c r="I2187" s="8"/>
      <c r="J2187" s="8"/>
      <c r="K2187" s="8"/>
      <c r="L2187" s="8"/>
      <c r="M2187" s="8"/>
      <c r="N2187" s="8"/>
      <c r="O2187" s="8"/>
      <c r="P2187" s="8"/>
      <c r="Q2187" s="8"/>
      <c r="R2187" s="8"/>
      <c r="S2187" s="8"/>
      <c r="T2187" s="8"/>
      <c r="U2187" s="8"/>
      <c r="V2187" s="8"/>
      <c r="W2187" s="8"/>
    </row>
    <row r="2188" spans="1:23" ht="15.75" customHeight="1" x14ac:dyDescent="0.25">
      <c r="A2188" s="6" t="s">
        <v>192</v>
      </c>
      <c r="B2188" s="8"/>
      <c r="C2188" s="8"/>
      <c r="D2188" s="8"/>
      <c r="E2188" s="8"/>
      <c r="F2188" s="8"/>
      <c r="G2188" s="8"/>
      <c r="H2188" s="8"/>
      <c r="I2188" s="8"/>
      <c r="J2188" s="8"/>
      <c r="K2188" s="8"/>
      <c r="L2188" s="8"/>
      <c r="M2188" s="8"/>
      <c r="N2188" s="8"/>
      <c r="O2188" s="8"/>
      <c r="P2188" s="8"/>
      <c r="Q2188" s="8"/>
      <c r="R2188" s="8"/>
      <c r="S2188" s="8"/>
      <c r="T2188" s="8"/>
      <c r="U2188" s="8"/>
      <c r="V2188" s="8"/>
      <c r="W2188" s="8"/>
    </row>
    <row r="2189" spans="1:23" ht="15.75" customHeight="1" x14ac:dyDescent="0.25">
      <c r="A2189" s="6" t="s">
        <v>192</v>
      </c>
      <c r="B2189" s="8"/>
      <c r="C2189" s="8"/>
      <c r="D2189" s="8"/>
      <c r="E2189" s="8"/>
      <c r="F2189" s="8"/>
      <c r="G2189" s="8"/>
      <c r="H2189" s="8"/>
      <c r="I2189" s="8"/>
      <c r="J2189" s="8"/>
      <c r="K2189" s="8"/>
      <c r="L2189" s="8"/>
      <c r="M2189" s="8"/>
      <c r="N2189" s="8"/>
      <c r="O2189" s="8"/>
      <c r="P2189" s="8"/>
      <c r="Q2189" s="8"/>
      <c r="R2189" s="8"/>
      <c r="S2189" s="8"/>
      <c r="T2189" s="8"/>
      <c r="U2189" s="8"/>
      <c r="V2189" s="8"/>
      <c r="W2189" s="8"/>
    </row>
    <row r="2190" spans="1:23" ht="15.75" customHeight="1" x14ac:dyDescent="0.25">
      <c r="A2190" s="6" t="s">
        <v>192</v>
      </c>
      <c r="B2190" s="8"/>
      <c r="C2190" s="8"/>
      <c r="D2190" s="8"/>
      <c r="E2190" s="8"/>
      <c r="F2190" s="8"/>
      <c r="G2190" s="8"/>
      <c r="H2190" s="8"/>
      <c r="I2190" s="8"/>
      <c r="J2190" s="8"/>
      <c r="K2190" s="8"/>
      <c r="L2190" s="8"/>
      <c r="M2190" s="8"/>
      <c r="N2190" s="8"/>
      <c r="O2190" s="8"/>
      <c r="P2190" s="8"/>
      <c r="Q2190" s="8"/>
      <c r="R2190" s="8"/>
      <c r="S2190" s="8"/>
      <c r="T2190" s="8"/>
      <c r="U2190" s="8"/>
      <c r="V2190" s="8"/>
      <c r="W2190" s="8"/>
    </row>
    <row r="2191" spans="1:23" ht="15.75" customHeight="1" x14ac:dyDescent="0.25">
      <c r="A2191" s="6" t="s">
        <v>192</v>
      </c>
      <c r="B2191" s="8"/>
      <c r="C2191" s="8"/>
      <c r="D2191" s="8"/>
      <c r="E2191" s="8"/>
      <c r="F2191" s="8"/>
      <c r="G2191" s="8"/>
      <c r="H2191" s="8"/>
      <c r="I2191" s="8"/>
      <c r="J2191" s="8"/>
      <c r="K2191" s="8"/>
      <c r="L2191" s="8"/>
      <c r="M2191" s="8"/>
      <c r="N2191" s="8"/>
      <c r="O2191" s="8"/>
      <c r="P2191" s="8"/>
      <c r="Q2191" s="8"/>
      <c r="R2191" s="8"/>
      <c r="S2191" s="8"/>
      <c r="T2191" s="8"/>
      <c r="U2191" s="8"/>
      <c r="V2191" s="8"/>
      <c r="W2191" s="8"/>
    </row>
    <row r="2192" spans="1:23" ht="15.75" customHeight="1" x14ac:dyDescent="0.25">
      <c r="A2192" s="6" t="s">
        <v>192</v>
      </c>
      <c r="B2192" s="8"/>
      <c r="C2192" s="8"/>
      <c r="D2192" s="8"/>
      <c r="E2192" s="8"/>
      <c r="F2192" s="8"/>
      <c r="G2192" s="8"/>
      <c r="H2192" s="8"/>
      <c r="I2192" s="8"/>
      <c r="J2192" s="8"/>
      <c r="K2192" s="8"/>
      <c r="L2192" s="8"/>
      <c r="M2192" s="8"/>
      <c r="N2192" s="8"/>
      <c r="O2192" s="8"/>
      <c r="P2192" s="8"/>
      <c r="Q2192" s="8"/>
      <c r="R2192" s="8"/>
      <c r="S2192" s="8"/>
      <c r="T2192" s="8"/>
      <c r="U2192" s="8"/>
      <c r="V2192" s="8"/>
      <c r="W2192" s="8"/>
    </row>
    <row r="2193" spans="1:23" ht="15.75" customHeight="1" x14ac:dyDescent="0.25">
      <c r="A2193" s="6" t="s">
        <v>192</v>
      </c>
      <c r="B2193" s="8"/>
      <c r="C2193" s="8"/>
      <c r="D2193" s="8"/>
      <c r="E2193" s="8"/>
      <c r="F2193" s="8"/>
      <c r="G2193" s="8"/>
      <c r="H2193" s="8"/>
      <c r="I2193" s="8"/>
      <c r="J2193" s="8"/>
      <c r="K2193" s="8"/>
      <c r="L2193" s="8"/>
      <c r="M2193" s="8"/>
      <c r="N2193" s="8"/>
      <c r="O2193" s="8"/>
      <c r="P2193" s="8"/>
      <c r="Q2193" s="8"/>
      <c r="R2193" s="8"/>
      <c r="S2193" s="8"/>
      <c r="T2193" s="8"/>
      <c r="U2193" s="8"/>
      <c r="V2193" s="8"/>
      <c r="W2193" s="8"/>
    </row>
    <row r="2194" spans="1:23" ht="15.75" customHeight="1" x14ac:dyDescent="0.25">
      <c r="A2194" s="6" t="s">
        <v>192</v>
      </c>
      <c r="B2194" s="8"/>
      <c r="C2194" s="8"/>
      <c r="D2194" s="8"/>
      <c r="E2194" s="8"/>
      <c r="F2194" s="8"/>
      <c r="G2194" s="8"/>
      <c r="H2194" s="8"/>
      <c r="I2194" s="8"/>
      <c r="J2194" s="8"/>
      <c r="K2194" s="8"/>
      <c r="L2194" s="8"/>
      <c r="M2194" s="8"/>
      <c r="N2194" s="8"/>
      <c r="O2194" s="8"/>
      <c r="P2194" s="8"/>
      <c r="Q2194" s="8"/>
      <c r="R2194" s="8"/>
      <c r="S2194" s="8"/>
      <c r="T2194" s="8"/>
      <c r="U2194" s="8"/>
      <c r="V2194" s="8"/>
      <c r="W2194" s="8"/>
    </row>
    <row r="2195" spans="1:23" ht="15.75" customHeight="1" x14ac:dyDescent="0.25">
      <c r="A2195" s="6" t="s">
        <v>192</v>
      </c>
      <c r="B2195" s="8"/>
      <c r="C2195" s="8"/>
      <c r="D2195" s="8"/>
      <c r="E2195" s="8"/>
      <c r="F2195" s="8"/>
      <c r="G2195" s="8"/>
      <c r="H2195" s="8"/>
      <c r="I2195" s="8"/>
      <c r="J2195" s="8"/>
      <c r="K2195" s="8"/>
      <c r="L2195" s="8"/>
      <c r="M2195" s="8"/>
      <c r="N2195" s="8"/>
      <c r="O2195" s="8"/>
      <c r="P2195" s="8"/>
      <c r="Q2195" s="8"/>
      <c r="R2195" s="8"/>
      <c r="S2195" s="8"/>
      <c r="T2195" s="8"/>
      <c r="U2195" s="8"/>
      <c r="V2195" s="8"/>
      <c r="W2195" s="8"/>
    </row>
    <row r="2196" spans="1:23" ht="15.75" customHeight="1" x14ac:dyDescent="0.25">
      <c r="A2196" s="6" t="s">
        <v>192</v>
      </c>
      <c r="B2196" s="8"/>
      <c r="C2196" s="8"/>
      <c r="D2196" s="8"/>
      <c r="E2196" s="8"/>
      <c r="F2196" s="8"/>
      <c r="G2196" s="8"/>
      <c r="H2196" s="8"/>
      <c r="I2196" s="8"/>
      <c r="J2196" s="8"/>
      <c r="K2196" s="8"/>
      <c r="L2196" s="8"/>
      <c r="M2196" s="8"/>
      <c r="N2196" s="8"/>
      <c r="O2196" s="8"/>
      <c r="P2196" s="8"/>
      <c r="Q2196" s="8"/>
      <c r="R2196" s="8"/>
      <c r="S2196" s="8"/>
      <c r="T2196" s="8"/>
      <c r="U2196" s="8"/>
      <c r="V2196" s="8"/>
      <c r="W2196" s="8"/>
    </row>
    <row r="2197" spans="1:23" ht="15.75" customHeight="1" x14ac:dyDescent="0.25">
      <c r="A2197" s="6" t="s">
        <v>192</v>
      </c>
      <c r="B2197" s="8"/>
      <c r="C2197" s="8"/>
      <c r="D2197" s="8"/>
      <c r="E2197" s="8"/>
      <c r="F2197" s="8"/>
      <c r="G2197" s="8"/>
      <c r="H2197" s="8"/>
      <c r="I2197" s="8"/>
      <c r="J2197" s="8"/>
      <c r="K2197" s="8"/>
      <c r="L2197" s="8"/>
      <c r="M2197" s="8"/>
      <c r="N2197" s="8"/>
      <c r="O2197" s="8"/>
      <c r="P2197" s="8"/>
      <c r="Q2197" s="8"/>
      <c r="R2197" s="8"/>
      <c r="S2197" s="8"/>
      <c r="T2197" s="8"/>
      <c r="U2197" s="8"/>
      <c r="V2197" s="8"/>
      <c r="W2197" s="8"/>
    </row>
    <row r="2198" spans="1:23" ht="15.75" customHeight="1" x14ac:dyDescent="0.25">
      <c r="A2198" s="6" t="s">
        <v>192</v>
      </c>
      <c r="B2198" s="8"/>
      <c r="C2198" s="8"/>
      <c r="D2198" s="8"/>
      <c r="E2198" s="8"/>
      <c r="F2198" s="8"/>
      <c r="G2198" s="8"/>
      <c r="H2198" s="8"/>
      <c r="I2198" s="8"/>
      <c r="J2198" s="8"/>
      <c r="K2198" s="8"/>
      <c r="L2198" s="8"/>
      <c r="M2198" s="8"/>
      <c r="N2198" s="8"/>
      <c r="O2198" s="8"/>
      <c r="P2198" s="8"/>
      <c r="Q2198" s="8"/>
      <c r="R2198" s="8"/>
      <c r="S2198" s="8"/>
      <c r="T2198" s="8"/>
      <c r="U2198" s="8"/>
      <c r="V2198" s="8"/>
      <c r="W2198" s="8"/>
    </row>
    <row r="2199" spans="1:23" ht="15.75" customHeight="1" x14ac:dyDescent="0.25">
      <c r="A2199" s="6" t="s">
        <v>192</v>
      </c>
      <c r="B2199" s="8"/>
      <c r="C2199" s="8"/>
      <c r="D2199" s="8"/>
      <c r="E2199" s="8"/>
      <c r="F2199" s="8"/>
      <c r="G2199" s="8"/>
      <c r="H2199" s="8"/>
      <c r="I2199" s="8"/>
      <c r="J2199" s="8"/>
      <c r="K2199" s="8"/>
      <c r="L2199" s="8"/>
      <c r="M2199" s="8"/>
      <c r="N2199" s="8"/>
      <c r="O2199" s="8"/>
      <c r="P2199" s="8"/>
      <c r="Q2199" s="8"/>
      <c r="R2199" s="8"/>
      <c r="S2199" s="8"/>
      <c r="T2199" s="8"/>
      <c r="U2199" s="8"/>
      <c r="V2199" s="8"/>
      <c r="W2199" s="8"/>
    </row>
    <row r="2200" spans="1:23" ht="15.75" customHeight="1" x14ac:dyDescent="0.25">
      <c r="A2200" s="6" t="s">
        <v>192</v>
      </c>
      <c r="B2200" s="8"/>
      <c r="C2200" s="8"/>
      <c r="D2200" s="8"/>
      <c r="E2200" s="8"/>
      <c r="F2200" s="8"/>
      <c r="G2200" s="8"/>
      <c r="H2200" s="8"/>
      <c r="I2200" s="8"/>
      <c r="J2200" s="8"/>
      <c r="K2200" s="8"/>
      <c r="L2200" s="8"/>
      <c r="M2200" s="8"/>
      <c r="N2200" s="8"/>
      <c r="O2200" s="8"/>
      <c r="P2200" s="8"/>
      <c r="Q2200" s="8"/>
      <c r="R2200" s="8"/>
      <c r="S2200" s="8"/>
      <c r="T2200" s="8"/>
      <c r="U2200" s="8"/>
      <c r="V2200" s="8"/>
      <c r="W2200" s="8"/>
    </row>
    <row r="2201" spans="1:23" ht="15.75" customHeight="1" x14ac:dyDescent="0.25">
      <c r="A2201" s="6" t="s">
        <v>192</v>
      </c>
      <c r="B2201" s="8"/>
      <c r="C2201" s="8"/>
      <c r="D2201" s="8"/>
      <c r="E2201" s="8"/>
      <c r="F2201" s="8"/>
      <c r="G2201" s="8"/>
      <c r="H2201" s="8"/>
      <c r="I2201" s="8"/>
      <c r="J2201" s="8"/>
      <c r="K2201" s="8"/>
      <c r="L2201" s="8"/>
      <c r="M2201" s="8"/>
      <c r="N2201" s="8"/>
      <c r="O2201" s="8"/>
      <c r="P2201" s="8"/>
      <c r="Q2201" s="8"/>
      <c r="R2201" s="8"/>
      <c r="S2201" s="8"/>
      <c r="T2201" s="8"/>
      <c r="U2201" s="8"/>
      <c r="V2201" s="8"/>
      <c r="W2201" s="8"/>
    </row>
    <row r="2202" spans="1:23" ht="15.75" customHeight="1" x14ac:dyDescent="0.25">
      <c r="A2202" s="6" t="s">
        <v>192</v>
      </c>
      <c r="B2202" s="8"/>
      <c r="C2202" s="8"/>
      <c r="D2202" s="8"/>
      <c r="E2202" s="8"/>
      <c r="F2202" s="8"/>
      <c r="G2202" s="8"/>
      <c r="H2202" s="8"/>
      <c r="I2202" s="8"/>
      <c r="J2202" s="8"/>
      <c r="K2202" s="8"/>
      <c r="L2202" s="8"/>
      <c r="M2202" s="8"/>
      <c r="N2202" s="8"/>
      <c r="O2202" s="8"/>
      <c r="P2202" s="8"/>
      <c r="Q2202" s="8"/>
      <c r="R2202" s="8"/>
      <c r="S2202" s="8"/>
      <c r="T2202" s="8"/>
      <c r="U2202" s="8"/>
      <c r="V2202" s="8"/>
      <c r="W2202" s="8"/>
    </row>
    <row r="2203" spans="1:23" ht="15.75" customHeight="1" x14ac:dyDescent="0.25">
      <c r="A2203" s="6" t="s">
        <v>192</v>
      </c>
      <c r="B2203" s="8"/>
      <c r="C2203" s="8"/>
      <c r="D2203" s="8"/>
      <c r="E2203" s="8"/>
      <c r="F2203" s="8"/>
      <c r="G2203" s="8"/>
      <c r="H2203" s="8"/>
      <c r="I2203" s="8"/>
      <c r="J2203" s="8"/>
      <c r="K2203" s="8"/>
      <c r="L2203" s="8"/>
      <c r="M2203" s="8"/>
      <c r="N2203" s="8"/>
      <c r="O2203" s="8"/>
      <c r="P2203" s="8"/>
      <c r="Q2203" s="8"/>
      <c r="R2203" s="8"/>
      <c r="S2203" s="8"/>
      <c r="T2203" s="8"/>
      <c r="U2203" s="8"/>
      <c r="V2203" s="8"/>
      <c r="W2203" s="8"/>
    </row>
    <row r="2204" spans="1:23" ht="15.75" customHeight="1" x14ac:dyDescent="0.25">
      <c r="A2204" s="6" t="s">
        <v>192</v>
      </c>
      <c r="B2204" s="8"/>
      <c r="C2204" s="8"/>
      <c r="D2204" s="8"/>
      <c r="E2204" s="8"/>
      <c r="F2204" s="8"/>
      <c r="G2204" s="8"/>
      <c r="H2204" s="8"/>
      <c r="I2204" s="8"/>
      <c r="J2204" s="8"/>
      <c r="K2204" s="8"/>
      <c r="L2204" s="8"/>
      <c r="M2204" s="8"/>
      <c r="N2204" s="8"/>
      <c r="O2204" s="8"/>
      <c r="P2204" s="8"/>
      <c r="Q2204" s="8"/>
      <c r="R2204" s="8"/>
      <c r="S2204" s="8"/>
      <c r="T2204" s="8"/>
      <c r="U2204" s="8"/>
      <c r="V2204" s="8"/>
      <c r="W2204" s="8"/>
    </row>
    <row r="2205" spans="1:23" ht="15.75" customHeight="1" x14ac:dyDescent="0.25">
      <c r="A2205" s="6" t="s">
        <v>192</v>
      </c>
      <c r="B2205" s="8"/>
      <c r="C2205" s="8"/>
      <c r="D2205" s="8"/>
      <c r="E2205" s="8"/>
      <c r="F2205" s="8"/>
      <c r="G2205" s="8"/>
      <c r="H2205" s="8"/>
      <c r="I2205" s="8"/>
      <c r="J2205" s="8"/>
      <c r="K2205" s="8"/>
      <c r="L2205" s="8"/>
      <c r="M2205" s="8"/>
      <c r="N2205" s="8"/>
      <c r="O2205" s="8"/>
      <c r="P2205" s="8"/>
      <c r="Q2205" s="8"/>
      <c r="R2205" s="8"/>
      <c r="S2205" s="8"/>
      <c r="T2205" s="8"/>
      <c r="U2205" s="8"/>
      <c r="V2205" s="8"/>
      <c r="W2205" s="8"/>
    </row>
    <row r="2206" spans="1:23" ht="15.75" customHeight="1" x14ac:dyDescent="0.25">
      <c r="A2206" s="6" t="s">
        <v>192</v>
      </c>
      <c r="B2206" s="8"/>
      <c r="C2206" s="8"/>
      <c r="D2206" s="8"/>
      <c r="E2206" s="8"/>
      <c r="F2206" s="8"/>
      <c r="G2206" s="8"/>
      <c r="H2206" s="8"/>
      <c r="I2206" s="8"/>
      <c r="J2206" s="8"/>
      <c r="K2206" s="8"/>
      <c r="L2206" s="8"/>
      <c r="M2206" s="8"/>
      <c r="N2206" s="8"/>
      <c r="O2206" s="8"/>
      <c r="P2206" s="8"/>
      <c r="Q2206" s="8"/>
      <c r="R2206" s="8"/>
      <c r="S2206" s="8"/>
      <c r="T2206" s="8"/>
      <c r="U2206" s="8"/>
      <c r="V2206" s="8"/>
      <c r="W2206" s="8"/>
    </row>
    <row r="2207" spans="1:23" ht="15.75" customHeight="1" x14ac:dyDescent="0.25">
      <c r="A2207" s="6" t="s">
        <v>192</v>
      </c>
      <c r="B2207" s="8"/>
      <c r="C2207" s="8"/>
      <c r="D2207" s="8"/>
      <c r="E2207" s="8"/>
      <c r="F2207" s="8"/>
      <c r="G2207" s="8"/>
      <c r="H2207" s="8"/>
      <c r="I2207" s="8"/>
      <c r="J2207" s="8"/>
      <c r="K2207" s="8"/>
      <c r="L2207" s="8"/>
      <c r="M2207" s="8"/>
      <c r="N2207" s="8"/>
      <c r="O2207" s="8"/>
      <c r="P2207" s="8"/>
      <c r="Q2207" s="8"/>
      <c r="R2207" s="8"/>
      <c r="S2207" s="8"/>
      <c r="T2207" s="8"/>
      <c r="U2207" s="8"/>
      <c r="V2207" s="8"/>
      <c r="W2207" s="8"/>
    </row>
    <row r="2208" spans="1:23" ht="15.75" customHeight="1" x14ac:dyDescent="0.25">
      <c r="A2208" s="6" t="s">
        <v>192</v>
      </c>
      <c r="B2208" s="8"/>
      <c r="C2208" s="8"/>
      <c r="D2208" s="8"/>
      <c r="E2208" s="8"/>
      <c r="F2208" s="8"/>
      <c r="G2208" s="8"/>
      <c r="H2208" s="8"/>
      <c r="I2208" s="8"/>
      <c r="J2208" s="8"/>
      <c r="K2208" s="8"/>
      <c r="L2208" s="8"/>
      <c r="M2208" s="8"/>
      <c r="N2208" s="8"/>
      <c r="O2208" s="8"/>
      <c r="P2208" s="8"/>
      <c r="Q2208" s="8"/>
      <c r="R2208" s="8"/>
      <c r="S2208" s="8"/>
      <c r="T2208" s="8"/>
      <c r="U2208" s="8"/>
      <c r="V2208" s="8"/>
      <c r="W2208" s="8"/>
    </row>
    <row r="2209" spans="1:23" ht="15.75" customHeight="1" x14ac:dyDescent="0.25">
      <c r="A2209" s="6" t="s">
        <v>192</v>
      </c>
      <c r="B2209" s="8"/>
      <c r="C2209" s="8"/>
      <c r="D2209" s="8"/>
      <c r="E2209" s="8"/>
      <c r="F2209" s="8"/>
      <c r="G2209" s="8"/>
      <c r="H2209" s="8"/>
      <c r="I2209" s="8"/>
      <c r="J2209" s="8"/>
      <c r="K2209" s="8"/>
      <c r="L2209" s="8"/>
      <c r="M2209" s="8"/>
      <c r="N2209" s="8"/>
      <c r="O2209" s="8"/>
      <c r="P2209" s="8"/>
      <c r="Q2209" s="8"/>
      <c r="R2209" s="8"/>
      <c r="S2209" s="8"/>
      <c r="T2209" s="8"/>
      <c r="U2209" s="8"/>
      <c r="V2209" s="8"/>
      <c r="W2209" s="8"/>
    </row>
    <row r="2210" spans="1:23" ht="15.75" customHeight="1" x14ac:dyDescent="0.25">
      <c r="A2210" s="6" t="s">
        <v>192</v>
      </c>
      <c r="B2210" s="8"/>
      <c r="C2210" s="8"/>
      <c r="D2210" s="8"/>
      <c r="E2210" s="8"/>
      <c r="F2210" s="8"/>
      <c r="G2210" s="8"/>
      <c r="H2210" s="8"/>
      <c r="I2210" s="8"/>
      <c r="J2210" s="8"/>
      <c r="K2210" s="8"/>
      <c r="L2210" s="8"/>
      <c r="M2210" s="8"/>
      <c r="N2210" s="8"/>
      <c r="O2210" s="8"/>
      <c r="P2210" s="8"/>
      <c r="Q2210" s="8"/>
      <c r="R2210" s="8"/>
      <c r="S2210" s="8"/>
      <c r="T2210" s="8"/>
      <c r="U2210" s="8"/>
      <c r="V2210" s="8"/>
      <c r="W2210" s="8"/>
    </row>
    <row r="2211" spans="1:23" ht="15.75" customHeight="1" x14ac:dyDescent="0.25">
      <c r="A2211" s="6" t="s">
        <v>192</v>
      </c>
      <c r="B2211" s="8"/>
      <c r="C2211" s="8"/>
      <c r="D2211" s="8"/>
      <c r="E2211" s="8"/>
      <c r="F2211" s="8"/>
      <c r="G2211" s="8"/>
      <c r="H2211" s="8"/>
      <c r="I2211" s="8"/>
      <c r="J2211" s="8"/>
      <c r="K2211" s="8"/>
      <c r="L2211" s="8"/>
      <c r="M2211" s="8"/>
      <c r="N2211" s="8"/>
      <c r="O2211" s="8"/>
      <c r="P2211" s="8"/>
      <c r="Q2211" s="8"/>
      <c r="R2211" s="8"/>
      <c r="S2211" s="8"/>
      <c r="T2211" s="8"/>
      <c r="U2211" s="8"/>
      <c r="V2211" s="8"/>
      <c r="W2211" s="8"/>
    </row>
    <row r="2212" spans="1:23" ht="15.75" customHeight="1" x14ac:dyDescent="0.25">
      <c r="A2212" s="6" t="s">
        <v>192</v>
      </c>
      <c r="B2212" s="8"/>
      <c r="C2212" s="8"/>
      <c r="D2212" s="8"/>
      <c r="E2212" s="8"/>
      <c r="F2212" s="8"/>
      <c r="G2212" s="8"/>
      <c r="H2212" s="8"/>
      <c r="I2212" s="8"/>
      <c r="J2212" s="8"/>
      <c r="K2212" s="8"/>
      <c r="L2212" s="8"/>
      <c r="M2212" s="8"/>
      <c r="N2212" s="8"/>
      <c r="O2212" s="8"/>
      <c r="P2212" s="8"/>
      <c r="Q2212" s="8"/>
      <c r="R2212" s="8"/>
      <c r="S2212" s="8"/>
      <c r="T2212" s="8"/>
      <c r="U2212" s="8"/>
      <c r="V2212" s="8"/>
      <c r="W2212" s="8"/>
    </row>
    <row r="2213" spans="1:23" ht="15.75" customHeight="1" x14ac:dyDescent="0.25">
      <c r="A2213" s="6" t="s">
        <v>192</v>
      </c>
      <c r="B2213" s="8"/>
      <c r="C2213" s="8"/>
      <c r="D2213" s="8"/>
      <c r="E2213" s="8"/>
      <c r="F2213" s="8"/>
      <c r="G2213" s="8"/>
      <c r="H2213" s="8"/>
      <c r="I2213" s="8"/>
      <c r="J2213" s="8"/>
      <c r="K2213" s="8"/>
      <c r="L2213" s="8"/>
      <c r="M2213" s="8"/>
      <c r="N2213" s="8"/>
      <c r="O2213" s="8"/>
      <c r="P2213" s="8"/>
      <c r="Q2213" s="8"/>
      <c r="R2213" s="8"/>
      <c r="S2213" s="8"/>
      <c r="T2213" s="8"/>
      <c r="U2213" s="8"/>
      <c r="V2213" s="8"/>
      <c r="W2213" s="8"/>
    </row>
    <row r="2214" spans="1:23" ht="15.75" customHeight="1" x14ac:dyDescent="0.25">
      <c r="A2214" s="6" t="s">
        <v>192</v>
      </c>
      <c r="B2214" s="8"/>
      <c r="C2214" s="8"/>
      <c r="D2214" s="8"/>
      <c r="E2214" s="8"/>
      <c r="F2214" s="8"/>
      <c r="G2214" s="8"/>
      <c r="H2214" s="8"/>
      <c r="I2214" s="8"/>
      <c r="J2214" s="8"/>
      <c r="K2214" s="8"/>
      <c r="L2214" s="8"/>
      <c r="M2214" s="8"/>
      <c r="N2214" s="8"/>
      <c r="O2214" s="8"/>
      <c r="P2214" s="8"/>
      <c r="Q2214" s="8"/>
      <c r="R2214" s="8"/>
      <c r="S2214" s="8"/>
      <c r="T2214" s="8"/>
      <c r="U2214" s="8"/>
      <c r="V2214" s="8"/>
      <c r="W2214" s="8"/>
    </row>
    <row r="2215" spans="1:23" ht="15.75" customHeight="1" x14ac:dyDescent="0.25">
      <c r="A2215" s="6" t="s">
        <v>192</v>
      </c>
      <c r="B2215" s="8"/>
      <c r="C2215" s="8"/>
      <c r="D2215" s="8"/>
      <c r="E2215" s="8"/>
      <c r="F2215" s="8"/>
      <c r="G2215" s="8"/>
      <c r="H2215" s="8"/>
      <c r="I2215" s="8"/>
      <c r="J2215" s="8"/>
      <c r="K2215" s="8"/>
      <c r="L2215" s="8"/>
      <c r="M2215" s="8"/>
      <c r="N2215" s="8"/>
      <c r="O2215" s="8"/>
      <c r="P2215" s="8"/>
      <c r="Q2215" s="8"/>
      <c r="R2215" s="8"/>
      <c r="S2215" s="8"/>
      <c r="T2215" s="8"/>
      <c r="U2215" s="8"/>
      <c r="V2215" s="8"/>
      <c r="W2215" s="8"/>
    </row>
    <row r="2216" spans="1:23" ht="15.75" customHeight="1" x14ac:dyDescent="0.25">
      <c r="A2216" s="6" t="s">
        <v>192</v>
      </c>
      <c r="B2216" s="8"/>
      <c r="C2216" s="8"/>
      <c r="D2216" s="8"/>
      <c r="E2216" s="8"/>
      <c r="F2216" s="8"/>
      <c r="G2216" s="8"/>
      <c r="H2216" s="8"/>
      <c r="I2216" s="8"/>
      <c r="J2216" s="8"/>
      <c r="K2216" s="8"/>
      <c r="L2216" s="8"/>
      <c r="M2216" s="8"/>
      <c r="N2216" s="8"/>
      <c r="O2216" s="8"/>
      <c r="P2216" s="8"/>
      <c r="Q2216" s="8"/>
      <c r="R2216" s="8"/>
      <c r="S2216" s="8"/>
      <c r="T2216" s="8"/>
      <c r="U2216" s="8"/>
      <c r="V2216" s="8"/>
      <c r="W2216" s="8"/>
    </row>
    <row r="2217" spans="1:23" ht="15.75" customHeight="1" x14ac:dyDescent="0.25">
      <c r="A2217" s="6" t="s">
        <v>192</v>
      </c>
      <c r="B2217" s="8"/>
      <c r="C2217" s="8"/>
      <c r="D2217" s="8"/>
      <c r="E2217" s="8"/>
      <c r="F2217" s="8"/>
      <c r="G2217" s="8"/>
      <c r="H2217" s="8"/>
      <c r="I2217" s="8"/>
      <c r="J2217" s="8"/>
      <c r="K2217" s="8"/>
      <c r="L2217" s="8"/>
      <c r="M2217" s="8"/>
      <c r="N2217" s="8"/>
      <c r="O2217" s="8"/>
      <c r="P2217" s="8"/>
      <c r="Q2217" s="8"/>
      <c r="R2217" s="8"/>
      <c r="S2217" s="8"/>
      <c r="T2217" s="8"/>
      <c r="U2217" s="8"/>
      <c r="V2217" s="8"/>
      <c r="W2217" s="8"/>
    </row>
    <row r="2218" spans="1:23" ht="15.75" customHeight="1" x14ac:dyDescent="0.25">
      <c r="A2218" s="8" t="s">
        <v>192</v>
      </c>
      <c r="B2218" s="8"/>
      <c r="C2218" s="8"/>
      <c r="D2218" s="8"/>
      <c r="E2218" s="8"/>
      <c r="F2218" s="8"/>
      <c r="G2218" s="8"/>
      <c r="H2218" s="8"/>
      <c r="I2218" s="8"/>
      <c r="J2218" s="8"/>
      <c r="K2218" s="8"/>
      <c r="L2218" s="8"/>
      <c r="M2218" s="8"/>
      <c r="N2218" s="8"/>
      <c r="O2218" s="8"/>
      <c r="P2218" s="8"/>
      <c r="Q2218" s="8"/>
      <c r="R2218" s="8"/>
      <c r="S2218" s="8"/>
      <c r="T2218" s="8"/>
      <c r="U2218" s="8"/>
      <c r="V2218" s="8"/>
      <c r="W2218" s="8"/>
    </row>
    <row r="2219" spans="1:23" ht="15.75" customHeight="1" x14ac:dyDescent="0.25">
      <c r="A2219" s="6" t="s">
        <v>192</v>
      </c>
      <c r="B2219" s="8"/>
      <c r="C2219" s="8"/>
      <c r="D2219" s="8"/>
      <c r="E2219" s="8"/>
      <c r="F2219" s="8"/>
      <c r="G2219" s="8"/>
      <c r="H2219" s="8"/>
      <c r="I2219" s="8"/>
      <c r="J2219" s="8"/>
      <c r="K2219" s="8"/>
      <c r="L2219" s="8"/>
      <c r="M2219" s="8"/>
      <c r="N2219" s="8"/>
      <c r="O2219" s="8"/>
      <c r="P2219" s="8"/>
      <c r="Q2219" s="8"/>
      <c r="R2219" s="8"/>
      <c r="S2219" s="8"/>
      <c r="T2219" s="8"/>
      <c r="U2219" s="8"/>
      <c r="V2219" s="8"/>
      <c r="W2219" s="8"/>
    </row>
    <row r="2220" spans="1:23" ht="15.75" customHeight="1" x14ac:dyDescent="0.25">
      <c r="A2220" s="6" t="s">
        <v>192</v>
      </c>
      <c r="B2220" s="8"/>
      <c r="C2220" s="8"/>
      <c r="D2220" s="8"/>
      <c r="E2220" s="8"/>
      <c r="F2220" s="8"/>
      <c r="G2220" s="8"/>
      <c r="H2220" s="8"/>
      <c r="I2220" s="8"/>
      <c r="J2220" s="8"/>
      <c r="K2220" s="8"/>
      <c r="L2220" s="8"/>
      <c r="M2220" s="8"/>
      <c r="N2220" s="8"/>
      <c r="O2220" s="8"/>
      <c r="P2220" s="8"/>
      <c r="Q2220" s="8"/>
      <c r="R2220" s="8"/>
      <c r="S2220" s="8"/>
      <c r="T2220" s="8"/>
      <c r="U2220" s="8"/>
      <c r="V2220" s="8"/>
      <c r="W2220" s="8"/>
    </row>
    <row r="2221" spans="1:23" ht="15.75" customHeight="1" x14ac:dyDescent="0.25">
      <c r="A2221" s="6" t="s">
        <v>192</v>
      </c>
      <c r="B2221" s="8"/>
      <c r="C2221" s="8"/>
      <c r="D2221" s="8"/>
      <c r="E2221" s="8"/>
      <c r="F2221" s="8"/>
      <c r="G2221" s="8"/>
      <c r="H2221" s="8"/>
      <c r="I2221" s="8"/>
      <c r="J2221" s="8"/>
      <c r="K2221" s="8"/>
      <c r="L2221" s="8"/>
      <c r="M2221" s="8"/>
      <c r="N2221" s="8"/>
      <c r="O2221" s="8"/>
      <c r="P2221" s="8"/>
      <c r="Q2221" s="8"/>
      <c r="R2221" s="8"/>
      <c r="S2221" s="8"/>
      <c r="T2221" s="8"/>
      <c r="U2221" s="8"/>
      <c r="V2221" s="8"/>
      <c r="W2221" s="8"/>
    </row>
    <row r="2222" spans="1:23" ht="15.75" customHeight="1" x14ac:dyDescent="0.25">
      <c r="A2222" s="8" t="s">
        <v>192</v>
      </c>
      <c r="B2222" s="8"/>
      <c r="C2222" s="8"/>
      <c r="D2222" s="8"/>
      <c r="E2222" s="8"/>
      <c r="F2222" s="8"/>
      <c r="G2222" s="8"/>
      <c r="H2222" s="8"/>
      <c r="I2222" s="8"/>
      <c r="J2222" s="8"/>
      <c r="K2222" s="8"/>
      <c r="L2222" s="8"/>
      <c r="M2222" s="8"/>
      <c r="N2222" s="8"/>
      <c r="O2222" s="8"/>
      <c r="P2222" s="8"/>
      <c r="Q2222" s="8"/>
      <c r="R2222" s="8"/>
      <c r="S2222" s="8"/>
      <c r="T2222" s="8"/>
      <c r="U2222" s="8"/>
      <c r="V2222" s="8"/>
      <c r="W2222" s="8"/>
    </row>
    <row r="2223" spans="1:23" ht="15.75" customHeight="1" x14ac:dyDescent="0.25">
      <c r="A2223" s="6" t="s">
        <v>192</v>
      </c>
      <c r="B2223" s="8"/>
      <c r="C2223" s="8"/>
      <c r="D2223" s="8"/>
      <c r="E2223" s="8"/>
      <c r="F2223" s="8"/>
      <c r="G2223" s="8"/>
      <c r="H2223" s="8"/>
      <c r="I2223" s="8"/>
      <c r="J2223" s="8"/>
      <c r="K2223" s="8"/>
      <c r="L2223" s="8"/>
      <c r="M2223" s="8"/>
      <c r="N2223" s="8"/>
      <c r="O2223" s="8"/>
      <c r="P2223" s="8"/>
      <c r="Q2223" s="8"/>
      <c r="R2223" s="8"/>
      <c r="S2223" s="8"/>
      <c r="T2223" s="8"/>
      <c r="U2223" s="8"/>
      <c r="V2223" s="8"/>
      <c r="W2223" s="8"/>
    </row>
    <row r="2224" spans="1:23" ht="15.75" customHeight="1" x14ac:dyDescent="0.25">
      <c r="A2224" s="6" t="s">
        <v>192</v>
      </c>
      <c r="B2224" s="8"/>
      <c r="C2224" s="8"/>
      <c r="D2224" s="8"/>
      <c r="E2224" s="8"/>
      <c r="F2224" s="8"/>
      <c r="G2224" s="8"/>
      <c r="H2224" s="8"/>
      <c r="I2224" s="8"/>
      <c r="J2224" s="8"/>
      <c r="K2224" s="8"/>
      <c r="L2224" s="8"/>
      <c r="M2224" s="8"/>
      <c r="N2224" s="8"/>
      <c r="O2224" s="8"/>
      <c r="P2224" s="8"/>
      <c r="Q2224" s="8"/>
      <c r="R2224" s="8"/>
      <c r="S2224" s="8"/>
      <c r="T2224" s="8"/>
      <c r="U2224" s="8"/>
      <c r="V2224" s="8"/>
      <c r="W2224" s="8"/>
    </row>
    <row r="2225" spans="1:23" ht="15.75" customHeight="1" x14ac:dyDescent="0.25">
      <c r="A2225" s="6" t="s">
        <v>192</v>
      </c>
      <c r="B2225" s="8"/>
      <c r="C2225" s="8"/>
      <c r="D2225" s="8"/>
      <c r="E2225" s="8"/>
      <c r="F2225" s="8"/>
      <c r="G2225" s="8"/>
      <c r="H2225" s="8"/>
      <c r="I2225" s="8"/>
      <c r="J2225" s="8"/>
      <c r="K2225" s="8"/>
      <c r="L2225" s="8"/>
      <c r="M2225" s="8"/>
      <c r="N2225" s="8"/>
      <c r="O2225" s="8"/>
      <c r="P2225" s="8"/>
      <c r="Q2225" s="8"/>
      <c r="R2225" s="8"/>
      <c r="S2225" s="8"/>
      <c r="T2225" s="8"/>
      <c r="U2225" s="8"/>
      <c r="V2225" s="8"/>
      <c r="W2225" s="8"/>
    </row>
    <row r="2226" spans="1:23" ht="15.75" customHeight="1" x14ac:dyDescent="0.25">
      <c r="A2226" s="8" t="s">
        <v>192</v>
      </c>
      <c r="B2226" s="8"/>
      <c r="C2226" s="8"/>
      <c r="D2226" s="8"/>
      <c r="E2226" s="8"/>
      <c r="F2226" s="8"/>
      <c r="G2226" s="8"/>
      <c r="H2226" s="8"/>
      <c r="I2226" s="8"/>
      <c r="J2226" s="8"/>
      <c r="K2226" s="8"/>
      <c r="L2226" s="8"/>
      <c r="M2226" s="8"/>
      <c r="N2226" s="8"/>
      <c r="O2226" s="8"/>
      <c r="P2226" s="8"/>
      <c r="Q2226" s="8"/>
      <c r="R2226" s="8"/>
      <c r="S2226" s="8"/>
      <c r="T2226" s="8"/>
      <c r="U2226" s="8"/>
      <c r="V2226" s="8"/>
      <c r="W2226" s="8"/>
    </row>
    <row r="2227" spans="1:23" ht="15.75" customHeight="1" x14ac:dyDescent="0.25">
      <c r="A2227" s="6" t="s">
        <v>192</v>
      </c>
      <c r="B2227" s="8"/>
      <c r="C2227" s="8"/>
      <c r="D2227" s="8"/>
      <c r="E2227" s="8"/>
      <c r="F2227" s="8"/>
      <c r="G2227" s="8"/>
      <c r="H2227" s="8"/>
      <c r="I2227" s="8"/>
      <c r="J2227" s="8"/>
      <c r="K2227" s="8"/>
      <c r="L2227" s="8"/>
      <c r="M2227" s="8"/>
      <c r="N2227" s="8"/>
      <c r="O2227" s="8"/>
      <c r="P2227" s="8"/>
      <c r="Q2227" s="8"/>
      <c r="R2227" s="8"/>
      <c r="S2227" s="8"/>
      <c r="T2227" s="8"/>
      <c r="U2227" s="8"/>
      <c r="V2227" s="8"/>
      <c r="W2227" s="8"/>
    </row>
    <row r="2228" spans="1:23" ht="15.75" customHeight="1" x14ac:dyDescent="0.25">
      <c r="A2228" s="6" t="s">
        <v>192</v>
      </c>
      <c r="B2228" s="8"/>
      <c r="C2228" s="8"/>
      <c r="D2228" s="8"/>
      <c r="E2228" s="8"/>
      <c r="F2228" s="8"/>
      <c r="G2228" s="8"/>
      <c r="H2228" s="8"/>
      <c r="I2228" s="8"/>
      <c r="J2228" s="8"/>
      <c r="K2228" s="8"/>
      <c r="L2228" s="8"/>
      <c r="M2228" s="8"/>
      <c r="N2228" s="8"/>
      <c r="O2228" s="8"/>
      <c r="P2228" s="8"/>
      <c r="Q2228" s="8"/>
      <c r="R2228" s="8"/>
      <c r="S2228" s="8"/>
      <c r="T2228" s="8"/>
      <c r="U2228" s="8"/>
      <c r="V2228" s="8"/>
      <c r="W2228" s="8"/>
    </row>
    <row r="2229" spans="1:23" ht="15.75" customHeight="1" x14ac:dyDescent="0.25">
      <c r="A2229" s="6" t="s">
        <v>192</v>
      </c>
      <c r="B2229" s="8"/>
      <c r="C2229" s="8"/>
      <c r="D2229" s="8"/>
      <c r="E2229" s="8"/>
      <c r="F2229" s="8"/>
      <c r="G2229" s="8"/>
      <c r="H2229" s="8"/>
      <c r="I2229" s="8"/>
      <c r="J2229" s="8"/>
      <c r="K2229" s="8"/>
      <c r="L2229" s="8"/>
      <c r="M2229" s="8"/>
      <c r="N2229" s="8"/>
      <c r="O2229" s="8"/>
      <c r="P2229" s="8"/>
      <c r="Q2229" s="8"/>
      <c r="R2229" s="8"/>
      <c r="S2229" s="8"/>
      <c r="T2229" s="8"/>
      <c r="U2229" s="8"/>
      <c r="V2229" s="8"/>
      <c r="W2229" s="8"/>
    </row>
    <row r="2230" spans="1:23" ht="15.75" customHeight="1" x14ac:dyDescent="0.25">
      <c r="A2230" s="6" t="s">
        <v>192</v>
      </c>
      <c r="B2230" s="8"/>
      <c r="C2230" s="8"/>
      <c r="D2230" s="8"/>
      <c r="E2230" s="8"/>
      <c r="F2230" s="8"/>
      <c r="G2230" s="8"/>
      <c r="H2230" s="8"/>
      <c r="I2230" s="8"/>
      <c r="J2230" s="8"/>
      <c r="K2230" s="8"/>
      <c r="L2230" s="8"/>
      <c r="M2230" s="8"/>
      <c r="N2230" s="8"/>
      <c r="O2230" s="8"/>
      <c r="P2230" s="8"/>
      <c r="Q2230" s="8"/>
      <c r="R2230" s="8"/>
      <c r="S2230" s="8"/>
      <c r="T2230" s="8"/>
      <c r="U2230" s="8"/>
      <c r="V2230" s="8"/>
      <c r="W2230" s="8"/>
    </row>
    <row r="2231" spans="1:23" ht="15.75" customHeight="1" x14ac:dyDescent="0.25">
      <c r="A2231" s="6" t="s">
        <v>192</v>
      </c>
      <c r="B2231" s="8"/>
      <c r="C2231" s="8"/>
      <c r="D2231" s="8"/>
      <c r="E2231" s="8"/>
      <c r="F2231" s="8"/>
      <c r="G2231" s="8"/>
      <c r="H2231" s="8"/>
      <c r="I2231" s="8"/>
      <c r="J2231" s="8"/>
      <c r="K2231" s="8"/>
      <c r="L2231" s="8"/>
      <c r="M2231" s="8"/>
      <c r="N2231" s="8"/>
      <c r="O2231" s="8"/>
      <c r="P2231" s="8"/>
      <c r="Q2231" s="8"/>
      <c r="R2231" s="8"/>
      <c r="S2231" s="8"/>
      <c r="T2231" s="8"/>
      <c r="U2231" s="8"/>
      <c r="V2231" s="8"/>
      <c r="W2231" s="8"/>
    </row>
    <row r="2232" spans="1:23" ht="15.75" customHeight="1" x14ac:dyDescent="0.25">
      <c r="A2232" s="6" t="s">
        <v>192</v>
      </c>
      <c r="B2232" s="8"/>
      <c r="C2232" s="8"/>
      <c r="D2232" s="8"/>
      <c r="E2232" s="8"/>
      <c r="F2232" s="8"/>
      <c r="G2232" s="8"/>
      <c r="H2232" s="8"/>
      <c r="I2232" s="8"/>
      <c r="J2232" s="8"/>
      <c r="K2232" s="8"/>
      <c r="L2232" s="8"/>
      <c r="M2232" s="8"/>
      <c r="N2232" s="8"/>
      <c r="O2232" s="8"/>
      <c r="P2232" s="8"/>
      <c r="Q2232" s="8"/>
      <c r="R2232" s="8"/>
      <c r="S2232" s="8"/>
      <c r="T2232" s="8"/>
      <c r="U2232" s="8"/>
      <c r="V2232" s="8"/>
      <c r="W2232" s="8"/>
    </row>
    <row r="2233" spans="1:23" ht="15.75" customHeight="1" x14ac:dyDescent="0.25">
      <c r="A2233" s="8" t="s">
        <v>192</v>
      </c>
      <c r="B2233" s="8"/>
      <c r="C2233" s="8"/>
      <c r="D2233" s="8"/>
      <c r="E2233" s="8"/>
      <c r="F2233" s="8"/>
      <c r="G2233" s="8"/>
      <c r="H2233" s="8"/>
      <c r="I2233" s="8"/>
      <c r="J2233" s="8"/>
      <c r="K2233" s="8"/>
      <c r="L2233" s="8"/>
      <c r="M2233" s="8"/>
      <c r="N2233" s="8"/>
      <c r="O2233" s="8"/>
      <c r="P2233" s="8"/>
      <c r="Q2233" s="8"/>
      <c r="R2233" s="8"/>
      <c r="S2233" s="8"/>
      <c r="T2233" s="8"/>
      <c r="U2233" s="8"/>
      <c r="V2233" s="8"/>
      <c r="W2233" s="8"/>
    </row>
    <row r="2234" spans="1:23" ht="15.75" customHeight="1" x14ac:dyDescent="0.25">
      <c r="A2234" s="6" t="s">
        <v>192</v>
      </c>
      <c r="B2234" s="8"/>
      <c r="C2234" s="8"/>
      <c r="D2234" s="8"/>
      <c r="E2234" s="8"/>
      <c r="F2234" s="8"/>
      <c r="G2234" s="8"/>
      <c r="H2234" s="8"/>
      <c r="I2234" s="8"/>
      <c r="J2234" s="8"/>
      <c r="K2234" s="8"/>
      <c r="L2234" s="8"/>
      <c r="M2234" s="8"/>
      <c r="N2234" s="8"/>
      <c r="O2234" s="8"/>
      <c r="P2234" s="8"/>
      <c r="Q2234" s="8"/>
      <c r="R2234" s="8"/>
      <c r="S2234" s="8"/>
      <c r="T2234" s="8"/>
      <c r="U2234" s="8"/>
      <c r="V2234" s="8"/>
      <c r="W2234" s="8"/>
    </row>
    <row r="2235" spans="1:23" ht="15.75" customHeight="1" x14ac:dyDescent="0.25">
      <c r="A2235" s="6" t="s">
        <v>192</v>
      </c>
      <c r="B2235" s="8"/>
      <c r="C2235" s="8"/>
      <c r="D2235" s="8"/>
      <c r="E2235" s="8"/>
      <c r="F2235" s="8"/>
      <c r="G2235" s="8"/>
      <c r="H2235" s="8"/>
      <c r="I2235" s="8"/>
      <c r="J2235" s="8"/>
      <c r="K2235" s="8"/>
      <c r="L2235" s="8"/>
      <c r="M2235" s="8"/>
      <c r="N2235" s="8"/>
      <c r="O2235" s="8"/>
      <c r="P2235" s="8"/>
      <c r="Q2235" s="8"/>
      <c r="R2235" s="8"/>
      <c r="S2235" s="8"/>
      <c r="T2235" s="8"/>
      <c r="U2235" s="8"/>
      <c r="V2235" s="8"/>
      <c r="W2235" s="8"/>
    </row>
    <row r="2236" spans="1:23" ht="15.75" customHeight="1" x14ac:dyDescent="0.25">
      <c r="A2236" s="6" t="s">
        <v>192</v>
      </c>
      <c r="B2236" s="8"/>
      <c r="C2236" s="8"/>
      <c r="D2236" s="8"/>
      <c r="E2236" s="8"/>
      <c r="F2236" s="8"/>
      <c r="G2236" s="8"/>
      <c r="H2236" s="8"/>
      <c r="I2236" s="8"/>
      <c r="J2236" s="8"/>
      <c r="K2236" s="8"/>
      <c r="L2236" s="8"/>
      <c r="M2236" s="8"/>
      <c r="N2236" s="8"/>
      <c r="O2236" s="8"/>
      <c r="P2236" s="8"/>
      <c r="Q2236" s="8"/>
      <c r="R2236" s="8"/>
      <c r="S2236" s="8"/>
      <c r="T2236" s="8"/>
      <c r="U2236" s="8"/>
      <c r="V2236" s="8"/>
      <c r="W2236" s="8"/>
    </row>
    <row r="2237" spans="1:23" ht="15.75" customHeight="1" x14ac:dyDescent="0.25">
      <c r="A2237" s="6" t="s">
        <v>192</v>
      </c>
      <c r="B2237" s="8"/>
      <c r="C2237" s="8"/>
      <c r="D2237" s="8"/>
      <c r="E2237" s="8"/>
      <c r="F2237" s="8"/>
      <c r="G2237" s="8"/>
      <c r="H2237" s="8"/>
      <c r="I2237" s="8"/>
      <c r="J2237" s="8"/>
      <c r="K2237" s="8"/>
      <c r="L2237" s="8"/>
      <c r="M2237" s="8"/>
      <c r="N2237" s="8"/>
      <c r="O2237" s="8"/>
      <c r="P2237" s="8"/>
      <c r="Q2237" s="8"/>
      <c r="R2237" s="8"/>
      <c r="S2237" s="8"/>
      <c r="T2237" s="8"/>
      <c r="U2237" s="8"/>
      <c r="V2237" s="8"/>
      <c r="W2237" s="8"/>
    </row>
    <row r="2238" spans="1:23" ht="15.75" customHeight="1" x14ac:dyDescent="0.25">
      <c r="A2238" s="6" t="s">
        <v>192</v>
      </c>
      <c r="B2238" s="8"/>
      <c r="C2238" s="8"/>
      <c r="D2238" s="8"/>
      <c r="E2238" s="8"/>
      <c r="F2238" s="8"/>
      <c r="G2238" s="8"/>
      <c r="H2238" s="8"/>
      <c r="I2238" s="8"/>
      <c r="J2238" s="8"/>
      <c r="K2238" s="8"/>
      <c r="L2238" s="8"/>
      <c r="M2238" s="8"/>
      <c r="N2238" s="8"/>
      <c r="O2238" s="8"/>
      <c r="P2238" s="8"/>
      <c r="Q2238" s="8"/>
      <c r="R2238" s="8"/>
      <c r="S2238" s="8"/>
      <c r="T2238" s="8"/>
      <c r="U2238" s="8"/>
      <c r="V2238" s="8"/>
      <c r="W2238" s="8"/>
    </row>
    <row r="2239" spans="1:23" ht="15.75" customHeight="1" x14ac:dyDescent="0.25">
      <c r="A2239" s="6" t="s">
        <v>192</v>
      </c>
      <c r="B2239" s="8"/>
      <c r="C2239" s="8"/>
      <c r="D2239" s="8"/>
      <c r="E2239" s="8"/>
      <c r="F2239" s="8"/>
      <c r="G2239" s="8"/>
      <c r="H2239" s="8"/>
      <c r="I2239" s="8"/>
      <c r="J2239" s="8"/>
      <c r="K2239" s="8"/>
      <c r="L2239" s="8"/>
      <c r="M2239" s="8"/>
      <c r="N2239" s="8"/>
      <c r="O2239" s="8"/>
      <c r="P2239" s="8"/>
      <c r="Q2239" s="8"/>
      <c r="R2239" s="8"/>
      <c r="S2239" s="8"/>
      <c r="T2239" s="8"/>
      <c r="U2239" s="8"/>
      <c r="V2239" s="8"/>
      <c r="W2239" s="8"/>
    </row>
    <row r="2240" spans="1:23" ht="15.75" customHeight="1" x14ac:dyDescent="0.25">
      <c r="A2240" s="6" t="s">
        <v>192</v>
      </c>
      <c r="B2240" s="8"/>
      <c r="C2240" s="8"/>
      <c r="D2240" s="8"/>
      <c r="E2240" s="8"/>
      <c r="F2240" s="8"/>
      <c r="G2240" s="8"/>
      <c r="H2240" s="8"/>
      <c r="I2240" s="8"/>
      <c r="J2240" s="8"/>
      <c r="K2240" s="8"/>
      <c r="L2240" s="8"/>
      <c r="M2240" s="8"/>
      <c r="N2240" s="8"/>
      <c r="O2240" s="8"/>
      <c r="P2240" s="8"/>
      <c r="Q2240" s="8"/>
      <c r="R2240" s="8"/>
      <c r="S2240" s="8"/>
      <c r="T2240" s="8"/>
      <c r="U2240" s="8"/>
      <c r="V2240" s="8"/>
      <c r="W2240" s="8"/>
    </row>
    <row r="2241" spans="1:23" ht="15.75" customHeight="1" x14ac:dyDescent="0.25">
      <c r="A2241" s="6" t="s">
        <v>192</v>
      </c>
      <c r="B2241" s="8"/>
      <c r="C2241" s="8"/>
      <c r="D2241" s="8"/>
      <c r="E2241" s="8"/>
      <c r="F2241" s="8"/>
      <c r="G2241" s="8"/>
      <c r="H2241" s="8"/>
      <c r="I2241" s="8"/>
      <c r="J2241" s="8"/>
      <c r="K2241" s="8"/>
      <c r="L2241" s="8"/>
      <c r="M2241" s="8"/>
      <c r="N2241" s="8"/>
      <c r="O2241" s="8"/>
      <c r="P2241" s="8"/>
      <c r="Q2241" s="8"/>
      <c r="R2241" s="8"/>
      <c r="S2241" s="8"/>
      <c r="T2241" s="8"/>
      <c r="U2241" s="8"/>
      <c r="V2241" s="8"/>
      <c r="W2241" s="8"/>
    </row>
    <row r="2242" spans="1:23" ht="15.75" customHeight="1" x14ac:dyDescent="0.25">
      <c r="A2242" s="6" t="s">
        <v>192</v>
      </c>
      <c r="B2242" s="8"/>
      <c r="C2242" s="8"/>
      <c r="D2242" s="8"/>
      <c r="E2242" s="8"/>
      <c r="F2242" s="8"/>
      <c r="G2242" s="8"/>
      <c r="H2242" s="8"/>
      <c r="I2242" s="8"/>
      <c r="J2242" s="8"/>
      <c r="K2242" s="8"/>
      <c r="L2242" s="8"/>
      <c r="M2242" s="8"/>
      <c r="N2242" s="8"/>
      <c r="O2242" s="8"/>
      <c r="P2242" s="8"/>
      <c r="Q2242" s="8"/>
      <c r="R2242" s="8"/>
      <c r="S2242" s="8"/>
      <c r="T2242" s="8"/>
      <c r="U2242" s="8"/>
      <c r="V2242" s="8"/>
      <c r="W2242" s="8"/>
    </row>
    <row r="2243" spans="1:23" ht="15.75" customHeight="1" x14ac:dyDescent="0.25">
      <c r="A2243" s="6" t="s">
        <v>192</v>
      </c>
      <c r="B2243" s="8"/>
      <c r="C2243" s="8"/>
      <c r="D2243" s="8"/>
      <c r="E2243" s="8"/>
      <c r="F2243" s="8"/>
      <c r="G2243" s="8"/>
      <c r="H2243" s="8"/>
      <c r="I2243" s="8"/>
      <c r="J2243" s="8"/>
      <c r="K2243" s="8"/>
      <c r="L2243" s="8"/>
      <c r="M2243" s="8"/>
      <c r="N2243" s="8"/>
      <c r="O2243" s="8"/>
      <c r="P2243" s="8"/>
      <c r="Q2243" s="8"/>
      <c r="R2243" s="8"/>
      <c r="S2243" s="8"/>
      <c r="T2243" s="8"/>
      <c r="U2243" s="8"/>
      <c r="V2243" s="8"/>
      <c r="W2243" s="8"/>
    </row>
    <row r="2244" spans="1:23" ht="15.75" customHeight="1" x14ac:dyDescent="0.25">
      <c r="A2244" s="6" t="s">
        <v>192</v>
      </c>
      <c r="B2244" s="8"/>
      <c r="C2244" s="8"/>
      <c r="D2244" s="8"/>
      <c r="E2244" s="8"/>
      <c r="F2244" s="8"/>
      <c r="G2244" s="8"/>
      <c r="H2244" s="8"/>
      <c r="I2244" s="8"/>
      <c r="J2244" s="8"/>
      <c r="K2244" s="8"/>
      <c r="L2244" s="8"/>
      <c r="M2244" s="8"/>
      <c r="N2244" s="8"/>
      <c r="O2244" s="8"/>
      <c r="P2244" s="8"/>
      <c r="Q2244" s="8"/>
      <c r="R2244" s="8"/>
      <c r="S2244" s="8"/>
      <c r="T2244" s="8"/>
      <c r="U2244" s="8"/>
      <c r="V2244" s="8"/>
      <c r="W2244" s="8"/>
    </row>
    <row r="2245" spans="1:23" ht="15.75" customHeight="1" x14ac:dyDescent="0.25">
      <c r="A2245" s="6" t="s">
        <v>192</v>
      </c>
      <c r="B2245" s="8"/>
      <c r="C2245" s="8"/>
      <c r="D2245" s="8"/>
      <c r="E2245" s="8"/>
      <c r="F2245" s="8"/>
      <c r="G2245" s="8"/>
      <c r="H2245" s="8"/>
      <c r="I2245" s="8"/>
      <c r="J2245" s="8"/>
      <c r="K2245" s="8"/>
      <c r="L2245" s="8"/>
      <c r="M2245" s="8"/>
      <c r="N2245" s="8"/>
      <c r="O2245" s="8"/>
      <c r="P2245" s="8"/>
      <c r="Q2245" s="8"/>
      <c r="R2245" s="8"/>
      <c r="S2245" s="8"/>
      <c r="T2245" s="8"/>
      <c r="U2245" s="8"/>
      <c r="V2245" s="8"/>
      <c r="W2245" s="8"/>
    </row>
    <row r="2246" spans="1:23" ht="15.75" customHeight="1" x14ac:dyDescent="0.25">
      <c r="A2246" s="6" t="s">
        <v>192</v>
      </c>
      <c r="B2246" s="8"/>
      <c r="C2246" s="8"/>
      <c r="D2246" s="8"/>
      <c r="E2246" s="8"/>
      <c r="F2246" s="8"/>
      <c r="G2246" s="8"/>
      <c r="H2246" s="8"/>
      <c r="I2246" s="8"/>
      <c r="J2246" s="8"/>
      <c r="K2246" s="8"/>
      <c r="L2246" s="8"/>
      <c r="M2246" s="8"/>
      <c r="N2246" s="8"/>
      <c r="O2246" s="8"/>
      <c r="P2246" s="8"/>
      <c r="Q2246" s="8"/>
      <c r="R2246" s="8"/>
      <c r="S2246" s="8"/>
      <c r="T2246" s="8"/>
      <c r="U2246" s="8"/>
      <c r="V2246" s="8"/>
      <c r="W2246" s="8"/>
    </row>
    <row r="2247" spans="1:23" ht="15.75" customHeight="1" x14ac:dyDescent="0.25">
      <c r="A2247" s="6" t="s">
        <v>192</v>
      </c>
      <c r="B2247" s="8"/>
      <c r="C2247" s="8"/>
      <c r="D2247" s="8"/>
      <c r="E2247" s="8"/>
      <c r="F2247" s="8"/>
      <c r="G2247" s="8"/>
      <c r="H2247" s="8"/>
      <c r="I2247" s="8"/>
      <c r="J2247" s="8"/>
      <c r="K2247" s="8"/>
      <c r="L2247" s="8"/>
      <c r="M2247" s="8"/>
      <c r="N2247" s="8"/>
      <c r="O2247" s="8"/>
      <c r="P2247" s="8"/>
      <c r="Q2247" s="8"/>
      <c r="R2247" s="8"/>
      <c r="S2247" s="8"/>
      <c r="T2247" s="8"/>
      <c r="U2247" s="8"/>
      <c r="V2247" s="8"/>
      <c r="W2247" s="8"/>
    </row>
    <row r="2248" spans="1:23" ht="15.75" customHeight="1" x14ac:dyDescent="0.25">
      <c r="A2248" s="6" t="s">
        <v>192</v>
      </c>
      <c r="B2248" s="8"/>
      <c r="C2248" s="8"/>
      <c r="D2248" s="8"/>
      <c r="E2248" s="8"/>
      <c r="F2248" s="8"/>
      <c r="G2248" s="8"/>
      <c r="H2248" s="8"/>
      <c r="I2248" s="8"/>
      <c r="J2248" s="8"/>
      <c r="K2248" s="8"/>
      <c r="L2248" s="8"/>
      <c r="M2248" s="8"/>
      <c r="N2248" s="8"/>
      <c r="O2248" s="8"/>
      <c r="P2248" s="8"/>
      <c r="Q2248" s="8"/>
      <c r="R2248" s="8"/>
      <c r="S2248" s="8"/>
      <c r="T2248" s="8"/>
      <c r="U2248" s="8"/>
      <c r="V2248" s="8"/>
      <c r="W2248" s="8"/>
    </row>
    <row r="2249" spans="1:23" ht="15.75" customHeight="1" x14ac:dyDescent="0.25">
      <c r="A2249" s="6" t="s">
        <v>192</v>
      </c>
      <c r="B2249" s="8"/>
      <c r="C2249" s="8"/>
      <c r="D2249" s="8"/>
      <c r="E2249" s="8"/>
      <c r="F2249" s="8"/>
      <c r="G2249" s="8"/>
      <c r="H2249" s="8"/>
      <c r="I2249" s="8"/>
      <c r="J2249" s="8"/>
      <c r="K2249" s="8"/>
      <c r="L2249" s="8"/>
      <c r="M2249" s="8"/>
      <c r="N2249" s="8"/>
      <c r="O2249" s="8"/>
      <c r="P2249" s="8"/>
      <c r="Q2249" s="8"/>
      <c r="R2249" s="8"/>
      <c r="S2249" s="8"/>
      <c r="T2249" s="8"/>
      <c r="U2249" s="8"/>
      <c r="V2249" s="8"/>
      <c r="W2249" s="8"/>
    </row>
    <row r="2250" spans="1:23" ht="15.75" customHeight="1" x14ac:dyDescent="0.25">
      <c r="A2250" s="8" t="s">
        <v>192</v>
      </c>
      <c r="B2250" s="8"/>
      <c r="C2250" s="8"/>
      <c r="D2250" s="8"/>
      <c r="E2250" s="8"/>
      <c r="F2250" s="8"/>
      <c r="G2250" s="8"/>
      <c r="H2250" s="8"/>
      <c r="I2250" s="8"/>
      <c r="J2250" s="8"/>
      <c r="K2250" s="8"/>
      <c r="L2250" s="8"/>
      <c r="M2250" s="8"/>
      <c r="N2250" s="8"/>
      <c r="O2250" s="8"/>
      <c r="P2250" s="8"/>
      <c r="Q2250" s="8"/>
      <c r="R2250" s="8"/>
      <c r="S2250" s="8"/>
      <c r="T2250" s="8"/>
      <c r="U2250" s="8"/>
      <c r="V2250" s="8"/>
      <c r="W2250" s="8"/>
    </row>
    <row r="2251" spans="1:23" ht="15.75" customHeight="1" x14ac:dyDescent="0.25">
      <c r="A2251" s="6" t="s">
        <v>192</v>
      </c>
      <c r="B2251" s="8"/>
      <c r="C2251" s="8"/>
      <c r="D2251" s="8"/>
      <c r="E2251" s="8"/>
      <c r="F2251" s="8"/>
      <c r="G2251" s="8"/>
      <c r="H2251" s="8"/>
      <c r="I2251" s="8"/>
      <c r="J2251" s="8"/>
      <c r="K2251" s="8"/>
      <c r="L2251" s="8"/>
      <c r="M2251" s="8"/>
      <c r="N2251" s="8"/>
      <c r="O2251" s="8"/>
      <c r="P2251" s="8"/>
      <c r="Q2251" s="8"/>
      <c r="R2251" s="8"/>
      <c r="S2251" s="8"/>
      <c r="T2251" s="8"/>
      <c r="U2251" s="8"/>
      <c r="V2251" s="8"/>
      <c r="W2251" s="8"/>
    </row>
    <row r="2252" spans="1:23" ht="15.75" customHeight="1" x14ac:dyDescent="0.25">
      <c r="A2252" s="6" t="s">
        <v>192</v>
      </c>
      <c r="B2252" s="8"/>
      <c r="C2252" s="8"/>
      <c r="D2252" s="8"/>
      <c r="E2252" s="8"/>
      <c r="F2252" s="8"/>
      <c r="G2252" s="8"/>
      <c r="H2252" s="8"/>
      <c r="I2252" s="8"/>
      <c r="J2252" s="8"/>
      <c r="K2252" s="8"/>
      <c r="L2252" s="8"/>
      <c r="M2252" s="8"/>
      <c r="N2252" s="8"/>
      <c r="O2252" s="8"/>
      <c r="P2252" s="8"/>
      <c r="Q2252" s="8"/>
      <c r="R2252" s="8"/>
      <c r="S2252" s="8"/>
      <c r="T2252" s="8"/>
      <c r="U2252" s="8"/>
      <c r="V2252" s="8"/>
      <c r="W2252" s="8"/>
    </row>
    <row r="2253" spans="1:23" ht="15.75" customHeight="1" x14ac:dyDescent="0.25">
      <c r="A2253" s="6" t="s">
        <v>192</v>
      </c>
      <c r="B2253" s="8"/>
      <c r="C2253" s="8"/>
      <c r="D2253" s="8"/>
      <c r="E2253" s="8"/>
      <c r="F2253" s="8"/>
      <c r="G2253" s="8"/>
      <c r="H2253" s="8"/>
      <c r="I2253" s="8"/>
      <c r="J2253" s="8"/>
      <c r="K2253" s="8"/>
      <c r="L2253" s="8"/>
      <c r="M2253" s="8"/>
      <c r="N2253" s="8"/>
      <c r="O2253" s="8"/>
      <c r="P2253" s="8"/>
      <c r="Q2253" s="8"/>
      <c r="R2253" s="8"/>
      <c r="S2253" s="8"/>
      <c r="T2253" s="8"/>
      <c r="U2253" s="8"/>
      <c r="V2253" s="8"/>
      <c r="W2253" s="8"/>
    </row>
    <row r="2254" spans="1:23" ht="15.75" customHeight="1" x14ac:dyDescent="0.25">
      <c r="A2254" s="6" t="s">
        <v>192</v>
      </c>
      <c r="B2254" s="8"/>
      <c r="C2254" s="8"/>
      <c r="D2254" s="8"/>
      <c r="E2254" s="8"/>
      <c r="F2254" s="8"/>
      <c r="G2254" s="8"/>
      <c r="H2254" s="8"/>
      <c r="I2254" s="8"/>
      <c r="J2254" s="8"/>
      <c r="K2254" s="8"/>
      <c r="L2254" s="8"/>
      <c r="M2254" s="8"/>
      <c r="N2254" s="8"/>
      <c r="O2254" s="8"/>
      <c r="P2254" s="8"/>
      <c r="Q2254" s="8"/>
      <c r="R2254" s="8"/>
      <c r="S2254" s="8"/>
      <c r="T2254" s="8"/>
      <c r="U2254" s="8"/>
      <c r="V2254" s="8"/>
      <c r="W2254" s="8"/>
    </row>
    <row r="2255" spans="1:23" ht="15.75" customHeight="1" x14ac:dyDescent="0.25">
      <c r="A2255" s="6" t="s">
        <v>192</v>
      </c>
      <c r="B2255" s="8"/>
      <c r="C2255" s="8"/>
      <c r="D2255" s="8"/>
      <c r="E2255" s="8"/>
      <c r="F2255" s="8"/>
      <c r="G2255" s="8"/>
      <c r="H2255" s="8"/>
      <c r="I2255" s="8"/>
      <c r="J2255" s="8"/>
      <c r="K2255" s="8"/>
      <c r="L2255" s="8"/>
      <c r="M2255" s="8"/>
      <c r="N2255" s="8"/>
      <c r="O2255" s="8"/>
      <c r="P2255" s="8"/>
      <c r="Q2255" s="8"/>
      <c r="R2255" s="8"/>
      <c r="S2255" s="8"/>
      <c r="T2255" s="8"/>
      <c r="U2255" s="8"/>
      <c r="V2255" s="8"/>
      <c r="W2255" s="8"/>
    </row>
    <row r="2256" spans="1:23" ht="15.75" customHeight="1" x14ac:dyDescent="0.25">
      <c r="A2256" s="6" t="s">
        <v>192</v>
      </c>
      <c r="B2256" s="8"/>
      <c r="C2256" s="8"/>
      <c r="D2256" s="8"/>
      <c r="E2256" s="8"/>
      <c r="F2256" s="8"/>
      <c r="G2256" s="8"/>
      <c r="H2256" s="8"/>
      <c r="I2256" s="8"/>
      <c r="J2256" s="8"/>
      <c r="K2256" s="8"/>
      <c r="L2256" s="8"/>
      <c r="M2256" s="8"/>
      <c r="N2256" s="8"/>
      <c r="O2256" s="8"/>
      <c r="P2256" s="8"/>
      <c r="Q2256" s="8"/>
      <c r="R2256" s="8"/>
      <c r="S2256" s="8"/>
      <c r="T2256" s="8"/>
      <c r="U2256" s="8"/>
      <c r="V2256" s="8"/>
      <c r="W2256" s="8"/>
    </row>
    <row r="2257" spans="1:23" ht="15.75" customHeight="1" x14ac:dyDescent="0.25">
      <c r="A2257" s="6" t="s">
        <v>192</v>
      </c>
      <c r="B2257" s="8"/>
      <c r="C2257" s="8"/>
      <c r="D2257" s="8"/>
      <c r="E2257" s="8"/>
      <c r="F2257" s="8"/>
      <c r="G2257" s="8"/>
      <c r="H2257" s="8"/>
      <c r="I2257" s="8"/>
      <c r="J2257" s="8"/>
      <c r="K2257" s="8"/>
      <c r="L2257" s="8"/>
      <c r="M2257" s="8"/>
      <c r="N2257" s="8"/>
      <c r="O2257" s="8"/>
      <c r="P2257" s="8"/>
      <c r="Q2257" s="8"/>
      <c r="R2257" s="8"/>
      <c r="S2257" s="8"/>
      <c r="T2257" s="8"/>
      <c r="U2257" s="8"/>
      <c r="V2257" s="8"/>
      <c r="W2257" s="8"/>
    </row>
    <row r="2258" spans="1:23" ht="15.75" customHeight="1" x14ac:dyDescent="0.25">
      <c r="A2258" s="6" t="s">
        <v>192</v>
      </c>
      <c r="B2258" s="8"/>
      <c r="C2258" s="8"/>
      <c r="D2258" s="8"/>
      <c r="E2258" s="8"/>
      <c r="F2258" s="8"/>
      <c r="G2258" s="8"/>
      <c r="H2258" s="8"/>
      <c r="I2258" s="8"/>
      <c r="J2258" s="8"/>
      <c r="K2258" s="8"/>
      <c r="L2258" s="8"/>
      <c r="M2258" s="8"/>
      <c r="N2258" s="8"/>
      <c r="O2258" s="8"/>
      <c r="P2258" s="8"/>
      <c r="Q2258" s="8"/>
      <c r="R2258" s="8"/>
      <c r="S2258" s="8"/>
      <c r="T2258" s="8"/>
      <c r="U2258" s="8"/>
      <c r="V2258" s="8"/>
      <c r="W2258" s="8"/>
    </row>
    <row r="2259" spans="1:23" ht="15.75" customHeight="1" x14ac:dyDescent="0.25">
      <c r="A2259" s="6" t="s">
        <v>192</v>
      </c>
      <c r="B2259" s="8"/>
      <c r="C2259" s="8"/>
      <c r="D2259" s="8"/>
      <c r="E2259" s="8"/>
      <c r="F2259" s="8"/>
      <c r="G2259" s="8"/>
      <c r="H2259" s="8"/>
      <c r="I2259" s="8"/>
      <c r="J2259" s="8"/>
      <c r="K2259" s="8"/>
      <c r="L2259" s="8"/>
      <c r="M2259" s="8"/>
      <c r="N2259" s="8"/>
      <c r="O2259" s="8"/>
      <c r="P2259" s="8"/>
      <c r="Q2259" s="8"/>
      <c r="R2259" s="8"/>
      <c r="S2259" s="8"/>
      <c r="T2259" s="8"/>
      <c r="U2259" s="8"/>
      <c r="V2259" s="8"/>
      <c r="W2259" s="8"/>
    </row>
    <row r="2260" spans="1:23" ht="15.75" customHeight="1" x14ac:dyDescent="0.25">
      <c r="A2260" s="6" t="s">
        <v>192</v>
      </c>
      <c r="B2260" s="8"/>
      <c r="C2260" s="8"/>
      <c r="D2260" s="8"/>
      <c r="E2260" s="8"/>
      <c r="F2260" s="8"/>
      <c r="G2260" s="8"/>
      <c r="H2260" s="8"/>
      <c r="I2260" s="8"/>
      <c r="J2260" s="8"/>
      <c r="K2260" s="8"/>
      <c r="L2260" s="8"/>
      <c r="M2260" s="8"/>
      <c r="N2260" s="8"/>
      <c r="O2260" s="8"/>
      <c r="P2260" s="8"/>
      <c r="Q2260" s="8"/>
      <c r="R2260" s="8"/>
      <c r="S2260" s="8"/>
      <c r="T2260" s="8"/>
      <c r="U2260" s="8"/>
      <c r="V2260" s="8"/>
      <c r="W2260" s="8"/>
    </row>
    <row r="2261" spans="1:23" ht="15.75" customHeight="1" x14ac:dyDescent="0.25">
      <c r="A2261" s="6" t="s">
        <v>192</v>
      </c>
      <c r="B2261" s="8"/>
      <c r="C2261" s="8"/>
      <c r="D2261" s="8"/>
      <c r="E2261" s="8"/>
      <c r="F2261" s="8"/>
      <c r="G2261" s="8"/>
      <c r="H2261" s="8"/>
      <c r="I2261" s="8"/>
      <c r="J2261" s="8"/>
      <c r="K2261" s="8"/>
      <c r="L2261" s="8"/>
      <c r="M2261" s="8"/>
      <c r="N2261" s="8"/>
      <c r="O2261" s="8"/>
      <c r="P2261" s="8"/>
      <c r="Q2261" s="8"/>
      <c r="R2261" s="8"/>
      <c r="S2261" s="8"/>
      <c r="T2261" s="8"/>
      <c r="U2261" s="8"/>
      <c r="V2261" s="8"/>
      <c r="W2261" s="8"/>
    </row>
    <row r="2262" spans="1:23" ht="15.75" customHeight="1" x14ac:dyDescent="0.25">
      <c r="A2262" s="6" t="s">
        <v>192</v>
      </c>
      <c r="B2262" s="8"/>
      <c r="C2262" s="8"/>
      <c r="D2262" s="8"/>
      <c r="E2262" s="8"/>
      <c r="F2262" s="8"/>
      <c r="G2262" s="8"/>
      <c r="H2262" s="8"/>
      <c r="I2262" s="8"/>
      <c r="J2262" s="8"/>
      <c r="K2262" s="8"/>
      <c r="L2262" s="8"/>
      <c r="M2262" s="8"/>
      <c r="N2262" s="8"/>
      <c r="O2262" s="8"/>
      <c r="P2262" s="8"/>
      <c r="Q2262" s="8"/>
      <c r="R2262" s="8"/>
      <c r="S2262" s="8"/>
      <c r="T2262" s="8"/>
      <c r="U2262" s="8"/>
      <c r="V2262" s="8"/>
      <c r="W2262" s="8"/>
    </row>
    <row r="2263" spans="1:23" ht="15.75" customHeight="1" x14ac:dyDescent="0.25">
      <c r="A2263" s="6" t="s">
        <v>192</v>
      </c>
      <c r="B2263" s="8"/>
      <c r="C2263" s="8"/>
      <c r="D2263" s="8"/>
      <c r="E2263" s="8"/>
      <c r="F2263" s="8"/>
      <c r="G2263" s="8"/>
      <c r="H2263" s="8"/>
      <c r="I2263" s="8"/>
      <c r="J2263" s="8"/>
      <c r="K2263" s="8"/>
      <c r="L2263" s="8"/>
      <c r="M2263" s="8"/>
      <c r="N2263" s="8"/>
      <c r="O2263" s="8"/>
      <c r="P2263" s="8"/>
      <c r="Q2263" s="8"/>
      <c r="R2263" s="8"/>
      <c r="S2263" s="8"/>
      <c r="T2263" s="8"/>
      <c r="U2263" s="8"/>
      <c r="V2263" s="8"/>
      <c r="W2263" s="8"/>
    </row>
    <row r="2264" spans="1:23" ht="15.75" customHeight="1" x14ac:dyDescent="0.25">
      <c r="A2264" s="6" t="s">
        <v>192</v>
      </c>
      <c r="B2264" s="8"/>
      <c r="C2264" s="8"/>
      <c r="D2264" s="8"/>
      <c r="E2264" s="8"/>
      <c r="F2264" s="8"/>
      <c r="G2264" s="8"/>
      <c r="H2264" s="8"/>
      <c r="I2264" s="8"/>
      <c r="J2264" s="8"/>
      <c r="K2264" s="8"/>
      <c r="L2264" s="8"/>
      <c r="M2264" s="8"/>
      <c r="N2264" s="8"/>
      <c r="O2264" s="8"/>
      <c r="P2264" s="8"/>
      <c r="Q2264" s="8"/>
      <c r="R2264" s="8"/>
      <c r="S2264" s="8"/>
      <c r="T2264" s="8"/>
      <c r="U2264" s="8"/>
      <c r="V2264" s="8"/>
      <c r="W2264" s="8"/>
    </row>
    <row r="2265" spans="1:23" ht="15.75" customHeight="1" x14ac:dyDescent="0.25">
      <c r="A2265" s="6" t="s">
        <v>192</v>
      </c>
      <c r="B2265" s="8"/>
      <c r="C2265" s="8"/>
      <c r="D2265" s="8"/>
      <c r="E2265" s="8"/>
      <c r="F2265" s="8"/>
      <c r="G2265" s="8"/>
      <c r="H2265" s="8"/>
      <c r="I2265" s="8"/>
      <c r="J2265" s="8"/>
      <c r="K2265" s="8"/>
      <c r="L2265" s="8"/>
      <c r="M2265" s="8"/>
      <c r="N2265" s="8"/>
      <c r="O2265" s="8"/>
      <c r="P2265" s="8"/>
      <c r="Q2265" s="8"/>
      <c r="R2265" s="8"/>
      <c r="S2265" s="8"/>
      <c r="T2265" s="8"/>
      <c r="U2265" s="8"/>
      <c r="V2265" s="8"/>
      <c r="W2265" s="8"/>
    </row>
    <row r="2266" spans="1:23" ht="15.75" customHeight="1" x14ac:dyDescent="0.25">
      <c r="A2266" s="6" t="s">
        <v>192</v>
      </c>
      <c r="B2266" s="8"/>
      <c r="C2266" s="8"/>
      <c r="D2266" s="8"/>
      <c r="E2266" s="8"/>
      <c r="F2266" s="8"/>
      <c r="G2266" s="8"/>
      <c r="H2266" s="8"/>
      <c r="I2266" s="8"/>
      <c r="J2266" s="8"/>
      <c r="K2266" s="8"/>
      <c r="L2266" s="8"/>
      <c r="M2266" s="8"/>
      <c r="N2266" s="8"/>
      <c r="O2266" s="8"/>
      <c r="P2266" s="8"/>
      <c r="Q2266" s="8"/>
      <c r="R2266" s="8"/>
      <c r="S2266" s="8"/>
      <c r="T2266" s="8"/>
      <c r="U2266" s="8"/>
      <c r="V2266" s="8"/>
      <c r="W2266" s="8"/>
    </row>
    <row r="2267" spans="1:23" ht="15.75" customHeight="1" x14ac:dyDescent="0.25">
      <c r="A2267" s="6" t="s">
        <v>192</v>
      </c>
      <c r="B2267" s="8"/>
      <c r="C2267" s="8"/>
      <c r="D2267" s="8"/>
      <c r="E2267" s="8"/>
      <c r="F2267" s="8"/>
      <c r="G2267" s="8"/>
      <c r="H2267" s="8"/>
      <c r="I2267" s="8"/>
      <c r="J2267" s="8"/>
      <c r="K2267" s="8"/>
      <c r="L2267" s="8"/>
      <c r="M2267" s="8"/>
      <c r="N2267" s="8"/>
      <c r="O2267" s="8"/>
      <c r="P2267" s="8"/>
      <c r="Q2267" s="8"/>
      <c r="R2267" s="8"/>
      <c r="S2267" s="8"/>
      <c r="T2267" s="8"/>
      <c r="U2267" s="8"/>
      <c r="V2267" s="8"/>
      <c r="W2267" s="8"/>
    </row>
    <row r="2268" spans="1:23" ht="15.75" customHeight="1" x14ac:dyDescent="0.25">
      <c r="A2268" s="8" t="s">
        <v>192</v>
      </c>
      <c r="B2268" s="8"/>
      <c r="C2268" s="8"/>
      <c r="D2268" s="8"/>
      <c r="E2268" s="8"/>
      <c r="F2268" s="8"/>
      <c r="G2268" s="8"/>
      <c r="H2268" s="8"/>
      <c r="I2268" s="8"/>
      <c r="J2268" s="8"/>
      <c r="K2268" s="8"/>
      <c r="L2268" s="8"/>
      <c r="M2268" s="8"/>
      <c r="N2268" s="8"/>
      <c r="O2268" s="8"/>
      <c r="P2268" s="8"/>
      <c r="Q2268" s="8"/>
      <c r="R2268" s="8"/>
      <c r="S2268" s="8"/>
      <c r="T2268" s="8"/>
      <c r="U2268" s="8"/>
      <c r="V2268" s="8"/>
      <c r="W2268" s="8"/>
    </row>
    <row r="2269" spans="1:23" ht="15.75" customHeight="1" x14ac:dyDescent="0.25">
      <c r="A2269" s="6" t="s">
        <v>192</v>
      </c>
      <c r="B2269" s="8"/>
      <c r="C2269" s="8"/>
      <c r="D2269" s="8"/>
      <c r="E2269" s="8"/>
      <c r="F2269" s="8"/>
      <c r="G2269" s="8"/>
      <c r="H2269" s="8"/>
      <c r="I2269" s="8"/>
      <c r="J2269" s="8"/>
      <c r="K2269" s="8"/>
      <c r="L2269" s="8"/>
      <c r="M2269" s="8"/>
      <c r="N2269" s="8"/>
      <c r="O2269" s="8"/>
      <c r="P2269" s="8"/>
      <c r="Q2269" s="8"/>
      <c r="R2269" s="8"/>
      <c r="S2269" s="8"/>
      <c r="T2269" s="8"/>
      <c r="U2269" s="8"/>
      <c r="V2269" s="8"/>
      <c r="W2269" s="8"/>
    </row>
    <row r="2270" spans="1:23" ht="15.75" customHeight="1" x14ac:dyDescent="0.25">
      <c r="A2270" s="6" t="s">
        <v>192</v>
      </c>
      <c r="B2270" s="8"/>
      <c r="C2270" s="8"/>
      <c r="D2270" s="8"/>
      <c r="E2270" s="8"/>
      <c r="F2270" s="8"/>
      <c r="G2270" s="8"/>
      <c r="H2270" s="8"/>
      <c r="I2270" s="8"/>
      <c r="J2270" s="8"/>
      <c r="K2270" s="8"/>
      <c r="L2270" s="8"/>
      <c r="M2270" s="8"/>
      <c r="N2270" s="8"/>
      <c r="O2270" s="8"/>
      <c r="P2270" s="8"/>
      <c r="Q2270" s="8"/>
      <c r="R2270" s="8"/>
      <c r="S2270" s="8"/>
      <c r="T2270" s="8"/>
      <c r="U2270" s="8"/>
      <c r="V2270" s="8"/>
      <c r="W2270" s="8"/>
    </row>
    <row r="2271" spans="1:23" ht="15.75" customHeight="1" x14ac:dyDescent="0.25">
      <c r="A2271" s="6" t="s">
        <v>192</v>
      </c>
      <c r="B2271" s="8"/>
      <c r="C2271" s="8"/>
      <c r="D2271" s="8"/>
      <c r="E2271" s="8"/>
      <c r="F2271" s="8"/>
      <c r="G2271" s="8"/>
      <c r="H2271" s="8"/>
      <c r="I2271" s="8"/>
      <c r="J2271" s="8"/>
      <c r="K2271" s="8"/>
      <c r="L2271" s="8"/>
      <c r="M2271" s="8"/>
      <c r="N2271" s="8"/>
      <c r="O2271" s="8"/>
      <c r="P2271" s="8"/>
      <c r="Q2271" s="8"/>
      <c r="R2271" s="8"/>
      <c r="S2271" s="8"/>
      <c r="T2271" s="8"/>
      <c r="U2271" s="8"/>
      <c r="V2271" s="8"/>
      <c r="W2271" s="8"/>
    </row>
    <row r="2272" spans="1:23" ht="15.75" customHeight="1" x14ac:dyDescent="0.25">
      <c r="A2272" s="6" t="s">
        <v>192</v>
      </c>
      <c r="B2272" s="8"/>
      <c r="C2272" s="8"/>
      <c r="D2272" s="8"/>
      <c r="E2272" s="8"/>
      <c r="F2272" s="8"/>
      <c r="G2272" s="8"/>
      <c r="H2272" s="8"/>
      <c r="I2272" s="8"/>
      <c r="J2272" s="8"/>
      <c r="K2272" s="8"/>
      <c r="L2272" s="8"/>
      <c r="M2272" s="8"/>
      <c r="N2272" s="8"/>
      <c r="O2272" s="8"/>
      <c r="P2272" s="8"/>
      <c r="Q2272" s="8"/>
      <c r="R2272" s="8"/>
      <c r="S2272" s="8"/>
      <c r="T2272" s="8"/>
      <c r="U2272" s="8"/>
      <c r="V2272" s="8"/>
      <c r="W2272" s="8"/>
    </row>
    <row r="2273" spans="1:23" ht="15.75" customHeight="1" x14ac:dyDescent="0.25">
      <c r="A2273" s="6" t="s">
        <v>192</v>
      </c>
      <c r="B2273" s="8"/>
      <c r="C2273" s="8"/>
      <c r="D2273" s="8"/>
      <c r="E2273" s="8"/>
      <c r="F2273" s="8"/>
      <c r="G2273" s="8"/>
      <c r="H2273" s="8"/>
      <c r="I2273" s="8"/>
      <c r="J2273" s="8"/>
      <c r="K2273" s="8"/>
      <c r="L2273" s="8"/>
      <c r="M2273" s="8"/>
      <c r="N2273" s="8"/>
      <c r="O2273" s="8"/>
      <c r="P2273" s="8"/>
      <c r="Q2273" s="8"/>
      <c r="R2273" s="8"/>
      <c r="S2273" s="8"/>
      <c r="T2273" s="8"/>
      <c r="U2273" s="8"/>
      <c r="V2273" s="8"/>
      <c r="W2273" s="8"/>
    </row>
    <row r="2274" spans="1:23" ht="15.75" customHeight="1" x14ac:dyDescent="0.25">
      <c r="A2274" s="6" t="s">
        <v>192</v>
      </c>
      <c r="B2274" s="8"/>
      <c r="C2274" s="8"/>
      <c r="D2274" s="8"/>
      <c r="E2274" s="8"/>
      <c r="F2274" s="8"/>
      <c r="G2274" s="8"/>
      <c r="H2274" s="8"/>
      <c r="I2274" s="8"/>
      <c r="J2274" s="8"/>
      <c r="K2274" s="8"/>
      <c r="L2274" s="8"/>
      <c r="M2274" s="8"/>
      <c r="N2274" s="8"/>
      <c r="O2274" s="8"/>
      <c r="P2274" s="8"/>
      <c r="Q2274" s="8"/>
      <c r="R2274" s="8"/>
      <c r="S2274" s="8"/>
      <c r="T2274" s="8"/>
      <c r="U2274" s="8"/>
      <c r="V2274" s="8"/>
      <c r="W2274" s="8"/>
    </row>
    <row r="2275" spans="1:23" ht="15.75" customHeight="1" x14ac:dyDescent="0.25">
      <c r="A2275" s="6" t="s">
        <v>192</v>
      </c>
      <c r="B2275" s="8"/>
      <c r="C2275" s="8"/>
      <c r="D2275" s="8"/>
      <c r="E2275" s="8"/>
      <c r="F2275" s="8"/>
      <c r="G2275" s="8"/>
      <c r="H2275" s="8"/>
      <c r="I2275" s="8"/>
      <c r="J2275" s="8"/>
      <c r="K2275" s="8"/>
      <c r="L2275" s="8"/>
      <c r="M2275" s="8"/>
      <c r="N2275" s="8"/>
      <c r="O2275" s="8"/>
      <c r="P2275" s="8"/>
      <c r="Q2275" s="8"/>
      <c r="R2275" s="8"/>
      <c r="S2275" s="8"/>
      <c r="T2275" s="8"/>
      <c r="U2275" s="8"/>
      <c r="V2275" s="8"/>
      <c r="W2275" s="8"/>
    </row>
    <row r="2276" spans="1:23" ht="15.75" customHeight="1" x14ac:dyDescent="0.25">
      <c r="A2276" s="6" t="s">
        <v>192</v>
      </c>
      <c r="B2276" s="8"/>
      <c r="C2276" s="8"/>
      <c r="D2276" s="8"/>
      <c r="E2276" s="8"/>
      <c r="F2276" s="8"/>
      <c r="G2276" s="8"/>
      <c r="H2276" s="8"/>
      <c r="I2276" s="8"/>
      <c r="J2276" s="8"/>
      <c r="K2276" s="8"/>
      <c r="L2276" s="8"/>
      <c r="M2276" s="8"/>
      <c r="N2276" s="8"/>
      <c r="O2276" s="8"/>
      <c r="P2276" s="8"/>
      <c r="Q2276" s="8"/>
      <c r="R2276" s="8"/>
      <c r="S2276" s="8"/>
      <c r="T2276" s="8"/>
      <c r="U2276" s="8"/>
      <c r="V2276" s="8"/>
      <c r="W2276" s="8"/>
    </row>
    <row r="2277" spans="1:23" ht="15.75" customHeight="1" x14ac:dyDescent="0.25">
      <c r="A2277" s="6" t="s">
        <v>192</v>
      </c>
      <c r="B2277" s="8"/>
      <c r="C2277" s="8"/>
      <c r="D2277" s="8"/>
      <c r="E2277" s="8"/>
      <c r="F2277" s="8"/>
      <c r="G2277" s="8"/>
      <c r="H2277" s="8"/>
      <c r="I2277" s="8"/>
      <c r="J2277" s="8"/>
      <c r="K2277" s="8"/>
      <c r="L2277" s="8"/>
      <c r="M2277" s="8"/>
      <c r="N2277" s="8"/>
      <c r="O2277" s="8"/>
      <c r="P2277" s="8"/>
      <c r="Q2277" s="8"/>
      <c r="R2277" s="8"/>
      <c r="S2277" s="8"/>
      <c r="T2277" s="8"/>
      <c r="U2277" s="8"/>
      <c r="V2277" s="8"/>
      <c r="W2277" s="8"/>
    </row>
    <row r="2278" spans="1:23" ht="15.75" customHeight="1" x14ac:dyDescent="0.25">
      <c r="A2278" s="6" t="s">
        <v>192</v>
      </c>
      <c r="B2278" s="8"/>
      <c r="C2278" s="8"/>
      <c r="D2278" s="8"/>
      <c r="E2278" s="8"/>
      <c r="F2278" s="8"/>
      <c r="G2278" s="8"/>
      <c r="H2278" s="8"/>
      <c r="I2278" s="8"/>
      <c r="J2278" s="8"/>
      <c r="K2278" s="8"/>
      <c r="L2278" s="8"/>
      <c r="M2278" s="8"/>
      <c r="N2278" s="8"/>
      <c r="O2278" s="8"/>
      <c r="P2278" s="8"/>
      <c r="Q2278" s="8"/>
      <c r="R2278" s="8"/>
      <c r="S2278" s="8"/>
      <c r="T2278" s="8"/>
      <c r="U2278" s="8"/>
      <c r="V2278" s="8"/>
      <c r="W2278" s="8"/>
    </row>
    <row r="2279" spans="1:23" ht="15.75" customHeight="1" x14ac:dyDescent="0.25">
      <c r="A2279" s="6" t="s">
        <v>192</v>
      </c>
      <c r="B2279" s="8"/>
      <c r="C2279" s="8"/>
      <c r="D2279" s="8"/>
      <c r="E2279" s="8"/>
      <c r="F2279" s="8"/>
      <c r="G2279" s="8"/>
      <c r="H2279" s="8"/>
      <c r="I2279" s="8"/>
      <c r="J2279" s="8"/>
      <c r="K2279" s="8"/>
      <c r="L2279" s="8"/>
      <c r="M2279" s="8"/>
      <c r="N2279" s="8"/>
      <c r="O2279" s="8"/>
      <c r="P2279" s="8"/>
      <c r="Q2279" s="8"/>
      <c r="R2279" s="8"/>
      <c r="S2279" s="8"/>
      <c r="T2279" s="8"/>
      <c r="U2279" s="8"/>
      <c r="V2279" s="8"/>
      <c r="W2279" s="8"/>
    </row>
    <row r="2280" spans="1:23" ht="15.75" customHeight="1" x14ac:dyDescent="0.25">
      <c r="A2280" s="8" t="s">
        <v>192</v>
      </c>
      <c r="B2280" s="8"/>
      <c r="C2280" s="8"/>
      <c r="D2280" s="8"/>
      <c r="E2280" s="8"/>
      <c r="F2280" s="8"/>
      <c r="G2280" s="8"/>
      <c r="H2280" s="8"/>
      <c r="I2280" s="8"/>
      <c r="J2280" s="8"/>
      <c r="K2280" s="8"/>
      <c r="L2280" s="8"/>
      <c r="M2280" s="8"/>
      <c r="N2280" s="8"/>
      <c r="O2280" s="8"/>
      <c r="P2280" s="8"/>
      <c r="Q2280" s="8"/>
      <c r="R2280" s="8"/>
      <c r="S2280" s="8"/>
      <c r="T2280" s="8"/>
      <c r="U2280" s="8"/>
      <c r="V2280" s="8"/>
      <c r="W2280" s="8"/>
    </row>
    <row r="2281" spans="1:23" ht="15.75" customHeight="1" x14ac:dyDescent="0.25">
      <c r="A2281" s="6" t="s">
        <v>192</v>
      </c>
      <c r="B2281" s="8"/>
      <c r="C2281" s="8"/>
      <c r="D2281" s="8"/>
      <c r="E2281" s="8"/>
      <c r="F2281" s="8"/>
      <c r="G2281" s="8"/>
      <c r="H2281" s="8"/>
      <c r="I2281" s="8"/>
      <c r="J2281" s="8"/>
      <c r="K2281" s="8"/>
      <c r="L2281" s="8"/>
      <c r="M2281" s="8"/>
      <c r="N2281" s="8"/>
      <c r="O2281" s="8"/>
      <c r="P2281" s="8"/>
      <c r="Q2281" s="8"/>
      <c r="R2281" s="8"/>
      <c r="S2281" s="8"/>
      <c r="T2281" s="8"/>
      <c r="U2281" s="8"/>
      <c r="V2281" s="8"/>
      <c r="W2281" s="8"/>
    </row>
    <row r="2282" spans="1:23" ht="15.75" customHeight="1" x14ac:dyDescent="0.25">
      <c r="A2282" s="6" t="s">
        <v>192</v>
      </c>
      <c r="B2282" s="8"/>
      <c r="C2282" s="8"/>
      <c r="D2282" s="8"/>
      <c r="E2282" s="8"/>
      <c r="F2282" s="8"/>
      <c r="G2282" s="8"/>
      <c r="H2282" s="8"/>
      <c r="I2282" s="8"/>
      <c r="J2282" s="8"/>
      <c r="K2282" s="8"/>
      <c r="L2282" s="8"/>
      <c r="M2282" s="8"/>
      <c r="N2282" s="8"/>
      <c r="O2282" s="8"/>
      <c r="P2282" s="8"/>
      <c r="Q2282" s="8"/>
      <c r="R2282" s="8"/>
      <c r="S2282" s="8"/>
      <c r="T2282" s="8"/>
      <c r="U2282" s="8"/>
      <c r="V2282" s="8"/>
      <c r="W2282" s="8"/>
    </row>
    <row r="2283" spans="1:23" ht="15.75" customHeight="1" x14ac:dyDescent="0.25">
      <c r="A2283" s="6" t="s">
        <v>192</v>
      </c>
      <c r="B2283" s="8"/>
      <c r="C2283" s="8"/>
      <c r="D2283" s="8"/>
      <c r="E2283" s="8"/>
      <c r="F2283" s="8"/>
      <c r="G2283" s="8"/>
      <c r="H2283" s="8"/>
      <c r="I2283" s="8"/>
      <c r="J2283" s="8"/>
      <c r="K2283" s="8"/>
      <c r="L2283" s="8"/>
      <c r="M2283" s="8"/>
      <c r="N2283" s="8"/>
      <c r="O2283" s="8"/>
      <c r="P2283" s="8"/>
      <c r="Q2283" s="8"/>
      <c r="R2283" s="8"/>
      <c r="S2283" s="8"/>
      <c r="T2283" s="8"/>
      <c r="U2283" s="8"/>
      <c r="V2283" s="8"/>
      <c r="W2283" s="8"/>
    </row>
    <row r="2284" spans="1:23" ht="15.75" customHeight="1" x14ac:dyDescent="0.25">
      <c r="A2284" s="6" t="s">
        <v>192</v>
      </c>
      <c r="B2284" s="8"/>
      <c r="C2284" s="8"/>
      <c r="D2284" s="8"/>
      <c r="E2284" s="8"/>
      <c r="F2284" s="8"/>
      <c r="G2284" s="8"/>
      <c r="H2284" s="8"/>
      <c r="I2284" s="8"/>
      <c r="J2284" s="8"/>
      <c r="K2284" s="8"/>
      <c r="L2284" s="8"/>
      <c r="M2284" s="8"/>
      <c r="N2284" s="8"/>
      <c r="O2284" s="8"/>
      <c r="P2284" s="8"/>
      <c r="Q2284" s="8"/>
      <c r="R2284" s="8"/>
      <c r="S2284" s="8"/>
      <c r="T2284" s="8"/>
      <c r="U2284" s="8"/>
      <c r="V2284" s="8"/>
      <c r="W2284" s="8"/>
    </row>
    <row r="2285" spans="1:23" ht="15.75" customHeight="1" x14ac:dyDescent="0.25">
      <c r="A2285" s="6" t="s">
        <v>192</v>
      </c>
      <c r="B2285" s="8"/>
      <c r="C2285" s="8"/>
      <c r="D2285" s="8"/>
      <c r="E2285" s="8"/>
      <c r="F2285" s="8"/>
      <c r="G2285" s="8"/>
      <c r="H2285" s="8"/>
      <c r="I2285" s="8"/>
      <c r="J2285" s="8"/>
      <c r="K2285" s="8"/>
      <c r="L2285" s="8"/>
      <c r="M2285" s="8"/>
      <c r="N2285" s="8"/>
      <c r="O2285" s="8"/>
      <c r="P2285" s="8"/>
      <c r="Q2285" s="8"/>
      <c r="R2285" s="8"/>
      <c r="S2285" s="8"/>
      <c r="T2285" s="8"/>
      <c r="U2285" s="8"/>
      <c r="V2285" s="8"/>
      <c r="W2285" s="8"/>
    </row>
    <row r="2286" spans="1:23" ht="15.75" customHeight="1" x14ac:dyDescent="0.25">
      <c r="A2286" s="8" t="s">
        <v>192</v>
      </c>
      <c r="B2286" s="8"/>
      <c r="C2286" s="8"/>
      <c r="D2286" s="8"/>
      <c r="E2286" s="8"/>
      <c r="F2286" s="8"/>
      <c r="G2286" s="8"/>
      <c r="H2286" s="8"/>
      <c r="I2286" s="8"/>
      <c r="J2286" s="8"/>
      <c r="K2286" s="8"/>
      <c r="L2286" s="8"/>
      <c r="M2286" s="8"/>
      <c r="N2286" s="8"/>
      <c r="O2286" s="8"/>
      <c r="P2286" s="8"/>
      <c r="Q2286" s="8"/>
      <c r="R2286" s="8"/>
      <c r="S2286" s="8"/>
      <c r="T2286" s="8"/>
      <c r="U2286" s="8"/>
      <c r="V2286" s="8"/>
      <c r="W2286" s="8"/>
    </row>
    <row r="2287" spans="1:23" ht="15.75" customHeight="1" x14ac:dyDescent="0.25">
      <c r="A2287" s="6" t="s">
        <v>4278</v>
      </c>
      <c r="B2287" s="8"/>
      <c r="C2287" s="8"/>
      <c r="D2287" s="8"/>
      <c r="E2287" s="8"/>
      <c r="F2287" s="8"/>
      <c r="G2287" s="8"/>
      <c r="H2287" s="8"/>
      <c r="I2287" s="8"/>
      <c r="J2287" s="8"/>
      <c r="K2287" s="8"/>
      <c r="L2287" s="8"/>
      <c r="M2287" s="8"/>
      <c r="N2287" s="8"/>
      <c r="O2287" s="8"/>
      <c r="P2287" s="8"/>
      <c r="Q2287" s="8"/>
      <c r="R2287" s="8"/>
      <c r="S2287" s="8"/>
      <c r="T2287" s="8"/>
      <c r="U2287" s="8"/>
      <c r="V2287" s="8"/>
      <c r="W2287" s="8"/>
    </row>
    <row r="2288" spans="1:23" ht="15.75" customHeight="1" x14ac:dyDescent="0.25">
      <c r="A2288" s="6" t="s">
        <v>3563</v>
      </c>
      <c r="B2288" s="8"/>
      <c r="C2288" s="8"/>
      <c r="D2288" s="8"/>
      <c r="E2288" s="8"/>
      <c r="F2288" s="8"/>
      <c r="G2288" s="8"/>
      <c r="H2288" s="8"/>
      <c r="I2288" s="8"/>
      <c r="J2288" s="8"/>
      <c r="K2288" s="8"/>
      <c r="L2288" s="8"/>
      <c r="M2288" s="8"/>
      <c r="N2288" s="8"/>
      <c r="O2288" s="8"/>
      <c r="P2288" s="8"/>
      <c r="Q2288" s="8"/>
      <c r="R2288" s="8"/>
      <c r="S2288" s="8"/>
      <c r="T2288" s="8"/>
      <c r="U2288" s="8"/>
      <c r="V2288" s="8"/>
      <c r="W2288" s="8"/>
    </row>
    <row r="2289" spans="1:23" ht="15.75" customHeight="1" x14ac:dyDescent="0.25">
      <c r="A2289" s="6" t="s">
        <v>3563</v>
      </c>
      <c r="B2289" s="8"/>
      <c r="C2289" s="8"/>
      <c r="D2289" s="8"/>
      <c r="E2289" s="8"/>
      <c r="F2289" s="8"/>
      <c r="G2289" s="8"/>
      <c r="H2289" s="8"/>
      <c r="I2289" s="8"/>
      <c r="J2289" s="8"/>
      <c r="K2289" s="8"/>
      <c r="L2289" s="8"/>
      <c r="M2289" s="8"/>
      <c r="N2289" s="8"/>
      <c r="O2289" s="8"/>
      <c r="P2289" s="8"/>
      <c r="Q2289" s="8"/>
      <c r="R2289" s="8"/>
      <c r="S2289" s="8"/>
      <c r="T2289" s="8"/>
      <c r="U2289" s="8"/>
      <c r="V2289" s="8"/>
      <c r="W2289" s="8"/>
    </row>
    <row r="2290" spans="1:23" ht="15.75" customHeight="1" x14ac:dyDescent="0.25">
      <c r="A2290" s="6" t="s">
        <v>3563</v>
      </c>
      <c r="B2290" s="8"/>
      <c r="C2290" s="8"/>
      <c r="D2290" s="8"/>
      <c r="E2290" s="8"/>
      <c r="F2290" s="8"/>
      <c r="G2290" s="8"/>
      <c r="H2290" s="8"/>
      <c r="I2290" s="8"/>
      <c r="J2290" s="8"/>
      <c r="K2290" s="8"/>
      <c r="L2290" s="8"/>
      <c r="M2290" s="8"/>
      <c r="N2290" s="8"/>
      <c r="O2290" s="8"/>
      <c r="P2290" s="8"/>
      <c r="Q2290" s="8"/>
      <c r="R2290" s="8"/>
      <c r="S2290" s="8"/>
      <c r="T2290" s="8"/>
      <c r="U2290" s="8"/>
      <c r="V2290" s="8"/>
      <c r="W2290" s="8"/>
    </row>
    <row r="2291" spans="1:23" ht="15.75" customHeight="1" x14ac:dyDescent="0.25">
      <c r="A2291" s="6" t="s">
        <v>3563</v>
      </c>
      <c r="B2291" s="8"/>
      <c r="C2291" s="8"/>
      <c r="D2291" s="8"/>
      <c r="E2291" s="8"/>
      <c r="F2291" s="8"/>
      <c r="G2291" s="8"/>
      <c r="H2291" s="8"/>
      <c r="I2291" s="8"/>
      <c r="J2291" s="8"/>
      <c r="K2291" s="8"/>
      <c r="L2291" s="8"/>
      <c r="M2291" s="8"/>
      <c r="N2291" s="8"/>
      <c r="O2291" s="8"/>
      <c r="P2291" s="8"/>
      <c r="Q2291" s="8"/>
      <c r="R2291" s="8"/>
      <c r="S2291" s="8"/>
      <c r="T2291" s="8"/>
      <c r="U2291" s="8"/>
      <c r="V2291" s="8"/>
      <c r="W2291" s="8"/>
    </row>
    <row r="2292" spans="1:23" ht="15.75" customHeight="1" x14ac:dyDescent="0.25">
      <c r="A2292" s="6" t="s">
        <v>3563</v>
      </c>
      <c r="B2292" s="8"/>
      <c r="C2292" s="8"/>
      <c r="D2292" s="8"/>
      <c r="E2292" s="8"/>
      <c r="F2292" s="8"/>
      <c r="G2292" s="8"/>
      <c r="H2292" s="8"/>
      <c r="I2292" s="8"/>
      <c r="J2292" s="8"/>
      <c r="K2292" s="8"/>
      <c r="L2292" s="8"/>
      <c r="M2292" s="8"/>
      <c r="N2292" s="8"/>
      <c r="O2292" s="8"/>
      <c r="P2292" s="8"/>
      <c r="Q2292" s="8"/>
      <c r="R2292" s="8"/>
      <c r="S2292" s="8"/>
      <c r="T2292" s="8"/>
      <c r="U2292" s="8"/>
      <c r="V2292" s="8"/>
      <c r="W2292" s="8"/>
    </row>
    <row r="2293" spans="1:23" ht="15.75" customHeight="1" x14ac:dyDescent="0.25">
      <c r="A2293" s="6" t="s">
        <v>4279</v>
      </c>
      <c r="B2293" s="8"/>
      <c r="C2293" s="8"/>
      <c r="D2293" s="8"/>
      <c r="E2293" s="8"/>
      <c r="F2293" s="8"/>
      <c r="G2293" s="8"/>
      <c r="H2293" s="8"/>
      <c r="I2293" s="8"/>
      <c r="J2293" s="8"/>
      <c r="K2293" s="8"/>
      <c r="L2293" s="8"/>
      <c r="M2293" s="8"/>
      <c r="N2293" s="8"/>
      <c r="O2293" s="8"/>
      <c r="P2293" s="8"/>
      <c r="Q2293" s="8"/>
      <c r="R2293" s="8"/>
      <c r="S2293" s="8"/>
      <c r="T2293" s="8"/>
      <c r="U2293" s="8"/>
      <c r="V2293" s="8"/>
      <c r="W2293" s="8"/>
    </row>
    <row r="2294" spans="1:23" ht="15.75" customHeight="1" x14ac:dyDescent="0.25">
      <c r="A2294" s="6" t="s">
        <v>3319</v>
      </c>
      <c r="B2294" s="8"/>
      <c r="C2294" s="8"/>
      <c r="D2294" s="8"/>
      <c r="E2294" s="8"/>
      <c r="F2294" s="8"/>
      <c r="G2294" s="8"/>
      <c r="H2294" s="8"/>
      <c r="I2294" s="8"/>
      <c r="J2294" s="8"/>
      <c r="K2294" s="8"/>
      <c r="L2294" s="8"/>
      <c r="M2294" s="8"/>
      <c r="N2294" s="8"/>
      <c r="O2294" s="8"/>
      <c r="P2294" s="8"/>
      <c r="Q2294" s="8"/>
      <c r="R2294" s="8"/>
      <c r="S2294" s="8"/>
      <c r="T2294" s="8"/>
      <c r="U2294" s="8"/>
      <c r="V2294" s="8"/>
      <c r="W2294" s="8"/>
    </row>
    <row r="2295" spans="1:23" ht="15.75" customHeight="1" x14ac:dyDescent="0.25">
      <c r="A2295" s="6" t="s">
        <v>3319</v>
      </c>
      <c r="B2295" s="8"/>
      <c r="C2295" s="8"/>
      <c r="D2295" s="8"/>
      <c r="E2295" s="8"/>
      <c r="F2295" s="8"/>
      <c r="G2295" s="8"/>
      <c r="H2295" s="8"/>
      <c r="I2295" s="8"/>
      <c r="J2295" s="8"/>
      <c r="K2295" s="8"/>
      <c r="L2295" s="8"/>
      <c r="M2295" s="8"/>
      <c r="N2295" s="8"/>
      <c r="O2295" s="8"/>
      <c r="P2295" s="8"/>
      <c r="Q2295" s="8"/>
      <c r="R2295" s="8"/>
      <c r="S2295" s="8"/>
      <c r="T2295" s="8"/>
      <c r="U2295" s="8"/>
      <c r="V2295" s="8"/>
      <c r="W2295" s="8"/>
    </row>
    <row r="2296" spans="1:23" ht="15.75" customHeight="1" x14ac:dyDescent="0.25">
      <c r="A2296" s="6" t="s">
        <v>3319</v>
      </c>
      <c r="B2296" s="8"/>
      <c r="C2296" s="8"/>
      <c r="D2296" s="8"/>
      <c r="E2296" s="8"/>
      <c r="F2296" s="8"/>
      <c r="G2296" s="8"/>
      <c r="H2296" s="8"/>
      <c r="I2296" s="8"/>
      <c r="J2296" s="8"/>
      <c r="K2296" s="8"/>
      <c r="L2296" s="8"/>
      <c r="M2296" s="8"/>
      <c r="N2296" s="8"/>
      <c r="O2296" s="8"/>
      <c r="P2296" s="8"/>
      <c r="Q2296" s="8"/>
      <c r="R2296" s="8"/>
      <c r="S2296" s="8"/>
      <c r="T2296" s="8"/>
      <c r="U2296" s="8"/>
      <c r="V2296" s="8"/>
      <c r="W2296" s="8"/>
    </row>
    <row r="2297" spans="1:23" ht="15.75" customHeight="1" x14ac:dyDescent="0.25">
      <c r="A2297" s="6" t="s">
        <v>3319</v>
      </c>
      <c r="B2297" s="8"/>
      <c r="C2297" s="8"/>
      <c r="D2297" s="8"/>
      <c r="E2297" s="8"/>
      <c r="F2297" s="8"/>
      <c r="G2297" s="8"/>
      <c r="H2297" s="8"/>
      <c r="I2297" s="8"/>
      <c r="J2297" s="8"/>
      <c r="K2297" s="8"/>
      <c r="L2297" s="8"/>
      <c r="M2297" s="8"/>
      <c r="N2297" s="8"/>
      <c r="O2297" s="8"/>
      <c r="P2297" s="8"/>
      <c r="Q2297" s="8"/>
      <c r="R2297" s="8"/>
      <c r="S2297" s="8"/>
      <c r="T2297" s="8"/>
      <c r="U2297" s="8"/>
      <c r="V2297" s="8"/>
      <c r="W2297" s="8"/>
    </row>
    <row r="2298" spans="1:23" ht="15.75" customHeight="1" x14ac:dyDescent="0.25">
      <c r="A2298" s="6" t="s">
        <v>3319</v>
      </c>
      <c r="B2298" s="8"/>
      <c r="C2298" s="8"/>
      <c r="D2298" s="8"/>
      <c r="E2298" s="8"/>
      <c r="F2298" s="8"/>
      <c r="G2298" s="8"/>
      <c r="H2298" s="8"/>
      <c r="I2298" s="8"/>
      <c r="J2298" s="8"/>
      <c r="K2298" s="8"/>
      <c r="L2298" s="8"/>
      <c r="M2298" s="8"/>
      <c r="N2298" s="8"/>
      <c r="O2298" s="8"/>
      <c r="P2298" s="8"/>
      <c r="Q2298" s="8"/>
      <c r="R2298" s="8"/>
      <c r="S2298" s="8"/>
      <c r="T2298" s="8"/>
      <c r="U2298" s="8"/>
      <c r="V2298" s="8"/>
      <c r="W2298" s="8"/>
    </row>
    <row r="2299" spans="1:23" ht="15.75" customHeight="1" x14ac:dyDescent="0.25">
      <c r="A2299" s="6" t="s">
        <v>3319</v>
      </c>
      <c r="B2299" s="8"/>
      <c r="C2299" s="8"/>
      <c r="D2299" s="8"/>
      <c r="E2299" s="8"/>
      <c r="F2299" s="8"/>
      <c r="G2299" s="8"/>
      <c r="H2299" s="8"/>
      <c r="I2299" s="8"/>
      <c r="J2299" s="8"/>
      <c r="K2299" s="8"/>
      <c r="L2299" s="8"/>
      <c r="M2299" s="8"/>
      <c r="N2299" s="8"/>
      <c r="O2299" s="8"/>
      <c r="P2299" s="8"/>
      <c r="Q2299" s="8"/>
      <c r="R2299" s="8"/>
      <c r="S2299" s="8"/>
      <c r="T2299" s="8"/>
      <c r="U2299" s="8"/>
      <c r="V2299" s="8"/>
      <c r="W2299" s="8"/>
    </row>
    <row r="2300" spans="1:23" ht="15.75" customHeight="1" x14ac:dyDescent="0.25">
      <c r="A2300" s="6" t="s">
        <v>3319</v>
      </c>
      <c r="B2300" s="8"/>
      <c r="C2300" s="8"/>
      <c r="D2300" s="8"/>
      <c r="E2300" s="8"/>
      <c r="F2300" s="8"/>
      <c r="G2300" s="8"/>
      <c r="H2300" s="8"/>
      <c r="I2300" s="8"/>
      <c r="J2300" s="8"/>
      <c r="K2300" s="8"/>
      <c r="L2300" s="8"/>
      <c r="M2300" s="8"/>
      <c r="N2300" s="8"/>
      <c r="O2300" s="8"/>
      <c r="P2300" s="8"/>
      <c r="Q2300" s="8"/>
      <c r="R2300" s="8"/>
      <c r="S2300" s="8"/>
      <c r="T2300" s="8"/>
      <c r="U2300" s="8"/>
      <c r="V2300" s="8"/>
      <c r="W2300" s="8"/>
    </row>
    <row r="2301" spans="1:23" ht="15.75" customHeight="1" x14ac:dyDescent="0.25">
      <c r="A2301" s="6" t="s">
        <v>3319</v>
      </c>
      <c r="B2301" s="8"/>
      <c r="C2301" s="8"/>
      <c r="D2301" s="8"/>
      <c r="E2301" s="8"/>
      <c r="F2301" s="8"/>
      <c r="G2301" s="8"/>
      <c r="H2301" s="8"/>
      <c r="I2301" s="8"/>
      <c r="J2301" s="8"/>
      <c r="K2301" s="8"/>
      <c r="L2301" s="8"/>
      <c r="M2301" s="8"/>
      <c r="N2301" s="8"/>
      <c r="O2301" s="8"/>
      <c r="P2301" s="8"/>
      <c r="Q2301" s="8"/>
      <c r="R2301" s="8"/>
      <c r="S2301" s="8"/>
      <c r="T2301" s="8"/>
      <c r="U2301" s="8"/>
      <c r="V2301" s="8"/>
      <c r="W2301" s="8"/>
    </row>
    <row r="2302" spans="1:23" ht="15.75" customHeight="1" x14ac:dyDescent="0.25">
      <c r="A2302" s="6" t="s">
        <v>3319</v>
      </c>
      <c r="B2302" s="8"/>
      <c r="C2302" s="8"/>
      <c r="D2302" s="8"/>
      <c r="E2302" s="8"/>
      <c r="F2302" s="8"/>
      <c r="G2302" s="8"/>
      <c r="H2302" s="8"/>
      <c r="I2302" s="8"/>
      <c r="J2302" s="8"/>
      <c r="K2302" s="8"/>
      <c r="L2302" s="8"/>
      <c r="M2302" s="8"/>
      <c r="N2302" s="8"/>
      <c r="O2302" s="8"/>
      <c r="P2302" s="8"/>
      <c r="Q2302" s="8"/>
      <c r="R2302" s="8"/>
      <c r="S2302" s="8"/>
      <c r="T2302" s="8"/>
      <c r="U2302" s="8"/>
      <c r="V2302" s="8"/>
      <c r="W2302" s="8"/>
    </row>
    <row r="2303" spans="1:23" ht="15.75" customHeight="1" x14ac:dyDescent="0.25">
      <c r="A2303" s="6" t="s">
        <v>3319</v>
      </c>
      <c r="B2303" s="8"/>
      <c r="C2303" s="8"/>
      <c r="D2303" s="8"/>
      <c r="E2303" s="8"/>
      <c r="F2303" s="8"/>
      <c r="G2303" s="8"/>
      <c r="H2303" s="8"/>
      <c r="I2303" s="8"/>
      <c r="J2303" s="8"/>
      <c r="K2303" s="8"/>
      <c r="L2303" s="8"/>
      <c r="M2303" s="8"/>
      <c r="N2303" s="8"/>
      <c r="O2303" s="8"/>
      <c r="P2303" s="8"/>
      <c r="Q2303" s="8"/>
      <c r="R2303" s="8"/>
      <c r="S2303" s="8"/>
      <c r="T2303" s="8"/>
      <c r="U2303" s="8"/>
      <c r="V2303" s="8"/>
      <c r="W2303" s="8"/>
    </row>
    <row r="2304" spans="1:23" ht="15.75" customHeight="1" x14ac:dyDescent="0.25">
      <c r="A2304" s="6" t="s">
        <v>3319</v>
      </c>
      <c r="B2304" s="8"/>
      <c r="C2304" s="8"/>
      <c r="D2304" s="8"/>
      <c r="E2304" s="8"/>
      <c r="F2304" s="8"/>
      <c r="G2304" s="8"/>
      <c r="H2304" s="8"/>
      <c r="I2304" s="8"/>
      <c r="J2304" s="8"/>
      <c r="K2304" s="8"/>
      <c r="L2304" s="8"/>
      <c r="M2304" s="8"/>
      <c r="N2304" s="8"/>
      <c r="O2304" s="8"/>
      <c r="P2304" s="8"/>
      <c r="Q2304" s="8"/>
      <c r="R2304" s="8"/>
      <c r="S2304" s="8"/>
      <c r="T2304" s="8"/>
      <c r="U2304" s="8"/>
      <c r="V2304" s="8"/>
      <c r="W2304" s="8"/>
    </row>
    <row r="2305" spans="1:23" ht="15.75" customHeight="1" x14ac:dyDescent="0.25">
      <c r="A2305" s="6" t="s">
        <v>3319</v>
      </c>
      <c r="B2305" s="8"/>
      <c r="C2305" s="8"/>
      <c r="D2305" s="8"/>
      <c r="E2305" s="8"/>
      <c r="F2305" s="8"/>
      <c r="G2305" s="8"/>
      <c r="H2305" s="8"/>
      <c r="I2305" s="8"/>
      <c r="J2305" s="8"/>
      <c r="K2305" s="8"/>
      <c r="L2305" s="8"/>
      <c r="M2305" s="8"/>
      <c r="N2305" s="8"/>
      <c r="O2305" s="8"/>
      <c r="P2305" s="8"/>
      <c r="Q2305" s="8"/>
      <c r="R2305" s="8"/>
      <c r="S2305" s="8"/>
      <c r="T2305" s="8"/>
      <c r="U2305" s="8"/>
      <c r="V2305" s="8"/>
      <c r="W2305" s="8"/>
    </row>
    <row r="2306" spans="1:23" ht="15.75" customHeight="1" x14ac:dyDescent="0.25">
      <c r="A2306" s="6" t="s">
        <v>3319</v>
      </c>
      <c r="B2306" s="8"/>
      <c r="C2306" s="8"/>
      <c r="D2306" s="8"/>
      <c r="E2306" s="8"/>
      <c r="F2306" s="8"/>
      <c r="G2306" s="8"/>
      <c r="H2306" s="8"/>
      <c r="I2306" s="8"/>
      <c r="J2306" s="8"/>
      <c r="K2306" s="8"/>
      <c r="L2306" s="8"/>
      <c r="M2306" s="8"/>
      <c r="N2306" s="8"/>
      <c r="O2306" s="8"/>
      <c r="P2306" s="8"/>
      <c r="Q2306" s="8"/>
      <c r="R2306" s="8"/>
      <c r="S2306" s="8"/>
      <c r="T2306" s="8"/>
      <c r="U2306" s="8"/>
      <c r="V2306" s="8"/>
      <c r="W2306" s="8"/>
    </row>
    <row r="2307" spans="1:23" ht="15.75" customHeight="1" x14ac:dyDescent="0.25">
      <c r="A2307" s="6" t="s">
        <v>3319</v>
      </c>
      <c r="B2307" s="8"/>
      <c r="C2307" s="8"/>
      <c r="D2307" s="8"/>
      <c r="E2307" s="8"/>
      <c r="F2307" s="8"/>
      <c r="G2307" s="8"/>
      <c r="H2307" s="8"/>
      <c r="I2307" s="8"/>
      <c r="J2307" s="8"/>
      <c r="K2307" s="8"/>
      <c r="L2307" s="8"/>
      <c r="M2307" s="8"/>
      <c r="N2307" s="8"/>
      <c r="O2307" s="8"/>
      <c r="P2307" s="8"/>
      <c r="Q2307" s="8"/>
      <c r="R2307" s="8"/>
      <c r="S2307" s="8"/>
      <c r="T2307" s="8"/>
      <c r="U2307" s="8"/>
      <c r="V2307" s="8"/>
      <c r="W2307" s="8"/>
    </row>
    <row r="2308" spans="1:23" ht="15.75" customHeight="1" x14ac:dyDescent="0.25">
      <c r="A2308" s="6" t="s">
        <v>3319</v>
      </c>
      <c r="B2308" s="8"/>
      <c r="C2308" s="8"/>
      <c r="D2308" s="8"/>
      <c r="E2308" s="8"/>
      <c r="F2308" s="8"/>
      <c r="G2308" s="8"/>
      <c r="H2308" s="8"/>
      <c r="I2308" s="8"/>
      <c r="J2308" s="8"/>
      <c r="K2308" s="8"/>
      <c r="L2308" s="8"/>
      <c r="M2308" s="8"/>
      <c r="N2308" s="8"/>
      <c r="O2308" s="8"/>
      <c r="P2308" s="8"/>
      <c r="Q2308" s="8"/>
      <c r="R2308" s="8"/>
      <c r="S2308" s="8"/>
      <c r="T2308" s="8"/>
      <c r="U2308" s="8"/>
      <c r="V2308" s="8"/>
      <c r="W2308" s="8"/>
    </row>
    <row r="2309" spans="1:23" ht="15.75" customHeight="1" x14ac:dyDescent="0.25">
      <c r="A2309" s="8" t="s">
        <v>143</v>
      </c>
      <c r="B2309" s="8"/>
      <c r="C2309" s="8"/>
      <c r="D2309" s="8"/>
      <c r="E2309" s="8"/>
      <c r="F2309" s="8"/>
      <c r="G2309" s="8"/>
      <c r="H2309" s="8"/>
      <c r="I2309" s="8"/>
      <c r="J2309" s="8"/>
      <c r="K2309" s="8"/>
      <c r="L2309" s="8"/>
      <c r="M2309" s="8"/>
      <c r="N2309" s="8"/>
      <c r="O2309" s="8"/>
      <c r="P2309" s="8"/>
      <c r="Q2309" s="8"/>
      <c r="R2309" s="8"/>
      <c r="S2309" s="8"/>
      <c r="T2309" s="8"/>
      <c r="U2309" s="8"/>
      <c r="V2309" s="8"/>
      <c r="W2309" s="8"/>
    </row>
    <row r="2310" spans="1:23" ht="15.75" customHeight="1" x14ac:dyDescent="0.25">
      <c r="A2310" s="6" t="s">
        <v>143</v>
      </c>
      <c r="B2310" s="8"/>
      <c r="C2310" s="8"/>
      <c r="D2310" s="8"/>
      <c r="E2310" s="8"/>
      <c r="F2310" s="8"/>
      <c r="G2310" s="8"/>
      <c r="H2310" s="8"/>
      <c r="I2310" s="8"/>
      <c r="J2310" s="8"/>
      <c r="K2310" s="8"/>
      <c r="L2310" s="8"/>
      <c r="M2310" s="8"/>
      <c r="N2310" s="8"/>
      <c r="O2310" s="8"/>
      <c r="P2310" s="8"/>
      <c r="Q2310" s="8"/>
      <c r="R2310" s="8"/>
      <c r="S2310" s="8"/>
      <c r="T2310" s="8"/>
      <c r="U2310" s="8"/>
      <c r="V2310" s="8"/>
      <c r="W2310" s="8"/>
    </row>
    <row r="2311" spans="1:23" ht="15.75" customHeight="1" x14ac:dyDescent="0.25">
      <c r="A2311" s="6" t="s">
        <v>143</v>
      </c>
      <c r="B2311" s="8"/>
      <c r="C2311" s="8"/>
      <c r="D2311" s="8"/>
      <c r="E2311" s="8"/>
      <c r="F2311" s="8"/>
      <c r="G2311" s="8"/>
      <c r="H2311" s="8"/>
      <c r="I2311" s="8"/>
      <c r="J2311" s="8"/>
      <c r="K2311" s="8"/>
      <c r="L2311" s="8"/>
      <c r="M2311" s="8"/>
      <c r="N2311" s="8"/>
      <c r="O2311" s="8"/>
      <c r="P2311" s="8"/>
      <c r="Q2311" s="8"/>
      <c r="R2311" s="8"/>
      <c r="S2311" s="8"/>
      <c r="T2311" s="8"/>
      <c r="U2311" s="8"/>
      <c r="V2311" s="8"/>
      <c r="W2311" s="8"/>
    </row>
    <row r="2312" spans="1:23" ht="15.75" customHeight="1" x14ac:dyDescent="0.25">
      <c r="A2312" s="6" t="s">
        <v>143</v>
      </c>
      <c r="B2312" s="8"/>
      <c r="C2312" s="8"/>
      <c r="D2312" s="8"/>
      <c r="E2312" s="8"/>
      <c r="F2312" s="8"/>
      <c r="G2312" s="8"/>
      <c r="H2312" s="8"/>
      <c r="I2312" s="8"/>
      <c r="J2312" s="8"/>
      <c r="K2312" s="8"/>
      <c r="L2312" s="8"/>
      <c r="M2312" s="8"/>
      <c r="N2312" s="8"/>
      <c r="O2312" s="8"/>
      <c r="P2312" s="8"/>
      <c r="Q2312" s="8"/>
      <c r="R2312" s="8"/>
      <c r="S2312" s="8"/>
      <c r="T2312" s="8"/>
      <c r="U2312" s="8"/>
      <c r="V2312" s="8"/>
      <c r="W2312" s="8"/>
    </row>
    <row r="2313" spans="1:23" ht="15.75" customHeight="1" x14ac:dyDescent="0.25">
      <c r="A2313" s="6" t="s">
        <v>143</v>
      </c>
      <c r="B2313" s="8"/>
      <c r="C2313" s="8"/>
      <c r="D2313" s="8"/>
      <c r="E2313" s="8"/>
      <c r="F2313" s="8"/>
      <c r="G2313" s="8"/>
      <c r="H2313" s="8"/>
      <c r="I2313" s="8"/>
      <c r="J2313" s="8"/>
      <c r="K2313" s="8"/>
      <c r="L2313" s="8"/>
      <c r="M2313" s="8"/>
      <c r="N2313" s="8"/>
      <c r="O2313" s="8"/>
      <c r="P2313" s="8"/>
      <c r="Q2313" s="8"/>
      <c r="R2313" s="8"/>
      <c r="S2313" s="8"/>
      <c r="T2313" s="8"/>
      <c r="U2313" s="8"/>
      <c r="V2313" s="8"/>
      <c r="W2313" s="8"/>
    </row>
    <row r="2314" spans="1:23" ht="15.75" customHeight="1" x14ac:dyDescent="0.25">
      <c r="A2314" s="6" t="s">
        <v>143</v>
      </c>
      <c r="B2314" s="8"/>
      <c r="C2314" s="8"/>
      <c r="D2314" s="8"/>
      <c r="E2314" s="8"/>
      <c r="F2314" s="8"/>
      <c r="G2314" s="8"/>
      <c r="H2314" s="8"/>
      <c r="I2314" s="8"/>
      <c r="J2314" s="8"/>
      <c r="K2314" s="8"/>
      <c r="L2314" s="8"/>
      <c r="M2314" s="8"/>
      <c r="N2314" s="8"/>
      <c r="O2314" s="8"/>
      <c r="P2314" s="8"/>
      <c r="Q2314" s="8"/>
      <c r="R2314" s="8"/>
      <c r="S2314" s="8"/>
      <c r="T2314" s="8"/>
      <c r="U2314" s="8"/>
      <c r="V2314" s="8"/>
      <c r="W2314" s="8"/>
    </row>
    <row r="2315" spans="1:23" ht="15.75" customHeight="1" x14ac:dyDescent="0.25">
      <c r="A2315" s="6" t="s">
        <v>143</v>
      </c>
      <c r="B2315" s="8"/>
      <c r="C2315" s="8"/>
      <c r="D2315" s="8"/>
      <c r="E2315" s="8"/>
      <c r="F2315" s="8"/>
      <c r="G2315" s="8"/>
      <c r="H2315" s="8"/>
      <c r="I2315" s="8"/>
      <c r="J2315" s="8"/>
      <c r="K2315" s="8"/>
      <c r="L2315" s="8"/>
      <c r="M2315" s="8"/>
      <c r="N2315" s="8"/>
      <c r="O2315" s="8"/>
      <c r="P2315" s="8"/>
      <c r="Q2315" s="8"/>
      <c r="R2315" s="8"/>
      <c r="S2315" s="8"/>
      <c r="T2315" s="8"/>
      <c r="U2315" s="8"/>
      <c r="V2315" s="8"/>
      <c r="W2315" s="8"/>
    </row>
    <row r="2316" spans="1:23" ht="15.75" customHeight="1" x14ac:dyDescent="0.25">
      <c r="A2316" s="6" t="s">
        <v>143</v>
      </c>
      <c r="B2316" s="8"/>
      <c r="C2316" s="8"/>
      <c r="D2316" s="8"/>
      <c r="E2316" s="8"/>
      <c r="F2316" s="8"/>
      <c r="G2316" s="8"/>
      <c r="H2316" s="8"/>
      <c r="I2316" s="8"/>
      <c r="J2316" s="8"/>
      <c r="K2316" s="8"/>
      <c r="L2316" s="8"/>
      <c r="M2316" s="8"/>
      <c r="N2316" s="8"/>
      <c r="O2316" s="8"/>
      <c r="P2316" s="8"/>
      <c r="Q2316" s="8"/>
      <c r="R2316" s="8"/>
      <c r="S2316" s="8"/>
      <c r="T2316" s="8"/>
      <c r="U2316" s="8"/>
      <c r="V2316" s="8"/>
      <c r="W2316" s="8"/>
    </row>
    <row r="2317" spans="1:23" ht="15.75" customHeight="1" x14ac:dyDescent="0.25">
      <c r="A2317" s="6" t="s">
        <v>143</v>
      </c>
      <c r="B2317" s="8"/>
      <c r="C2317" s="8"/>
      <c r="D2317" s="8"/>
      <c r="E2317" s="8"/>
      <c r="F2317" s="8"/>
      <c r="G2317" s="8"/>
      <c r="H2317" s="8"/>
      <c r="I2317" s="8"/>
      <c r="J2317" s="8"/>
      <c r="K2317" s="8"/>
      <c r="L2317" s="8"/>
      <c r="M2317" s="8"/>
      <c r="N2317" s="8"/>
      <c r="O2317" s="8"/>
      <c r="P2317" s="8"/>
      <c r="Q2317" s="8"/>
      <c r="R2317" s="8"/>
      <c r="S2317" s="8"/>
      <c r="T2317" s="8"/>
      <c r="U2317" s="8"/>
      <c r="V2317" s="8"/>
      <c r="W2317" s="8"/>
    </row>
    <row r="2318" spans="1:23" ht="15.75" customHeight="1" x14ac:dyDescent="0.25">
      <c r="A2318" s="6" t="s">
        <v>143</v>
      </c>
      <c r="B2318" s="8"/>
      <c r="C2318" s="8"/>
      <c r="D2318" s="8"/>
      <c r="E2318" s="8"/>
      <c r="F2318" s="8"/>
      <c r="G2318" s="8"/>
      <c r="H2318" s="8"/>
      <c r="I2318" s="8"/>
      <c r="J2318" s="8"/>
      <c r="K2318" s="8"/>
      <c r="L2318" s="8"/>
      <c r="M2318" s="8"/>
      <c r="N2318" s="8"/>
      <c r="O2318" s="8"/>
      <c r="P2318" s="8"/>
      <c r="Q2318" s="8"/>
      <c r="R2318" s="8"/>
      <c r="S2318" s="8"/>
      <c r="T2318" s="8"/>
      <c r="U2318" s="8"/>
      <c r="V2318" s="8"/>
      <c r="W2318" s="8"/>
    </row>
    <row r="2319" spans="1:23" ht="15.75" customHeight="1" x14ac:dyDescent="0.25">
      <c r="A2319" s="6" t="s">
        <v>143</v>
      </c>
      <c r="B2319" s="8"/>
      <c r="C2319" s="8"/>
      <c r="D2319" s="8"/>
      <c r="E2319" s="8"/>
      <c r="F2319" s="8"/>
      <c r="G2319" s="8"/>
      <c r="H2319" s="8"/>
      <c r="I2319" s="8"/>
      <c r="J2319" s="8"/>
      <c r="K2319" s="8"/>
      <c r="L2319" s="8"/>
      <c r="M2319" s="8"/>
      <c r="N2319" s="8"/>
      <c r="O2319" s="8"/>
      <c r="P2319" s="8"/>
      <c r="Q2319" s="8"/>
      <c r="R2319" s="8"/>
      <c r="S2319" s="8"/>
      <c r="T2319" s="8"/>
      <c r="U2319" s="8"/>
      <c r="V2319" s="8"/>
      <c r="W2319" s="8"/>
    </row>
    <row r="2320" spans="1:23" ht="15.75" customHeight="1" x14ac:dyDescent="0.25">
      <c r="A2320" s="6" t="s">
        <v>143</v>
      </c>
      <c r="B2320" s="8"/>
      <c r="C2320" s="8"/>
      <c r="D2320" s="8"/>
      <c r="E2320" s="8"/>
      <c r="F2320" s="8"/>
      <c r="G2320" s="8"/>
      <c r="H2320" s="8"/>
      <c r="I2320" s="8"/>
      <c r="J2320" s="8"/>
      <c r="K2320" s="8"/>
      <c r="L2320" s="8"/>
      <c r="M2320" s="8"/>
      <c r="N2320" s="8"/>
      <c r="O2320" s="8"/>
      <c r="P2320" s="8"/>
      <c r="Q2320" s="8"/>
      <c r="R2320" s="8"/>
      <c r="S2320" s="8"/>
      <c r="T2320" s="8"/>
      <c r="U2320" s="8"/>
      <c r="V2320" s="8"/>
      <c r="W2320" s="8"/>
    </row>
    <row r="2321" spans="1:23" ht="15.75" customHeight="1" x14ac:dyDescent="0.25">
      <c r="A2321" s="6" t="s">
        <v>143</v>
      </c>
      <c r="B2321" s="8"/>
      <c r="C2321" s="8"/>
      <c r="D2321" s="8"/>
      <c r="E2321" s="8"/>
      <c r="F2321" s="8"/>
      <c r="G2321" s="8"/>
      <c r="H2321" s="8"/>
      <c r="I2321" s="8"/>
      <c r="J2321" s="8"/>
      <c r="K2321" s="8"/>
      <c r="L2321" s="8"/>
      <c r="M2321" s="8"/>
      <c r="N2321" s="8"/>
      <c r="O2321" s="8"/>
      <c r="P2321" s="8"/>
      <c r="Q2321" s="8"/>
      <c r="R2321" s="8"/>
      <c r="S2321" s="8"/>
      <c r="T2321" s="8"/>
      <c r="U2321" s="8"/>
      <c r="V2321" s="8"/>
      <c r="W2321" s="8"/>
    </row>
    <row r="2322" spans="1:23" ht="15.75" customHeight="1" x14ac:dyDescent="0.25">
      <c r="A2322" s="6" t="s">
        <v>143</v>
      </c>
      <c r="B2322" s="8"/>
      <c r="C2322" s="8"/>
      <c r="D2322" s="8"/>
      <c r="E2322" s="8"/>
      <c r="F2322" s="8"/>
      <c r="G2322" s="8"/>
      <c r="H2322" s="8"/>
      <c r="I2322" s="8"/>
      <c r="J2322" s="8"/>
      <c r="K2322" s="8"/>
      <c r="L2322" s="8"/>
      <c r="M2322" s="8"/>
      <c r="N2322" s="8"/>
      <c r="O2322" s="8"/>
      <c r="P2322" s="8"/>
      <c r="Q2322" s="8"/>
      <c r="R2322" s="8"/>
      <c r="S2322" s="8"/>
      <c r="T2322" s="8"/>
      <c r="U2322" s="8"/>
      <c r="V2322" s="8"/>
      <c r="W2322" s="8"/>
    </row>
    <row r="2323" spans="1:23" ht="15.75" customHeight="1" x14ac:dyDescent="0.25">
      <c r="A2323" s="6" t="s">
        <v>143</v>
      </c>
      <c r="B2323" s="8"/>
      <c r="C2323" s="8"/>
      <c r="D2323" s="8"/>
      <c r="E2323" s="8"/>
      <c r="F2323" s="8"/>
      <c r="G2323" s="8"/>
      <c r="H2323" s="8"/>
      <c r="I2323" s="8"/>
      <c r="J2323" s="8"/>
      <c r="K2323" s="8"/>
      <c r="L2323" s="8"/>
      <c r="M2323" s="8"/>
      <c r="N2323" s="8"/>
      <c r="O2323" s="8"/>
      <c r="P2323" s="8"/>
      <c r="Q2323" s="8"/>
      <c r="R2323" s="8"/>
      <c r="S2323" s="8"/>
      <c r="T2323" s="8"/>
      <c r="U2323" s="8"/>
      <c r="V2323" s="8"/>
      <c r="W2323" s="8"/>
    </row>
    <row r="2324" spans="1:23" ht="15.75" customHeight="1" x14ac:dyDescent="0.25">
      <c r="A2324" s="6" t="s">
        <v>143</v>
      </c>
      <c r="B2324" s="8"/>
      <c r="C2324" s="8"/>
      <c r="D2324" s="8"/>
      <c r="E2324" s="8"/>
      <c r="F2324" s="8"/>
      <c r="G2324" s="8"/>
      <c r="H2324" s="8"/>
      <c r="I2324" s="8"/>
      <c r="J2324" s="8"/>
      <c r="K2324" s="8"/>
      <c r="L2324" s="8"/>
      <c r="M2324" s="8"/>
      <c r="N2324" s="8"/>
      <c r="O2324" s="8"/>
      <c r="P2324" s="8"/>
      <c r="Q2324" s="8"/>
      <c r="R2324" s="8"/>
      <c r="S2324" s="8"/>
      <c r="T2324" s="8"/>
      <c r="U2324" s="8"/>
      <c r="V2324" s="8"/>
      <c r="W2324" s="8"/>
    </row>
    <row r="2325" spans="1:23" ht="15.75" customHeight="1" x14ac:dyDescent="0.25">
      <c r="A2325" s="6" t="s">
        <v>143</v>
      </c>
      <c r="B2325" s="8"/>
      <c r="C2325" s="8"/>
      <c r="D2325" s="8"/>
      <c r="E2325" s="8"/>
      <c r="F2325" s="8"/>
      <c r="G2325" s="8"/>
      <c r="H2325" s="8"/>
      <c r="I2325" s="8"/>
      <c r="J2325" s="8"/>
      <c r="K2325" s="8"/>
      <c r="L2325" s="8"/>
      <c r="M2325" s="8"/>
      <c r="N2325" s="8"/>
      <c r="O2325" s="8"/>
      <c r="P2325" s="8"/>
      <c r="Q2325" s="8"/>
      <c r="R2325" s="8"/>
      <c r="S2325" s="8"/>
      <c r="T2325" s="8"/>
      <c r="U2325" s="8"/>
      <c r="V2325" s="8"/>
      <c r="W2325" s="8"/>
    </row>
    <row r="2326" spans="1:23" ht="15.75" customHeight="1" x14ac:dyDescent="0.25">
      <c r="A2326" s="6" t="s">
        <v>143</v>
      </c>
      <c r="B2326" s="8"/>
      <c r="C2326" s="8"/>
      <c r="D2326" s="8"/>
      <c r="E2326" s="8"/>
      <c r="F2326" s="8"/>
      <c r="G2326" s="8"/>
      <c r="H2326" s="8"/>
      <c r="I2326" s="8"/>
      <c r="J2326" s="8"/>
      <c r="K2326" s="8"/>
      <c r="L2326" s="8"/>
      <c r="M2326" s="8"/>
      <c r="N2326" s="8"/>
      <c r="O2326" s="8"/>
      <c r="P2326" s="8"/>
      <c r="Q2326" s="8"/>
      <c r="R2326" s="8"/>
      <c r="S2326" s="8"/>
      <c r="T2326" s="8"/>
      <c r="U2326" s="8"/>
      <c r="V2326" s="8"/>
      <c r="W2326" s="8"/>
    </row>
    <row r="2327" spans="1:23" ht="15.75" customHeight="1" x14ac:dyDescent="0.25">
      <c r="A2327" s="6" t="s">
        <v>143</v>
      </c>
      <c r="B2327" s="8"/>
      <c r="C2327" s="8"/>
      <c r="D2327" s="8"/>
      <c r="E2327" s="8"/>
      <c r="F2327" s="8"/>
      <c r="G2327" s="8"/>
      <c r="H2327" s="8"/>
      <c r="I2327" s="8"/>
      <c r="J2327" s="8"/>
      <c r="K2327" s="8"/>
      <c r="L2327" s="8"/>
      <c r="M2327" s="8"/>
      <c r="N2327" s="8"/>
      <c r="O2327" s="8"/>
      <c r="P2327" s="8"/>
      <c r="Q2327" s="8"/>
      <c r="R2327" s="8"/>
      <c r="S2327" s="8"/>
      <c r="T2327" s="8"/>
      <c r="U2327" s="8"/>
      <c r="V2327" s="8"/>
      <c r="W2327" s="8"/>
    </row>
    <row r="2328" spans="1:23" ht="15.75" customHeight="1" x14ac:dyDescent="0.25">
      <c r="A2328" s="6" t="s">
        <v>143</v>
      </c>
      <c r="B2328" s="8"/>
      <c r="C2328" s="8"/>
      <c r="D2328" s="8"/>
      <c r="E2328" s="8"/>
      <c r="F2328" s="8"/>
      <c r="G2328" s="8"/>
      <c r="H2328" s="8"/>
      <c r="I2328" s="8"/>
      <c r="J2328" s="8"/>
      <c r="K2328" s="8"/>
      <c r="L2328" s="8"/>
      <c r="M2328" s="8"/>
      <c r="N2328" s="8"/>
      <c r="O2328" s="8"/>
      <c r="P2328" s="8"/>
      <c r="Q2328" s="8"/>
      <c r="R2328" s="8"/>
      <c r="S2328" s="8"/>
      <c r="T2328" s="8"/>
      <c r="U2328" s="8"/>
      <c r="V2328" s="8"/>
      <c r="W2328" s="8"/>
    </row>
    <row r="2329" spans="1:23" ht="15.75" customHeight="1" x14ac:dyDescent="0.25">
      <c r="A2329" s="6" t="s">
        <v>143</v>
      </c>
      <c r="B2329" s="8"/>
      <c r="C2329" s="8"/>
      <c r="D2329" s="8"/>
      <c r="E2329" s="8"/>
      <c r="F2329" s="8"/>
      <c r="G2329" s="8"/>
      <c r="H2329" s="8"/>
      <c r="I2329" s="8"/>
      <c r="J2329" s="8"/>
      <c r="K2329" s="8"/>
      <c r="L2329" s="8"/>
      <c r="M2329" s="8"/>
      <c r="N2329" s="8"/>
      <c r="O2329" s="8"/>
      <c r="P2329" s="8"/>
      <c r="Q2329" s="8"/>
      <c r="R2329" s="8"/>
      <c r="S2329" s="8"/>
      <c r="T2329" s="8"/>
      <c r="U2329" s="8"/>
      <c r="V2329" s="8"/>
      <c r="W2329" s="8"/>
    </row>
    <row r="2330" spans="1:23" ht="15.75" customHeight="1" x14ac:dyDescent="0.25">
      <c r="A2330" s="6" t="s">
        <v>143</v>
      </c>
      <c r="B2330" s="8"/>
      <c r="C2330" s="8"/>
      <c r="D2330" s="8"/>
      <c r="E2330" s="8"/>
      <c r="F2330" s="8"/>
      <c r="G2330" s="8"/>
      <c r="H2330" s="8"/>
      <c r="I2330" s="8"/>
      <c r="J2330" s="8"/>
      <c r="K2330" s="8"/>
      <c r="L2330" s="8"/>
      <c r="M2330" s="8"/>
      <c r="N2330" s="8"/>
      <c r="O2330" s="8"/>
      <c r="P2330" s="8"/>
      <c r="Q2330" s="8"/>
      <c r="R2330" s="8"/>
      <c r="S2330" s="8"/>
      <c r="T2330" s="8"/>
      <c r="U2330" s="8"/>
      <c r="V2330" s="8"/>
      <c r="W2330" s="8"/>
    </row>
    <row r="2331" spans="1:23" ht="15.75" customHeight="1" x14ac:dyDescent="0.25">
      <c r="A2331" s="6" t="s">
        <v>143</v>
      </c>
      <c r="B2331" s="8"/>
      <c r="C2331" s="8"/>
      <c r="D2331" s="8"/>
      <c r="E2331" s="8"/>
      <c r="F2331" s="8"/>
      <c r="G2331" s="8"/>
      <c r="H2331" s="8"/>
      <c r="I2331" s="8"/>
      <c r="J2331" s="8"/>
      <c r="K2331" s="8"/>
      <c r="L2331" s="8"/>
      <c r="M2331" s="8"/>
      <c r="N2331" s="8"/>
      <c r="O2331" s="8"/>
      <c r="P2331" s="8"/>
      <c r="Q2331" s="8"/>
      <c r="R2331" s="8"/>
      <c r="S2331" s="8"/>
      <c r="T2331" s="8"/>
      <c r="U2331" s="8"/>
      <c r="V2331" s="8"/>
      <c r="W2331" s="8"/>
    </row>
    <row r="2332" spans="1:23" ht="15.75" customHeight="1" x14ac:dyDescent="0.25">
      <c r="A2332" s="6" t="s">
        <v>143</v>
      </c>
      <c r="B2332" s="8"/>
      <c r="C2332" s="8"/>
      <c r="D2332" s="8"/>
      <c r="E2332" s="8"/>
      <c r="F2332" s="8"/>
      <c r="G2332" s="8"/>
      <c r="H2332" s="8"/>
      <c r="I2332" s="8"/>
      <c r="J2332" s="8"/>
      <c r="K2332" s="8"/>
      <c r="L2332" s="8"/>
      <c r="M2332" s="8"/>
      <c r="N2332" s="8"/>
      <c r="O2332" s="8"/>
      <c r="P2332" s="8"/>
      <c r="Q2332" s="8"/>
      <c r="R2332" s="8"/>
      <c r="S2332" s="8"/>
      <c r="T2332" s="8"/>
      <c r="U2332" s="8"/>
      <c r="V2332" s="8"/>
      <c r="W2332" s="8"/>
    </row>
    <row r="2333" spans="1:23" ht="15.75" customHeight="1" x14ac:dyDescent="0.25">
      <c r="A2333" s="6" t="s">
        <v>143</v>
      </c>
      <c r="B2333" s="8"/>
      <c r="C2333" s="8"/>
      <c r="D2333" s="8"/>
      <c r="E2333" s="8"/>
      <c r="F2333" s="8"/>
      <c r="G2333" s="8"/>
      <c r="H2333" s="8"/>
      <c r="I2333" s="8"/>
      <c r="J2333" s="8"/>
      <c r="K2333" s="8"/>
      <c r="L2333" s="8"/>
      <c r="M2333" s="8"/>
      <c r="N2333" s="8"/>
      <c r="O2333" s="8"/>
      <c r="P2333" s="8"/>
      <c r="Q2333" s="8"/>
      <c r="R2333" s="8"/>
      <c r="S2333" s="8"/>
      <c r="T2333" s="8"/>
      <c r="U2333" s="8"/>
      <c r="V2333" s="8"/>
      <c r="W2333" s="8"/>
    </row>
    <row r="2334" spans="1:23" ht="15.75" customHeight="1" x14ac:dyDescent="0.25">
      <c r="A2334" s="6" t="s">
        <v>143</v>
      </c>
      <c r="B2334" s="8"/>
      <c r="C2334" s="8"/>
      <c r="D2334" s="8"/>
      <c r="E2334" s="8"/>
      <c r="F2334" s="8"/>
      <c r="G2334" s="8"/>
      <c r="H2334" s="8"/>
      <c r="I2334" s="8"/>
      <c r="J2334" s="8"/>
      <c r="K2334" s="8"/>
      <c r="L2334" s="8"/>
      <c r="M2334" s="8"/>
      <c r="N2334" s="8"/>
      <c r="O2334" s="8"/>
      <c r="P2334" s="8"/>
      <c r="Q2334" s="8"/>
      <c r="R2334" s="8"/>
      <c r="S2334" s="8"/>
      <c r="T2334" s="8"/>
      <c r="U2334" s="8"/>
      <c r="V2334" s="8"/>
      <c r="W2334" s="8"/>
    </row>
    <row r="2335" spans="1:23" ht="15.75" customHeight="1" x14ac:dyDescent="0.25">
      <c r="A2335" s="6" t="s">
        <v>143</v>
      </c>
      <c r="B2335" s="8"/>
      <c r="C2335" s="8"/>
      <c r="D2335" s="8"/>
      <c r="E2335" s="8"/>
      <c r="F2335" s="8"/>
      <c r="G2335" s="8"/>
      <c r="H2335" s="8"/>
      <c r="I2335" s="8"/>
      <c r="J2335" s="8"/>
      <c r="K2335" s="8"/>
      <c r="L2335" s="8"/>
      <c r="M2335" s="8"/>
      <c r="N2335" s="8"/>
      <c r="O2335" s="8"/>
      <c r="P2335" s="8"/>
      <c r="Q2335" s="8"/>
      <c r="R2335" s="8"/>
      <c r="S2335" s="8"/>
      <c r="T2335" s="8"/>
      <c r="U2335" s="8"/>
      <c r="V2335" s="8"/>
      <c r="W2335" s="8"/>
    </row>
    <row r="2336" spans="1:23" ht="15.75" customHeight="1" x14ac:dyDescent="0.25">
      <c r="A2336" s="6" t="s">
        <v>143</v>
      </c>
      <c r="B2336" s="8"/>
      <c r="C2336" s="8"/>
      <c r="D2336" s="8"/>
      <c r="E2336" s="8"/>
      <c r="F2336" s="8"/>
      <c r="G2336" s="8"/>
      <c r="H2336" s="8"/>
      <c r="I2336" s="8"/>
      <c r="J2336" s="8"/>
      <c r="K2336" s="8"/>
      <c r="L2336" s="8"/>
      <c r="M2336" s="8"/>
      <c r="N2336" s="8"/>
      <c r="O2336" s="8"/>
      <c r="P2336" s="8"/>
      <c r="Q2336" s="8"/>
      <c r="R2336" s="8"/>
      <c r="S2336" s="8"/>
      <c r="T2336" s="8"/>
      <c r="U2336" s="8"/>
      <c r="V2336" s="8"/>
      <c r="W2336" s="8"/>
    </row>
    <row r="2337" spans="1:23" ht="15.75" customHeight="1" x14ac:dyDescent="0.25">
      <c r="A2337" s="6" t="s">
        <v>143</v>
      </c>
      <c r="B2337" s="8"/>
      <c r="C2337" s="8"/>
      <c r="D2337" s="8"/>
      <c r="E2337" s="8"/>
      <c r="F2337" s="8"/>
      <c r="G2337" s="8"/>
      <c r="H2337" s="8"/>
      <c r="I2337" s="8"/>
      <c r="J2337" s="8"/>
      <c r="K2337" s="8"/>
      <c r="L2337" s="8"/>
      <c r="M2337" s="8"/>
      <c r="N2337" s="8"/>
      <c r="O2337" s="8"/>
      <c r="P2337" s="8"/>
      <c r="Q2337" s="8"/>
      <c r="R2337" s="8"/>
      <c r="S2337" s="8"/>
      <c r="T2337" s="8"/>
      <c r="U2337" s="8"/>
      <c r="V2337" s="8"/>
      <c r="W2337" s="8"/>
    </row>
    <row r="2338" spans="1:23" ht="15.75" customHeight="1" x14ac:dyDescent="0.25">
      <c r="A2338" s="6" t="s">
        <v>143</v>
      </c>
      <c r="B2338" s="8"/>
      <c r="C2338" s="8"/>
      <c r="D2338" s="8"/>
      <c r="E2338" s="8"/>
      <c r="F2338" s="8"/>
      <c r="G2338" s="8"/>
      <c r="H2338" s="8"/>
      <c r="I2338" s="8"/>
      <c r="J2338" s="8"/>
      <c r="K2338" s="8"/>
      <c r="L2338" s="8"/>
      <c r="M2338" s="8"/>
      <c r="N2338" s="8"/>
      <c r="O2338" s="8"/>
      <c r="P2338" s="8"/>
      <c r="Q2338" s="8"/>
      <c r="R2338" s="8"/>
      <c r="S2338" s="8"/>
      <c r="T2338" s="8"/>
      <c r="U2338" s="8"/>
      <c r="V2338" s="8"/>
      <c r="W2338" s="8"/>
    </row>
    <row r="2339" spans="1:23" ht="15.75" customHeight="1" x14ac:dyDescent="0.25">
      <c r="A2339" s="6" t="s">
        <v>143</v>
      </c>
      <c r="B2339" s="8"/>
      <c r="C2339" s="8"/>
      <c r="D2339" s="8"/>
      <c r="E2339" s="8"/>
      <c r="F2339" s="8"/>
      <c r="G2339" s="8"/>
      <c r="H2339" s="8"/>
      <c r="I2339" s="8"/>
      <c r="J2339" s="8"/>
      <c r="K2339" s="8"/>
      <c r="L2339" s="8"/>
      <c r="M2339" s="8"/>
      <c r="N2339" s="8"/>
      <c r="O2339" s="8"/>
      <c r="P2339" s="8"/>
      <c r="Q2339" s="8"/>
      <c r="R2339" s="8"/>
      <c r="S2339" s="8"/>
      <c r="T2339" s="8"/>
      <c r="U2339" s="8"/>
      <c r="V2339" s="8"/>
      <c r="W2339" s="8"/>
    </row>
    <row r="2340" spans="1:23" ht="15.75" customHeight="1" x14ac:dyDescent="0.25">
      <c r="A2340" s="6" t="s">
        <v>143</v>
      </c>
      <c r="B2340" s="8"/>
      <c r="C2340" s="8"/>
      <c r="D2340" s="8"/>
      <c r="E2340" s="8"/>
      <c r="F2340" s="8"/>
      <c r="G2340" s="8"/>
      <c r="H2340" s="8"/>
      <c r="I2340" s="8"/>
      <c r="J2340" s="8"/>
      <c r="K2340" s="8"/>
      <c r="L2340" s="8"/>
      <c r="M2340" s="8"/>
      <c r="N2340" s="8"/>
      <c r="O2340" s="8"/>
      <c r="P2340" s="8"/>
      <c r="Q2340" s="8"/>
      <c r="R2340" s="8"/>
      <c r="S2340" s="8"/>
      <c r="T2340" s="8"/>
      <c r="U2340" s="8"/>
      <c r="V2340" s="8"/>
      <c r="W2340" s="8"/>
    </row>
    <row r="2341" spans="1:23" ht="15.75" customHeight="1" x14ac:dyDescent="0.25">
      <c r="A2341" s="6" t="s">
        <v>143</v>
      </c>
      <c r="B2341" s="8"/>
      <c r="C2341" s="8"/>
      <c r="D2341" s="8"/>
      <c r="E2341" s="8"/>
      <c r="F2341" s="8"/>
      <c r="G2341" s="8"/>
      <c r="H2341" s="8"/>
      <c r="I2341" s="8"/>
      <c r="J2341" s="8"/>
      <c r="K2341" s="8"/>
      <c r="L2341" s="8"/>
      <c r="M2341" s="8"/>
      <c r="N2341" s="8"/>
      <c r="O2341" s="8"/>
      <c r="P2341" s="8"/>
      <c r="Q2341" s="8"/>
      <c r="R2341" s="8"/>
      <c r="S2341" s="8"/>
      <c r="T2341" s="8"/>
      <c r="U2341" s="8"/>
      <c r="V2341" s="8"/>
      <c r="W2341" s="8"/>
    </row>
    <row r="2342" spans="1:23" ht="15.75" customHeight="1" x14ac:dyDescent="0.25">
      <c r="A2342" s="6" t="s">
        <v>143</v>
      </c>
      <c r="B2342" s="8"/>
      <c r="C2342" s="8"/>
      <c r="D2342" s="8"/>
      <c r="E2342" s="8"/>
      <c r="F2342" s="8"/>
      <c r="G2342" s="8"/>
      <c r="H2342" s="8"/>
      <c r="I2342" s="8"/>
      <c r="J2342" s="8"/>
      <c r="K2342" s="8"/>
      <c r="L2342" s="8"/>
      <c r="M2342" s="8"/>
      <c r="N2342" s="8"/>
      <c r="O2342" s="8"/>
      <c r="P2342" s="8"/>
      <c r="Q2342" s="8"/>
      <c r="R2342" s="8"/>
      <c r="S2342" s="8"/>
      <c r="T2342" s="8"/>
      <c r="U2342" s="8"/>
      <c r="V2342" s="8"/>
      <c r="W2342" s="8"/>
    </row>
    <row r="2343" spans="1:23" ht="15.75" customHeight="1" x14ac:dyDescent="0.25">
      <c r="A2343" s="6" t="s">
        <v>143</v>
      </c>
      <c r="B2343" s="8"/>
      <c r="C2343" s="8"/>
      <c r="D2343" s="8"/>
      <c r="E2343" s="8"/>
      <c r="F2343" s="8"/>
      <c r="G2343" s="8"/>
      <c r="H2343" s="8"/>
      <c r="I2343" s="8"/>
      <c r="J2343" s="8"/>
      <c r="K2343" s="8"/>
      <c r="L2343" s="8"/>
      <c r="M2343" s="8"/>
      <c r="N2343" s="8"/>
      <c r="O2343" s="8"/>
      <c r="P2343" s="8"/>
      <c r="Q2343" s="8"/>
      <c r="R2343" s="8"/>
      <c r="S2343" s="8"/>
      <c r="T2343" s="8"/>
      <c r="U2343" s="8"/>
      <c r="V2343" s="8"/>
      <c r="W2343" s="8"/>
    </row>
    <row r="2344" spans="1:23" ht="15.75" customHeight="1" x14ac:dyDescent="0.25">
      <c r="A2344" s="6" t="s">
        <v>143</v>
      </c>
      <c r="B2344" s="8"/>
      <c r="C2344" s="8"/>
      <c r="D2344" s="8"/>
      <c r="E2344" s="8"/>
      <c r="F2344" s="8"/>
      <c r="G2344" s="8"/>
      <c r="H2344" s="8"/>
      <c r="I2344" s="8"/>
      <c r="J2344" s="8"/>
      <c r="K2344" s="8"/>
      <c r="L2344" s="8"/>
      <c r="M2344" s="8"/>
      <c r="N2344" s="8"/>
      <c r="O2344" s="8"/>
      <c r="P2344" s="8"/>
      <c r="Q2344" s="8"/>
      <c r="R2344" s="8"/>
      <c r="S2344" s="8"/>
      <c r="T2344" s="8"/>
      <c r="U2344" s="8"/>
      <c r="V2344" s="8"/>
      <c r="W2344" s="8"/>
    </row>
    <row r="2345" spans="1:23" ht="15.75" customHeight="1" x14ac:dyDescent="0.25">
      <c r="A2345" s="6" t="s">
        <v>143</v>
      </c>
      <c r="B2345" s="8"/>
      <c r="C2345" s="8"/>
      <c r="D2345" s="8"/>
      <c r="E2345" s="8"/>
      <c r="F2345" s="8"/>
      <c r="G2345" s="8"/>
      <c r="H2345" s="8"/>
      <c r="I2345" s="8"/>
      <c r="J2345" s="8"/>
      <c r="K2345" s="8"/>
      <c r="L2345" s="8"/>
      <c r="M2345" s="8"/>
      <c r="N2345" s="8"/>
      <c r="O2345" s="8"/>
      <c r="P2345" s="8"/>
      <c r="Q2345" s="8"/>
      <c r="R2345" s="8"/>
      <c r="S2345" s="8"/>
      <c r="T2345" s="8"/>
      <c r="U2345" s="8"/>
      <c r="V2345" s="8"/>
      <c r="W2345" s="8"/>
    </row>
    <row r="2346" spans="1:23" ht="15.75" customHeight="1" x14ac:dyDescent="0.25">
      <c r="A2346" s="6" t="s">
        <v>143</v>
      </c>
      <c r="B2346" s="8"/>
      <c r="C2346" s="8"/>
      <c r="D2346" s="8"/>
      <c r="E2346" s="8"/>
      <c r="F2346" s="8"/>
      <c r="G2346" s="8"/>
      <c r="H2346" s="8"/>
      <c r="I2346" s="8"/>
      <c r="J2346" s="8"/>
      <c r="K2346" s="8"/>
      <c r="L2346" s="8"/>
      <c r="M2346" s="8"/>
      <c r="N2346" s="8"/>
      <c r="O2346" s="8"/>
      <c r="P2346" s="8"/>
      <c r="Q2346" s="8"/>
      <c r="R2346" s="8"/>
      <c r="S2346" s="8"/>
      <c r="T2346" s="8"/>
      <c r="U2346" s="8"/>
      <c r="V2346" s="8"/>
      <c r="W2346" s="8"/>
    </row>
    <row r="2347" spans="1:23" ht="15.75" customHeight="1" x14ac:dyDescent="0.25">
      <c r="A2347" s="6" t="s">
        <v>143</v>
      </c>
      <c r="B2347" s="8"/>
      <c r="C2347" s="8"/>
      <c r="D2347" s="8"/>
      <c r="E2347" s="8"/>
      <c r="F2347" s="8"/>
      <c r="G2347" s="8"/>
      <c r="H2347" s="8"/>
      <c r="I2347" s="8"/>
      <c r="J2347" s="8"/>
      <c r="K2347" s="8"/>
      <c r="L2347" s="8"/>
      <c r="M2347" s="8"/>
      <c r="N2347" s="8"/>
      <c r="O2347" s="8"/>
      <c r="P2347" s="8"/>
      <c r="Q2347" s="8"/>
      <c r="R2347" s="8"/>
      <c r="S2347" s="8"/>
      <c r="T2347" s="8"/>
      <c r="U2347" s="8"/>
      <c r="V2347" s="8"/>
      <c r="W2347" s="8"/>
    </row>
    <row r="2348" spans="1:23" ht="15.75" customHeight="1" x14ac:dyDescent="0.25">
      <c r="A2348" s="6" t="s">
        <v>143</v>
      </c>
      <c r="B2348" s="8"/>
      <c r="C2348" s="8"/>
      <c r="D2348" s="8"/>
      <c r="E2348" s="8"/>
      <c r="F2348" s="8"/>
      <c r="G2348" s="8"/>
      <c r="H2348" s="8"/>
      <c r="I2348" s="8"/>
      <c r="J2348" s="8"/>
      <c r="K2348" s="8"/>
      <c r="L2348" s="8"/>
      <c r="M2348" s="8"/>
      <c r="N2348" s="8"/>
      <c r="O2348" s="8"/>
      <c r="P2348" s="8"/>
      <c r="Q2348" s="8"/>
      <c r="R2348" s="8"/>
      <c r="S2348" s="8"/>
      <c r="T2348" s="8"/>
      <c r="U2348" s="8"/>
      <c r="V2348" s="8"/>
      <c r="W2348" s="8"/>
    </row>
    <row r="2349" spans="1:23" ht="15.75" customHeight="1" x14ac:dyDescent="0.25">
      <c r="A2349" s="6" t="s">
        <v>143</v>
      </c>
      <c r="B2349" s="8"/>
      <c r="C2349" s="8"/>
      <c r="D2349" s="8"/>
      <c r="E2349" s="8"/>
      <c r="F2349" s="8"/>
      <c r="G2349" s="8"/>
      <c r="H2349" s="8"/>
      <c r="I2349" s="8"/>
      <c r="J2349" s="8"/>
      <c r="K2349" s="8"/>
      <c r="L2349" s="8"/>
      <c r="M2349" s="8"/>
      <c r="N2349" s="8"/>
      <c r="O2349" s="8"/>
      <c r="P2349" s="8"/>
      <c r="Q2349" s="8"/>
      <c r="R2349" s="8"/>
      <c r="S2349" s="8"/>
      <c r="T2349" s="8"/>
      <c r="U2349" s="8"/>
      <c r="V2349" s="8"/>
      <c r="W2349" s="8"/>
    </row>
    <row r="2350" spans="1:23" ht="15.75" customHeight="1" x14ac:dyDescent="0.25">
      <c r="A2350" s="6" t="s">
        <v>143</v>
      </c>
      <c r="B2350" s="8"/>
      <c r="C2350" s="8"/>
      <c r="D2350" s="8"/>
      <c r="E2350" s="8"/>
      <c r="F2350" s="8"/>
      <c r="G2350" s="8"/>
      <c r="H2350" s="8"/>
      <c r="I2350" s="8"/>
      <c r="J2350" s="8"/>
      <c r="K2350" s="8"/>
      <c r="L2350" s="8"/>
      <c r="M2350" s="8"/>
      <c r="N2350" s="8"/>
      <c r="O2350" s="8"/>
      <c r="P2350" s="8"/>
      <c r="Q2350" s="8"/>
      <c r="R2350" s="8"/>
      <c r="S2350" s="8"/>
      <c r="T2350" s="8"/>
      <c r="U2350" s="8"/>
      <c r="V2350" s="8"/>
      <c r="W2350" s="8"/>
    </row>
    <row r="2351" spans="1:23" ht="15.75" customHeight="1" x14ac:dyDescent="0.25">
      <c r="A2351" s="6" t="s">
        <v>3476</v>
      </c>
      <c r="B2351" s="8"/>
      <c r="C2351" s="8"/>
      <c r="D2351" s="8"/>
      <c r="E2351" s="8"/>
      <c r="F2351" s="8"/>
      <c r="G2351" s="8"/>
      <c r="H2351" s="8"/>
      <c r="I2351" s="8"/>
      <c r="J2351" s="8"/>
      <c r="K2351" s="8"/>
      <c r="L2351" s="8"/>
      <c r="M2351" s="8"/>
      <c r="N2351" s="8"/>
      <c r="O2351" s="8"/>
      <c r="P2351" s="8"/>
      <c r="Q2351" s="8"/>
      <c r="R2351" s="8"/>
      <c r="S2351" s="8"/>
      <c r="T2351" s="8"/>
      <c r="U2351" s="8"/>
      <c r="V2351" s="8"/>
      <c r="W2351" s="8"/>
    </row>
    <row r="2352" spans="1:23" ht="15.75" customHeight="1" x14ac:dyDescent="0.25">
      <c r="A2352" s="8" t="s">
        <v>3476</v>
      </c>
      <c r="B2352" s="8"/>
      <c r="C2352" s="8"/>
      <c r="D2352" s="8"/>
      <c r="E2352" s="8"/>
      <c r="F2352" s="8"/>
      <c r="G2352" s="8"/>
      <c r="H2352" s="8"/>
      <c r="I2352" s="8"/>
      <c r="J2352" s="8"/>
      <c r="K2352" s="8"/>
      <c r="L2352" s="8"/>
      <c r="M2352" s="8"/>
      <c r="N2352" s="8"/>
      <c r="O2352" s="8"/>
      <c r="P2352" s="8"/>
      <c r="Q2352" s="8"/>
      <c r="R2352" s="8"/>
      <c r="S2352" s="8"/>
      <c r="T2352" s="8"/>
      <c r="U2352" s="8"/>
      <c r="V2352" s="8"/>
      <c r="W2352" s="8"/>
    </row>
    <row r="2353" spans="1:23" ht="15.75" customHeight="1" x14ac:dyDescent="0.25">
      <c r="A2353" s="8" t="s">
        <v>3476</v>
      </c>
      <c r="B2353" s="8"/>
      <c r="C2353" s="8"/>
      <c r="D2353" s="8"/>
      <c r="E2353" s="8"/>
      <c r="F2353" s="8"/>
      <c r="G2353" s="8"/>
      <c r="H2353" s="8"/>
      <c r="I2353" s="8"/>
      <c r="J2353" s="8"/>
      <c r="K2353" s="8"/>
      <c r="L2353" s="8"/>
      <c r="M2353" s="8"/>
      <c r="N2353" s="8"/>
      <c r="O2353" s="8"/>
      <c r="P2353" s="8"/>
      <c r="Q2353" s="8"/>
      <c r="R2353" s="8"/>
      <c r="S2353" s="8"/>
      <c r="T2353" s="8"/>
      <c r="U2353" s="8"/>
      <c r="V2353" s="8"/>
      <c r="W2353" s="8"/>
    </row>
    <row r="2354" spans="1:23" ht="15.75" customHeight="1" x14ac:dyDescent="0.25">
      <c r="A2354" s="8" t="s">
        <v>3476</v>
      </c>
      <c r="B2354" s="8"/>
      <c r="C2354" s="8"/>
      <c r="D2354" s="8"/>
      <c r="E2354" s="8"/>
      <c r="F2354" s="8"/>
      <c r="G2354" s="8"/>
      <c r="H2354" s="8"/>
      <c r="I2354" s="8"/>
      <c r="J2354" s="8"/>
      <c r="K2354" s="8"/>
      <c r="L2354" s="8"/>
      <c r="M2354" s="8"/>
      <c r="N2354" s="8"/>
      <c r="O2354" s="8"/>
      <c r="P2354" s="8"/>
      <c r="Q2354" s="8"/>
      <c r="R2354" s="8"/>
      <c r="S2354" s="8"/>
      <c r="T2354" s="8"/>
      <c r="U2354" s="8"/>
      <c r="V2354" s="8"/>
      <c r="W2354" s="8"/>
    </row>
    <row r="2355" spans="1:23" ht="15.75" customHeight="1" x14ac:dyDescent="0.25">
      <c r="A2355" s="6" t="s">
        <v>3476</v>
      </c>
      <c r="B2355" s="8"/>
      <c r="C2355" s="8"/>
      <c r="D2355" s="8"/>
      <c r="E2355" s="8"/>
      <c r="F2355" s="8"/>
      <c r="G2355" s="8"/>
      <c r="H2355" s="8"/>
      <c r="I2355" s="8"/>
      <c r="J2355" s="8"/>
      <c r="K2355" s="8"/>
      <c r="L2355" s="8"/>
      <c r="M2355" s="8"/>
      <c r="N2355" s="8"/>
      <c r="O2355" s="8"/>
      <c r="P2355" s="8"/>
      <c r="Q2355" s="8"/>
      <c r="R2355" s="8"/>
      <c r="S2355" s="8"/>
      <c r="T2355" s="8"/>
      <c r="U2355" s="8"/>
      <c r="V2355" s="8"/>
      <c r="W2355" s="8"/>
    </row>
    <row r="2356" spans="1:23" ht="15.75" customHeight="1" x14ac:dyDescent="0.25">
      <c r="A2356" s="6" t="s">
        <v>3476</v>
      </c>
      <c r="B2356" s="8"/>
      <c r="C2356" s="8"/>
      <c r="D2356" s="8"/>
      <c r="E2356" s="8"/>
      <c r="F2356" s="8"/>
      <c r="G2356" s="8"/>
      <c r="H2356" s="8"/>
      <c r="I2356" s="8"/>
      <c r="J2356" s="8"/>
      <c r="K2356" s="8"/>
      <c r="L2356" s="8"/>
      <c r="M2356" s="8"/>
      <c r="N2356" s="8"/>
      <c r="O2356" s="8"/>
      <c r="P2356" s="8"/>
      <c r="Q2356" s="8"/>
      <c r="R2356" s="8"/>
      <c r="S2356" s="8"/>
      <c r="T2356" s="8"/>
      <c r="U2356" s="8"/>
      <c r="V2356" s="8"/>
      <c r="W2356" s="8"/>
    </row>
    <row r="2357" spans="1:23" ht="15.75" customHeight="1" x14ac:dyDescent="0.25">
      <c r="A2357" s="8" t="s">
        <v>3476</v>
      </c>
      <c r="B2357" s="8"/>
      <c r="C2357" s="8"/>
      <c r="D2357" s="8"/>
      <c r="E2357" s="8"/>
      <c r="F2357" s="8"/>
      <c r="G2357" s="8"/>
      <c r="H2357" s="8"/>
      <c r="I2357" s="8"/>
      <c r="J2357" s="8"/>
      <c r="K2357" s="8"/>
      <c r="L2357" s="8"/>
      <c r="M2357" s="8"/>
      <c r="N2357" s="8"/>
      <c r="O2357" s="8"/>
      <c r="P2357" s="8"/>
      <c r="Q2357" s="8"/>
      <c r="R2357" s="8"/>
      <c r="S2357" s="8"/>
      <c r="T2357" s="8"/>
      <c r="U2357" s="8"/>
      <c r="V2357" s="8"/>
      <c r="W2357" s="8"/>
    </row>
    <row r="2358" spans="1:23" ht="15.75" customHeight="1" x14ac:dyDescent="0.25">
      <c r="A2358" s="6" t="s">
        <v>4280</v>
      </c>
      <c r="B2358" s="8"/>
      <c r="C2358" s="8"/>
      <c r="D2358" s="8"/>
      <c r="E2358" s="8"/>
      <c r="F2358" s="8"/>
      <c r="G2358" s="8"/>
      <c r="H2358" s="8"/>
      <c r="I2358" s="8"/>
      <c r="J2358" s="8"/>
      <c r="K2358" s="8"/>
      <c r="L2358" s="8"/>
      <c r="M2358" s="8"/>
      <c r="N2358" s="8"/>
      <c r="O2358" s="8"/>
      <c r="P2358" s="8"/>
      <c r="Q2358" s="8"/>
      <c r="R2358" s="8"/>
      <c r="S2358" s="8"/>
      <c r="T2358" s="8"/>
      <c r="U2358" s="8"/>
      <c r="V2358" s="8"/>
      <c r="W2358" s="8"/>
    </row>
    <row r="2359" spans="1:23" ht="15.75" customHeight="1" x14ac:dyDescent="0.25">
      <c r="A2359" s="8" t="s">
        <v>3951</v>
      </c>
      <c r="B2359" s="8"/>
      <c r="C2359" s="8"/>
      <c r="D2359" s="8"/>
      <c r="E2359" s="8"/>
      <c r="F2359" s="8"/>
      <c r="G2359" s="8"/>
      <c r="H2359" s="8"/>
      <c r="I2359" s="8"/>
      <c r="J2359" s="8"/>
      <c r="K2359" s="8"/>
      <c r="L2359" s="8"/>
      <c r="M2359" s="8"/>
      <c r="N2359" s="8"/>
      <c r="O2359" s="8"/>
      <c r="P2359" s="8"/>
      <c r="Q2359" s="8"/>
      <c r="R2359" s="8"/>
      <c r="S2359" s="8"/>
      <c r="T2359" s="8"/>
      <c r="U2359" s="8"/>
      <c r="V2359" s="8"/>
      <c r="W2359" s="8"/>
    </row>
    <row r="2360" spans="1:23" ht="15.75" customHeight="1" x14ac:dyDescent="0.25">
      <c r="A2360" s="6" t="s">
        <v>3951</v>
      </c>
      <c r="B2360" s="8"/>
      <c r="C2360" s="8"/>
      <c r="D2360" s="8"/>
      <c r="E2360" s="8"/>
      <c r="F2360" s="8"/>
      <c r="G2360" s="8"/>
      <c r="H2360" s="8"/>
      <c r="I2360" s="8"/>
      <c r="J2360" s="8"/>
      <c r="K2360" s="8"/>
      <c r="L2360" s="8"/>
      <c r="M2360" s="8"/>
      <c r="N2360" s="8"/>
      <c r="O2360" s="8"/>
      <c r="P2360" s="8"/>
      <c r="Q2360" s="8"/>
      <c r="R2360" s="8"/>
      <c r="S2360" s="8"/>
      <c r="T2360" s="8"/>
      <c r="U2360" s="8"/>
      <c r="V2360" s="8"/>
      <c r="W2360" s="8"/>
    </row>
    <row r="2361" spans="1:23" ht="15.75" customHeight="1" x14ac:dyDescent="0.25">
      <c r="A2361" s="6" t="s">
        <v>4281</v>
      </c>
      <c r="B2361" s="8"/>
      <c r="C2361" s="8"/>
      <c r="D2361" s="8"/>
      <c r="E2361" s="8"/>
      <c r="F2361" s="8"/>
      <c r="G2361" s="8"/>
      <c r="H2361" s="8"/>
      <c r="I2361" s="8"/>
      <c r="J2361" s="8"/>
      <c r="K2361" s="8"/>
      <c r="L2361" s="8"/>
      <c r="M2361" s="8"/>
      <c r="N2361" s="8"/>
      <c r="O2361" s="8"/>
      <c r="P2361" s="8"/>
      <c r="Q2361" s="8"/>
      <c r="R2361" s="8"/>
      <c r="S2361" s="8"/>
      <c r="T2361" s="8"/>
      <c r="U2361" s="8"/>
      <c r="V2361" s="8"/>
      <c r="W2361" s="8"/>
    </row>
    <row r="2362" spans="1:23" ht="15.75" customHeight="1" x14ac:dyDescent="0.25">
      <c r="A2362" s="6" t="s">
        <v>4282</v>
      </c>
      <c r="B2362" s="8"/>
      <c r="C2362" s="8"/>
      <c r="D2362" s="8"/>
      <c r="E2362" s="8"/>
      <c r="F2362" s="8"/>
      <c r="G2362" s="8"/>
      <c r="H2362" s="8"/>
      <c r="I2362" s="8"/>
      <c r="J2362" s="8"/>
      <c r="K2362" s="8"/>
      <c r="L2362" s="8"/>
      <c r="M2362" s="8"/>
      <c r="N2362" s="8"/>
      <c r="O2362" s="8"/>
      <c r="P2362" s="8"/>
      <c r="Q2362" s="8"/>
      <c r="R2362" s="8"/>
      <c r="S2362" s="8"/>
      <c r="T2362" s="8"/>
      <c r="U2362" s="8"/>
      <c r="V2362" s="8"/>
      <c r="W2362" s="8"/>
    </row>
    <row r="2363" spans="1:23" ht="15.75" customHeight="1" x14ac:dyDescent="0.25">
      <c r="A2363" s="6" t="s">
        <v>4283</v>
      </c>
      <c r="B2363" s="8"/>
      <c r="C2363" s="8"/>
      <c r="D2363" s="8"/>
      <c r="E2363" s="8"/>
      <c r="F2363" s="8"/>
      <c r="G2363" s="8"/>
      <c r="H2363" s="8"/>
      <c r="I2363" s="8"/>
      <c r="J2363" s="8"/>
      <c r="K2363" s="8"/>
      <c r="L2363" s="8"/>
      <c r="M2363" s="8"/>
      <c r="N2363" s="8"/>
      <c r="O2363" s="8"/>
      <c r="P2363" s="8"/>
      <c r="Q2363" s="8"/>
      <c r="R2363" s="8"/>
      <c r="S2363" s="8"/>
      <c r="T2363" s="8"/>
      <c r="U2363" s="8"/>
      <c r="V2363" s="8"/>
      <c r="W2363" s="8"/>
    </row>
    <row r="2364" spans="1:23" ht="15.75" customHeight="1" x14ac:dyDescent="0.25">
      <c r="A2364" s="6" t="s">
        <v>3955</v>
      </c>
      <c r="B2364" s="8"/>
      <c r="C2364" s="8"/>
      <c r="D2364" s="8"/>
      <c r="E2364" s="8"/>
      <c r="F2364" s="8"/>
      <c r="G2364" s="8"/>
      <c r="H2364" s="8"/>
      <c r="I2364" s="8"/>
      <c r="J2364" s="8"/>
      <c r="K2364" s="8"/>
      <c r="L2364" s="8"/>
      <c r="M2364" s="8"/>
      <c r="N2364" s="8"/>
      <c r="O2364" s="8"/>
      <c r="P2364" s="8"/>
      <c r="Q2364" s="8"/>
      <c r="R2364" s="8"/>
      <c r="S2364" s="8"/>
      <c r="T2364" s="8"/>
      <c r="U2364" s="8"/>
      <c r="V2364" s="8"/>
      <c r="W2364" s="8"/>
    </row>
    <row r="2365" spans="1:23" ht="15.75" customHeight="1" x14ac:dyDescent="0.25">
      <c r="A2365" s="6" t="s">
        <v>3955</v>
      </c>
      <c r="B2365" s="8"/>
      <c r="C2365" s="8"/>
      <c r="D2365" s="8"/>
      <c r="E2365" s="8"/>
      <c r="F2365" s="8"/>
      <c r="G2365" s="8"/>
      <c r="H2365" s="8"/>
      <c r="I2365" s="8"/>
      <c r="J2365" s="8"/>
      <c r="K2365" s="8"/>
      <c r="L2365" s="8"/>
      <c r="M2365" s="8"/>
      <c r="N2365" s="8"/>
      <c r="O2365" s="8"/>
      <c r="P2365" s="8"/>
      <c r="Q2365" s="8"/>
      <c r="R2365" s="8"/>
      <c r="S2365" s="8"/>
      <c r="T2365" s="8"/>
      <c r="U2365" s="8"/>
      <c r="V2365" s="8"/>
      <c r="W2365" s="8"/>
    </row>
    <row r="2366" spans="1:23" ht="15.75" customHeight="1" x14ac:dyDescent="0.25">
      <c r="A2366" s="6" t="s">
        <v>3418</v>
      </c>
      <c r="B2366" s="8"/>
      <c r="C2366" s="8"/>
      <c r="D2366" s="8"/>
      <c r="E2366" s="8"/>
      <c r="F2366" s="8"/>
      <c r="G2366" s="8"/>
      <c r="H2366" s="8"/>
      <c r="I2366" s="8"/>
      <c r="J2366" s="8"/>
      <c r="K2366" s="8"/>
      <c r="L2366" s="8"/>
      <c r="M2366" s="8"/>
      <c r="N2366" s="8"/>
      <c r="O2366" s="8"/>
      <c r="P2366" s="8"/>
      <c r="Q2366" s="8"/>
      <c r="R2366" s="8"/>
      <c r="S2366" s="8"/>
      <c r="T2366" s="8"/>
      <c r="U2366" s="8"/>
      <c r="V2366" s="8"/>
      <c r="W2366" s="8"/>
    </row>
    <row r="2367" spans="1:23" ht="15.75" customHeight="1" x14ac:dyDescent="0.25">
      <c r="A2367" s="6" t="s">
        <v>3418</v>
      </c>
      <c r="B2367" s="8"/>
      <c r="C2367" s="8"/>
      <c r="D2367" s="8"/>
      <c r="E2367" s="8"/>
      <c r="F2367" s="8"/>
      <c r="G2367" s="8"/>
      <c r="H2367" s="8"/>
      <c r="I2367" s="8"/>
      <c r="J2367" s="8"/>
      <c r="K2367" s="8"/>
      <c r="L2367" s="8"/>
      <c r="M2367" s="8"/>
      <c r="N2367" s="8"/>
      <c r="O2367" s="8"/>
      <c r="P2367" s="8"/>
      <c r="Q2367" s="8"/>
      <c r="R2367" s="8"/>
      <c r="S2367" s="8"/>
      <c r="T2367" s="8"/>
      <c r="U2367" s="8"/>
      <c r="V2367" s="8"/>
      <c r="W2367" s="8"/>
    </row>
    <row r="2368" spans="1:23" ht="15.75" customHeight="1" x14ac:dyDescent="0.25">
      <c r="A2368" s="6" t="s">
        <v>3418</v>
      </c>
      <c r="B2368" s="8"/>
      <c r="C2368" s="8"/>
      <c r="D2368" s="8"/>
      <c r="E2368" s="8"/>
      <c r="F2368" s="8"/>
      <c r="G2368" s="8"/>
      <c r="H2368" s="8"/>
      <c r="I2368" s="8"/>
      <c r="J2368" s="8"/>
      <c r="K2368" s="8"/>
      <c r="L2368" s="8"/>
      <c r="M2368" s="8"/>
      <c r="N2368" s="8"/>
      <c r="O2368" s="8"/>
      <c r="P2368" s="8"/>
      <c r="Q2368" s="8"/>
      <c r="R2368" s="8"/>
      <c r="S2368" s="8"/>
      <c r="T2368" s="8"/>
      <c r="U2368" s="8"/>
      <c r="V2368" s="8"/>
      <c r="W2368" s="8"/>
    </row>
    <row r="2369" spans="1:23" ht="15.75" customHeight="1" x14ac:dyDescent="0.25">
      <c r="A2369" s="6" t="s">
        <v>3418</v>
      </c>
      <c r="B2369" s="8"/>
      <c r="C2369" s="8"/>
      <c r="D2369" s="8"/>
      <c r="E2369" s="8"/>
      <c r="F2369" s="8"/>
      <c r="G2369" s="8"/>
      <c r="H2369" s="8"/>
      <c r="I2369" s="8"/>
      <c r="J2369" s="8"/>
      <c r="K2369" s="8"/>
      <c r="L2369" s="8"/>
      <c r="M2369" s="8"/>
      <c r="N2369" s="8"/>
      <c r="O2369" s="8"/>
      <c r="P2369" s="8"/>
      <c r="Q2369" s="8"/>
      <c r="R2369" s="8"/>
      <c r="S2369" s="8"/>
      <c r="T2369" s="8"/>
      <c r="U2369" s="8"/>
      <c r="V2369" s="8"/>
      <c r="W2369" s="8"/>
    </row>
    <row r="2370" spans="1:23" ht="15.75" customHeight="1" x14ac:dyDescent="0.25">
      <c r="A2370" s="6" t="s">
        <v>3418</v>
      </c>
      <c r="B2370" s="8"/>
      <c r="C2370" s="8"/>
      <c r="D2370" s="8"/>
      <c r="E2370" s="8"/>
      <c r="F2370" s="8"/>
      <c r="G2370" s="8"/>
      <c r="H2370" s="8"/>
      <c r="I2370" s="8"/>
      <c r="J2370" s="8"/>
      <c r="K2370" s="8"/>
      <c r="L2370" s="8"/>
      <c r="M2370" s="8"/>
      <c r="N2370" s="8"/>
      <c r="O2370" s="8"/>
      <c r="P2370" s="8"/>
      <c r="Q2370" s="8"/>
      <c r="R2370" s="8"/>
      <c r="S2370" s="8"/>
      <c r="T2370" s="8"/>
      <c r="U2370" s="8"/>
      <c r="V2370" s="8"/>
      <c r="W2370" s="8"/>
    </row>
    <row r="2371" spans="1:23" ht="15.75" customHeight="1" x14ac:dyDescent="0.25">
      <c r="A2371" s="6" t="s">
        <v>3418</v>
      </c>
      <c r="B2371" s="8"/>
      <c r="C2371" s="8"/>
      <c r="D2371" s="8"/>
      <c r="E2371" s="8"/>
      <c r="F2371" s="8"/>
      <c r="G2371" s="8"/>
      <c r="H2371" s="8"/>
      <c r="I2371" s="8"/>
      <c r="J2371" s="8"/>
      <c r="K2371" s="8"/>
      <c r="L2371" s="8"/>
      <c r="M2371" s="8"/>
      <c r="N2371" s="8"/>
      <c r="O2371" s="8"/>
      <c r="P2371" s="8"/>
      <c r="Q2371" s="8"/>
      <c r="R2371" s="8"/>
      <c r="S2371" s="8"/>
      <c r="T2371" s="8"/>
      <c r="U2371" s="8"/>
      <c r="V2371" s="8"/>
      <c r="W2371" s="8"/>
    </row>
    <row r="2372" spans="1:23" ht="15.75" customHeight="1" x14ac:dyDescent="0.25">
      <c r="A2372" s="6" t="s">
        <v>3418</v>
      </c>
      <c r="B2372" s="8"/>
      <c r="C2372" s="8"/>
      <c r="D2372" s="8"/>
      <c r="E2372" s="8"/>
      <c r="F2372" s="8"/>
      <c r="G2372" s="8"/>
      <c r="H2372" s="8"/>
      <c r="I2372" s="8"/>
      <c r="J2372" s="8"/>
      <c r="K2372" s="8"/>
      <c r="L2372" s="8"/>
      <c r="M2372" s="8"/>
      <c r="N2372" s="8"/>
      <c r="O2372" s="8"/>
      <c r="P2372" s="8"/>
      <c r="Q2372" s="8"/>
      <c r="R2372" s="8"/>
      <c r="S2372" s="8"/>
      <c r="T2372" s="8"/>
      <c r="U2372" s="8"/>
      <c r="V2372" s="8"/>
      <c r="W2372" s="8"/>
    </row>
    <row r="2373" spans="1:23" ht="15.75" customHeight="1" x14ac:dyDescent="0.25">
      <c r="A2373" s="6" t="s">
        <v>3418</v>
      </c>
      <c r="B2373" s="8"/>
      <c r="C2373" s="8"/>
      <c r="D2373" s="8"/>
      <c r="E2373" s="8"/>
      <c r="F2373" s="8"/>
      <c r="G2373" s="8"/>
      <c r="H2373" s="8"/>
      <c r="I2373" s="8"/>
      <c r="J2373" s="8"/>
      <c r="K2373" s="8"/>
      <c r="L2373" s="8"/>
      <c r="M2373" s="8"/>
      <c r="N2373" s="8"/>
      <c r="O2373" s="8"/>
      <c r="P2373" s="8"/>
      <c r="Q2373" s="8"/>
      <c r="R2373" s="8"/>
      <c r="S2373" s="8"/>
      <c r="T2373" s="8"/>
      <c r="U2373" s="8"/>
      <c r="V2373" s="8"/>
      <c r="W2373" s="8"/>
    </row>
    <row r="2374" spans="1:23" ht="15.75" customHeight="1" x14ac:dyDescent="0.25">
      <c r="A2374" s="6" t="s">
        <v>3418</v>
      </c>
      <c r="B2374" s="8"/>
      <c r="C2374" s="8"/>
      <c r="D2374" s="8"/>
      <c r="E2374" s="8"/>
      <c r="F2374" s="8"/>
      <c r="G2374" s="8"/>
      <c r="H2374" s="8"/>
      <c r="I2374" s="8"/>
      <c r="J2374" s="8"/>
      <c r="K2374" s="8"/>
      <c r="L2374" s="8"/>
      <c r="M2374" s="8"/>
      <c r="N2374" s="8"/>
      <c r="O2374" s="8"/>
      <c r="P2374" s="8"/>
      <c r="Q2374" s="8"/>
      <c r="R2374" s="8"/>
      <c r="S2374" s="8"/>
      <c r="T2374" s="8"/>
      <c r="U2374" s="8"/>
      <c r="V2374" s="8"/>
      <c r="W2374" s="8"/>
    </row>
    <row r="2375" spans="1:23" ht="15.75" customHeight="1" x14ac:dyDescent="0.25">
      <c r="A2375" s="6" t="s">
        <v>4284</v>
      </c>
      <c r="B2375" s="8"/>
      <c r="C2375" s="8"/>
      <c r="D2375" s="8"/>
      <c r="E2375" s="8"/>
      <c r="F2375" s="8"/>
      <c r="G2375" s="8"/>
      <c r="H2375" s="8"/>
      <c r="I2375" s="8"/>
      <c r="J2375" s="8"/>
      <c r="K2375" s="8"/>
      <c r="L2375" s="8"/>
      <c r="M2375" s="8"/>
      <c r="N2375" s="8"/>
      <c r="O2375" s="8"/>
      <c r="P2375" s="8"/>
      <c r="Q2375" s="8"/>
      <c r="R2375" s="8"/>
      <c r="S2375" s="8"/>
      <c r="T2375" s="8"/>
      <c r="U2375" s="8"/>
      <c r="V2375" s="8"/>
      <c r="W2375" s="8"/>
    </row>
    <row r="2376" spans="1:23" ht="15.75" customHeight="1" x14ac:dyDescent="0.25">
      <c r="A2376" s="6" t="s">
        <v>3959</v>
      </c>
      <c r="B2376" s="8"/>
      <c r="C2376" s="8"/>
      <c r="D2376" s="8"/>
      <c r="E2376" s="8"/>
      <c r="F2376" s="8"/>
      <c r="G2376" s="8"/>
      <c r="H2376" s="8"/>
      <c r="I2376" s="8"/>
      <c r="J2376" s="8"/>
      <c r="K2376" s="8"/>
      <c r="L2376" s="8"/>
      <c r="M2376" s="8"/>
      <c r="N2376" s="8"/>
      <c r="O2376" s="8"/>
      <c r="P2376" s="8"/>
      <c r="Q2376" s="8"/>
      <c r="R2376" s="8"/>
      <c r="S2376" s="8"/>
      <c r="T2376" s="8"/>
      <c r="U2376" s="8"/>
      <c r="V2376" s="8"/>
      <c r="W2376" s="8"/>
    </row>
    <row r="2377" spans="1:23" ht="15.75" customHeight="1" x14ac:dyDescent="0.25">
      <c r="A2377" s="6" t="s">
        <v>3959</v>
      </c>
      <c r="B2377" s="8"/>
      <c r="C2377" s="8"/>
      <c r="D2377" s="8"/>
      <c r="E2377" s="8"/>
      <c r="F2377" s="8"/>
      <c r="G2377" s="8"/>
      <c r="H2377" s="8"/>
      <c r="I2377" s="8"/>
      <c r="J2377" s="8"/>
      <c r="K2377" s="8"/>
      <c r="L2377" s="8"/>
      <c r="M2377" s="8"/>
      <c r="N2377" s="8"/>
      <c r="O2377" s="8"/>
      <c r="P2377" s="8"/>
      <c r="Q2377" s="8"/>
      <c r="R2377" s="8"/>
      <c r="S2377" s="8"/>
      <c r="T2377" s="8"/>
      <c r="U2377" s="8"/>
      <c r="V2377" s="8"/>
      <c r="W2377" s="8"/>
    </row>
    <row r="2378" spans="1:23" ht="15.75" customHeight="1" x14ac:dyDescent="0.25">
      <c r="A2378" s="6" t="s">
        <v>3430</v>
      </c>
      <c r="B2378" s="8"/>
      <c r="C2378" s="8"/>
      <c r="D2378" s="8"/>
      <c r="E2378" s="8"/>
      <c r="F2378" s="8"/>
      <c r="G2378" s="8"/>
      <c r="H2378" s="8"/>
      <c r="I2378" s="8"/>
      <c r="J2378" s="8"/>
      <c r="K2378" s="8"/>
      <c r="L2378" s="8"/>
      <c r="M2378" s="8"/>
      <c r="N2378" s="8"/>
      <c r="O2378" s="8"/>
      <c r="P2378" s="8"/>
      <c r="Q2378" s="8"/>
      <c r="R2378" s="8"/>
      <c r="S2378" s="8"/>
      <c r="T2378" s="8"/>
      <c r="U2378" s="8"/>
      <c r="V2378" s="8"/>
      <c r="W2378" s="8"/>
    </row>
    <row r="2379" spans="1:23" ht="15.75" customHeight="1" x14ac:dyDescent="0.25">
      <c r="A2379" s="6" t="s">
        <v>3430</v>
      </c>
      <c r="B2379" s="8"/>
      <c r="C2379" s="8"/>
      <c r="D2379" s="8"/>
      <c r="E2379" s="8"/>
      <c r="F2379" s="8"/>
      <c r="G2379" s="8"/>
      <c r="H2379" s="8"/>
      <c r="I2379" s="8"/>
      <c r="J2379" s="8"/>
      <c r="K2379" s="8"/>
      <c r="L2379" s="8"/>
      <c r="M2379" s="8"/>
      <c r="N2379" s="8"/>
      <c r="O2379" s="8"/>
      <c r="P2379" s="8"/>
      <c r="Q2379" s="8"/>
      <c r="R2379" s="8"/>
      <c r="S2379" s="8"/>
      <c r="T2379" s="8"/>
      <c r="U2379" s="8"/>
      <c r="V2379" s="8"/>
      <c r="W2379" s="8"/>
    </row>
    <row r="2380" spans="1:23" ht="15.75" customHeight="1" x14ac:dyDescent="0.25">
      <c r="A2380" s="6" t="s">
        <v>3430</v>
      </c>
      <c r="B2380" s="8"/>
      <c r="C2380" s="8"/>
      <c r="D2380" s="8"/>
      <c r="E2380" s="8"/>
      <c r="F2380" s="8"/>
      <c r="G2380" s="8"/>
      <c r="H2380" s="8"/>
      <c r="I2380" s="8"/>
      <c r="J2380" s="8"/>
      <c r="K2380" s="8"/>
      <c r="L2380" s="8"/>
      <c r="M2380" s="8"/>
      <c r="N2380" s="8"/>
      <c r="O2380" s="8"/>
      <c r="P2380" s="8"/>
      <c r="Q2380" s="8"/>
      <c r="R2380" s="8"/>
      <c r="S2380" s="8"/>
      <c r="T2380" s="8"/>
      <c r="U2380" s="8"/>
      <c r="V2380" s="8"/>
      <c r="W2380" s="8"/>
    </row>
    <row r="2381" spans="1:23" ht="15.75" customHeight="1" x14ac:dyDescent="0.25">
      <c r="A2381" s="6" t="s">
        <v>3430</v>
      </c>
      <c r="B2381" s="8"/>
      <c r="C2381" s="8"/>
      <c r="D2381" s="8"/>
      <c r="E2381" s="8"/>
      <c r="F2381" s="8"/>
      <c r="G2381" s="8"/>
      <c r="H2381" s="8"/>
      <c r="I2381" s="8"/>
      <c r="J2381" s="8"/>
      <c r="K2381" s="8"/>
      <c r="L2381" s="8"/>
      <c r="M2381" s="8"/>
      <c r="N2381" s="8"/>
      <c r="O2381" s="8"/>
      <c r="P2381" s="8"/>
      <c r="Q2381" s="8"/>
      <c r="R2381" s="8"/>
      <c r="S2381" s="8"/>
      <c r="T2381" s="8"/>
      <c r="U2381" s="8"/>
      <c r="V2381" s="8"/>
      <c r="W2381" s="8"/>
    </row>
    <row r="2382" spans="1:23" ht="15.75" customHeight="1" x14ac:dyDescent="0.25">
      <c r="A2382" s="6" t="s">
        <v>3430</v>
      </c>
      <c r="B2382" s="8"/>
      <c r="C2382" s="8"/>
      <c r="D2382" s="8"/>
      <c r="E2382" s="8"/>
      <c r="F2382" s="8"/>
      <c r="G2382" s="8"/>
      <c r="H2382" s="8"/>
      <c r="I2382" s="8"/>
      <c r="J2382" s="8"/>
      <c r="K2382" s="8"/>
      <c r="L2382" s="8"/>
      <c r="M2382" s="8"/>
      <c r="N2382" s="8"/>
      <c r="O2382" s="8"/>
      <c r="P2382" s="8"/>
      <c r="Q2382" s="8"/>
      <c r="R2382" s="8"/>
      <c r="S2382" s="8"/>
      <c r="T2382" s="8"/>
      <c r="U2382" s="8"/>
      <c r="V2382" s="8"/>
      <c r="W2382" s="8"/>
    </row>
    <row r="2383" spans="1:23" ht="15.75" customHeight="1" x14ac:dyDescent="0.25">
      <c r="A2383" s="6" t="s">
        <v>3430</v>
      </c>
      <c r="B2383" s="8"/>
      <c r="C2383" s="8"/>
      <c r="D2383" s="8"/>
      <c r="E2383" s="8"/>
      <c r="F2383" s="8"/>
      <c r="G2383" s="8"/>
      <c r="H2383" s="8"/>
      <c r="I2383" s="8"/>
      <c r="J2383" s="8"/>
      <c r="K2383" s="8"/>
      <c r="L2383" s="8"/>
      <c r="M2383" s="8"/>
      <c r="N2383" s="8"/>
      <c r="O2383" s="8"/>
      <c r="P2383" s="8"/>
      <c r="Q2383" s="8"/>
      <c r="R2383" s="8"/>
      <c r="S2383" s="8"/>
      <c r="T2383" s="8"/>
      <c r="U2383" s="8"/>
      <c r="V2383" s="8"/>
      <c r="W2383" s="8"/>
    </row>
    <row r="2384" spans="1:23" ht="15.75" customHeight="1" x14ac:dyDescent="0.25">
      <c r="A2384" s="6" t="s">
        <v>3430</v>
      </c>
      <c r="B2384" s="8"/>
      <c r="C2384" s="8"/>
      <c r="D2384" s="8"/>
      <c r="E2384" s="8"/>
      <c r="F2384" s="8"/>
      <c r="G2384" s="8"/>
      <c r="H2384" s="8"/>
      <c r="I2384" s="8"/>
      <c r="J2384" s="8"/>
      <c r="K2384" s="8"/>
      <c r="L2384" s="8"/>
      <c r="M2384" s="8"/>
      <c r="N2384" s="8"/>
      <c r="O2384" s="8"/>
      <c r="P2384" s="8"/>
      <c r="Q2384" s="8"/>
      <c r="R2384" s="8"/>
      <c r="S2384" s="8"/>
      <c r="T2384" s="8"/>
      <c r="U2384" s="8"/>
      <c r="V2384" s="8"/>
      <c r="W2384" s="8"/>
    </row>
    <row r="2385" spans="1:23" ht="15.75" customHeight="1" x14ac:dyDescent="0.25">
      <c r="A2385" s="6" t="s">
        <v>3430</v>
      </c>
      <c r="B2385" s="8"/>
      <c r="C2385" s="8"/>
      <c r="D2385" s="8"/>
      <c r="E2385" s="8"/>
      <c r="F2385" s="8"/>
      <c r="G2385" s="8"/>
      <c r="H2385" s="8"/>
      <c r="I2385" s="8"/>
      <c r="J2385" s="8"/>
      <c r="K2385" s="8"/>
      <c r="L2385" s="8"/>
      <c r="M2385" s="8"/>
      <c r="N2385" s="8"/>
      <c r="O2385" s="8"/>
      <c r="P2385" s="8"/>
      <c r="Q2385" s="8"/>
      <c r="R2385" s="8"/>
      <c r="S2385" s="8"/>
      <c r="T2385" s="8"/>
      <c r="U2385" s="8"/>
      <c r="V2385" s="8"/>
      <c r="W2385" s="8"/>
    </row>
    <row r="2386" spans="1:23" ht="15.75" customHeight="1" x14ac:dyDescent="0.25">
      <c r="A2386" s="6" t="s">
        <v>3279</v>
      </c>
      <c r="B2386" s="8"/>
      <c r="C2386" s="8"/>
      <c r="D2386" s="8"/>
      <c r="E2386" s="8"/>
      <c r="F2386" s="8"/>
      <c r="G2386" s="8"/>
      <c r="H2386" s="8"/>
      <c r="I2386" s="8"/>
      <c r="J2386" s="8"/>
      <c r="K2386" s="8"/>
      <c r="L2386" s="8"/>
      <c r="M2386" s="8"/>
      <c r="N2386" s="8"/>
      <c r="O2386" s="8"/>
      <c r="P2386" s="8"/>
      <c r="Q2386" s="8"/>
      <c r="R2386" s="8"/>
      <c r="S2386" s="8"/>
      <c r="T2386" s="8"/>
      <c r="U2386" s="8"/>
      <c r="V2386" s="8"/>
      <c r="W2386" s="8"/>
    </row>
    <row r="2387" spans="1:23" ht="15.75" customHeight="1" x14ac:dyDescent="0.25">
      <c r="A2387" s="6" t="s">
        <v>3279</v>
      </c>
      <c r="B2387" s="8"/>
      <c r="C2387" s="8"/>
      <c r="D2387" s="8"/>
      <c r="E2387" s="8"/>
      <c r="F2387" s="8"/>
      <c r="G2387" s="8"/>
      <c r="H2387" s="8"/>
      <c r="I2387" s="8"/>
      <c r="J2387" s="8"/>
      <c r="K2387" s="8"/>
      <c r="L2387" s="8"/>
      <c r="M2387" s="8"/>
      <c r="N2387" s="8"/>
      <c r="O2387" s="8"/>
      <c r="P2387" s="8"/>
      <c r="Q2387" s="8"/>
      <c r="R2387" s="8"/>
      <c r="S2387" s="8"/>
      <c r="T2387" s="8"/>
      <c r="U2387" s="8"/>
      <c r="V2387" s="8"/>
      <c r="W2387" s="8"/>
    </row>
    <row r="2388" spans="1:23" ht="15.75" customHeight="1" x14ac:dyDescent="0.25">
      <c r="A2388" s="6" t="s">
        <v>3279</v>
      </c>
      <c r="B2388" s="8"/>
      <c r="C2388" s="8"/>
      <c r="D2388" s="8"/>
      <c r="E2388" s="8"/>
      <c r="F2388" s="8"/>
      <c r="G2388" s="8"/>
      <c r="H2388" s="8"/>
      <c r="I2388" s="8"/>
      <c r="J2388" s="8"/>
      <c r="K2388" s="8"/>
      <c r="L2388" s="8"/>
      <c r="M2388" s="8"/>
      <c r="N2388" s="8"/>
      <c r="O2388" s="8"/>
      <c r="P2388" s="8"/>
      <c r="Q2388" s="8"/>
      <c r="R2388" s="8"/>
      <c r="S2388" s="8"/>
      <c r="T2388" s="8"/>
      <c r="U2388" s="8"/>
      <c r="V2388" s="8"/>
      <c r="W2388" s="8"/>
    </row>
    <row r="2389" spans="1:23" ht="15.75" customHeight="1" x14ac:dyDescent="0.25">
      <c r="A2389" s="6" t="s">
        <v>3279</v>
      </c>
      <c r="B2389" s="8"/>
      <c r="C2389" s="8"/>
      <c r="D2389" s="8"/>
      <c r="E2389" s="8"/>
      <c r="F2389" s="8"/>
      <c r="G2389" s="8"/>
      <c r="H2389" s="8"/>
      <c r="I2389" s="8"/>
      <c r="J2389" s="8"/>
      <c r="K2389" s="8"/>
      <c r="L2389" s="8"/>
      <c r="M2389" s="8"/>
      <c r="N2389" s="8"/>
      <c r="O2389" s="8"/>
      <c r="P2389" s="8"/>
      <c r="Q2389" s="8"/>
      <c r="R2389" s="8"/>
      <c r="S2389" s="8"/>
      <c r="T2389" s="8"/>
      <c r="U2389" s="8"/>
      <c r="V2389" s="8"/>
      <c r="W2389" s="8"/>
    </row>
    <row r="2390" spans="1:23" ht="15.75" customHeight="1" x14ac:dyDescent="0.25">
      <c r="A2390" s="6" t="s">
        <v>3279</v>
      </c>
      <c r="B2390" s="8"/>
      <c r="C2390" s="8"/>
      <c r="D2390" s="8"/>
      <c r="E2390" s="8"/>
      <c r="F2390" s="8"/>
      <c r="G2390" s="8"/>
      <c r="H2390" s="8"/>
      <c r="I2390" s="8"/>
      <c r="J2390" s="8"/>
      <c r="K2390" s="8"/>
      <c r="L2390" s="8"/>
      <c r="M2390" s="8"/>
      <c r="N2390" s="8"/>
      <c r="O2390" s="8"/>
      <c r="P2390" s="8"/>
      <c r="Q2390" s="8"/>
      <c r="R2390" s="8"/>
      <c r="S2390" s="8"/>
      <c r="T2390" s="8"/>
      <c r="U2390" s="8"/>
      <c r="V2390" s="8"/>
      <c r="W2390" s="8"/>
    </row>
    <row r="2391" spans="1:23" ht="15.75" customHeight="1" x14ac:dyDescent="0.25">
      <c r="A2391" s="6" t="s">
        <v>3279</v>
      </c>
      <c r="B2391" s="8"/>
      <c r="C2391" s="8"/>
      <c r="D2391" s="8"/>
      <c r="E2391" s="8"/>
      <c r="F2391" s="8"/>
      <c r="G2391" s="8"/>
      <c r="H2391" s="8"/>
      <c r="I2391" s="8"/>
      <c r="J2391" s="8"/>
      <c r="K2391" s="8"/>
      <c r="L2391" s="8"/>
      <c r="M2391" s="8"/>
      <c r="N2391" s="8"/>
      <c r="O2391" s="8"/>
      <c r="P2391" s="8"/>
      <c r="Q2391" s="8"/>
      <c r="R2391" s="8"/>
      <c r="S2391" s="8"/>
      <c r="T2391" s="8"/>
      <c r="U2391" s="8"/>
      <c r="V2391" s="8"/>
      <c r="W2391" s="8"/>
    </row>
    <row r="2392" spans="1:23" ht="15.75" customHeight="1" x14ac:dyDescent="0.25">
      <c r="A2392" s="6" t="s">
        <v>3279</v>
      </c>
      <c r="B2392" s="8"/>
      <c r="C2392" s="8"/>
      <c r="D2392" s="8"/>
      <c r="E2392" s="8"/>
      <c r="F2392" s="8"/>
      <c r="G2392" s="8"/>
      <c r="H2392" s="8"/>
      <c r="I2392" s="8"/>
      <c r="J2392" s="8"/>
      <c r="K2392" s="8"/>
      <c r="L2392" s="8"/>
      <c r="M2392" s="8"/>
      <c r="N2392" s="8"/>
      <c r="O2392" s="8"/>
      <c r="P2392" s="8"/>
      <c r="Q2392" s="8"/>
      <c r="R2392" s="8"/>
      <c r="S2392" s="8"/>
      <c r="T2392" s="8"/>
      <c r="U2392" s="8"/>
      <c r="V2392" s="8"/>
      <c r="W2392" s="8"/>
    </row>
    <row r="2393" spans="1:23" ht="15.75" customHeight="1" x14ac:dyDescent="0.25">
      <c r="A2393" s="6" t="s">
        <v>3279</v>
      </c>
      <c r="B2393" s="8"/>
      <c r="C2393" s="8"/>
      <c r="D2393" s="8"/>
      <c r="E2393" s="8"/>
      <c r="F2393" s="8"/>
      <c r="G2393" s="8"/>
      <c r="H2393" s="8"/>
      <c r="I2393" s="8"/>
      <c r="J2393" s="8"/>
      <c r="K2393" s="8"/>
      <c r="L2393" s="8"/>
      <c r="M2393" s="8"/>
      <c r="N2393" s="8"/>
      <c r="O2393" s="8"/>
      <c r="P2393" s="8"/>
      <c r="Q2393" s="8"/>
      <c r="R2393" s="8"/>
      <c r="S2393" s="8"/>
      <c r="T2393" s="8"/>
      <c r="U2393" s="8"/>
      <c r="V2393" s="8"/>
      <c r="W2393" s="8"/>
    </row>
    <row r="2394" spans="1:23" ht="15.75" customHeight="1" x14ac:dyDescent="0.25">
      <c r="A2394" s="6" t="s">
        <v>3279</v>
      </c>
      <c r="B2394" s="8"/>
      <c r="C2394" s="8"/>
      <c r="D2394" s="8"/>
      <c r="E2394" s="8"/>
      <c r="F2394" s="8"/>
      <c r="G2394" s="8"/>
      <c r="H2394" s="8"/>
      <c r="I2394" s="8"/>
      <c r="J2394" s="8"/>
      <c r="K2394" s="8"/>
      <c r="L2394" s="8"/>
      <c r="M2394" s="8"/>
      <c r="N2394" s="8"/>
      <c r="O2394" s="8"/>
      <c r="P2394" s="8"/>
      <c r="Q2394" s="8"/>
      <c r="R2394" s="8"/>
      <c r="S2394" s="8"/>
      <c r="T2394" s="8"/>
      <c r="U2394" s="8"/>
      <c r="V2394" s="8"/>
      <c r="W2394" s="8"/>
    </row>
    <row r="2395" spans="1:23" ht="15.75" customHeight="1" x14ac:dyDescent="0.25">
      <c r="A2395" s="6" t="s">
        <v>3279</v>
      </c>
      <c r="B2395" s="8"/>
      <c r="C2395" s="8"/>
      <c r="D2395" s="8"/>
      <c r="E2395" s="8"/>
      <c r="F2395" s="8"/>
      <c r="G2395" s="8"/>
      <c r="H2395" s="8"/>
      <c r="I2395" s="8"/>
      <c r="J2395" s="8"/>
      <c r="K2395" s="8"/>
      <c r="L2395" s="8"/>
      <c r="M2395" s="8"/>
      <c r="N2395" s="8"/>
      <c r="O2395" s="8"/>
      <c r="P2395" s="8"/>
      <c r="Q2395" s="8"/>
      <c r="R2395" s="8"/>
      <c r="S2395" s="8"/>
      <c r="T2395" s="8"/>
      <c r="U2395" s="8"/>
      <c r="V2395" s="8"/>
      <c r="W2395" s="8"/>
    </row>
    <row r="2396" spans="1:23" ht="15.75" customHeight="1" x14ac:dyDescent="0.25">
      <c r="A2396" s="6" t="s">
        <v>3279</v>
      </c>
      <c r="B2396" s="8"/>
      <c r="C2396" s="8"/>
      <c r="D2396" s="8"/>
      <c r="E2396" s="8"/>
      <c r="F2396" s="8"/>
      <c r="G2396" s="8"/>
      <c r="H2396" s="8"/>
      <c r="I2396" s="8"/>
      <c r="J2396" s="8"/>
      <c r="K2396" s="8"/>
      <c r="L2396" s="8"/>
      <c r="M2396" s="8"/>
      <c r="N2396" s="8"/>
      <c r="O2396" s="8"/>
      <c r="P2396" s="8"/>
      <c r="Q2396" s="8"/>
      <c r="R2396" s="8"/>
      <c r="S2396" s="8"/>
      <c r="T2396" s="8"/>
      <c r="U2396" s="8"/>
      <c r="V2396" s="8"/>
      <c r="W2396" s="8"/>
    </row>
    <row r="2397" spans="1:23" ht="15.75" customHeight="1" x14ac:dyDescent="0.25">
      <c r="A2397" s="6" t="s">
        <v>3279</v>
      </c>
      <c r="B2397" s="8"/>
      <c r="C2397" s="8"/>
      <c r="D2397" s="8"/>
      <c r="E2397" s="8"/>
      <c r="F2397" s="8"/>
      <c r="G2397" s="8"/>
      <c r="H2397" s="8"/>
      <c r="I2397" s="8"/>
      <c r="J2397" s="8"/>
      <c r="K2397" s="8"/>
      <c r="L2397" s="8"/>
      <c r="M2397" s="8"/>
      <c r="N2397" s="8"/>
      <c r="O2397" s="8"/>
      <c r="P2397" s="8"/>
      <c r="Q2397" s="8"/>
      <c r="R2397" s="8"/>
      <c r="S2397" s="8"/>
      <c r="T2397" s="8"/>
      <c r="U2397" s="8"/>
      <c r="V2397" s="8"/>
      <c r="W2397" s="8"/>
    </row>
    <row r="2398" spans="1:23" ht="15.75" customHeight="1" x14ac:dyDescent="0.25">
      <c r="A2398" s="6" t="s">
        <v>3279</v>
      </c>
      <c r="B2398" s="8"/>
      <c r="C2398" s="8"/>
      <c r="D2398" s="8"/>
      <c r="E2398" s="8"/>
      <c r="F2398" s="8"/>
      <c r="G2398" s="8"/>
      <c r="H2398" s="8"/>
      <c r="I2398" s="8"/>
      <c r="J2398" s="8"/>
      <c r="K2398" s="8"/>
      <c r="L2398" s="8"/>
      <c r="M2398" s="8"/>
      <c r="N2398" s="8"/>
      <c r="O2398" s="8"/>
      <c r="P2398" s="8"/>
      <c r="Q2398" s="8"/>
      <c r="R2398" s="8"/>
      <c r="S2398" s="8"/>
      <c r="T2398" s="8"/>
      <c r="U2398" s="8"/>
      <c r="V2398" s="8"/>
      <c r="W2398" s="8"/>
    </row>
    <row r="2399" spans="1:23" ht="15.75" customHeight="1" x14ac:dyDescent="0.25">
      <c r="A2399" s="6" t="s">
        <v>3279</v>
      </c>
      <c r="B2399" s="8"/>
      <c r="C2399" s="8"/>
      <c r="D2399" s="8"/>
      <c r="E2399" s="8"/>
      <c r="F2399" s="8"/>
      <c r="G2399" s="8"/>
      <c r="H2399" s="8"/>
      <c r="I2399" s="8"/>
      <c r="J2399" s="8"/>
      <c r="K2399" s="8"/>
      <c r="L2399" s="8"/>
      <c r="M2399" s="8"/>
      <c r="N2399" s="8"/>
      <c r="O2399" s="8"/>
      <c r="P2399" s="8"/>
      <c r="Q2399" s="8"/>
      <c r="R2399" s="8"/>
      <c r="S2399" s="8"/>
      <c r="T2399" s="8"/>
      <c r="U2399" s="8"/>
      <c r="V2399" s="8"/>
      <c r="W2399" s="8"/>
    </row>
    <row r="2400" spans="1:23" ht="15.75" customHeight="1" x14ac:dyDescent="0.25">
      <c r="A2400" s="6" t="s">
        <v>3279</v>
      </c>
      <c r="B2400" s="8"/>
      <c r="C2400" s="8"/>
      <c r="D2400" s="8"/>
      <c r="E2400" s="8"/>
      <c r="F2400" s="8"/>
      <c r="G2400" s="8"/>
      <c r="H2400" s="8"/>
      <c r="I2400" s="8"/>
      <c r="J2400" s="8"/>
      <c r="K2400" s="8"/>
      <c r="L2400" s="8"/>
      <c r="M2400" s="8"/>
      <c r="N2400" s="8"/>
      <c r="O2400" s="8"/>
      <c r="P2400" s="8"/>
      <c r="Q2400" s="8"/>
      <c r="R2400" s="8"/>
      <c r="S2400" s="8"/>
      <c r="T2400" s="8"/>
      <c r="U2400" s="8"/>
      <c r="V2400" s="8"/>
      <c r="W2400" s="8"/>
    </row>
    <row r="2401" spans="1:23" ht="15.75" customHeight="1" x14ac:dyDescent="0.25">
      <c r="A2401" s="6" t="s">
        <v>3279</v>
      </c>
      <c r="B2401" s="8"/>
      <c r="C2401" s="8"/>
      <c r="D2401" s="8"/>
      <c r="E2401" s="8"/>
      <c r="F2401" s="8"/>
      <c r="G2401" s="8"/>
      <c r="H2401" s="8"/>
      <c r="I2401" s="8"/>
      <c r="J2401" s="8"/>
      <c r="K2401" s="8"/>
      <c r="L2401" s="8"/>
      <c r="M2401" s="8"/>
      <c r="N2401" s="8"/>
      <c r="O2401" s="8"/>
      <c r="P2401" s="8"/>
      <c r="Q2401" s="8"/>
      <c r="R2401" s="8"/>
      <c r="S2401" s="8"/>
      <c r="T2401" s="8"/>
      <c r="U2401" s="8"/>
      <c r="V2401" s="8"/>
      <c r="W2401" s="8"/>
    </row>
    <row r="2402" spans="1:23" ht="15.75" customHeight="1" x14ac:dyDescent="0.25">
      <c r="A2402" s="6" t="s">
        <v>3279</v>
      </c>
      <c r="B2402" s="8"/>
      <c r="C2402" s="8"/>
      <c r="D2402" s="8"/>
      <c r="E2402" s="8"/>
      <c r="F2402" s="8"/>
      <c r="G2402" s="8"/>
      <c r="H2402" s="8"/>
      <c r="I2402" s="8"/>
      <c r="J2402" s="8"/>
      <c r="K2402" s="8"/>
      <c r="L2402" s="8"/>
      <c r="M2402" s="8"/>
      <c r="N2402" s="8"/>
      <c r="O2402" s="8"/>
      <c r="P2402" s="8"/>
      <c r="Q2402" s="8"/>
      <c r="R2402" s="8"/>
      <c r="S2402" s="8"/>
      <c r="T2402" s="8"/>
      <c r="U2402" s="8"/>
      <c r="V2402" s="8"/>
      <c r="W2402" s="8"/>
    </row>
    <row r="2403" spans="1:23" ht="15.75" customHeight="1" x14ac:dyDescent="0.25">
      <c r="A2403" s="6" t="s">
        <v>3279</v>
      </c>
      <c r="B2403" s="8"/>
      <c r="C2403" s="8"/>
      <c r="D2403" s="8"/>
      <c r="E2403" s="8"/>
      <c r="F2403" s="8"/>
      <c r="G2403" s="8"/>
      <c r="H2403" s="8"/>
      <c r="I2403" s="8"/>
      <c r="J2403" s="8"/>
      <c r="K2403" s="8"/>
      <c r="L2403" s="8"/>
      <c r="M2403" s="8"/>
      <c r="N2403" s="8"/>
      <c r="O2403" s="8"/>
      <c r="P2403" s="8"/>
      <c r="Q2403" s="8"/>
      <c r="R2403" s="8"/>
      <c r="S2403" s="8"/>
      <c r="T2403" s="8"/>
      <c r="U2403" s="8"/>
      <c r="V2403" s="8"/>
      <c r="W2403" s="8"/>
    </row>
    <row r="2404" spans="1:23" ht="15.75" customHeight="1" x14ac:dyDescent="0.25">
      <c r="A2404" s="6" t="s">
        <v>4285</v>
      </c>
      <c r="B2404" s="8"/>
      <c r="C2404" s="8"/>
      <c r="D2404" s="8"/>
      <c r="E2404" s="8"/>
      <c r="F2404" s="8"/>
      <c r="G2404" s="8"/>
      <c r="H2404" s="8"/>
      <c r="I2404" s="8"/>
      <c r="J2404" s="8"/>
      <c r="K2404" s="8"/>
      <c r="L2404" s="8"/>
      <c r="M2404" s="8"/>
      <c r="N2404" s="8"/>
      <c r="O2404" s="8"/>
      <c r="P2404" s="8"/>
      <c r="Q2404" s="8"/>
      <c r="R2404" s="8"/>
      <c r="S2404" s="8"/>
      <c r="T2404" s="8"/>
      <c r="U2404" s="8"/>
      <c r="V2404" s="8"/>
      <c r="W2404" s="8"/>
    </row>
    <row r="2405" spans="1:23" ht="15.75" customHeight="1" x14ac:dyDescent="0.25">
      <c r="A2405" s="8" t="s">
        <v>3963</v>
      </c>
      <c r="B2405" s="8"/>
      <c r="C2405" s="8"/>
      <c r="D2405" s="8"/>
      <c r="E2405" s="8"/>
      <c r="F2405" s="8"/>
      <c r="G2405" s="8"/>
      <c r="H2405" s="8"/>
      <c r="I2405" s="8"/>
      <c r="J2405" s="8"/>
      <c r="K2405" s="8"/>
      <c r="L2405" s="8"/>
      <c r="M2405" s="8"/>
      <c r="N2405" s="8"/>
      <c r="O2405" s="8"/>
      <c r="P2405" s="8"/>
      <c r="Q2405" s="8"/>
      <c r="R2405" s="8"/>
      <c r="S2405" s="8"/>
      <c r="T2405" s="8"/>
      <c r="U2405" s="8"/>
      <c r="V2405" s="8"/>
      <c r="W2405" s="8"/>
    </row>
    <row r="2406" spans="1:23" ht="15.75" customHeight="1" x14ac:dyDescent="0.25">
      <c r="A2406" s="6" t="s">
        <v>3963</v>
      </c>
      <c r="B2406" s="8"/>
      <c r="C2406" s="8"/>
      <c r="D2406" s="8"/>
      <c r="E2406" s="8"/>
      <c r="F2406" s="8"/>
      <c r="G2406" s="8"/>
      <c r="H2406" s="8"/>
      <c r="I2406" s="8"/>
      <c r="J2406" s="8"/>
      <c r="K2406" s="8"/>
      <c r="L2406" s="8"/>
      <c r="M2406" s="8"/>
      <c r="N2406" s="8"/>
      <c r="O2406" s="8"/>
      <c r="P2406" s="8"/>
      <c r="Q2406" s="8"/>
      <c r="R2406" s="8"/>
      <c r="S2406" s="8"/>
      <c r="T2406" s="8"/>
      <c r="U2406" s="8"/>
      <c r="V2406" s="8"/>
      <c r="W2406" s="8"/>
    </row>
    <row r="2407" spans="1:23" ht="15.75" customHeight="1" x14ac:dyDescent="0.25">
      <c r="A2407" s="6" t="s">
        <v>4286</v>
      </c>
      <c r="B2407" s="8"/>
      <c r="C2407" s="8"/>
      <c r="D2407" s="8"/>
      <c r="E2407" s="8"/>
      <c r="F2407" s="8"/>
      <c r="G2407" s="8"/>
      <c r="H2407" s="8"/>
      <c r="I2407" s="8"/>
      <c r="J2407" s="8"/>
      <c r="K2407" s="8"/>
      <c r="L2407" s="8"/>
      <c r="M2407" s="8"/>
      <c r="N2407" s="8"/>
      <c r="O2407" s="8"/>
      <c r="P2407" s="8"/>
      <c r="Q2407" s="8"/>
      <c r="R2407" s="8"/>
      <c r="S2407" s="8"/>
      <c r="T2407" s="8"/>
      <c r="U2407" s="8"/>
      <c r="V2407" s="8"/>
      <c r="W2407" s="8"/>
    </row>
    <row r="2408" spans="1:23" ht="15.75" customHeight="1" x14ac:dyDescent="0.25">
      <c r="A2408" s="6" t="s">
        <v>3730</v>
      </c>
      <c r="B2408" s="8"/>
      <c r="C2408" s="8"/>
      <c r="D2408" s="8"/>
      <c r="E2408" s="8"/>
      <c r="F2408" s="8"/>
      <c r="G2408" s="8"/>
      <c r="H2408" s="8"/>
      <c r="I2408" s="8"/>
      <c r="J2408" s="8"/>
      <c r="K2408" s="8"/>
      <c r="L2408" s="8"/>
      <c r="M2408" s="8"/>
      <c r="N2408" s="8"/>
      <c r="O2408" s="8"/>
      <c r="P2408" s="8"/>
      <c r="Q2408" s="8"/>
      <c r="R2408" s="8"/>
      <c r="S2408" s="8"/>
      <c r="T2408" s="8"/>
      <c r="U2408" s="8"/>
      <c r="V2408" s="8"/>
      <c r="W2408" s="8"/>
    </row>
    <row r="2409" spans="1:23" ht="15.75" customHeight="1" x14ac:dyDescent="0.25">
      <c r="A2409" s="6" t="s">
        <v>3730</v>
      </c>
      <c r="B2409" s="8"/>
      <c r="C2409" s="8"/>
      <c r="D2409" s="8"/>
      <c r="E2409" s="8"/>
      <c r="F2409" s="8"/>
      <c r="G2409" s="8"/>
      <c r="H2409" s="8"/>
      <c r="I2409" s="8"/>
      <c r="J2409" s="8"/>
      <c r="K2409" s="8"/>
      <c r="L2409" s="8"/>
      <c r="M2409" s="8"/>
      <c r="N2409" s="8"/>
      <c r="O2409" s="8"/>
      <c r="P2409" s="8"/>
      <c r="Q2409" s="8"/>
      <c r="R2409" s="8"/>
      <c r="S2409" s="8"/>
      <c r="T2409" s="8"/>
      <c r="U2409" s="8"/>
      <c r="V2409" s="8"/>
      <c r="W2409" s="8"/>
    </row>
    <row r="2410" spans="1:23" ht="15.75" customHeight="1" x14ac:dyDescent="0.25">
      <c r="A2410" s="6" t="s">
        <v>3730</v>
      </c>
      <c r="B2410" s="8"/>
      <c r="C2410" s="8"/>
      <c r="D2410" s="8"/>
      <c r="E2410" s="8"/>
      <c r="F2410" s="8"/>
      <c r="G2410" s="8"/>
      <c r="H2410" s="8"/>
      <c r="I2410" s="8"/>
      <c r="J2410" s="8"/>
      <c r="K2410" s="8"/>
      <c r="L2410" s="8"/>
      <c r="M2410" s="8"/>
      <c r="N2410" s="8"/>
      <c r="O2410" s="8"/>
      <c r="P2410" s="8"/>
      <c r="Q2410" s="8"/>
      <c r="R2410" s="8"/>
      <c r="S2410" s="8"/>
      <c r="T2410" s="8"/>
      <c r="U2410" s="8"/>
      <c r="V2410" s="8"/>
      <c r="W2410" s="8"/>
    </row>
    <row r="2411" spans="1:23" ht="15.75" customHeight="1" x14ac:dyDescent="0.25">
      <c r="A2411" s="6" t="s">
        <v>4287</v>
      </c>
      <c r="B2411" s="8"/>
      <c r="C2411" s="8"/>
      <c r="D2411" s="8"/>
      <c r="E2411" s="8"/>
      <c r="F2411" s="8"/>
      <c r="G2411" s="8"/>
      <c r="H2411" s="8"/>
      <c r="I2411" s="8"/>
      <c r="J2411" s="8"/>
      <c r="K2411" s="8"/>
      <c r="L2411" s="8"/>
      <c r="M2411" s="8"/>
      <c r="N2411" s="8"/>
      <c r="O2411" s="8"/>
      <c r="P2411" s="8"/>
      <c r="Q2411" s="8"/>
      <c r="R2411" s="8"/>
      <c r="S2411" s="8"/>
      <c r="T2411" s="8"/>
      <c r="U2411" s="8"/>
      <c r="V2411" s="8"/>
      <c r="W2411" s="8"/>
    </row>
    <row r="2412" spans="1:23" ht="15.75" customHeight="1" x14ac:dyDescent="0.25">
      <c r="A2412" s="6" t="s">
        <v>3636</v>
      </c>
      <c r="B2412" s="8"/>
      <c r="C2412" s="8"/>
      <c r="D2412" s="8"/>
      <c r="E2412" s="8"/>
      <c r="F2412" s="8"/>
      <c r="G2412" s="8"/>
      <c r="H2412" s="8"/>
      <c r="I2412" s="8"/>
      <c r="J2412" s="8"/>
      <c r="K2412" s="8"/>
      <c r="L2412" s="8"/>
      <c r="M2412" s="8"/>
      <c r="N2412" s="8"/>
      <c r="O2412" s="8"/>
      <c r="P2412" s="8"/>
      <c r="Q2412" s="8"/>
      <c r="R2412" s="8"/>
      <c r="S2412" s="8"/>
      <c r="T2412" s="8"/>
      <c r="U2412" s="8"/>
      <c r="V2412" s="8"/>
      <c r="W2412" s="8"/>
    </row>
    <row r="2413" spans="1:23" ht="15.75" customHeight="1" x14ac:dyDescent="0.25">
      <c r="A2413" s="6" t="s">
        <v>3636</v>
      </c>
      <c r="B2413" s="8"/>
      <c r="C2413" s="8"/>
      <c r="D2413" s="8"/>
      <c r="E2413" s="8"/>
      <c r="F2413" s="8"/>
      <c r="G2413" s="8"/>
      <c r="H2413" s="8"/>
      <c r="I2413" s="8"/>
      <c r="J2413" s="8"/>
      <c r="K2413" s="8"/>
      <c r="L2413" s="8"/>
      <c r="M2413" s="8"/>
      <c r="N2413" s="8"/>
      <c r="O2413" s="8"/>
      <c r="P2413" s="8"/>
      <c r="Q2413" s="8"/>
      <c r="R2413" s="8"/>
      <c r="S2413" s="8"/>
      <c r="T2413" s="8"/>
      <c r="U2413" s="8"/>
      <c r="V2413" s="8"/>
      <c r="W2413" s="8"/>
    </row>
    <row r="2414" spans="1:23" ht="15.75" customHeight="1" x14ac:dyDescent="0.25">
      <c r="A2414" s="6" t="s">
        <v>3636</v>
      </c>
      <c r="B2414" s="8"/>
      <c r="C2414" s="8"/>
      <c r="D2414" s="8"/>
      <c r="E2414" s="8"/>
      <c r="F2414" s="8"/>
      <c r="G2414" s="8"/>
      <c r="H2414" s="8"/>
      <c r="I2414" s="8"/>
      <c r="J2414" s="8"/>
      <c r="K2414" s="8"/>
      <c r="L2414" s="8"/>
      <c r="M2414" s="8"/>
      <c r="N2414" s="8"/>
      <c r="O2414" s="8"/>
      <c r="P2414" s="8"/>
      <c r="Q2414" s="8"/>
      <c r="R2414" s="8"/>
      <c r="S2414" s="8"/>
      <c r="T2414" s="8"/>
      <c r="U2414" s="8"/>
      <c r="V2414" s="8"/>
      <c r="W2414" s="8"/>
    </row>
    <row r="2415" spans="1:23" ht="15.75" customHeight="1" x14ac:dyDescent="0.25">
      <c r="A2415" s="6" t="s">
        <v>3636</v>
      </c>
      <c r="B2415" s="8"/>
      <c r="C2415" s="8"/>
      <c r="D2415" s="8"/>
      <c r="E2415" s="8"/>
      <c r="F2415" s="8"/>
      <c r="G2415" s="8"/>
      <c r="H2415" s="8"/>
      <c r="I2415" s="8"/>
      <c r="J2415" s="8"/>
      <c r="K2415" s="8"/>
      <c r="L2415" s="8"/>
      <c r="M2415" s="8"/>
      <c r="N2415" s="8"/>
      <c r="O2415" s="8"/>
      <c r="P2415" s="8"/>
      <c r="Q2415" s="8"/>
      <c r="R2415" s="8"/>
      <c r="S2415" s="8"/>
      <c r="T2415" s="8"/>
      <c r="U2415" s="8"/>
      <c r="V2415" s="8"/>
      <c r="W2415" s="8"/>
    </row>
    <row r="2416" spans="1:23" ht="15.75" customHeight="1" x14ac:dyDescent="0.25">
      <c r="A2416" s="8" t="s">
        <v>3639</v>
      </c>
      <c r="B2416" s="8"/>
      <c r="C2416" s="8"/>
      <c r="D2416" s="8"/>
      <c r="E2416" s="8"/>
      <c r="F2416" s="8"/>
      <c r="G2416" s="8"/>
      <c r="H2416" s="8"/>
      <c r="I2416" s="8"/>
      <c r="J2416" s="8"/>
      <c r="K2416" s="8"/>
      <c r="L2416" s="8"/>
      <c r="M2416" s="8"/>
      <c r="N2416" s="8"/>
      <c r="O2416" s="8"/>
      <c r="P2416" s="8"/>
      <c r="Q2416" s="8"/>
      <c r="R2416" s="8"/>
      <c r="S2416" s="8"/>
      <c r="T2416" s="8"/>
      <c r="U2416" s="8"/>
      <c r="V2416" s="8"/>
      <c r="W2416" s="8"/>
    </row>
    <row r="2417" spans="1:23" ht="15.75" customHeight="1" x14ac:dyDescent="0.25">
      <c r="A2417" s="6" t="s">
        <v>3639</v>
      </c>
      <c r="B2417" s="8"/>
      <c r="C2417" s="8"/>
      <c r="D2417" s="8"/>
      <c r="E2417" s="8"/>
      <c r="F2417" s="8"/>
      <c r="G2417" s="8"/>
      <c r="H2417" s="8"/>
      <c r="I2417" s="8"/>
      <c r="J2417" s="8"/>
      <c r="K2417" s="8"/>
      <c r="L2417" s="8"/>
      <c r="M2417" s="8"/>
      <c r="N2417" s="8"/>
      <c r="O2417" s="8"/>
      <c r="P2417" s="8"/>
      <c r="Q2417" s="8"/>
      <c r="R2417" s="8"/>
      <c r="S2417" s="8"/>
      <c r="T2417" s="8"/>
      <c r="U2417" s="8"/>
      <c r="V2417" s="8"/>
      <c r="W2417" s="8"/>
    </row>
    <row r="2418" spans="1:23" ht="15.75" customHeight="1" x14ac:dyDescent="0.25">
      <c r="A2418" s="6" t="s">
        <v>3639</v>
      </c>
      <c r="B2418" s="8"/>
      <c r="C2418" s="8"/>
      <c r="D2418" s="8"/>
      <c r="E2418" s="8"/>
      <c r="F2418" s="8"/>
      <c r="G2418" s="8"/>
      <c r="H2418" s="8"/>
      <c r="I2418" s="8"/>
      <c r="J2418" s="8"/>
      <c r="K2418" s="8"/>
      <c r="L2418" s="8"/>
      <c r="M2418" s="8"/>
      <c r="N2418" s="8"/>
      <c r="O2418" s="8"/>
      <c r="P2418" s="8"/>
      <c r="Q2418" s="8"/>
      <c r="R2418" s="8"/>
      <c r="S2418" s="8"/>
      <c r="T2418" s="8"/>
      <c r="U2418" s="8"/>
      <c r="V2418" s="8"/>
      <c r="W2418" s="8"/>
    </row>
    <row r="2419" spans="1:23" ht="15.75" customHeight="1" x14ac:dyDescent="0.25">
      <c r="A2419" s="8" t="s">
        <v>3639</v>
      </c>
      <c r="B2419" s="8"/>
      <c r="C2419" s="8"/>
      <c r="D2419" s="8"/>
      <c r="E2419" s="8"/>
      <c r="F2419" s="8"/>
      <c r="G2419" s="8"/>
      <c r="H2419" s="8"/>
      <c r="I2419" s="8"/>
      <c r="J2419" s="8"/>
      <c r="K2419" s="8"/>
      <c r="L2419" s="8"/>
      <c r="M2419" s="8"/>
      <c r="N2419" s="8"/>
      <c r="O2419" s="8"/>
      <c r="P2419" s="8"/>
      <c r="Q2419" s="8"/>
      <c r="R2419" s="8"/>
      <c r="S2419" s="8"/>
      <c r="T2419" s="8"/>
      <c r="U2419" s="8"/>
      <c r="V2419" s="8"/>
      <c r="W2419" s="8"/>
    </row>
    <row r="2420" spans="1:23" ht="15.75" customHeight="1" x14ac:dyDescent="0.25">
      <c r="A2420" s="6" t="s">
        <v>2438</v>
      </c>
      <c r="B2420" s="8"/>
      <c r="C2420" s="8"/>
      <c r="D2420" s="8"/>
      <c r="E2420" s="8"/>
      <c r="F2420" s="8"/>
      <c r="G2420" s="8"/>
      <c r="H2420" s="8"/>
      <c r="I2420" s="8"/>
      <c r="J2420" s="8"/>
      <c r="K2420" s="8"/>
      <c r="L2420" s="8"/>
      <c r="M2420" s="8"/>
      <c r="N2420" s="8"/>
      <c r="O2420" s="8"/>
      <c r="P2420" s="8"/>
      <c r="Q2420" s="8"/>
      <c r="R2420" s="8"/>
      <c r="S2420" s="8"/>
      <c r="T2420" s="8"/>
      <c r="U2420" s="8"/>
      <c r="V2420" s="8"/>
      <c r="W2420" s="8"/>
    </row>
    <row r="2421" spans="1:23" ht="15.75" customHeight="1" x14ac:dyDescent="0.25">
      <c r="A2421" s="6" t="s">
        <v>2438</v>
      </c>
      <c r="B2421" s="8"/>
      <c r="C2421" s="8"/>
      <c r="D2421" s="8"/>
      <c r="E2421" s="8"/>
      <c r="F2421" s="8"/>
      <c r="G2421" s="8"/>
      <c r="H2421" s="8"/>
      <c r="I2421" s="8"/>
      <c r="J2421" s="8"/>
      <c r="K2421" s="8"/>
      <c r="L2421" s="8"/>
      <c r="M2421" s="8"/>
      <c r="N2421" s="8"/>
      <c r="O2421" s="8"/>
      <c r="P2421" s="8"/>
      <c r="Q2421" s="8"/>
      <c r="R2421" s="8"/>
      <c r="S2421" s="8"/>
      <c r="T2421" s="8"/>
      <c r="U2421" s="8"/>
      <c r="V2421" s="8"/>
      <c r="W2421" s="8"/>
    </row>
    <row r="2422" spans="1:23" ht="15.75" customHeight="1" x14ac:dyDescent="0.25">
      <c r="A2422" s="6" t="s">
        <v>2438</v>
      </c>
      <c r="B2422" s="8"/>
      <c r="C2422" s="8"/>
      <c r="D2422" s="8"/>
      <c r="E2422" s="8"/>
      <c r="F2422" s="8"/>
      <c r="G2422" s="8"/>
      <c r="H2422" s="8"/>
      <c r="I2422" s="8"/>
      <c r="J2422" s="8"/>
      <c r="K2422" s="8"/>
      <c r="L2422" s="8"/>
      <c r="M2422" s="8"/>
      <c r="N2422" s="8"/>
      <c r="O2422" s="8"/>
      <c r="P2422" s="8"/>
      <c r="Q2422" s="8"/>
      <c r="R2422" s="8"/>
      <c r="S2422" s="8"/>
      <c r="T2422" s="8"/>
      <c r="U2422" s="8"/>
      <c r="V2422" s="8"/>
      <c r="W2422" s="8"/>
    </row>
    <row r="2423" spans="1:23" ht="15.75" customHeight="1" x14ac:dyDescent="0.25">
      <c r="A2423" s="6" t="s">
        <v>2438</v>
      </c>
      <c r="B2423" s="8"/>
      <c r="C2423" s="8"/>
      <c r="D2423" s="8"/>
      <c r="E2423" s="8"/>
      <c r="F2423" s="8"/>
      <c r="G2423" s="8"/>
      <c r="H2423" s="8"/>
      <c r="I2423" s="8"/>
      <c r="J2423" s="8"/>
      <c r="K2423" s="8"/>
      <c r="L2423" s="8"/>
      <c r="M2423" s="8"/>
      <c r="N2423" s="8"/>
      <c r="O2423" s="8"/>
      <c r="P2423" s="8"/>
      <c r="Q2423" s="8"/>
      <c r="R2423" s="8"/>
      <c r="S2423" s="8"/>
      <c r="T2423" s="8"/>
      <c r="U2423" s="8"/>
      <c r="V2423" s="8"/>
      <c r="W2423" s="8"/>
    </row>
    <row r="2424" spans="1:23" ht="15.75" customHeight="1" x14ac:dyDescent="0.25">
      <c r="A2424" s="6" t="s">
        <v>2438</v>
      </c>
      <c r="B2424" s="8"/>
      <c r="C2424" s="8"/>
      <c r="D2424" s="8"/>
      <c r="E2424" s="8"/>
      <c r="F2424" s="8"/>
      <c r="G2424" s="8"/>
      <c r="H2424" s="8"/>
      <c r="I2424" s="8"/>
      <c r="J2424" s="8"/>
      <c r="K2424" s="8"/>
      <c r="L2424" s="8"/>
      <c r="M2424" s="8"/>
      <c r="N2424" s="8"/>
      <c r="O2424" s="8"/>
      <c r="P2424" s="8"/>
      <c r="Q2424" s="8"/>
      <c r="R2424" s="8"/>
      <c r="S2424" s="8"/>
      <c r="T2424" s="8"/>
      <c r="U2424" s="8"/>
      <c r="V2424" s="8"/>
      <c r="W2424" s="8"/>
    </row>
    <row r="2425" spans="1:23" ht="15.75" customHeight="1" x14ac:dyDescent="0.25">
      <c r="A2425" s="6" t="s">
        <v>2438</v>
      </c>
      <c r="B2425" s="8"/>
      <c r="C2425" s="8"/>
      <c r="D2425" s="8"/>
      <c r="E2425" s="8"/>
      <c r="F2425" s="8"/>
      <c r="G2425" s="8"/>
      <c r="H2425" s="8"/>
      <c r="I2425" s="8"/>
      <c r="J2425" s="8"/>
      <c r="K2425" s="8"/>
      <c r="L2425" s="8"/>
      <c r="M2425" s="8"/>
      <c r="N2425" s="8"/>
      <c r="O2425" s="8"/>
      <c r="P2425" s="8"/>
      <c r="Q2425" s="8"/>
      <c r="R2425" s="8"/>
      <c r="S2425" s="8"/>
      <c r="T2425" s="8"/>
      <c r="U2425" s="8"/>
      <c r="V2425" s="8"/>
      <c r="W2425" s="8"/>
    </row>
    <row r="2426" spans="1:23" ht="15.75" customHeight="1" x14ac:dyDescent="0.25">
      <c r="A2426" s="6" t="s">
        <v>2438</v>
      </c>
      <c r="B2426" s="8"/>
      <c r="C2426" s="8"/>
      <c r="D2426" s="8"/>
      <c r="E2426" s="8"/>
      <c r="F2426" s="8"/>
      <c r="G2426" s="8"/>
      <c r="H2426" s="8"/>
      <c r="I2426" s="8"/>
      <c r="J2426" s="8"/>
      <c r="K2426" s="8"/>
      <c r="L2426" s="8"/>
      <c r="M2426" s="8"/>
      <c r="N2426" s="8"/>
      <c r="O2426" s="8"/>
      <c r="P2426" s="8"/>
      <c r="Q2426" s="8"/>
      <c r="R2426" s="8"/>
      <c r="S2426" s="8"/>
      <c r="T2426" s="8"/>
      <c r="U2426" s="8"/>
      <c r="V2426" s="8"/>
      <c r="W2426" s="8"/>
    </row>
    <row r="2427" spans="1:23" ht="15.75" customHeight="1" x14ac:dyDescent="0.25">
      <c r="A2427" s="6" t="s">
        <v>2438</v>
      </c>
      <c r="B2427" s="8"/>
      <c r="C2427" s="8"/>
      <c r="D2427" s="8"/>
      <c r="E2427" s="8"/>
      <c r="F2427" s="8"/>
      <c r="G2427" s="8"/>
      <c r="H2427" s="8"/>
      <c r="I2427" s="8"/>
      <c r="J2427" s="8"/>
      <c r="K2427" s="8"/>
      <c r="L2427" s="8"/>
      <c r="M2427" s="8"/>
      <c r="N2427" s="8"/>
      <c r="O2427" s="8"/>
      <c r="P2427" s="8"/>
      <c r="Q2427" s="8"/>
      <c r="R2427" s="8"/>
      <c r="S2427" s="8"/>
      <c r="T2427" s="8"/>
      <c r="U2427" s="8"/>
      <c r="V2427" s="8"/>
      <c r="W2427" s="8"/>
    </row>
    <row r="2428" spans="1:23" ht="15.75" customHeight="1" x14ac:dyDescent="0.25">
      <c r="A2428" s="6" t="s">
        <v>2438</v>
      </c>
      <c r="B2428" s="8"/>
      <c r="C2428" s="8"/>
      <c r="D2428" s="8"/>
      <c r="E2428" s="8"/>
      <c r="F2428" s="8"/>
      <c r="G2428" s="8"/>
      <c r="H2428" s="8"/>
      <c r="I2428" s="8"/>
      <c r="J2428" s="8"/>
      <c r="K2428" s="8"/>
      <c r="L2428" s="8"/>
      <c r="M2428" s="8"/>
      <c r="N2428" s="8"/>
      <c r="O2428" s="8"/>
      <c r="P2428" s="8"/>
      <c r="Q2428" s="8"/>
      <c r="R2428" s="8"/>
      <c r="S2428" s="8"/>
      <c r="T2428" s="8"/>
      <c r="U2428" s="8"/>
      <c r="V2428" s="8"/>
      <c r="W2428" s="8"/>
    </row>
    <row r="2429" spans="1:23" ht="15.75" customHeight="1" x14ac:dyDescent="0.25">
      <c r="A2429" s="6" t="s">
        <v>2438</v>
      </c>
      <c r="B2429" s="8"/>
      <c r="C2429" s="8"/>
      <c r="D2429" s="8"/>
      <c r="E2429" s="8"/>
      <c r="F2429" s="8"/>
      <c r="G2429" s="8"/>
      <c r="H2429" s="8"/>
      <c r="I2429" s="8"/>
      <c r="J2429" s="8"/>
      <c r="K2429" s="8"/>
      <c r="L2429" s="8"/>
      <c r="M2429" s="8"/>
      <c r="N2429" s="8"/>
      <c r="O2429" s="8"/>
      <c r="P2429" s="8"/>
      <c r="Q2429" s="8"/>
      <c r="R2429" s="8"/>
      <c r="S2429" s="8"/>
      <c r="T2429" s="8"/>
      <c r="U2429" s="8"/>
      <c r="V2429" s="8"/>
      <c r="W2429" s="8"/>
    </row>
    <row r="2430" spans="1:23" ht="15.75" customHeight="1" x14ac:dyDescent="0.25">
      <c r="A2430" s="6" t="s">
        <v>2438</v>
      </c>
      <c r="B2430" s="8"/>
      <c r="C2430" s="8"/>
      <c r="D2430" s="8"/>
      <c r="E2430" s="8"/>
      <c r="F2430" s="8"/>
      <c r="G2430" s="8"/>
      <c r="H2430" s="8"/>
      <c r="I2430" s="8"/>
      <c r="J2430" s="8"/>
      <c r="K2430" s="8"/>
      <c r="L2430" s="8"/>
      <c r="M2430" s="8"/>
      <c r="N2430" s="8"/>
      <c r="O2430" s="8"/>
      <c r="P2430" s="8"/>
      <c r="Q2430" s="8"/>
      <c r="R2430" s="8"/>
      <c r="S2430" s="8"/>
      <c r="T2430" s="8"/>
      <c r="U2430" s="8"/>
      <c r="V2430" s="8"/>
      <c r="W2430" s="8"/>
    </row>
    <row r="2431" spans="1:23" ht="15.75" customHeight="1" x14ac:dyDescent="0.25">
      <c r="A2431" s="6" t="s">
        <v>2438</v>
      </c>
      <c r="B2431" s="8"/>
      <c r="C2431" s="8"/>
      <c r="D2431" s="8"/>
      <c r="E2431" s="8"/>
      <c r="F2431" s="8"/>
      <c r="G2431" s="8"/>
      <c r="H2431" s="8"/>
      <c r="I2431" s="8"/>
      <c r="J2431" s="8"/>
      <c r="K2431" s="8"/>
      <c r="L2431" s="8"/>
      <c r="M2431" s="8"/>
      <c r="N2431" s="8"/>
      <c r="O2431" s="8"/>
      <c r="P2431" s="8"/>
      <c r="Q2431" s="8"/>
      <c r="R2431" s="8"/>
      <c r="S2431" s="8"/>
      <c r="T2431" s="8"/>
      <c r="U2431" s="8"/>
      <c r="V2431" s="8"/>
      <c r="W2431" s="8"/>
    </row>
    <row r="2432" spans="1:23" ht="15.75" customHeight="1" x14ac:dyDescent="0.25">
      <c r="A2432" s="6" t="s">
        <v>2438</v>
      </c>
      <c r="B2432" s="8"/>
      <c r="C2432" s="8"/>
      <c r="D2432" s="8"/>
      <c r="E2432" s="8"/>
      <c r="F2432" s="8"/>
      <c r="G2432" s="8"/>
      <c r="H2432" s="8"/>
      <c r="I2432" s="8"/>
      <c r="J2432" s="8"/>
      <c r="K2432" s="8"/>
      <c r="L2432" s="8"/>
      <c r="M2432" s="8"/>
      <c r="N2432" s="8"/>
      <c r="O2432" s="8"/>
      <c r="P2432" s="8"/>
      <c r="Q2432" s="8"/>
      <c r="R2432" s="8"/>
      <c r="S2432" s="8"/>
      <c r="T2432" s="8"/>
      <c r="U2432" s="8"/>
      <c r="V2432" s="8"/>
      <c r="W2432" s="8"/>
    </row>
    <row r="2433" spans="1:23" ht="15.75" customHeight="1" x14ac:dyDescent="0.25">
      <c r="A2433" s="6" t="s">
        <v>2438</v>
      </c>
      <c r="B2433" s="8"/>
      <c r="C2433" s="8"/>
      <c r="D2433" s="8"/>
      <c r="E2433" s="8"/>
      <c r="F2433" s="8"/>
      <c r="G2433" s="8"/>
      <c r="H2433" s="8"/>
      <c r="I2433" s="8"/>
      <c r="J2433" s="8"/>
      <c r="K2433" s="8"/>
      <c r="L2433" s="8"/>
      <c r="M2433" s="8"/>
      <c r="N2433" s="8"/>
      <c r="O2433" s="8"/>
      <c r="P2433" s="8"/>
      <c r="Q2433" s="8"/>
      <c r="R2433" s="8"/>
      <c r="S2433" s="8"/>
      <c r="T2433" s="8"/>
      <c r="U2433" s="8"/>
      <c r="V2433" s="8"/>
      <c r="W2433" s="8"/>
    </row>
    <row r="2434" spans="1:23" ht="15.75" customHeight="1" x14ac:dyDescent="0.25">
      <c r="A2434" s="6" t="s">
        <v>2438</v>
      </c>
      <c r="B2434" s="8"/>
      <c r="C2434" s="8"/>
      <c r="D2434" s="8"/>
      <c r="E2434" s="8"/>
      <c r="F2434" s="8"/>
      <c r="G2434" s="8"/>
      <c r="H2434" s="8"/>
      <c r="I2434" s="8"/>
      <c r="J2434" s="8"/>
      <c r="K2434" s="8"/>
      <c r="L2434" s="8"/>
      <c r="M2434" s="8"/>
      <c r="N2434" s="8"/>
      <c r="O2434" s="8"/>
      <c r="P2434" s="8"/>
      <c r="Q2434" s="8"/>
      <c r="R2434" s="8"/>
      <c r="S2434" s="8"/>
      <c r="T2434" s="8"/>
      <c r="U2434" s="8"/>
      <c r="V2434" s="8"/>
      <c r="W2434" s="8"/>
    </row>
    <row r="2435" spans="1:23" ht="15.75" customHeight="1" x14ac:dyDescent="0.25">
      <c r="A2435" s="6" t="s">
        <v>2438</v>
      </c>
      <c r="B2435" s="8"/>
      <c r="C2435" s="8"/>
      <c r="D2435" s="8"/>
      <c r="E2435" s="8"/>
      <c r="F2435" s="8"/>
      <c r="G2435" s="8"/>
      <c r="H2435" s="8"/>
      <c r="I2435" s="8"/>
      <c r="J2435" s="8"/>
      <c r="K2435" s="8"/>
      <c r="L2435" s="8"/>
      <c r="M2435" s="8"/>
      <c r="N2435" s="8"/>
      <c r="O2435" s="8"/>
      <c r="P2435" s="8"/>
      <c r="Q2435" s="8"/>
      <c r="R2435" s="8"/>
      <c r="S2435" s="8"/>
      <c r="T2435" s="8"/>
      <c r="U2435" s="8"/>
      <c r="V2435" s="8"/>
      <c r="W2435" s="8"/>
    </row>
    <row r="2436" spans="1:23" ht="15.75" customHeight="1" x14ac:dyDescent="0.25">
      <c r="A2436" s="6" t="s">
        <v>2438</v>
      </c>
      <c r="B2436" s="8"/>
      <c r="C2436" s="8"/>
      <c r="D2436" s="8"/>
      <c r="E2436" s="8"/>
      <c r="F2436" s="8"/>
      <c r="G2436" s="8"/>
      <c r="H2436" s="8"/>
      <c r="I2436" s="8"/>
      <c r="J2436" s="8"/>
      <c r="K2436" s="8"/>
      <c r="L2436" s="8"/>
      <c r="M2436" s="8"/>
      <c r="N2436" s="8"/>
      <c r="O2436" s="8"/>
      <c r="P2436" s="8"/>
      <c r="Q2436" s="8"/>
      <c r="R2436" s="8"/>
      <c r="S2436" s="8"/>
      <c r="T2436" s="8"/>
      <c r="U2436" s="8"/>
      <c r="V2436" s="8"/>
      <c r="W2436" s="8"/>
    </row>
    <row r="2437" spans="1:23" ht="15.75" customHeight="1" x14ac:dyDescent="0.25">
      <c r="A2437" s="6" t="s">
        <v>2438</v>
      </c>
      <c r="B2437" s="8"/>
      <c r="C2437" s="8"/>
      <c r="D2437" s="8"/>
      <c r="E2437" s="8"/>
      <c r="F2437" s="8"/>
      <c r="G2437" s="8"/>
      <c r="H2437" s="8"/>
      <c r="I2437" s="8"/>
      <c r="J2437" s="8"/>
      <c r="K2437" s="8"/>
      <c r="L2437" s="8"/>
      <c r="M2437" s="8"/>
      <c r="N2437" s="8"/>
      <c r="O2437" s="8"/>
      <c r="P2437" s="8"/>
      <c r="Q2437" s="8"/>
      <c r="R2437" s="8"/>
      <c r="S2437" s="8"/>
      <c r="T2437" s="8"/>
      <c r="U2437" s="8"/>
      <c r="V2437" s="8"/>
      <c r="W2437" s="8"/>
    </row>
    <row r="2438" spans="1:23" ht="15.75" customHeight="1" x14ac:dyDescent="0.25">
      <c r="A2438" s="6" t="s">
        <v>2438</v>
      </c>
      <c r="B2438" s="8"/>
      <c r="C2438" s="8"/>
      <c r="D2438" s="8"/>
      <c r="E2438" s="8"/>
      <c r="F2438" s="8"/>
      <c r="G2438" s="8"/>
      <c r="H2438" s="8"/>
      <c r="I2438" s="8"/>
      <c r="J2438" s="8"/>
      <c r="K2438" s="8"/>
      <c r="L2438" s="8"/>
      <c r="M2438" s="8"/>
      <c r="N2438" s="8"/>
      <c r="O2438" s="8"/>
      <c r="P2438" s="8"/>
      <c r="Q2438" s="8"/>
      <c r="R2438" s="8"/>
      <c r="S2438" s="8"/>
      <c r="T2438" s="8"/>
      <c r="U2438" s="8"/>
      <c r="V2438" s="8"/>
      <c r="W2438" s="8"/>
    </row>
    <row r="2439" spans="1:23" ht="15.75" customHeight="1" x14ac:dyDescent="0.25">
      <c r="A2439" s="6" t="s">
        <v>2438</v>
      </c>
      <c r="B2439" s="8"/>
      <c r="C2439" s="8"/>
      <c r="D2439" s="8"/>
      <c r="E2439" s="8"/>
      <c r="F2439" s="8"/>
      <c r="G2439" s="8"/>
      <c r="H2439" s="8"/>
      <c r="I2439" s="8"/>
      <c r="J2439" s="8"/>
      <c r="K2439" s="8"/>
      <c r="L2439" s="8"/>
      <c r="M2439" s="8"/>
      <c r="N2439" s="8"/>
      <c r="O2439" s="8"/>
      <c r="P2439" s="8"/>
      <c r="Q2439" s="8"/>
      <c r="R2439" s="8"/>
      <c r="S2439" s="8"/>
      <c r="T2439" s="8"/>
      <c r="U2439" s="8"/>
      <c r="V2439" s="8"/>
      <c r="W2439" s="8"/>
    </row>
    <row r="2440" spans="1:23" ht="15.75" customHeight="1" x14ac:dyDescent="0.25">
      <c r="A2440" s="8" t="s">
        <v>2438</v>
      </c>
      <c r="B2440" s="8"/>
      <c r="C2440" s="8"/>
      <c r="D2440" s="8"/>
      <c r="E2440" s="8"/>
      <c r="F2440" s="8"/>
      <c r="G2440" s="8"/>
      <c r="H2440" s="8"/>
      <c r="I2440" s="8"/>
      <c r="J2440" s="8"/>
      <c r="K2440" s="8"/>
      <c r="L2440" s="8"/>
      <c r="M2440" s="8"/>
      <c r="N2440" s="8"/>
      <c r="O2440" s="8"/>
      <c r="P2440" s="8"/>
      <c r="Q2440" s="8"/>
      <c r="R2440" s="8"/>
      <c r="S2440" s="8"/>
      <c r="T2440" s="8"/>
      <c r="U2440" s="8"/>
      <c r="V2440" s="8"/>
      <c r="W2440" s="8"/>
    </row>
    <row r="2441" spans="1:23" ht="15.75" customHeight="1" x14ac:dyDescent="0.25">
      <c r="A2441" s="6" t="s">
        <v>2438</v>
      </c>
      <c r="B2441" s="8"/>
      <c r="C2441" s="8"/>
      <c r="D2441" s="8"/>
      <c r="E2441" s="8"/>
      <c r="F2441" s="8"/>
      <c r="G2441" s="8"/>
      <c r="H2441" s="8"/>
      <c r="I2441" s="8"/>
      <c r="J2441" s="8"/>
      <c r="K2441" s="8"/>
      <c r="L2441" s="8"/>
      <c r="M2441" s="8"/>
      <c r="N2441" s="8"/>
      <c r="O2441" s="8"/>
      <c r="P2441" s="8"/>
      <c r="Q2441" s="8"/>
      <c r="R2441" s="8"/>
      <c r="S2441" s="8"/>
      <c r="T2441" s="8"/>
      <c r="U2441" s="8"/>
      <c r="V2441" s="8"/>
      <c r="W2441" s="8"/>
    </row>
    <row r="2442" spans="1:23" ht="15.75" customHeight="1" x14ac:dyDescent="0.25">
      <c r="A2442" s="6" t="s">
        <v>2438</v>
      </c>
      <c r="B2442" s="8"/>
      <c r="C2442" s="8"/>
      <c r="D2442" s="8"/>
      <c r="E2442" s="8"/>
      <c r="F2442" s="8"/>
      <c r="G2442" s="8"/>
      <c r="H2442" s="8"/>
      <c r="I2442" s="8"/>
      <c r="J2442" s="8"/>
      <c r="K2442" s="8"/>
      <c r="L2442" s="8"/>
      <c r="M2442" s="8"/>
      <c r="N2442" s="8"/>
      <c r="O2442" s="8"/>
      <c r="P2442" s="8"/>
      <c r="Q2442" s="8"/>
      <c r="R2442" s="8"/>
      <c r="S2442" s="8"/>
      <c r="T2442" s="8"/>
      <c r="U2442" s="8"/>
      <c r="V2442" s="8"/>
      <c r="W2442" s="8"/>
    </row>
    <row r="2443" spans="1:23" ht="15.75" customHeight="1" x14ac:dyDescent="0.25">
      <c r="A2443" s="6" t="s">
        <v>2438</v>
      </c>
      <c r="B2443" s="8"/>
      <c r="C2443" s="8"/>
      <c r="D2443" s="8"/>
      <c r="E2443" s="8"/>
      <c r="F2443" s="8"/>
      <c r="G2443" s="8"/>
      <c r="H2443" s="8"/>
      <c r="I2443" s="8"/>
      <c r="J2443" s="8"/>
      <c r="K2443" s="8"/>
      <c r="L2443" s="8"/>
      <c r="M2443" s="8"/>
      <c r="N2443" s="8"/>
      <c r="O2443" s="8"/>
      <c r="P2443" s="8"/>
      <c r="Q2443" s="8"/>
      <c r="R2443" s="8"/>
      <c r="S2443" s="8"/>
      <c r="T2443" s="8"/>
      <c r="U2443" s="8"/>
      <c r="V2443" s="8"/>
      <c r="W2443" s="8"/>
    </row>
    <row r="2444" spans="1:23" ht="15.75" customHeight="1" x14ac:dyDescent="0.25">
      <c r="A2444" s="6" t="s">
        <v>2438</v>
      </c>
      <c r="B2444" s="8"/>
      <c r="C2444" s="8"/>
      <c r="D2444" s="8"/>
      <c r="E2444" s="8"/>
      <c r="F2444" s="8"/>
      <c r="G2444" s="8"/>
      <c r="H2444" s="8"/>
      <c r="I2444" s="8"/>
      <c r="J2444" s="8"/>
      <c r="K2444" s="8"/>
      <c r="L2444" s="8"/>
      <c r="M2444" s="8"/>
      <c r="N2444" s="8"/>
      <c r="O2444" s="8"/>
      <c r="P2444" s="8"/>
      <c r="Q2444" s="8"/>
      <c r="R2444" s="8"/>
      <c r="S2444" s="8"/>
      <c r="T2444" s="8"/>
      <c r="U2444" s="8"/>
      <c r="V2444" s="8"/>
      <c r="W2444" s="8"/>
    </row>
    <row r="2445" spans="1:23" ht="15.75" customHeight="1" x14ac:dyDescent="0.25">
      <c r="A2445" s="6" t="s">
        <v>2438</v>
      </c>
      <c r="B2445" s="8"/>
      <c r="C2445" s="8"/>
      <c r="D2445" s="8"/>
      <c r="E2445" s="8"/>
      <c r="F2445" s="8"/>
      <c r="G2445" s="8"/>
      <c r="H2445" s="8"/>
      <c r="I2445" s="8"/>
      <c r="J2445" s="8"/>
      <c r="K2445" s="8"/>
      <c r="L2445" s="8"/>
      <c r="M2445" s="8"/>
      <c r="N2445" s="8"/>
      <c r="O2445" s="8"/>
      <c r="P2445" s="8"/>
      <c r="Q2445" s="8"/>
      <c r="R2445" s="8"/>
      <c r="S2445" s="8"/>
      <c r="T2445" s="8"/>
      <c r="U2445" s="8"/>
      <c r="V2445" s="8"/>
      <c r="W2445" s="8"/>
    </row>
    <row r="2446" spans="1:23" ht="15.75" customHeight="1" x14ac:dyDescent="0.25">
      <c r="A2446" s="6" t="s">
        <v>2438</v>
      </c>
      <c r="B2446" s="8"/>
      <c r="C2446" s="8"/>
      <c r="D2446" s="8"/>
      <c r="E2446" s="8"/>
      <c r="F2446" s="8"/>
      <c r="G2446" s="8"/>
      <c r="H2446" s="8"/>
      <c r="I2446" s="8"/>
      <c r="J2446" s="8"/>
      <c r="K2446" s="8"/>
      <c r="L2446" s="8"/>
      <c r="M2446" s="8"/>
      <c r="N2446" s="8"/>
      <c r="O2446" s="8"/>
      <c r="P2446" s="8"/>
      <c r="Q2446" s="8"/>
      <c r="R2446" s="8"/>
      <c r="S2446" s="8"/>
      <c r="T2446" s="8"/>
      <c r="U2446" s="8"/>
      <c r="V2446" s="8"/>
      <c r="W2446" s="8"/>
    </row>
    <row r="2447" spans="1:23" ht="15.75" customHeight="1" x14ac:dyDescent="0.25">
      <c r="A2447" s="6" t="s">
        <v>2438</v>
      </c>
      <c r="B2447" s="8"/>
      <c r="C2447" s="8"/>
      <c r="D2447" s="8"/>
      <c r="E2447" s="8"/>
      <c r="F2447" s="8"/>
      <c r="G2447" s="8"/>
      <c r="H2447" s="8"/>
      <c r="I2447" s="8"/>
      <c r="J2447" s="8"/>
      <c r="K2447" s="8"/>
      <c r="L2447" s="8"/>
      <c r="M2447" s="8"/>
      <c r="N2447" s="8"/>
      <c r="O2447" s="8"/>
      <c r="P2447" s="8"/>
      <c r="Q2447" s="8"/>
      <c r="R2447" s="8"/>
      <c r="S2447" s="8"/>
      <c r="T2447" s="8"/>
      <c r="U2447" s="8"/>
      <c r="V2447" s="8"/>
      <c r="W2447" s="8"/>
    </row>
    <row r="2448" spans="1:23" ht="15.75" customHeight="1" x14ac:dyDescent="0.25">
      <c r="A2448" s="6" t="s">
        <v>4288</v>
      </c>
      <c r="B2448" s="8"/>
      <c r="C2448" s="8"/>
      <c r="D2448" s="8"/>
      <c r="E2448" s="8"/>
      <c r="F2448" s="8"/>
      <c r="G2448" s="8"/>
      <c r="H2448" s="8"/>
      <c r="I2448" s="8"/>
      <c r="J2448" s="8"/>
      <c r="K2448" s="8"/>
      <c r="L2448" s="8"/>
      <c r="M2448" s="8"/>
      <c r="N2448" s="8"/>
      <c r="O2448" s="8"/>
      <c r="P2448" s="8"/>
      <c r="Q2448" s="8"/>
      <c r="R2448" s="8"/>
      <c r="S2448" s="8"/>
      <c r="T2448" s="8"/>
      <c r="U2448" s="8"/>
      <c r="V2448" s="8"/>
      <c r="W2448" s="8"/>
    </row>
    <row r="2449" spans="1:23" ht="15.75" customHeight="1" x14ac:dyDescent="0.25">
      <c r="A2449" s="6" t="s">
        <v>4289</v>
      </c>
      <c r="B2449" s="8"/>
      <c r="C2449" s="8"/>
      <c r="D2449" s="8"/>
      <c r="E2449" s="8"/>
      <c r="F2449" s="8"/>
      <c r="G2449" s="8"/>
      <c r="H2449" s="8"/>
      <c r="I2449" s="8"/>
      <c r="J2449" s="8"/>
      <c r="K2449" s="8"/>
      <c r="L2449" s="8"/>
      <c r="M2449" s="8"/>
      <c r="N2449" s="8"/>
      <c r="O2449" s="8"/>
      <c r="P2449" s="8"/>
      <c r="Q2449" s="8"/>
      <c r="R2449" s="8"/>
      <c r="S2449" s="8"/>
      <c r="T2449" s="8"/>
      <c r="U2449" s="8"/>
      <c r="V2449" s="8"/>
      <c r="W2449" s="8"/>
    </row>
    <row r="2450" spans="1:23" ht="15.75" customHeight="1" x14ac:dyDescent="0.25">
      <c r="A2450" s="6" t="s">
        <v>3433</v>
      </c>
      <c r="B2450" s="8"/>
      <c r="C2450" s="8"/>
      <c r="D2450" s="8"/>
      <c r="E2450" s="8"/>
      <c r="F2450" s="8"/>
      <c r="G2450" s="8"/>
      <c r="H2450" s="8"/>
      <c r="I2450" s="8"/>
      <c r="J2450" s="8"/>
      <c r="K2450" s="8"/>
      <c r="L2450" s="8"/>
      <c r="M2450" s="8"/>
      <c r="N2450" s="8"/>
      <c r="O2450" s="8"/>
      <c r="P2450" s="8"/>
      <c r="Q2450" s="8"/>
      <c r="R2450" s="8"/>
      <c r="S2450" s="8"/>
      <c r="T2450" s="8"/>
      <c r="U2450" s="8"/>
      <c r="V2450" s="8"/>
      <c r="W2450" s="8"/>
    </row>
    <row r="2451" spans="1:23" ht="15.75" customHeight="1" x14ac:dyDescent="0.25">
      <c r="A2451" s="6" t="s">
        <v>3433</v>
      </c>
      <c r="B2451" s="8"/>
      <c r="C2451" s="8"/>
      <c r="D2451" s="8"/>
      <c r="E2451" s="8"/>
      <c r="F2451" s="8"/>
      <c r="G2451" s="8"/>
      <c r="H2451" s="8"/>
      <c r="I2451" s="8"/>
      <c r="J2451" s="8"/>
      <c r="K2451" s="8"/>
      <c r="L2451" s="8"/>
      <c r="M2451" s="8"/>
      <c r="N2451" s="8"/>
      <c r="O2451" s="8"/>
      <c r="P2451" s="8"/>
      <c r="Q2451" s="8"/>
      <c r="R2451" s="8"/>
      <c r="S2451" s="8"/>
      <c r="T2451" s="8"/>
      <c r="U2451" s="8"/>
      <c r="V2451" s="8"/>
      <c r="W2451" s="8"/>
    </row>
    <row r="2452" spans="1:23" ht="15.75" customHeight="1" x14ac:dyDescent="0.25">
      <c r="A2452" s="6" t="s">
        <v>3433</v>
      </c>
      <c r="B2452" s="8"/>
      <c r="C2452" s="8"/>
      <c r="D2452" s="8"/>
      <c r="E2452" s="8"/>
      <c r="F2452" s="8"/>
      <c r="G2452" s="8"/>
      <c r="H2452" s="8"/>
      <c r="I2452" s="8"/>
      <c r="J2452" s="8"/>
      <c r="K2452" s="8"/>
      <c r="L2452" s="8"/>
      <c r="M2452" s="8"/>
      <c r="N2452" s="8"/>
      <c r="O2452" s="8"/>
      <c r="P2452" s="8"/>
      <c r="Q2452" s="8"/>
      <c r="R2452" s="8"/>
      <c r="S2452" s="8"/>
      <c r="T2452" s="8"/>
      <c r="U2452" s="8"/>
      <c r="V2452" s="8"/>
      <c r="W2452" s="8"/>
    </row>
    <row r="2453" spans="1:23" ht="15.75" customHeight="1" x14ac:dyDescent="0.25">
      <c r="A2453" s="6" t="s">
        <v>3433</v>
      </c>
      <c r="B2453" s="8"/>
      <c r="C2453" s="8"/>
      <c r="D2453" s="8"/>
      <c r="E2453" s="8"/>
      <c r="F2453" s="8"/>
      <c r="G2453" s="8"/>
      <c r="H2453" s="8"/>
      <c r="I2453" s="8"/>
      <c r="J2453" s="8"/>
      <c r="K2453" s="8"/>
      <c r="L2453" s="8"/>
      <c r="M2453" s="8"/>
      <c r="N2453" s="8"/>
      <c r="O2453" s="8"/>
      <c r="P2453" s="8"/>
      <c r="Q2453" s="8"/>
      <c r="R2453" s="8"/>
      <c r="S2453" s="8"/>
      <c r="T2453" s="8"/>
      <c r="U2453" s="8"/>
      <c r="V2453" s="8"/>
      <c r="W2453" s="8"/>
    </row>
    <row r="2454" spans="1:23" ht="15.75" customHeight="1" x14ac:dyDescent="0.25">
      <c r="A2454" s="6" t="s">
        <v>3433</v>
      </c>
      <c r="B2454" s="8"/>
      <c r="C2454" s="8"/>
      <c r="D2454" s="8"/>
      <c r="E2454" s="8"/>
      <c r="F2454" s="8"/>
      <c r="G2454" s="8"/>
      <c r="H2454" s="8"/>
      <c r="I2454" s="8"/>
      <c r="J2454" s="8"/>
      <c r="K2454" s="8"/>
      <c r="L2454" s="8"/>
      <c r="M2454" s="8"/>
      <c r="N2454" s="8"/>
      <c r="O2454" s="8"/>
      <c r="P2454" s="8"/>
      <c r="Q2454" s="8"/>
      <c r="R2454" s="8"/>
      <c r="S2454" s="8"/>
      <c r="T2454" s="8"/>
      <c r="U2454" s="8"/>
      <c r="V2454" s="8"/>
      <c r="W2454" s="8"/>
    </row>
    <row r="2455" spans="1:23" ht="15.75" customHeight="1" x14ac:dyDescent="0.25">
      <c r="A2455" s="6" t="s">
        <v>3433</v>
      </c>
      <c r="B2455" s="8"/>
      <c r="C2455" s="8"/>
      <c r="D2455" s="8"/>
      <c r="E2455" s="8"/>
      <c r="F2455" s="8"/>
      <c r="G2455" s="8"/>
      <c r="H2455" s="8"/>
      <c r="I2455" s="8"/>
      <c r="J2455" s="8"/>
      <c r="K2455" s="8"/>
      <c r="L2455" s="8"/>
      <c r="M2455" s="8"/>
      <c r="N2455" s="8"/>
      <c r="O2455" s="8"/>
      <c r="P2455" s="8"/>
      <c r="Q2455" s="8"/>
      <c r="R2455" s="8"/>
      <c r="S2455" s="8"/>
      <c r="T2455" s="8"/>
      <c r="U2455" s="8"/>
      <c r="V2455" s="8"/>
      <c r="W2455" s="8"/>
    </row>
    <row r="2456" spans="1:23" ht="15.75" customHeight="1" x14ac:dyDescent="0.25">
      <c r="A2456" s="6" t="s">
        <v>3433</v>
      </c>
      <c r="B2456" s="8"/>
      <c r="C2456" s="8"/>
      <c r="D2456" s="8"/>
      <c r="E2456" s="8"/>
      <c r="F2456" s="8"/>
      <c r="G2456" s="8"/>
      <c r="H2456" s="8"/>
      <c r="I2456" s="8"/>
      <c r="J2456" s="8"/>
      <c r="K2456" s="8"/>
      <c r="L2456" s="8"/>
      <c r="M2456" s="8"/>
      <c r="N2456" s="8"/>
      <c r="O2456" s="8"/>
      <c r="P2456" s="8"/>
      <c r="Q2456" s="8"/>
      <c r="R2456" s="8"/>
      <c r="S2456" s="8"/>
      <c r="T2456" s="8"/>
      <c r="U2456" s="8"/>
      <c r="V2456" s="8"/>
      <c r="W2456" s="8"/>
    </row>
    <row r="2457" spans="1:23" ht="15.75" customHeight="1" x14ac:dyDescent="0.25">
      <c r="A2457" s="6" t="s">
        <v>3433</v>
      </c>
      <c r="B2457" s="8"/>
      <c r="C2457" s="8"/>
      <c r="D2457" s="8"/>
      <c r="E2457" s="8"/>
      <c r="F2457" s="8"/>
      <c r="G2457" s="8"/>
      <c r="H2457" s="8"/>
      <c r="I2457" s="8"/>
      <c r="J2457" s="8"/>
      <c r="K2457" s="8"/>
      <c r="L2457" s="8"/>
      <c r="M2457" s="8"/>
      <c r="N2457" s="8"/>
      <c r="O2457" s="8"/>
      <c r="P2457" s="8"/>
      <c r="Q2457" s="8"/>
      <c r="R2457" s="8"/>
      <c r="S2457" s="8"/>
      <c r="T2457" s="8"/>
      <c r="U2457" s="8"/>
      <c r="V2457" s="8"/>
      <c r="W2457" s="8"/>
    </row>
    <row r="2458" spans="1:23" ht="15.75" customHeight="1" x14ac:dyDescent="0.25">
      <c r="A2458" s="6" t="s">
        <v>3479</v>
      </c>
      <c r="B2458" s="8"/>
      <c r="C2458" s="8"/>
      <c r="D2458" s="8"/>
      <c r="E2458" s="8"/>
      <c r="F2458" s="8"/>
      <c r="G2458" s="8"/>
      <c r="H2458" s="8"/>
      <c r="I2458" s="8"/>
      <c r="J2458" s="8"/>
      <c r="K2458" s="8"/>
      <c r="L2458" s="8"/>
      <c r="M2458" s="8"/>
      <c r="N2458" s="8"/>
      <c r="O2458" s="8"/>
      <c r="P2458" s="8"/>
      <c r="Q2458" s="8"/>
      <c r="R2458" s="8"/>
      <c r="S2458" s="8"/>
      <c r="T2458" s="8"/>
      <c r="U2458" s="8"/>
      <c r="V2458" s="8"/>
      <c r="W2458" s="8"/>
    </row>
    <row r="2459" spans="1:23" ht="15.75" customHeight="1" x14ac:dyDescent="0.25">
      <c r="A2459" s="6" t="s">
        <v>3479</v>
      </c>
      <c r="B2459" s="8"/>
      <c r="C2459" s="8"/>
      <c r="D2459" s="8"/>
      <c r="E2459" s="8"/>
      <c r="F2459" s="8"/>
      <c r="G2459" s="8"/>
      <c r="H2459" s="8"/>
      <c r="I2459" s="8"/>
      <c r="J2459" s="8"/>
      <c r="K2459" s="8"/>
      <c r="L2459" s="8"/>
      <c r="M2459" s="8"/>
      <c r="N2459" s="8"/>
      <c r="O2459" s="8"/>
      <c r="P2459" s="8"/>
      <c r="Q2459" s="8"/>
      <c r="R2459" s="8"/>
      <c r="S2459" s="8"/>
      <c r="T2459" s="8"/>
      <c r="U2459" s="8"/>
      <c r="V2459" s="8"/>
      <c r="W2459" s="8"/>
    </row>
    <row r="2460" spans="1:23" ht="15.75" customHeight="1" x14ac:dyDescent="0.25">
      <c r="A2460" s="6" t="s">
        <v>3479</v>
      </c>
      <c r="B2460" s="8"/>
      <c r="C2460" s="8"/>
      <c r="D2460" s="8"/>
      <c r="E2460" s="8"/>
      <c r="F2460" s="8"/>
      <c r="G2460" s="8"/>
      <c r="H2460" s="8"/>
      <c r="I2460" s="8"/>
      <c r="J2460" s="8"/>
      <c r="K2460" s="8"/>
      <c r="L2460" s="8"/>
      <c r="M2460" s="8"/>
      <c r="N2460" s="8"/>
      <c r="O2460" s="8"/>
      <c r="P2460" s="8"/>
      <c r="Q2460" s="8"/>
      <c r="R2460" s="8"/>
      <c r="S2460" s="8"/>
      <c r="T2460" s="8"/>
      <c r="U2460" s="8"/>
      <c r="V2460" s="8"/>
      <c r="W2460" s="8"/>
    </row>
    <row r="2461" spans="1:23" ht="15.75" customHeight="1" x14ac:dyDescent="0.25">
      <c r="A2461" s="6" t="s">
        <v>3479</v>
      </c>
      <c r="B2461" s="8"/>
      <c r="C2461" s="8"/>
      <c r="D2461" s="8"/>
      <c r="E2461" s="8"/>
      <c r="F2461" s="8"/>
      <c r="G2461" s="8"/>
      <c r="H2461" s="8"/>
      <c r="I2461" s="8"/>
      <c r="J2461" s="8"/>
      <c r="K2461" s="8"/>
      <c r="L2461" s="8"/>
      <c r="M2461" s="8"/>
      <c r="N2461" s="8"/>
      <c r="O2461" s="8"/>
      <c r="P2461" s="8"/>
      <c r="Q2461" s="8"/>
      <c r="R2461" s="8"/>
      <c r="S2461" s="8"/>
      <c r="T2461" s="8"/>
      <c r="U2461" s="8"/>
      <c r="V2461" s="8"/>
      <c r="W2461" s="8"/>
    </row>
    <row r="2462" spans="1:23" ht="15.75" customHeight="1" x14ac:dyDescent="0.25">
      <c r="A2462" s="6" t="s">
        <v>3479</v>
      </c>
      <c r="B2462" s="8"/>
      <c r="C2462" s="8"/>
      <c r="D2462" s="8"/>
      <c r="E2462" s="8"/>
      <c r="F2462" s="8"/>
      <c r="G2462" s="8"/>
      <c r="H2462" s="8"/>
      <c r="I2462" s="8"/>
      <c r="J2462" s="8"/>
      <c r="K2462" s="8"/>
      <c r="L2462" s="8"/>
      <c r="M2462" s="8"/>
      <c r="N2462" s="8"/>
      <c r="O2462" s="8"/>
      <c r="P2462" s="8"/>
      <c r="Q2462" s="8"/>
      <c r="R2462" s="8"/>
      <c r="S2462" s="8"/>
      <c r="T2462" s="8"/>
      <c r="U2462" s="8"/>
      <c r="V2462" s="8"/>
      <c r="W2462" s="8"/>
    </row>
    <row r="2463" spans="1:23" ht="15.75" customHeight="1" x14ac:dyDescent="0.25">
      <c r="A2463" s="6" t="s">
        <v>3479</v>
      </c>
      <c r="B2463" s="8"/>
      <c r="C2463" s="8"/>
      <c r="D2463" s="8"/>
      <c r="E2463" s="8"/>
      <c r="F2463" s="8"/>
      <c r="G2463" s="8"/>
      <c r="H2463" s="8"/>
      <c r="I2463" s="8"/>
      <c r="J2463" s="8"/>
      <c r="K2463" s="8"/>
      <c r="L2463" s="8"/>
      <c r="M2463" s="8"/>
      <c r="N2463" s="8"/>
      <c r="O2463" s="8"/>
      <c r="P2463" s="8"/>
      <c r="Q2463" s="8"/>
      <c r="R2463" s="8"/>
      <c r="S2463" s="8"/>
      <c r="T2463" s="8"/>
      <c r="U2463" s="8"/>
      <c r="V2463" s="8"/>
      <c r="W2463" s="8"/>
    </row>
    <row r="2464" spans="1:23" ht="15.75" customHeight="1" x14ac:dyDescent="0.25">
      <c r="A2464" s="6" t="s">
        <v>3479</v>
      </c>
      <c r="B2464" s="8"/>
      <c r="C2464" s="8"/>
      <c r="D2464" s="8"/>
      <c r="E2464" s="8"/>
      <c r="F2464" s="8"/>
      <c r="G2464" s="8"/>
      <c r="H2464" s="8"/>
      <c r="I2464" s="8"/>
      <c r="J2464" s="8"/>
      <c r="K2464" s="8"/>
      <c r="L2464" s="8"/>
      <c r="M2464" s="8"/>
      <c r="N2464" s="8"/>
      <c r="O2464" s="8"/>
      <c r="P2464" s="8"/>
      <c r="Q2464" s="8"/>
      <c r="R2464" s="8"/>
      <c r="S2464" s="8"/>
      <c r="T2464" s="8"/>
      <c r="U2464" s="8"/>
      <c r="V2464" s="8"/>
      <c r="W2464" s="8"/>
    </row>
    <row r="2465" spans="1:23" ht="15.75" customHeight="1" x14ac:dyDescent="0.25">
      <c r="A2465" s="6" t="s">
        <v>3966</v>
      </c>
      <c r="B2465" s="8"/>
      <c r="C2465" s="8"/>
      <c r="D2465" s="8"/>
      <c r="E2465" s="8"/>
      <c r="F2465" s="8"/>
      <c r="G2465" s="8"/>
      <c r="H2465" s="8"/>
      <c r="I2465" s="8"/>
      <c r="J2465" s="8"/>
      <c r="K2465" s="8"/>
      <c r="L2465" s="8"/>
      <c r="M2465" s="8"/>
      <c r="N2465" s="8"/>
      <c r="O2465" s="8"/>
      <c r="P2465" s="8"/>
      <c r="Q2465" s="8"/>
      <c r="R2465" s="8"/>
      <c r="S2465" s="8"/>
      <c r="T2465" s="8"/>
      <c r="U2465" s="8"/>
      <c r="V2465" s="8"/>
      <c r="W2465" s="8"/>
    </row>
    <row r="2466" spans="1:23" ht="15.75" customHeight="1" x14ac:dyDescent="0.25">
      <c r="A2466" s="6" t="s">
        <v>3966</v>
      </c>
      <c r="B2466" s="8"/>
      <c r="C2466" s="8"/>
      <c r="D2466" s="8"/>
      <c r="E2466" s="8"/>
      <c r="F2466" s="8"/>
      <c r="G2466" s="8"/>
      <c r="H2466" s="8"/>
      <c r="I2466" s="8"/>
      <c r="J2466" s="8"/>
      <c r="K2466" s="8"/>
      <c r="L2466" s="8"/>
      <c r="M2466" s="8"/>
      <c r="N2466" s="8"/>
      <c r="O2466" s="8"/>
      <c r="P2466" s="8"/>
      <c r="Q2466" s="8"/>
      <c r="R2466" s="8"/>
      <c r="S2466" s="8"/>
      <c r="T2466" s="8"/>
      <c r="U2466" s="8"/>
      <c r="V2466" s="8"/>
      <c r="W2466" s="8"/>
    </row>
    <row r="2467" spans="1:23" ht="15.75" customHeight="1" x14ac:dyDescent="0.25">
      <c r="A2467" s="6" t="s">
        <v>3968</v>
      </c>
      <c r="B2467" s="8"/>
      <c r="C2467" s="8"/>
      <c r="D2467" s="8"/>
      <c r="E2467" s="8"/>
      <c r="F2467" s="8"/>
      <c r="G2467" s="8"/>
      <c r="H2467" s="8"/>
      <c r="I2467" s="8"/>
      <c r="J2467" s="8"/>
      <c r="K2467" s="8"/>
      <c r="L2467" s="8"/>
      <c r="M2467" s="8"/>
      <c r="N2467" s="8"/>
      <c r="O2467" s="8"/>
      <c r="P2467" s="8"/>
      <c r="Q2467" s="8"/>
      <c r="R2467" s="8"/>
      <c r="S2467" s="8"/>
      <c r="T2467" s="8"/>
      <c r="U2467" s="8"/>
      <c r="V2467" s="8"/>
      <c r="W2467" s="8"/>
    </row>
    <row r="2468" spans="1:23" ht="15.75" customHeight="1" x14ac:dyDescent="0.25">
      <c r="A2468" s="6" t="s">
        <v>3968</v>
      </c>
      <c r="B2468" s="8"/>
      <c r="C2468" s="8"/>
      <c r="D2468" s="8"/>
      <c r="E2468" s="8"/>
      <c r="F2468" s="8"/>
      <c r="G2468" s="8"/>
      <c r="H2468" s="8"/>
      <c r="I2468" s="8"/>
      <c r="J2468" s="8"/>
      <c r="K2468" s="8"/>
      <c r="L2468" s="8"/>
      <c r="M2468" s="8"/>
      <c r="N2468" s="8"/>
      <c r="O2468" s="8"/>
      <c r="P2468" s="8"/>
      <c r="Q2468" s="8"/>
      <c r="R2468" s="8"/>
      <c r="S2468" s="8"/>
      <c r="T2468" s="8"/>
      <c r="U2468" s="8"/>
      <c r="V2468" s="8"/>
      <c r="W2468" s="8"/>
    </row>
    <row r="2469" spans="1:23" ht="15.75" customHeight="1" x14ac:dyDescent="0.25">
      <c r="A2469" s="6" t="s">
        <v>3971</v>
      </c>
      <c r="B2469" s="8"/>
      <c r="C2469" s="8"/>
      <c r="D2469" s="8"/>
      <c r="E2469" s="8"/>
      <c r="F2469" s="8"/>
      <c r="G2469" s="8"/>
      <c r="H2469" s="8"/>
      <c r="I2469" s="8"/>
      <c r="J2469" s="8"/>
      <c r="K2469" s="8"/>
      <c r="L2469" s="8"/>
      <c r="M2469" s="8"/>
      <c r="N2469" s="8"/>
      <c r="O2469" s="8"/>
      <c r="P2469" s="8"/>
      <c r="Q2469" s="8"/>
      <c r="R2469" s="8"/>
      <c r="S2469" s="8"/>
      <c r="T2469" s="8"/>
      <c r="U2469" s="8"/>
      <c r="V2469" s="8"/>
      <c r="W2469" s="8"/>
    </row>
    <row r="2470" spans="1:23" ht="15.75" customHeight="1" x14ac:dyDescent="0.25">
      <c r="A2470" s="6" t="s">
        <v>3971</v>
      </c>
      <c r="B2470" s="8"/>
      <c r="C2470" s="8"/>
      <c r="D2470" s="8"/>
      <c r="E2470" s="8"/>
      <c r="F2470" s="8"/>
      <c r="G2470" s="8"/>
      <c r="H2470" s="8"/>
      <c r="I2470" s="8"/>
      <c r="J2470" s="8"/>
      <c r="K2470" s="8"/>
      <c r="L2470" s="8"/>
      <c r="M2470" s="8"/>
      <c r="N2470" s="8"/>
      <c r="O2470" s="8"/>
      <c r="P2470" s="8"/>
      <c r="Q2470" s="8"/>
      <c r="R2470" s="8"/>
      <c r="S2470" s="8"/>
      <c r="T2470" s="8"/>
      <c r="U2470" s="8"/>
      <c r="V2470" s="8"/>
      <c r="W2470" s="8"/>
    </row>
    <row r="2471" spans="1:23" ht="15.75" customHeight="1" x14ac:dyDescent="0.25">
      <c r="A2471" s="6" t="s">
        <v>3217</v>
      </c>
      <c r="B2471" s="8"/>
      <c r="C2471" s="8"/>
      <c r="D2471" s="8"/>
      <c r="E2471" s="8"/>
      <c r="F2471" s="8"/>
      <c r="G2471" s="8"/>
      <c r="H2471" s="8"/>
      <c r="I2471" s="8"/>
      <c r="J2471" s="8"/>
      <c r="K2471" s="8"/>
      <c r="L2471" s="8"/>
      <c r="M2471" s="8"/>
      <c r="N2471" s="8"/>
      <c r="O2471" s="8"/>
      <c r="P2471" s="8"/>
      <c r="Q2471" s="8"/>
      <c r="R2471" s="8"/>
      <c r="S2471" s="8"/>
      <c r="T2471" s="8"/>
      <c r="U2471" s="8"/>
      <c r="V2471" s="8"/>
      <c r="W2471" s="8"/>
    </row>
    <row r="2472" spans="1:23" ht="15.75" customHeight="1" x14ac:dyDescent="0.25">
      <c r="A2472" s="6" t="s">
        <v>3217</v>
      </c>
      <c r="B2472" s="8"/>
      <c r="C2472" s="8"/>
      <c r="D2472" s="8"/>
      <c r="E2472" s="8"/>
      <c r="F2472" s="8"/>
      <c r="G2472" s="8"/>
      <c r="H2472" s="8"/>
      <c r="I2472" s="8"/>
      <c r="J2472" s="8"/>
      <c r="K2472" s="8"/>
      <c r="L2472" s="8"/>
      <c r="M2472" s="8"/>
      <c r="N2472" s="8"/>
      <c r="O2472" s="8"/>
      <c r="P2472" s="8"/>
      <c r="Q2472" s="8"/>
      <c r="R2472" s="8"/>
      <c r="S2472" s="8"/>
      <c r="T2472" s="8"/>
      <c r="U2472" s="8"/>
      <c r="V2472" s="8"/>
      <c r="W2472" s="8"/>
    </row>
    <row r="2473" spans="1:23" ht="15.75" customHeight="1" x14ac:dyDescent="0.25">
      <c r="A2473" s="6" t="s">
        <v>3217</v>
      </c>
      <c r="B2473" s="8"/>
      <c r="C2473" s="8"/>
      <c r="D2473" s="8"/>
      <c r="E2473" s="8"/>
      <c r="F2473" s="8"/>
      <c r="G2473" s="8"/>
      <c r="H2473" s="8"/>
      <c r="I2473" s="8"/>
      <c r="J2473" s="8"/>
      <c r="K2473" s="8"/>
      <c r="L2473" s="8"/>
      <c r="M2473" s="8"/>
      <c r="N2473" s="8"/>
      <c r="O2473" s="8"/>
      <c r="P2473" s="8"/>
      <c r="Q2473" s="8"/>
      <c r="R2473" s="8"/>
      <c r="S2473" s="8"/>
      <c r="T2473" s="8"/>
      <c r="U2473" s="8"/>
      <c r="V2473" s="8"/>
      <c r="W2473" s="8"/>
    </row>
    <row r="2474" spans="1:23" ht="15.75" customHeight="1" x14ac:dyDescent="0.25">
      <c r="A2474" s="6" t="s">
        <v>3217</v>
      </c>
      <c r="B2474" s="8"/>
      <c r="C2474" s="8"/>
      <c r="D2474" s="8"/>
      <c r="E2474" s="8"/>
      <c r="F2474" s="8"/>
      <c r="G2474" s="8"/>
      <c r="H2474" s="8"/>
      <c r="I2474" s="8"/>
      <c r="J2474" s="8"/>
      <c r="K2474" s="8"/>
      <c r="L2474" s="8"/>
      <c r="M2474" s="8"/>
      <c r="N2474" s="8"/>
      <c r="O2474" s="8"/>
      <c r="P2474" s="8"/>
      <c r="Q2474" s="8"/>
      <c r="R2474" s="8"/>
      <c r="S2474" s="8"/>
      <c r="T2474" s="8"/>
      <c r="U2474" s="8"/>
      <c r="V2474" s="8"/>
      <c r="W2474" s="8"/>
    </row>
    <row r="2475" spans="1:23" ht="15.75" customHeight="1" x14ac:dyDescent="0.25">
      <c r="A2475" s="6" t="s">
        <v>3217</v>
      </c>
      <c r="B2475" s="8"/>
      <c r="C2475" s="8"/>
      <c r="D2475" s="8"/>
      <c r="E2475" s="8"/>
      <c r="F2475" s="8"/>
      <c r="G2475" s="8"/>
      <c r="H2475" s="8"/>
      <c r="I2475" s="8"/>
      <c r="J2475" s="8"/>
      <c r="K2475" s="8"/>
      <c r="L2475" s="8"/>
      <c r="M2475" s="8"/>
      <c r="N2475" s="8"/>
      <c r="O2475" s="8"/>
      <c r="P2475" s="8"/>
      <c r="Q2475" s="8"/>
      <c r="R2475" s="8"/>
      <c r="S2475" s="8"/>
      <c r="T2475" s="8"/>
      <c r="U2475" s="8"/>
      <c r="V2475" s="8"/>
      <c r="W2475" s="8"/>
    </row>
    <row r="2476" spans="1:23" ht="15.75" customHeight="1" x14ac:dyDescent="0.25">
      <c r="A2476" s="6" t="s">
        <v>3217</v>
      </c>
      <c r="B2476" s="8"/>
      <c r="C2476" s="8"/>
      <c r="D2476" s="8"/>
      <c r="E2476" s="8"/>
      <c r="F2476" s="8"/>
      <c r="G2476" s="8"/>
      <c r="H2476" s="8"/>
      <c r="I2476" s="8"/>
      <c r="J2476" s="8"/>
      <c r="K2476" s="8"/>
      <c r="L2476" s="8"/>
      <c r="M2476" s="8"/>
      <c r="N2476" s="8"/>
      <c r="O2476" s="8"/>
      <c r="P2476" s="8"/>
      <c r="Q2476" s="8"/>
      <c r="R2476" s="8"/>
      <c r="S2476" s="8"/>
      <c r="T2476" s="8"/>
      <c r="U2476" s="8"/>
      <c r="V2476" s="8"/>
      <c r="W2476" s="8"/>
    </row>
    <row r="2477" spans="1:23" ht="15.75" customHeight="1" x14ac:dyDescent="0.25">
      <c r="A2477" s="6" t="s">
        <v>3217</v>
      </c>
      <c r="B2477" s="8"/>
      <c r="C2477" s="8"/>
      <c r="D2477" s="8"/>
      <c r="E2477" s="8"/>
      <c r="F2477" s="8"/>
      <c r="G2477" s="8"/>
      <c r="H2477" s="8"/>
      <c r="I2477" s="8"/>
      <c r="J2477" s="8"/>
      <c r="K2477" s="8"/>
      <c r="L2477" s="8"/>
      <c r="M2477" s="8"/>
      <c r="N2477" s="8"/>
      <c r="O2477" s="8"/>
      <c r="P2477" s="8"/>
      <c r="Q2477" s="8"/>
      <c r="R2477" s="8"/>
      <c r="S2477" s="8"/>
      <c r="T2477" s="8"/>
      <c r="U2477" s="8"/>
      <c r="V2477" s="8"/>
      <c r="W2477" s="8"/>
    </row>
    <row r="2478" spans="1:23" ht="15.75" customHeight="1" x14ac:dyDescent="0.25">
      <c r="A2478" s="6" t="s">
        <v>3217</v>
      </c>
      <c r="B2478" s="8"/>
      <c r="C2478" s="8"/>
      <c r="D2478" s="8"/>
      <c r="E2478" s="8"/>
      <c r="F2478" s="8"/>
      <c r="G2478" s="8"/>
      <c r="H2478" s="8"/>
      <c r="I2478" s="8"/>
      <c r="J2478" s="8"/>
      <c r="K2478" s="8"/>
      <c r="L2478" s="8"/>
      <c r="M2478" s="8"/>
      <c r="N2478" s="8"/>
      <c r="O2478" s="8"/>
      <c r="P2478" s="8"/>
      <c r="Q2478" s="8"/>
      <c r="R2478" s="8"/>
      <c r="S2478" s="8"/>
      <c r="T2478" s="8"/>
      <c r="U2478" s="8"/>
      <c r="V2478" s="8"/>
      <c r="W2478" s="8"/>
    </row>
    <row r="2479" spans="1:23" ht="15.75" customHeight="1" x14ac:dyDescent="0.25">
      <c r="A2479" s="6" t="s">
        <v>3217</v>
      </c>
      <c r="B2479" s="8"/>
      <c r="C2479" s="8"/>
      <c r="D2479" s="8"/>
      <c r="E2479" s="8"/>
      <c r="F2479" s="8"/>
      <c r="G2479" s="8"/>
      <c r="H2479" s="8"/>
      <c r="I2479" s="8"/>
      <c r="J2479" s="8"/>
      <c r="K2479" s="8"/>
      <c r="L2479" s="8"/>
      <c r="M2479" s="8"/>
      <c r="N2479" s="8"/>
      <c r="O2479" s="8"/>
      <c r="P2479" s="8"/>
      <c r="Q2479" s="8"/>
      <c r="R2479" s="8"/>
      <c r="S2479" s="8"/>
      <c r="T2479" s="8"/>
      <c r="U2479" s="8"/>
      <c r="V2479" s="8"/>
      <c r="W2479" s="8"/>
    </row>
    <row r="2480" spans="1:23" ht="15.75" customHeight="1" x14ac:dyDescent="0.25">
      <c r="A2480" s="8" t="s">
        <v>3217</v>
      </c>
      <c r="B2480" s="8"/>
      <c r="C2480" s="8"/>
      <c r="D2480" s="8"/>
      <c r="E2480" s="8"/>
      <c r="F2480" s="8"/>
      <c r="G2480" s="8"/>
      <c r="H2480" s="8"/>
      <c r="I2480" s="8"/>
      <c r="J2480" s="8"/>
      <c r="K2480" s="8"/>
      <c r="L2480" s="8"/>
      <c r="M2480" s="8"/>
      <c r="N2480" s="8"/>
      <c r="O2480" s="8"/>
      <c r="P2480" s="8"/>
      <c r="Q2480" s="8"/>
      <c r="R2480" s="8"/>
      <c r="S2480" s="8"/>
      <c r="T2480" s="8"/>
      <c r="U2480" s="8"/>
      <c r="V2480" s="8"/>
      <c r="W2480" s="8"/>
    </row>
    <row r="2481" spans="1:23" ht="15.75" customHeight="1" x14ac:dyDescent="0.25">
      <c r="A2481" s="6" t="s">
        <v>3217</v>
      </c>
      <c r="B2481" s="8"/>
      <c r="C2481" s="8"/>
      <c r="D2481" s="8"/>
      <c r="E2481" s="8"/>
      <c r="F2481" s="8"/>
      <c r="G2481" s="8"/>
      <c r="H2481" s="8"/>
      <c r="I2481" s="8"/>
      <c r="J2481" s="8"/>
      <c r="K2481" s="8"/>
      <c r="L2481" s="8"/>
      <c r="M2481" s="8"/>
      <c r="N2481" s="8"/>
      <c r="O2481" s="8"/>
      <c r="P2481" s="8"/>
      <c r="Q2481" s="8"/>
      <c r="R2481" s="8"/>
      <c r="S2481" s="8"/>
      <c r="T2481" s="8"/>
      <c r="U2481" s="8"/>
      <c r="V2481" s="8"/>
      <c r="W2481" s="8"/>
    </row>
    <row r="2482" spans="1:23" ht="15.75" customHeight="1" x14ac:dyDescent="0.25">
      <c r="A2482" s="6" t="s">
        <v>3217</v>
      </c>
      <c r="B2482" s="8"/>
      <c r="C2482" s="8"/>
      <c r="D2482" s="8"/>
      <c r="E2482" s="8"/>
      <c r="F2482" s="8"/>
      <c r="G2482" s="8"/>
      <c r="H2482" s="8"/>
      <c r="I2482" s="8"/>
      <c r="J2482" s="8"/>
      <c r="K2482" s="8"/>
      <c r="L2482" s="8"/>
      <c r="M2482" s="8"/>
      <c r="N2482" s="8"/>
      <c r="O2482" s="8"/>
      <c r="P2482" s="8"/>
      <c r="Q2482" s="8"/>
      <c r="R2482" s="8"/>
      <c r="S2482" s="8"/>
      <c r="T2482" s="8"/>
      <c r="U2482" s="8"/>
      <c r="V2482" s="8"/>
      <c r="W2482" s="8"/>
    </row>
    <row r="2483" spans="1:23" ht="15.75" customHeight="1" x14ac:dyDescent="0.25">
      <c r="A2483" s="6" t="s">
        <v>3217</v>
      </c>
      <c r="B2483" s="8"/>
      <c r="C2483" s="8"/>
      <c r="D2483" s="8"/>
      <c r="E2483" s="8"/>
      <c r="F2483" s="8"/>
      <c r="G2483" s="8"/>
      <c r="H2483" s="8"/>
      <c r="I2483" s="8"/>
      <c r="J2483" s="8"/>
      <c r="K2483" s="8"/>
      <c r="L2483" s="8"/>
      <c r="M2483" s="8"/>
      <c r="N2483" s="8"/>
      <c r="O2483" s="8"/>
      <c r="P2483" s="8"/>
      <c r="Q2483" s="8"/>
      <c r="R2483" s="8"/>
      <c r="S2483" s="8"/>
      <c r="T2483" s="8"/>
      <c r="U2483" s="8"/>
      <c r="V2483" s="8"/>
      <c r="W2483" s="8"/>
    </row>
    <row r="2484" spans="1:23" ht="15.75" customHeight="1" x14ac:dyDescent="0.25">
      <c r="A2484" s="6" t="s">
        <v>3217</v>
      </c>
      <c r="B2484" s="8"/>
      <c r="C2484" s="8"/>
      <c r="D2484" s="8"/>
      <c r="E2484" s="8"/>
      <c r="F2484" s="8"/>
      <c r="G2484" s="8"/>
      <c r="H2484" s="8"/>
      <c r="I2484" s="8"/>
      <c r="J2484" s="8"/>
      <c r="K2484" s="8"/>
      <c r="L2484" s="8"/>
      <c r="M2484" s="8"/>
      <c r="N2484" s="8"/>
      <c r="O2484" s="8"/>
      <c r="P2484" s="8"/>
      <c r="Q2484" s="8"/>
      <c r="R2484" s="8"/>
      <c r="S2484" s="8"/>
      <c r="T2484" s="8"/>
      <c r="U2484" s="8"/>
      <c r="V2484" s="8"/>
      <c r="W2484" s="8"/>
    </row>
    <row r="2485" spans="1:23" ht="15.75" customHeight="1" x14ac:dyDescent="0.25">
      <c r="A2485" s="6" t="s">
        <v>3217</v>
      </c>
      <c r="B2485" s="8"/>
      <c r="C2485" s="8"/>
      <c r="D2485" s="8"/>
      <c r="E2485" s="8"/>
      <c r="F2485" s="8"/>
      <c r="G2485" s="8"/>
      <c r="H2485" s="8"/>
      <c r="I2485" s="8"/>
      <c r="J2485" s="8"/>
      <c r="K2485" s="8"/>
      <c r="L2485" s="8"/>
      <c r="M2485" s="8"/>
      <c r="N2485" s="8"/>
      <c r="O2485" s="8"/>
      <c r="P2485" s="8"/>
      <c r="Q2485" s="8"/>
      <c r="R2485" s="8"/>
      <c r="S2485" s="8"/>
      <c r="T2485" s="8"/>
      <c r="U2485" s="8"/>
      <c r="V2485" s="8"/>
      <c r="W2485" s="8"/>
    </row>
    <row r="2486" spans="1:23" ht="15.75" customHeight="1" x14ac:dyDescent="0.25">
      <c r="A2486" s="6" t="s">
        <v>3217</v>
      </c>
      <c r="B2486" s="8"/>
      <c r="C2486" s="8"/>
      <c r="D2486" s="8"/>
      <c r="E2486" s="8"/>
      <c r="F2486" s="8"/>
      <c r="G2486" s="8"/>
      <c r="H2486" s="8"/>
      <c r="I2486" s="8"/>
      <c r="J2486" s="8"/>
      <c r="K2486" s="8"/>
      <c r="L2486" s="8"/>
      <c r="M2486" s="8"/>
      <c r="N2486" s="8"/>
      <c r="O2486" s="8"/>
      <c r="P2486" s="8"/>
      <c r="Q2486" s="8"/>
      <c r="R2486" s="8"/>
      <c r="S2486" s="8"/>
      <c r="T2486" s="8"/>
      <c r="U2486" s="8"/>
      <c r="V2486" s="8"/>
      <c r="W2486" s="8"/>
    </row>
    <row r="2487" spans="1:23" ht="15.75" customHeight="1" x14ac:dyDescent="0.25">
      <c r="A2487" s="6" t="s">
        <v>3217</v>
      </c>
      <c r="B2487" s="8"/>
      <c r="C2487" s="8"/>
      <c r="D2487" s="8"/>
      <c r="E2487" s="8"/>
      <c r="F2487" s="8"/>
      <c r="G2487" s="8"/>
      <c r="H2487" s="8"/>
      <c r="I2487" s="8"/>
      <c r="J2487" s="8"/>
      <c r="K2487" s="8"/>
      <c r="L2487" s="8"/>
      <c r="M2487" s="8"/>
      <c r="N2487" s="8"/>
      <c r="O2487" s="8"/>
      <c r="P2487" s="8"/>
      <c r="Q2487" s="8"/>
      <c r="R2487" s="8"/>
      <c r="S2487" s="8"/>
      <c r="T2487" s="8"/>
      <c r="U2487" s="8"/>
      <c r="V2487" s="8"/>
      <c r="W2487" s="8"/>
    </row>
    <row r="2488" spans="1:23" ht="15.75" customHeight="1" x14ac:dyDescent="0.25">
      <c r="A2488" s="6" t="s">
        <v>3217</v>
      </c>
      <c r="B2488" s="8"/>
      <c r="C2488" s="8"/>
      <c r="D2488" s="8"/>
      <c r="E2488" s="8"/>
      <c r="F2488" s="8"/>
      <c r="G2488" s="8"/>
      <c r="H2488" s="8"/>
      <c r="I2488" s="8"/>
      <c r="J2488" s="8"/>
      <c r="K2488" s="8"/>
      <c r="L2488" s="8"/>
      <c r="M2488" s="8"/>
      <c r="N2488" s="8"/>
      <c r="O2488" s="8"/>
      <c r="P2488" s="8"/>
      <c r="Q2488" s="8"/>
      <c r="R2488" s="8"/>
      <c r="S2488" s="8"/>
      <c r="T2488" s="8"/>
      <c r="U2488" s="8"/>
      <c r="V2488" s="8"/>
      <c r="W2488" s="8"/>
    </row>
    <row r="2489" spans="1:23" ht="15.75" customHeight="1" x14ac:dyDescent="0.25">
      <c r="A2489" s="6" t="s">
        <v>3217</v>
      </c>
      <c r="B2489" s="8"/>
      <c r="C2489" s="8"/>
      <c r="D2489" s="8"/>
      <c r="E2489" s="8"/>
      <c r="F2489" s="8"/>
      <c r="G2489" s="8"/>
      <c r="H2489" s="8"/>
      <c r="I2489" s="8"/>
      <c r="J2489" s="8"/>
      <c r="K2489" s="8"/>
      <c r="L2489" s="8"/>
      <c r="M2489" s="8"/>
      <c r="N2489" s="8"/>
      <c r="O2489" s="8"/>
      <c r="P2489" s="8"/>
      <c r="Q2489" s="8"/>
      <c r="R2489" s="8"/>
      <c r="S2489" s="8"/>
      <c r="T2489" s="8"/>
      <c r="U2489" s="8"/>
      <c r="V2489" s="8"/>
      <c r="W2489" s="8"/>
    </row>
    <row r="2490" spans="1:23" ht="15.75" customHeight="1" x14ac:dyDescent="0.25">
      <c r="A2490" s="6" t="s">
        <v>3217</v>
      </c>
      <c r="B2490" s="8"/>
      <c r="C2490" s="8"/>
      <c r="D2490" s="8"/>
      <c r="E2490" s="8"/>
      <c r="F2490" s="8"/>
      <c r="G2490" s="8"/>
      <c r="H2490" s="8"/>
      <c r="I2490" s="8"/>
      <c r="J2490" s="8"/>
      <c r="K2490" s="8"/>
      <c r="L2490" s="8"/>
      <c r="M2490" s="8"/>
      <c r="N2490" s="8"/>
      <c r="O2490" s="8"/>
      <c r="P2490" s="8"/>
      <c r="Q2490" s="8"/>
      <c r="R2490" s="8"/>
      <c r="S2490" s="8"/>
      <c r="T2490" s="8"/>
      <c r="U2490" s="8"/>
      <c r="V2490" s="8"/>
      <c r="W2490" s="8"/>
    </row>
    <row r="2491" spans="1:23" ht="15.75" customHeight="1" x14ac:dyDescent="0.25">
      <c r="A2491" s="6" t="s">
        <v>3217</v>
      </c>
      <c r="B2491" s="8"/>
      <c r="C2491" s="8"/>
      <c r="D2491" s="8"/>
      <c r="E2491" s="8"/>
      <c r="F2491" s="8"/>
      <c r="G2491" s="8"/>
      <c r="H2491" s="8"/>
      <c r="I2491" s="8"/>
      <c r="J2491" s="8"/>
      <c r="K2491" s="8"/>
      <c r="L2491" s="8"/>
      <c r="M2491" s="8"/>
      <c r="N2491" s="8"/>
      <c r="O2491" s="8"/>
      <c r="P2491" s="8"/>
      <c r="Q2491" s="8"/>
      <c r="R2491" s="8"/>
      <c r="S2491" s="8"/>
      <c r="T2491" s="8"/>
      <c r="U2491" s="8"/>
      <c r="V2491" s="8"/>
      <c r="W2491" s="8"/>
    </row>
    <row r="2492" spans="1:23" ht="15.75" customHeight="1" x14ac:dyDescent="0.25">
      <c r="A2492" s="6" t="s">
        <v>3217</v>
      </c>
      <c r="B2492" s="8"/>
      <c r="C2492" s="8"/>
      <c r="D2492" s="8"/>
      <c r="E2492" s="8"/>
      <c r="F2492" s="8"/>
      <c r="G2492" s="8"/>
      <c r="H2492" s="8"/>
      <c r="I2492" s="8"/>
      <c r="J2492" s="8"/>
      <c r="K2492" s="8"/>
      <c r="L2492" s="8"/>
      <c r="M2492" s="8"/>
      <c r="N2492" s="8"/>
      <c r="O2492" s="8"/>
      <c r="P2492" s="8"/>
      <c r="Q2492" s="8"/>
      <c r="R2492" s="8"/>
      <c r="S2492" s="8"/>
      <c r="T2492" s="8"/>
      <c r="U2492" s="8"/>
      <c r="V2492" s="8"/>
      <c r="W2492" s="8"/>
    </row>
    <row r="2493" spans="1:23" ht="15.75" customHeight="1" x14ac:dyDescent="0.25">
      <c r="A2493" s="6" t="s">
        <v>3217</v>
      </c>
      <c r="B2493" s="8"/>
      <c r="C2493" s="8"/>
      <c r="D2493" s="8"/>
      <c r="E2493" s="8"/>
      <c r="F2493" s="8"/>
      <c r="G2493" s="8"/>
      <c r="H2493" s="8"/>
      <c r="I2493" s="8"/>
      <c r="J2493" s="8"/>
      <c r="K2493" s="8"/>
      <c r="L2493" s="8"/>
      <c r="M2493" s="8"/>
      <c r="N2493" s="8"/>
      <c r="O2493" s="8"/>
      <c r="P2493" s="8"/>
      <c r="Q2493" s="8"/>
      <c r="R2493" s="8"/>
      <c r="S2493" s="8"/>
      <c r="T2493" s="8"/>
      <c r="U2493" s="8"/>
      <c r="V2493" s="8"/>
      <c r="W2493" s="8"/>
    </row>
    <row r="2494" spans="1:23" ht="15.75" customHeight="1" x14ac:dyDescent="0.25">
      <c r="A2494" s="6" t="s">
        <v>3217</v>
      </c>
      <c r="B2494" s="8"/>
      <c r="C2494" s="8"/>
      <c r="D2494" s="8"/>
      <c r="E2494" s="8"/>
      <c r="F2494" s="8"/>
      <c r="G2494" s="8"/>
      <c r="H2494" s="8"/>
      <c r="I2494" s="8"/>
      <c r="J2494" s="8"/>
      <c r="K2494" s="8"/>
      <c r="L2494" s="8"/>
      <c r="M2494" s="8"/>
      <c r="N2494" s="8"/>
      <c r="O2494" s="8"/>
      <c r="P2494" s="8"/>
      <c r="Q2494" s="8"/>
      <c r="R2494" s="8"/>
      <c r="S2494" s="8"/>
      <c r="T2494" s="8"/>
      <c r="U2494" s="8"/>
      <c r="V2494" s="8"/>
      <c r="W2494" s="8"/>
    </row>
    <row r="2495" spans="1:23" ht="15.75" customHeight="1" x14ac:dyDescent="0.25">
      <c r="A2495" s="6" t="s">
        <v>3217</v>
      </c>
      <c r="B2495" s="8"/>
      <c r="C2495" s="8"/>
      <c r="D2495" s="8"/>
      <c r="E2495" s="8"/>
      <c r="F2495" s="8"/>
      <c r="G2495" s="8"/>
      <c r="H2495" s="8"/>
      <c r="I2495" s="8"/>
      <c r="J2495" s="8"/>
      <c r="K2495" s="8"/>
      <c r="L2495" s="8"/>
      <c r="M2495" s="8"/>
      <c r="N2495" s="8"/>
      <c r="O2495" s="8"/>
      <c r="P2495" s="8"/>
      <c r="Q2495" s="8"/>
      <c r="R2495" s="8"/>
      <c r="S2495" s="8"/>
      <c r="T2495" s="8"/>
      <c r="U2495" s="8"/>
      <c r="V2495" s="8"/>
      <c r="W2495" s="8"/>
    </row>
    <row r="2496" spans="1:23" ht="15.75" customHeight="1" x14ac:dyDescent="0.25">
      <c r="A2496" s="6" t="s">
        <v>3217</v>
      </c>
      <c r="B2496" s="8"/>
      <c r="C2496" s="8"/>
      <c r="D2496" s="8"/>
      <c r="E2496" s="8"/>
      <c r="F2496" s="8"/>
      <c r="G2496" s="8"/>
      <c r="H2496" s="8"/>
      <c r="I2496" s="8"/>
      <c r="J2496" s="8"/>
      <c r="K2496" s="8"/>
      <c r="L2496" s="8"/>
      <c r="M2496" s="8"/>
      <c r="N2496" s="8"/>
      <c r="O2496" s="8"/>
      <c r="P2496" s="8"/>
      <c r="Q2496" s="8"/>
      <c r="R2496" s="8"/>
      <c r="S2496" s="8"/>
      <c r="T2496" s="8"/>
      <c r="U2496" s="8"/>
      <c r="V2496" s="8"/>
      <c r="W2496" s="8"/>
    </row>
    <row r="2497" spans="1:23" ht="15.75" customHeight="1" x14ac:dyDescent="0.25">
      <c r="A2497" s="6" t="s">
        <v>3217</v>
      </c>
      <c r="B2497" s="8"/>
      <c r="C2497" s="8"/>
      <c r="D2497" s="8"/>
      <c r="E2497" s="8"/>
      <c r="F2497" s="8"/>
      <c r="G2497" s="8"/>
      <c r="H2497" s="8"/>
      <c r="I2497" s="8"/>
      <c r="J2497" s="8"/>
      <c r="K2497" s="8"/>
      <c r="L2497" s="8"/>
      <c r="M2497" s="8"/>
      <c r="N2497" s="8"/>
      <c r="O2497" s="8"/>
      <c r="P2497" s="8"/>
      <c r="Q2497" s="8"/>
      <c r="R2497" s="8"/>
      <c r="S2497" s="8"/>
      <c r="T2497" s="8"/>
      <c r="U2497" s="8"/>
      <c r="V2497" s="8"/>
      <c r="W2497" s="8"/>
    </row>
    <row r="2498" spans="1:23" ht="15.75" customHeight="1" x14ac:dyDescent="0.25">
      <c r="A2498" s="6" t="s">
        <v>3217</v>
      </c>
      <c r="B2498" s="8"/>
      <c r="C2498" s="8"/>
      <c r="D2498" s="8"/>
      <c r="E2498" s="8"/>
      <c r="F2498" s="8"/>
      <c r="G2498" s="8"/>
      <c r="H2498" s="8"/>
      <c r="I2498" s="8"/>
      <c r="J2498" s="8"/>
      <c r="K2498" s="8"/>
      <c r="L2498" s="8"/>
      <c r="M2498" s="8"/>
      <c r="N2498" s="8"/>
      <c r="O2498" s="8"/>
      <c r="P2498" s="8"/>
      <c r="Q2498" s="8"/>
      <c r="R2498" s="8"/>
      <c r="S2498" s="8"/>
      <c r="T2498" s="8"/>
      <c r="U2498" s="8"/>
      <c r="V2498" s="8"/>
      <c r="W2498" s="8"/>
    </row>
    <row r="2499" spans="1:23" ht="15.75" customHeight="1" x14ac:dyDescent="0.25">
      <c r="A2499" s="6" t="s">
        <v>3217</v>
      </c>
      <c r="B2499" s="8"/>
      <c r="C2499" s="8"/>
      <c r="D2499" s="8"/>
      <c r="E2499" s="8"/>
      <c r="F2499" s="8"/>
      <c r="G2499" s="8"/>
      <c r="H2499" s="8"/>
      <c r="I2499" s="8"/>
      <c r="J2499" s="8"/>
      <c r="K2499" s="8"/>
      <c r="L2499" s="8"/>
      <c r="M2499" s="8"/>
      <c r="N2499" s="8"/>
      <c r="O2499" s="8"/>
      <c r="P2499" s="8"/>
      <c r="Q2499" s="8"/>
      <c r="R2499" s="8"/>
      <c r="S2499" s="8"/>
      <c r="T2499" s="8"/>
      <c r="U2499" s="8"/>
      <c r="V2499" s="8"/>
      <c r="W2499" s="8"/>
    </row>
    <row r="2500" spans="1:23" ht="15.75" customHeight="1" x14ac:dyDescent="0.25">
      <c r="A2500" s="6" t="s">
        <v>3217</v>
      </c>
      <c r="B2500" s="8"/>
      <c r="C2500" s="8"/>
      <c r="D2500" s="8"/>
      <c r="E2500" s="8"/>
      <c r="F2500" s="8"/>
      <c r="G2500" s="8"/>
      <c r="H2500" s="8"/>
      <c r="I2500" s="8"/>
      <c r="J2500" s="8"/>
      <c r="K2500" s="8"/>
      <c r="L2500" s="8"/>
      <c r="M2500" s="8"/>
      <c r="N2500" s="8"/>
      <c r="O2500" s="8"/>
      <c r="P2500" s="8"/>
      <c r="Q2500" s="8"/>
      <c r="R2500" s="8"/>
      <c r="S2500" s="8"/>
      <c r="T2500" s="8"/>
      <c r="U2500" s="8"/>
      <c r="V2500" s="8"/>
      <c r="W2500" s="8"/>
    </row>
    <row r="2501" spans="1:23" ht="15.75" customHeight="1" x14ac:dyDescent="0.25">
      <c r="A2501" s="6" t="s">
        <v>3217</v>
      </c>
      <c r="B2501" s="8"/>
      <c r="C2501" s="8"/>
      <c r="D2501" s="8"/>
      <c r="E2501" s="8"/>
      <c r="F2501" s="8"/>
      <c r="G2501" s="8"/>
      <c r="H2501" s="8"/>
      <c r="I2501" s="8"/>
      <c r="J2501" s="8"/>
      <c r="K2501" s="8"/>
      <c r="L2501" s="8"/>
      <c r="M2501" s="8"/>
      <c r="N2501" s="8"/>
      <c r="O2501" s="8"/>
      <c r="P2501" s="8"/>
      <c r="Q2501" s="8"/>
      <c r="R2501" s="8"/>
      <c r="S2501" s="8"/>
      <c r="T2501" s="8"/>
      <c r="U2501" s="8"/>
      <c r="V2501" s="8"/>
      <c r="W2501" s="8"/>
    </row>
    <row r="2502" spans="1:23" ht="15.75" customHeight="1" x14ac:dyDescent="0.25">
      <c r="A2502" s="6" t="s">
        <v>3217</v>
      </c>
      <c r="B2502" s="8"/>
      <c r="C2502" s="8"/>
      <c r="D2502" s="8"/>
      <c r="E2502" s="8"/>
      <c r="F2502" s="8"/>
      <c r="G2502" s="8"/>
      <c r="H2502" s="8"/>
      <c r="I2502" s="8"/>
      <c r="J2502" s="8"/>
      <c r="K2502" s="8"/>
      <c r="L2502" s="8"/>
      <c r="M2502" s="8"/>
      <c r="N2502" s="8"/>
      <c r="O2502" s="8"/>
      <c r="P2502" s="8"/>
      <c r="Q2502" s="8"/>
      <c r="R2502" s="8"/>
      <c r="S2502" s="8"/>
      <c r="T2502" s="8"/>
      <c r="U2502" s="8"/>
      <c r="V2502" s="8"/>
      <c r="W2502" s="8"/>
    </row>
    <row r="2503" spans="1:23" ht="15.75" customHeight="1" x14ac:dyDescent="0.25">
      <c r="A2503" s="6" t="s">
        <v>3217</v>
      </c>
      <c r="B2503" s="8"/>
      <c r="C2503" s="8"/>
      <c r="D2503" s="8"/>
      <c r="E2503" s="8"/>
      <c r="F2503" s="8"/>
      <c r="G2503" s="8"/>
      <c r="H2503" s="8"/>
      <c r="I2503" s="8"/>
      <c r="J2503" s="8"/>
      <c r="K2503" s="8"/>
      <c r="L2503" s="8"/>
      <c r="M2503" s="8"/>
      <c r="N2503" s="8"/>
      <c r="O2503" s="8"/>
      <c r="P2503" s="8"/>
      <c r="Q2503" s="8"/>
      <c r="R2503" s="8"/>
      <c r="S2503" s="8"/>
      <c r="T2503" s="8"/>
      <c r="U2503" s="8"/>
      <c r="V2503" s="8"/>
      <c r="W2503" s="8"/>
    </row>
    <row r="2504" spans="1:23" ht="15.75" customHeight="1" x14ac:dyDescent="0.25">
      <c r="A2504" s="6" t="s">
        <v>3217</v>
      </c>
      <c r="B2504" s="8"/>
      <c r="C2504" s="8"/>
      <c r="D2504" s="8"/>
      <c r="E2504" s="8"/>
      <c r="F2504" s="8"/>
      <c r="G2504" s="8"/>
      <c r="H2504" s="8"/>
      <c r="I2504" s="8"/>
      <c r="J2504" s="8"/>
      <c r="K2504" s="8"/>
      <c r="L2504" s="8"/>
      <c r="M2504" s="8"/>
      <c r="N2504" s="8"/>
      <c r="O2504" s="8"/>
      <c r="P2504" s="8"/>
      <c r="Q2504" s="8"/>
      <c r="R2504" s="8"/>
      <c r="S2504" s="8"/>
      <c r="T2504" s="8"/>
      <c r="U2504" s="8"/>
      <c r="V2504" s="8"/>
      <c r="W2504" s="8"/>
    </row>
    <row r="2505" spans="1:23" ht="15.75" customHeight="1" x14ac:dyDescent="0.25">
      <c r="A2505" s="6" t="s">
        <v>3217</v>
      </c>
      <c r="B2505" s="8"/>
      <c r="C2505" s="8"/>
      <c r="D2505" s="8"/>
      <c r="E2505" s="8"/>
      <c r="F2505" s="8"/>
      <c r="G2505" s="8"/>
      <c r="H2505" s="8"/>
      <c r="I2505" s="8"/>
      <c r="J2505" s="8"/>
      <c r="K2505" s="8"/>
      <c r="L2505" s="8"/>
      <c r="M2505" s="8"/>
      <c r="N2505" s="8"/>
      <c r="O2505" s="8"/>
      <c r="P2505" s="8"/>
      <c r="Q2505" s="8"/>
      <c r="R2505" s="8"/>
      <c r="S2505" s="8"/>
      <c r="T2505" s="8"/>
      <c r="U2505" s="8"/>
      <c r="V2505" s="8"/>
      <c r="W2505" s="8"/>
    </row>
    <row r="2506" spans="1:23" ht="15.75" customHeight="1" x14ac:dyDescent="0.25">
      <c r="A2506" s="6" t="s">
        <v>3217</v>
      </c>
      <c r="B2506" s="8"/>
      <c r="C2506" s="8"/>
      <c r="D2506" s="8"/>
      <c r="E2506" s="8"/>
      <c r="F2506" s="8"/>
      <c r="G2506" s="8"/>
      <c r="H2506" s="8"/>
      <c r="I2506" s="8"/>
      <c r="J2506" s="8"/>
      <c r="K2506" s="8"/>
      <c r="L2506" s="8"/>
      <c r="M2506" s="8"/>
      <c r="N2506" s="8"/>
      <c r="O2506" s="8"/>
      <c r="P2506" s="8"/>
      <c r="Q2506" s="8"/>
      <c r="R2506" s="8"/>
      <c r="S2506" s="8"/>
      <c r="T2506" s="8"/>
      <c r="U2506" s="8"/>
      <c r="V2506" s="8"/>
      <c r="W2506" s="8"/>
    </row>
    <row r="2507" spans="1:23" ht="15.75" customHeight="1" x14ac:dyDescent="0.25">
      <c r="A2507" s="6" t="s">
        <v>3217</v>
      </c>
      <c r="B2507" s="8"/>
      <c r="C2507" s="8"/>
      <c r="D2507" s="8"/>
      <c r="E2507" s="8"/>
      <c r="F2507" s="8"/>
      <c r="G2507" s="8"/>
      <c r="H2507" s="8"/>
      <c r="I2507" s="8"/>
      <c r="J2507" s="8"/>
      <c r="K2507" s="8"/>
      <c r="L2507" s="8"/>
      <c r="M2507" s="8"/>
      <c r="N2507" s="8"/>
      <c r="O2507" s="8"/>
      <c r="P2507" s="8"/>
      <c r="Q2507" s="8"/>
      <c r="R2507" s="8"/>
      <c r="S2507" s="8"/>
      <c r="T2507" s="8"/>
      <c r="U2507" s="8"/>
      <c r="V2507" s="8"/>
      <c r="W2507" s="8"/>
    </row>
    <row r="2508" spans="1:23" ht="15.75" customHeight="1" x14ac:dyDescent="0.25">
      <c r="A2508" s="6" t="s">
        <v>3217</v>
      </c>
      <c r="B2508" s="8"/>
      <c r="C2508" s="8"/>
      <c r="D2508" s="8"/>
      <c r="E2508" s="8"/>
      <c r="F2508" s="8"/>
      <c r="G2508" s="8"/>
      <c r="H2508" s="8"/>
      <c r="I2508" s="8"/>
      <c r="J2508" s="8"/>
      <c r="K2508" s="8"/>
      <c r="L2508" s="8"/>
      <c r="M2508" s="8"/>
      <c r="N2508" s="8"/>
      <c r="O2508" s="8"/>
      <c r="P2508" s="8"/>
      <c r="Q2508" s="8"/>
      <c r="R2508" s="8"/>
      <c r="S2508" s="8"/>
      <c r="T2508" s="8"/>
      <c r="U2508" s="8"/>
      <c r="V2508" s="8"/>
      <c r="W2508" s="8"/>
    </row>
    <row r="2509" spans="1:23" ht="15.75" customHeight="1" x14ac:dyDescent="0.25">
      <c r="A2509" s="6" t="s">
        <v>3217</v>
      </c>
      <c r="B2509" s="8"/>
      <c r="C2509" s="8"/>
      <c r="D2509" s="8"/>
      <c r="E2509" s="8"/>
      <c r="F2509" s="8"/>
      <c r="G2509" s="8"/>
      <c r="H2509" s="8"/>
      <c r="I2509" s="8"/>
      <c r="J2509" s="8"/>
      <c r="K2509" s="8"/>
      <c r="L2509" s="8"/>
      <c r="M2509" s="8"/>
      <c r="N2509" s="8"/>
      <c r="O2509" s="8"/>
      <c r="P2509" s="8"/>
      <c r="Q2509" s="8"/>
      <c r="R2509" s="8"/>
      <c r="S2509" s="8"/>
      <c r="T2509" s="8"/>
      <c r="U2509" s="8"/>
      <c r="V2509" s="8"/>
      <c r="W2509" s="8"/>
    </row>
    <row r="2510" spans="1:23" ht="15.75" customHeight="1" x14ac:dyDescent="0.25">
      <c r="A2510" s="6" t="s">
        <v>3217</v>
      </c>
      <c r="B2510" s="8"/>
      <c r="C2510" s="8"/>
      <c r="D2510" s="8"/>
      <c r="E2510" s="8"/>
      <c r="F2510" s="8"/>
      <c r="G2510" s="8"/>
      <c r="H2510" s="8"/>
      <c r="I2510" s="8"/>
      <c r="J2510" s="8"/>
      <c r="K2510" s="8"/>
      <c r="L2510" s="8"/>
      <c r="M2510" s="8"/>
      <c r="N2510" s="8"/>
      <c r="O2510" s="8"/>
      <c r="P2510" s="8"/>
      <c r="Q2510" s="8"/>
      <c r="R2510" s="8"/>
      <c r="S2510" s="8"/>
      <c r="T2510" s="8"/>
      <c r="U2510" s="8"/>
      <c r="V2510" s="8"/>
      <c r="W2510" s="8"/>
    </row>
    <row r="2511" spans="1:23" ht="15.75" customHeight="1" x14ac:dyDescent="0.25">
      <c r="A2511" s="6" t="s">
        <v>3217</v>
      </c>
      <c r="B2511" s="8"/>
      <c r="C2511" s="8"/>
      <c r="D2511" s="8"/>
      <c r="E2511" s="8"/>
      <c r="F2511" s="8"/>
      <c r="G2511" s="8"/>
      <c r="H2511" s="8"/>
      <c r="I2511" s="8"/>
      <c r="J2511" s="8"/>
      <c r="K2511" s="8"/>
      <c r="L2511" s="8"/>
      <c r="M2511" s="8"/>
      <c r="N2511" s="8"/>
      <c r="O2511" s="8"/>
      <c r="P2511" s="8"/>
      <c r="Q2511" s="8"/>
      <c r="R2511" s="8"/>
      <c r="S2511" s="8"/>
      <c r="T2511" s="8"/>
      <c r="U2511" s="8"/>
      <c r="V2511" s="8"/>
      <c r="W2511" s="8"/>
    </row>
    <row r="2512" spans="1:23" ht="15.75" customHeight="1" x14ac:dyDescent="0.25">
      <c r="A2512" s="6" t="s">
        <v>3217</v>
      </c>
      <c r="B2512" s="8"/>
      <c r="C2512" s="8"/>
      <c r="D2512" s="8"/>
      <c r="E2512" s="8"/>
      <c r="F2512" s="8"/>
      <c r="G2512" s="8"/>
      <c r="H2512" s="8"/>
      <c r="I2512" s="8"/>
      <c r="J2512" s="8"/>
      <c r="K2512" s="8"/>
      <c r="L2512" s="8"/>
      <c r="M2512" s="8"/>
      <c r="N2512" s="8"/>
      <c r="O2512" s="8"/>
      <c r="P2512" s="8"/>
      <c r="Q2512" s="8"/>
      <c r="R2512" s="8"/>
      <c r="S2512" s="8"/>
      <c r="T2512" s="8"/>
      <c r="U2512" s="8"/>
      <c r="V2512" s="8"/>
      <c r="W2512" s="8"/>
    </row>
    <row r="2513" spans="1:23" ht="15.75" customHeight="1" x14ac:dyDescent="0.25">
      <c r="A2513" s="8" t="s">
        <v>3217</v>
      </c>
      <c r="B2513" s="8"/>
      <c r="C2513" s="8"/>
      <c r="D2513" s="8"/>
      <c r="E2513" s="8"/>
      <c r="F2513" s="8"/>
      <c r="G2513" s="8"/>
      <c r="H2513" s="8"/>
      <c r="I2513" s="8"/>
      <c r="J2513" s="8"/>
      <c r="K2513" s="8"/>
      <c r="L2513" s="8"/>
      <c r="M2513" s="8"/>
      <c r="N2513" s="8"/>
      <c r="O2513" s="8"/>
      <c r="P2513" s="8"/>
      <c r="Q2513" s="8"/>
      <c r="R2513" s="8"/>
      <c r="S2513" s="8"/>
      <c r="T2513" s="8"/>
      <c r="U2513" s="8"/>
      <c r="V2513" s="8"/>
      <c r="W2513" s="8"/>
    </row>
    <row r="2514" spans="1:23" ht="15.75" customHeight="1" x14ac:dyDescent="0.25">
      <c r="A2514" s="6" t="s">
        <v>3217</v>
      </c>
      <c r="B2514" s="8"/>
      <c r="C2514" s="8"/>
      <c r="D2514" s="8"/>
      <c r="E2514" s="8"/>
      <c r="F2514" s="8"/>
      <c r="G2514" s="8"/>
      <c r="H2514" s="8"/>
      <c r="I2514" s="8"/>
      <c r="J2514" s="8"/>
      <c r="K2514" s="8"/>
      <c r="L2514" s="8"/>
      <c r="M2514" s="8"/>
      <c r="N2514" s="8"/>
      <c r="O2514" s="8"/>
      <c r="P2514" s="8"/>
      <c r="Q2514" s="8"/>
      <c r="R2514" s="8"/>
      <c r="S2514" s="8"/>
      <c r="T2514" s="8"/>
      <c r="U2514" s="8"/>
      <c r="V2514" s="8"/>
      <c r="W2514" s="8"/>
    </row>
    <row r="2515" spans="1:23" ht="15.75" customHeight="1" x14ac:dyDescent="0.25">
      <c r="A2515" s="6" t="s">
        <v>3217</v>
      </c>
      <c r="B2515" s="8"/>
      <c r="C2515" s="8"/>
      <c r="D2515" s="8"/>
      <c r="E2515" s="8"/>
      <c r="F2515" s="8"/>
      <c r="G2515" s="8"/>
      <c r="H2515" s="8"/>
      <c r="I2515" s="8"/>
      <c r="J2515" s="8"/>
      <c r="K2515" s="8"/>
      <c r="L2515" s="8"/>
      <c r="M2515" s="8"/>
      <c r="N2515" s="8"/>
      <c r="O2515" s="8"/>
      <c r="P2515" s="8"/>
      <c r="Q2515" s="8"/>
      <c r="R2515" s="8"/>
      <c r="S2515" s="8"/>
      <c r="T2515" s="8"/>
      <c r="U2515" s="8"/>
      <c r="V2515" s="8"/>
      <c r="W2515" s="8"/>
    </row>
    <row r="2516" spans="1:23" ht="15.75" customHeight="1" x14ac:dyDescent="0.25">
      <c r="A2516" s="6" t="s">
        <v>3217</v>
      </c>
      <c r="B2516" s="8"/>
      <c r="C2516" s="8"/>
      <c r="D2516" s="8"/>
      <c r="E2516" s="8"/>
      <c r="F2516" s="8"/>
      <c r="G2516" s="8"/>
      <c r="H2516" s="8"/>
      <c r="I2516" s="8"/>
      <c r="J2516" s="8"/>
      <c r="K2516" s="8"/>
      <c r="L2516" s="8"/>
      <c r="M2516" s="8"/>
      <c r="N2516" s="8"/>
      <c r="O2516" s="8"/>
      <c r="P2516" s="8"/>
      <c r="Q2516" s="8"/>
      <c r="R2516" s="8"/>
      <c r="S2516" s="8"/>
      <c r="T2516" s="8"/>
      <c r="U2516" s="8"/>
      <c r="V2516" s="8"/>
      <c r="W2516" s="8"/>
    </row>
    <row r="2517" spans="1:23" ht="15.75" customHeight="1" x14ac:dyDescent="0.25">
      <c r="A2517" s="6" t="s">
        <v>3217</v>
      </c>
      <c r="B2517" s="8"/>
      <c r="C2517" s="8"/>
      <c r="D2517" s="8"/>
      <c r="E2517" s="8"/>
      <c r="F2517" s="8"/>
      <c r="G2517" s="8"/>
      <c r="H2517" s="8"/>
      <c r="I2517" s="8"/>
      <c r="J2517" s="8"/>
      <c r="K2517" s="8"/>
      <c r="L2517" s="8"/>
      <c r="M2517" s="8"/>
      <c r="N2517" s="8"/>
      <c r="O2517" s="8"/>
      <c r="P2517" s="8"/>
      <c r="Q2517" s="8"/>
      <c r="R2517" s="8"/>
      <c r="S2517" s="8"/>
      <c r="T2517" s="8"/>
      <c r="U2517" s="8"/>
      <c r="V2517" s="8"/>
      <c r="W2517" s="8"/>
    </row>
    <row r="2518" spans="1:23" ht="15.75" customHeight="1" x14ac:dyDescent="0.25">
      <c r="A2518" s="6" t="s">
        <v>3217</v>
      </c>
      <c r="B2518" s="8"/>
      <c r="C2518" s="8"/>
      <c r="D2518" s="8"/>
      <c r="E2518" s="8"/>
      <c r="F2518" s="8"/>
      <c r="G2518" s="8"/>
      <c r="H2518" s="8"/>
      <c r="I2518" s="8"/>
      <c r="J2518" s="8"/>
      <c r="K2518" s="8"/>
      <c r="L2518" s="8"/>
      <c r="M2518" s="8"/>
      <c r="N2518" s="8"/>
      <c r="O2518" s="8"/>
      <c r="P2518" s="8"/>
      <c r="Q2518" s="8"/>
      <c r="R2518" s="8"/>
      <c r="S2518" s="8"/>
      <c r="T2518" s="8"/>
      <c r="U2518" s="8"/>
      <c r="V2518" s="8"/>
      <c r="W2518" s="8"/>
    </row>
    <row r="2519" spans="1:23" ht="15.75" customHeight="1" x14ac:dyDescent="0.25">
      <c r="A2519" s="6" t="s">
        <v>3217</v>
      </c>
      <c r="B2519" s="8"/>
      <c r="C2519" s="8"/>
      <c r="D2519" s="8"/>
      <c r="E2519" s="8"/>
      <c r="F2519" s="8"/>
      <c r="G2519" s="8"/>
      <c r="H2519" s="8"/>
      <c r="I2519" s="8"/>
      <c r="J2519" s="8"/>
      <c r="K2519" s="8"/>
      <c r="L2519" s="8"/>
      <c r="M2519" s="8"/>
      <c r="N2519" s="8"/>
      <c r="O2519" s="8"/>
      <c r="P2519" s="8"/>
      <c r="Q2519" s="8"/>
      <c r="R2519" s="8"/>
      <c r="S2519" s="8"/>
      <c r="T2519" s="8"/>
      <c r="U2519" s="8"/>
      <c r="V2519" s="8"/>
      <c r="W2519" s="8"/>
    </row>
    <row r="2520" spans="1:23" ht="15.75" customHeight="1" x14ac:dyDescent="0.25">
      <c r="A2520" s="6" t="s">
        <v>3640</v>
      </c>
      <c r="B2520" s="8"/>
      <c r="C2520" s="8"/>
      <c r="D2520" s="8"/>
      <c r="E2520" s="8"/>
      <c r="F2520" s="8"/>
      <c r="G2520" s="8"/>
      <c r="H2520" s="8"/>
      <c r="I2520" s="8"/>
      <c r="J2520" s="8"/>
      <c r="K2520" s="8"/>
      <c r="L2520" s="8"/>
      <c r="M2520" s="8"/>
      <c r="N2520" s="8"/>
      <c r="O2520" s="8"/>
      <c r="P2520" s="8"/>
      <c r="Q2520" s="8"/>
      <c r="R2520" s="8"/>
      <c r="S2520" s="8"/>
      <c r="T2520" s="8"/>
      <c r="U2520" s="8"/>
      <c r="V2520" s="8"/>
      <c r="W2520" s="8"/>
    </row>
    <row r="2521" spans="1:23" ht="15.75" customHeight="1" x14ac:dyDescent="0.25">
      <c r="A2521" s="6" t="s">
        <v>3640</v>
      </c>
      <c r="B2521" s="8"/>
      <c r="C2521" s="8"/>
      <c r="D2521" s="8"/>
      <c r="E2521" s="8"/>
      <c r="F2521" s="8"/>
      <c r="G2521" s="8"/>
      <c r="H2521" s="8"/>
      <c r="I2521" s="8"/>
      <c r="J2521" s="8"/>
      <c r="K2521" s="8"/>
      <c r="L2521" s="8"/>
      <c r="M2521" s="8"/>
      <c r="N2521" s="8"/>
      <c r="O2521" s="8"/>
      <c r="P2521" s="8"/>
      <c r="Q2521" s="8"/>
      <c r="R2521" s="8"/>
      <c r="S2521" s="8"/>
      <c r="T2521" s="8"/>
      <c r="U2521" s="8"/>
      <c r="V2521" s="8"/>
      <c r="W2521" s="8"/>
    </row>
    <row r="2522" spans="1:23" ht="15.75" customHeight="1" x14ac:dyDescent="0.25">
      <c r="A2522" s="6" t="s">
        <v>3640</v>
      </c>
      <c r="B2522" s="8"/>
      <c r="C2522" s="8"/>
      <c r="D2522" s="8"/>
      <c r="E2522" s="8"/>
      <c r="F2522" s="8"/>
      <c r="G2522" s="8"/>
      <c r="H2522" s="8"/>
      <c r="I2522" s="8"/>
      <c r="J2522" s="8"/>
      <c r="K2522" s="8"/>
      <c r="L2522" s="8"/>
      <c r="M2522" s="8"/>
      <c r="N2522" s="8"/>
      <c r="O2522" s="8"/>
      <c r="P2522" s="8"/>
      <c r="Q2522" s="8"/>
      <c r="R2522" s="8"/>
      <c r="S2522" s="8"/>
      <c r="T2522" s="8"/>
      <c r="U2522" s="8"/>
      <c r="V2522" s="8"/>
      <c r="W2522" s="8"/>
    </row>
    <row r="2523" spans="1:23" ht="15.75" customHeight="1" x14ac:dyDescent="0.25">
      <c r="A2523" s="6" t="s">
        <v>3640</v>
      </c>
      <c r="B2523" s="8"/>
      <c r="C2523" s="8"/>
      <c r="D2523" s="8"/>
      <c r="E2523" s="8"/>
      <c r="F2523" s="8"/>
      <c r="G2523" s="8"/>
      <c r="H2523" s="8"/>
      <c r="I2523" s="8"/>
      <c r="J2523" s="8"/>
      <c r="K2523" s="8"/>
      <c r="L2523" s="8"/>
      <c r="M2523" s="8"/>
      <c r="N2523" s="8"/>
      <c r="O2523" s="8"/>
      <c r="P2523" s="8"/>
      <c r="Q2523" s="8"/>
      <c r="R2523" s="8"/>
      <c r="S2523" s="8"/>
      <c r="T2523" s="8"/>
      <c r="U2523" s="8"/>
      <c r="V2523" s="8"/>
      <c r="W2523" s="8"/>
    </row>
    <row r="2524" spans="1:23" ht="15.75" customHeight="1" x14ac:dyDescent="0.25">
      <c r="A2524" s="6" t="s">
        <v>4290</v>
      </c>
      <c r="B2524" s="8"/>
      <c r="C2524" s="8"/>
      <c r="D2524" s="8"/>
      <c r="E2524" s="8"/>
      <c r="F2524" s="8"/>
      <c r="G2524" s="8"/>
      <c r="H2524" s="8"/>
      <c r="I2524" s="8"/>
      <c r="J2524" s="8"/>
      <c r="K2524" s="8"/>
      <c r="L2524" s="8"/>
      <c r="M2524" s="8"/>
      <c r="N2524" s="8"/>
      <c r="O2524" s="8"/>
      <c r="P2524" s="8"/>
      <c r="Q2524" s="8"/>
      <c r="R2524" s="8"/>
      <c r="S2524" s="8"/>
      <c r="T2524" s="8"/>
      <c r="U2524" s="8"/>
      <c r="V2524" s="8"/>
      <c r="W2524" s="8"/>
    </row>
    <row r="2525" spans="1:23" ht="15.75" customHeight="1" x14ac:dyDescent="0.25">
      <c r="A2525" s="6" t="s">
        <v>4291</v>
      </c>
      <c r="B2525" s="8"/>
      <c r="C2525" s="8"/>
      <c r="D2525" s="8"/>
      <c r="E2525" s="8"/>
      <c r="F2525" s="8"/>
      <c r="G2525" s="8"/>
      <c r="H2525" s="8"/>
      <c r="I2525" s="8"/>
      <c r="J2525" s="8"/>
      <c r="K2525" s="8"/>
      <c r="L2525" s="8"/>
      <c r="M2525" s="8"/>
      <c r="N2525" s="8"/>
      <c r="O2525" s="8"/>
      <c r="P2525" s="8"/>
      <c r="Q2525" s="8"/>
      <c r="R2525" s="8"/>
      <c r="S2525" s="8"/>
      <c r="T2525" s="8"/>
      <c r="U2525" s="8"/>
      <c r="V2525" s="8"/>
      <c r="W2525" s="8"/>
    </row>
    <row r="2526" spans="1:23" ht="15.75" customHeight="1" x14ac:dyDescent="0.25">
      <c r="A2526" s="6" t="s">
        <v>3975</v>
      </c>
      <c r="B2526" s="8"/>
      <c r="C2526" s="8"/>
      <c r="D2526" s="8"/>
      <c r="E2526" s="8"/>
      <c r="F2526" s="8"/>
      <c r="G2526" s="8"/>
      <c r="H2526" s="8"/>
      <c r="I2526" s="8"/>
      <c r="J2526" s="8"/>
      <c r="K2526" s="8"/>
      <c r="L2526" s="8"/>
      <c r="M2526" s="8"/>
      <c r="N2526" s="8"/>
      <c r="O2526" s="8"/>
      <c r="P2526" s="8"/>
      <c r="Q2526" s="8"/>
      <c r="R2526" s="8"/>
      <c r="S2526" s="8"/>
      <c r="T2526" s="8"/>
      <c r="U2526" s="8"/>
      <c r="V2526" s="8"/>
      <c r="W2526" s="8"/>
    </row>
    <row r="2527" spans="1:23" ht="15.75" customHeight="1" x14ac:dyDescent="0.25">
      <c r="A2527" s="6" t="s">
        <v>3975</v>
      </c>
      <c r="B2527" s="8"/>
      <c r="C2527" s="8"/>
      <c r="D2527" s="8"/>
      <c r="E2527" s="8"/>
      <c r="F2527" s="8"/>
      <c r="G2527" s="8"/>
      <c r="H2527" s="8"/>
      <c r="I2527" s="8"/>
      <c r="J2527" s="8"/>
      <c r="K2527" s="8"/>
      <c r="L2527" s="8"/>
      <c r="M2527" s="8"/>
      <c r="N2527" s="8"/>
      <c r="O2527" s="8"/>
      <c r="P2527" s="8"/>
      <c r="Q2527" s="8"/>
      <c r="R2527" s="8"/>
      <c r="S2527" s="8"/>
      <c r="T2527" s="8"/>
      <c r="U2527" s="8"/>
      <c r="V2527" s="8"/>
      <c r="W2527" s="8"/>
    </row>
    <row r="2528" spans="1:23" ht="15.75" customHeight="1" x14ac:dyDescent="0.25">
      <c r="A2528" s="6" t="s">
        <v>3979</v>
      </c>
      <c r="B2528" s="8"/>
      <c r="C2528" s="8"/>
      <c r="D2528" s="8"/>
      <c r="E2528" s="8"/>
      <c r="F2528" s="8"/>
      <c r="G2528" s="8"/>
      <c r="H2528" s="8"/>
      <c r="I2528" s="8"/>
      <c r="J2528" s="8"/>
      <c r="K2528" s="8"/>
      <c r="L2528" s="8"/>
      <c r="M2528" s="8"/>
      <c r="N2528" s="8"/>
      <c r="O2528" s="8"/>
      <c r="P2528" s="8"/>
      <c r="Q2528" s="8"/>
      <c r="R2528" s="8"/>
      <c r="S2528" s="8"/>
      <c r="T2528" s="8"/>
      <c r="U2528" s="8"/>
      <c r="V2528" s="8"/>
      <c r="W2528" s="8"/>
    </row>
    <row r="2529" spans="1:23" ht="15.75" customHeight="1" x14ac:dyDescent="0.25">
      <c r="A2529" s="6" t="s">
        <v>3979</v>
      </c>
      <c r="B2529" s="8"/>
      <c r="C2529" s="8"/>
      <c r="D2529" s="8"/>
      <c r="E2529" s="8"/>
      <c r="F2529" s="8"/>
      <c r="G2529" s="8"/>
      <c r="H2529" s="8"/>
      <c r="I2529" s="8"/>
      <c r="J2529" s="8"/>
      <c r="K2529" s="8"/>
      <c r="L2529" s="8"/>
      <c r="M2529" s="8"/>
      <c r="N2529" s="8"/>
      <c r="O2529" s="8"/>
      <c r="P2529" s="8"/>
      <c r="Q2529" s="8"/>
      <c r="R2529" s="8"/>
      <c r="S2529" s="8"/>
      <c r="T2529" s="8"/>
      <c r="U2529" s="8"/>
      <c r="V2529" s="8"/>
      <c r="W2529" s="8"/>
    </row>
    <row r="2530" spans="1:23" ht="15.75" customHeight="1" x14ac:dyDescent="0.25">
      <c r="A2530" s="6" t="s">
        <v>3983</v>
      </c>
      <c r="B2530" s="8"/>
      <c r="C2530" s="8"/>
      <c r="D2530" s="8"/>
      <c r="E2530" s="8"/>
      <c r="F2530" s="8"/>
      <c r="G2530" s="8"/>
      <c r="H2530" s="8"/>
      <c r="I2530" s="8"/>
      <c r="J2530" s="8"/>
      <c r="K2530" s="8"/>
      <c r="L2530" s="8"/>
      <c r="M2530" s="8"/>
      <c r="N2530" s="8"/>
      <c r="O2530" s="8"/>
      <c r="P2530" s="8"/>
      <c r="Q2530" s="8"/>
      <c r="R2530" s="8"/>
      <c r="S2530" s="8"/>
      <c r="T2530" s="8"/>
      <c r="U2530" s="8"/>
      <c r="V2530" s="8"/>
      <c r="W2530" s="8"/>
    </row>
    <row r="2531" spans="1:23" ht="15.75" customHeight="1" x14ac:dyDescent="0.25">
      <c r="A2531" s="6" t="s">
        <v>3983</v>
      </c>
      <c r="B2531" s="8"/>
      <c r="C2531" s="8"/>
      <c r="D2531" s="8"/>
      <c r="E2531" s="8"/>
      <c r="F2531" s="8"/>
      <c r="G2531" s="8"/>
      <c r="H2531" s="8"/>
      <c r="I2531" s="8"/>
      <c r="J2531" s="8"/>
      <c r="K2531" s="8"/>
      <c r="L2531" s="8"/>
      <c r="M2531" s="8"/>
      <c r="N2531" s="8"/>
      <c r="O2531" s="8"/>
      <c r="P2531" s="8"/>
      <c r="Q2531" s="8"/>
      <c r="R2531" s="8"/>
      <c r="S2531" s="8"/>
      <c r="T2531" s="8"/>
      <c r="U2531" s="8"/>
      <c r="V2531" s="8"/>
      <c r="W2531" s="8"/>
    </row>
    <row r="2532" spans="1:23" ht="15.75" customHeight="1" x14ac:dyDescent="0.25">
      <c r="A2532" s="6" t="s">
        <v>299</v>
      </c>
      <c r="B2532" s="8"/>
      <c r="C2532" s="8"/>
      <c r="D2532" s="8"/>
      <c r="E2532" s="8"/>
      <c r="F2532" s="8"/>
      <c r="G2532" s="8"/>
      <c r="H2532" s="8"/>
      <c r="I2532" s="8"/>
      <c r="J2532" s="8"/>
      <c r="K2532" s="8"/>
      <c r="L2532" s="8"/>
      <c r="M2532" s="8"/>
      <c r="N2532" s="8"/>
      <c r="O2532" s="8"/>
      <c r="P2532" s="8"/>
      <c r="Q2532" s="8"/>
      <c r="R2532" s="8"/>
      <c r="S2532" s="8"/>
      <c r="T2532" s="8"/>
      <c r="U2532" s="8"/>
      <c r="V2532" s="8"/>
      <c r="W2532" s="8"/>
    </row>
    <row r="2533" spans="1:23" ht="15.75" customHeight="1" x14ac:dyDescent="0.25">
      <c r="A2533" s="6" t="s">
        <v>299</v>
      </c>
      <c r="B2533" s="8"/>
      <c r="C2533" s="8"/>
      <c r="D2533" s="8"/>
      <c r="E2533" s="8"/>
      <c r="F2533" s="8"/>
      <c r="G2533" s="8"/>
      <c r="H2533" s="8"/>
      <c r="I2533" s="8"/>
      <c r="J2533" s="8"/>
      <c r="K2533" s="8"/>
      <c r="L2533" s="8"/>
      <c r="M2533" s="8"/>
      <c r="N2533" s="8"/>
      <c r="O2533" s="8"/>
      <c r="P2533" s="8"/>
      <c r="Q2533" s="8"/>
      <c r="R2533" s="8"/>
      <c r="S2533" s="8"/>
      <c r="T2533" s="8"/>
      <c r="U2533" s="8"/>
      <c r="V2533" s="8"/>
      <c r="W2533" s="8"/>
    </row>
    <row r="2534" spans="1:23" ht="15.75" customHeight="1" x14ac:dyDescent="0.25">
      <c r="A2534" s="6" t="s">
        <v>299</v>
      </c>
      <c r="B2534" s="8"/>
      <c r="C2534" s="8"/>
      <c r="D2534" s="8"/>
      <c r="E2534" s="8"/>
      <c r="F2534" s="8"/>
      <c r="G2534" s="8"/>
      <c r="H2534" s="8"/>
      <c r="I2534" s="8"/>
      <c r="J2534" s="8"/>
      <c r="K2534" s="8"/>
      <c r="L2534" s="8"/>
      <c r="M2534" s="8"/>
      <c r="N2534" s="8"/>
      <c r="O2534" s="8"/>
      <c r="P2534" s="8"/>
      <c r="Q2534" s="8"/>
      <c r="R2534" s="8"/>
      <c r="S2534" s="8"/>
      <c r="T2534" s="8"/>
      <c r="U2534" s="8"/>
      <c r="V2534" s="8"/>
      <c r="W2534" s="8"/>
    </row>
    <row r="2535" spans="1:23" ht="15.75" customHeight="1" x14ac:dyDescent="0.25">
      <c r="A2535" s="8" t="s">
        <v>3736</v>
      </c>
      <c r="B2535" s="8"/>
      <c r="C2535" s="8"/>
      <c r="D2535" s="8"/>
      <c r="E2535" s="8"/>
      <c r="F2535" s="8"/>
      <c r="G2535" s="8"/>
      <c r="H2535" s="8"/>
      <c r="I2535" s="8"/>
      <c r="J2535" s="8"/>
      <c r="K2535" s="8"/>
      <c r="L2535" s="8"/>
      <c r="M2535" s="8"/>
      <c r="N2535" s="8"/>
      <c r="O2535" s="8"/>
      <c r="P2535" s="8"/>
      <c r="Q2535" s="8"/>
      <c r="R2535" s="8"/>
      <c r="S2535" s="8"/>
      <c r="T2535" s="8"/>
      <c r="U2535" s="8"/>
      <c r="V2535" s="8"/>
      <c r="W2535" s="8"/>
    </row>
    <row r="2536" spans="1:23" ht="15.75" customHeight="1" x14ac:dyDescent="0.25">
      <c r="A2536" s="6" t="s">
        <v>3736</v>
      </c>
      <c r="B2536" s="8"/>
      <c r="C2536" s="8"/>
      <c r="D2536" s="8"/>
      <c r="E2536" s="8"/>
      <c r="F2536" s="8"/>
      <c r="G2536" s="8"/>
      <c r="H2536" s="8"/>
      <c r="I2536" s="8"/>
      <c r="J2536" s="8"/>
      <c r="K2536" s="8"/>
      <c r="L2536" s="8"/>
      <c r="M2536" s="8"/>
      <c r="N2536" s="8"/>
      <c r="O2536" s="8"/>
      <c r="P2536" s="8"/>
      <c r="Q2536" s="8"/>
      <c r="R2536" s="8"/>
      <c r="S2536" s="8"/>
      <c r="T2536" s="8"/>
      <c r="U2536" s="8"/>
      <c r="V2536" s="8"/>
      <c r="W2536" s="8"/>
    </row>
    <row r="2537" spans="1:23" ht="15.75" customHeight="1" x14ac:dyDescent="0.25">
      <c r="A2537" s="6" t="s">
        <v>3736</v>
      </c>
      <c r="B2537" s="8"/>
      <c r="C2537" s="8"/>
      <c r="D2537" s="8"/>
      <c r="E2537" s="8"/>
      <c r="F2537" s="8"/>
      <c r="G2537" s="8"/>
      <c r="H2537" s="8"/>
      <c r="I2537" s="8"/>
      <c r="J2537" s="8"/>
      <c r="K2537" s="8"/>
      <c r="L2537" s="8"/>
      <c r="M2537" s="8"/>
      <c r="N2537" s="8"/>
      <c r="O2537" s="8"/>
      <c r="P2537" s="8"/>
      <c r="Q2537" s="8"/>
      <c r="R2537" s="8"/>
      <c r="S2537" s="8"/>
      <c r="T2537" s="8"/>
      <c r="U2537" s="8"/>
      <c r="V2537" s="8"/>
      <c r="W2537" s="8"/>
    </row>
    <row r="2538" spans="1:23" ht="15.75" customHeight="1" x14ac:dyDescent="0.25">
      <c r="A2538" s="6" t="s">
        <v>4292</v>
      </c>
      <c r="B2538" s="8"/>
      <c r="C2538" s="8"/>
      <c r="D2538" s="8"/>
      <c r="E2538" s="8"/>
      <c r="F2538" s="8"/>
      <c r="G2538" s="8"/>
      <c r="H2538" s="8"/>
      <c r="I2538" s="8"/>
      <c r="J2538" s="8"/>
      <c r="K2538" s="8"/>
      <c r="L2538" s="8"/>
      <c r="M2538" s="8"/>
      <c r="N2538" s="8"/>
      <c r="O2538" s="8"/>
      <c r="P2538" s="8"/>
      <c r="Q2538" s="8"/>
      <c r="R2538" s="8"/>
      <c r="S2538" s="8"/>
      <c r="T2538" s="8"/>
      <c r="U2538" s="8"/>
      <c r="V2538" s="8"/>
      <c r="W2538" s="8"/>
    </row>
    <row r="2539" spans="1:23" ht="15.75" customHeight="1" x14ac:dyDescent="0.25">
      <c r="A2539" s="6" t="s">
        <v>4293</v>
      </c>
      <c r="B2539" s="8"/>
      <c r="C2539" s="8"/>
      <c r="D2539" s="8"/>
      <c r="E2539" s="8"/>
      <c r="F2539" s="8"/>
      <c r="G2539" s="8"/>
      <c r="H2539" s="8"/>
      <c r="I2539" s="8"/>
      <c r="J2539" s="8"/>
      <c r="K2539" s="8"/>
      <c r="L2539" s="8"/>
      <c r="M2539" s="8"/>
      <c r="N2539" s="8"/>
      <c r="O2539" s="8"/>
      <c r="P2539" s="8"/>
      <c r="Q2539" s="8"/>
      <c r="R2539" s="8"/>
      <c r="S2539" s="8"/>
      <c r="T2539" s="8"/>
      <c r="U2539" s="8"/>
      <c r="V2539" s="8"/>
      <c r="W2539" s="8"/>
    </row>
    <row r="2540" spans="1:23" ht="15.75" customHeight="1" x14ac:dyDescent="0.25">
      <c r="A2540" s="6" t="s">
        <v>3481</v>
      </c>
      <c r="B2540" s="8"/>
      <c r="C2540" s="8"/>
      <c r="D2540" s="8"/>
      <c r="E2540" s="8"/>
      <c r="F2540" s="8"/>
      <c r="G2540" s="8"/>
      <c r="H2540" s="8"/>
      <c r="I2540" s="8"/>
      <c r="J2540" s="8"/>
      <c r="K2540" s="8"/>
      <c r="L2540" s="8"/>
      <c r="M2540" s="8"/>
      <c r="N2540" s="8"/>
      <c r="O2540" s="8"/>
      <c r="P2540" s="8"/>
      <c r="Q2540" s="8"/>
      <c r="R2540" s="8"/>
      <c r="S2540" s="8"/>
      <c r="T2540" s="8"/>
      <c r="U2540" s="8"/>
      <c r="V2540" s="8"/>
      <c r="W2540" s="8"/>
    </row>
    <row r="2541" spans="1:23" ht="15.75" customHeight="1" x14ac:dyDescent="0.25">
      <c r="A2541" s="6" t="s">
        <v>3481</v>
      </c>
      <c r="B2541" s="8"/>
      <c r="C2541" s="8"/>
      <c r="D2541" s="8"/>
      <c r="E2541" s="8"/>
      <c r="F2541" s="8"/>
      <c r="G2541" s="8"/>
      <c r="H2541" s="8"/>
      <c r="I2541" s="8"/>
      <c r="J2541" s="8"/>
      <c r="K2541" s="8"/>
      <c r="L2541" s="8"/>
      <c r="M2541" s="8"/>
      <c r="N2541" s="8"/>
      <c r="O2541" s="8"/>
      <c r="P2541" s="8"/>
      <c r="Q2541" s="8"/>
      <c r="R2541" s="8"/>
      <c r="S2541" s="8"/>
      <c r="T2541" s="8"/>
      <c r="U2541" s="8"/>
      <c r="V2541" s="8"/>
      <c r="W2541" s="8"/>
    </row>
    <row r="2542" spans="1:23" ht="15.75" customHeight="1" x14ac:dyDescent="0.25">
      <c r="A2542" s="6" t="s">
        <v>3481</v>
      </c>
      <c r="B2542" s="8"/>
      <c r="C2542" s="8"/>
      <c r="D2542" s="8"/>
      <c r="E2542" s="8"/>
      <c r="F2542" s="8"/>
      <c r="G2542" s="8"/>
      <c r="H2542" s="8"/>
      <c r="I2542" s="8"/>
      <c r="J2542" s="8"/>
      <c r="K2542" s="8"/>
      <c r="L2542" s="8"/>
      <c r="M2542" s="8"/>
      <c r="N2542" s="8"/>
      <c r="O2542" s="8"/>
      <c r="P2542" s="8"/>
      <c r="Q2542" s="8"/>
      <c r="R2542" s="8"/>
      <c r="S2542" s="8"/>
      <c r="T2542" s="8"/>
      <c r="U2542" s="8"/>
      <c r="V2542" s="8"/>
      <c r="W2542" s="8"/>
    </row>
    <row r="2543" spans="1:23" ht="15.75" customHeight="1" x14ac:dyDescent="0.25">
      <c r="A2543" s="6" t="s">
        <v>3481</v>
      </c>
      <c r="B2543" s="8"/>
      <c r="C2543" s="8"/>
      <c r="D2543" s="8"/>
      <c r="E2543" s="8"/>
      <c r="F2543" s="8"/>
      <c r="G2543" s="8"/>
      <c r="H2543" s="8"/>
      <c r="I2543" s="8"/>
      <c r="J2543" s="8"/>
      <c r="K2543" s="8"/>
      <c r="L2543" s="8"/>
      <c r="M2543" s="8"/>
      <c r="N2543" s="8"/>
      <c r="O2543" s="8"/>
      <c r="P2543" s="8"/>
      <c r="Q2543" s="8"/>
      <c r="R2543" s="8"/>
      <c r="S2543" s="8"/>
      <c r="T2543" s="8"/>
      <c r="U2543" s="8"/>
      <c r="V2543" s="8"/>
      <c r="W2543" s="8"/>
    </row>
    <row r="2544" spans="1:23" ht="15.75" customHeight="1" x14ac:dyDescent="0.25">
      <c r="A2544" s="6" t="s">
        <v>3481</v>
      </c>
      <c r="B2544" s="8"/>
      <c r="C2544" s="8"/>
      <c r="D2544" s="8"/>
      <c r="E2544" s="8"/>
      <c r="F2544" s="8"/>
      <c r="G2544" s="8"/>
      <c r="H2544" s="8"/>
      <c r="I2544" s="8"/>
      <c r="J2544" s="8"/>
      <c r="K2544" s="8"/>
      <c r="L2544" s="8"/>
      <c r="M2544" s="8"/>
      <c r="N2544" s="8"/>
      <c r="O2544" s="8"/>
      <c r="P2544" s="8"/>
      <c r="Q2544" s="8"/>
      <c r="R2544" s="8"/>
      <c r="S2544" s="8"/>
      <c r="T2544" s="8"/>
      <c r="U2544" s="8"/>
      <c r="V2544" s="8"/>
      <c r="W2544" s="8"/>
    </row>
    <row r="2545" spans="1:23" ht="15.75" customHeight="1" x14ac:dyDescent="0.25">
      <c r="A2545" s="6" t="s">
        <v>3481</v>
      </c>
      <c r="B2545" s="8"/>
      <c r="C2545" s="8"/>
      <c r="D2545" s="8"/>
      <c r="E2545" s="8"/>
      <c r="F2545" s="8"/>
      <c r="G2545" s="8"/>
      <c r="H2545" s="8"/>
      <c r="I2545" s="8"/>
      <c r="J2545" s="8"/>
      <c r="K2545" s="8"/>
      <c r="L2545" s="8"/>
      <c r="M2545" s="8"/>
      <c r="N2545" s="8"/>
      <c r="O2545" s="8"/>
      <c r="P2545" s="8"/>
      <c r="Q2545" s="8"/>
      <c r="R2545" s="8"/>
      <c r="S2545" s="8"/>
      <c r="T2545" s="8"/>
      <c r="U2545" s="8"/>
      <c r="V2545" s="8"/>
      <c r="W2545" s="8"/>
    </row>
    <row r="2546" spans="1:23" ht="15.75" customHeight="1" x14ac:dyDescent="0.25">
      <c r="A2546" s="6" t="s">
        <v>3481</v>
      </c>
      <c r="B2546" s="8"/>
      <c r="C2546" s="8"/>
      <c r="D2546" s="8"/>
      <c r="E2546" s="8"/>
      <c r="F2546" s="8"/>
      <c r="G2546" s="8"/>
      <c r="H2546" s="8"/>
      <c r="I2546" s="8"/>
      <c r="J2546" s="8"/>
      <c r="K2546" s="8"/>
      <c r="L2546" s="8"/>
      <c r="M2546" s="8"/>
      <c r="N2546" s="8"/>
      <c r="O2546" s="8"/>
      <c r="P2546" s="8"/>
      <c r="Q2546" s="8"/>
      <c r="R2546" s="8"/>
      <c r="S2546" s="8"/>
      <c r="T2546" s="8"/>
      <c r="U2546" s="8"/>
      <c r="V2546" s="8"/>
      <c r="W2546" s="8"/>
    </row>
    <row r="2547" spans="1:23" ht="15.75" customHeight="1" x14ac:dyDescent="0.25">
      <c r="A2547" s="6" t="s">
        <v>4294</v>
      </c>
      <c r="B2547" s="8"/>
      <c r="C2547" s="8"/>
      <c r="D2547" s="8"/>
      <c r="E2547" s="8"/>
      <c r="F2547" s="8"/>
      <c r="G2547" s="8"/>
      <c r="H2547" s="8"/>
      <c r="I2547" s="8"/>
      <c r="J2547" s="8"/>
      <c r="K2547" s="8"/>
      <c r="L2547" s="8"/>
      <c r="M2547" s="8"/>
      <c r="N2547" s="8"/>
      <c r="O2547" s="8"/>
      <c r="P2547" s="8"/>
      <c r="Q2547" s="8"/>
      <c r="R2547" s="8"/>
      <c r="S2547" s="8"/>
      <c r="T2547" s="8"/>
      <c r="U2547" s="8"/>
      <c r="V2547" s="8"/>
      <c r="W2547" s="8"/>
    </row>
    <row r="2548" spans="1:23" ht="15.75" customHeight="1" x14ac:dyDescent="0.25">
      <c r="A2548" s="6" t="s">
        <v>3988</v>
      </c>
      <c r="B2548" s="8"/>
      <c r="C2548" s="8"/>
      <c r="D2548" s="8"/>
      <c r="E2548" s="8"/>
      <c r="F2548" s="8"/>
      <c r="G2548" s="8"/>
      <c r="H2548" s="8"/>
      <c r="I2548" s="8"/>
      <c r="J2548" s="8"/>
      <c r="K2548" s="8"/>
      <c r="L2548" s="8"/>
      <c r="M2548" s="8"/>
      <c r="N2548" s="8"/>
      <c r="O2548" s="8"/>
      <c r="P2548" s="8"/>
      <c r="Q2548" s="8"/>
      <c r="R2548" s="8"/>
      <c r="S2548" s="8"/>
      <c r="T2548" s="8"/>
      <c r="U2548" s="8"/>
      <c r="V2548" s="8"/>
      <c r="W2548" s="8"/>
    </row>
    <row r="2549" spans="1:23" ht="15.75" customHeight="1" x14ac:dyDescent="0.25">
      <c r="A2549" s="6" t="s">
        <v>3988</v>
      </c>
      <c r="B2549" s="8"/>
      <c r="C2549" s="8"/>
      <c r="D2549" s="8"/>
      <c r="E2549" s="8"/>
      <c r="F2549" s="8"/>
      <c r="G2549" s="8"/>
      <c r="H2549" s="8"/>
      <c r="I2549" s="8"/>
      <c r="J2549" s="8"/>
      <c r="K2549" s="8"/>
      <c r="L2549" s="8"/>
      <c r="M2549" s="8"/>
      <c r="N2549" s="8"/>
      <c r="O2549" s="8"/>
      <c r="P2549" s="8"/>
      <c r="Q2549" s="8"/>
      <c r="R2549" s="8"/>
      <c r="S2549" s="8"/>
      <c r="T2549" s="8"/>
      <c r="U2549" s="8"/>
      <c r="V2549" s="8"/>
      <c r="W2549" s="8"/>
    </row>
    <row r="2550" spans="1:23" ht="15.75" customHeight="1" x14ac:dyDescent="0.25">
      <c r="A2550" s="6" t="s">
        <v>4295</v>
      </c>
      <c r="B2550" s="8"/>
      <c r="C2550" s="8"/>
      <c r="D2550" s="8"/>
      <c r="E2550" s="8"/>
      <c r="F2550" s="8"/>
      <c r="G2550" s="8"/>
      <c r="H2550" s="8"/>
      <c r="I2550" s="8"/>
      <c r="J2550" s="8"/>
      <c r="K2550" s="8"/>
      <c r="L2550" s="8"/>
      <c r="M2550" s="8"/>
      <c r="N2550" s="8"/>
      <c r="O2550" s="8"/>
      <c r="P2550" s="8"/>
      <c r="Q2550" s="8"/>
      <c r="R2550" s="8"/>
      <c r="S2550" s="8"/>
      <c r="T2550" s="8"/>
      <c r="U2550" s="8"/>
      <c r="V2550" s="8"/>
      <c r="W2550" s="8"/>
    </row>
    <row r="2551" spans="1:23" ht="15.75" customHeight="1" x14ac:dyDescent="0.25">
      <c r="A2551" s="6" t="s">
        <v>4296</v>
      </c>
      <c r="B2551" s="8"/>
      <c r="C2551" s="8"/>
      <c r="D2551" s="8"/>
      <c r="E2551" s="8"/>
      <c r="F2551" s="8"/>
      <c r="G2551" s="8"/>
      <c r="H2551" s="8"/>
      <c r="I2551" s="8"/>
      <c r="J2551" s="8"/>
      <c r="K2551" s="8"/>
      <c r="L2551" s="8"/>
      <c r="M2551" s="8"/>
      <c r="N2551" s="8"/>
      <c r="O2551" s="8"/>
      <c r="P2551" s="8"/>
      <c r="Q2551" s="8"/>
      <c r="R2551" s="8"/>
      <c r="S2551" s="8"/>
      <c r="T2551" s="8"/>
      <c r="U2551" s="8"/>
      <c r="V2551" s="8"/>
      <c r="W2551" s="8"/>
    </row>
    <row r="2552" spans="1:23" ht="15.75" customHeight="1" x14ac:dyDescent="0.25">
      <c r="A2552" s="6" t="s">
        <v>3392</v>
      </c>
      <c r="B2552" s="8"/>
      <c r="C2552" s="8"/>
      <c r="D2552" s="8"/>
      <c r="E2552" s="8"/>
      <c r="F2552" s="8"/>
      <c r="G2552" s="8"/>
      <c r="H2552" s="8"/>
      <c r="I2552" s="8"/>
      <c r="J2552" s="8"/>
      <c r="K2552" s="8"/>
      <c r="L2552" s="8"/>
      <c r="M2552" s="8"/>
      <c r="N2552" s="8"/>
      <c r="O2552" s="8"/>
      <c r="P2552" s="8"/>
      <c r="Q2552" s="8"/>
      <c r="R2552" s="8"/>
      <c r="S2552" s="8"/>
      <c r="T2552" s="8"/>
      <c r="U2552" s="8"/>
      <c r="V2552" s="8"/>
      <c r="W2552" s="8"/>
    </row>
    <row r="2553" spans="1:23" ht="15.75" customHeight="1" x14ac:dyDescent="0.25">
      <c r="A2553" s="6" t="s">
        <v>3392</v>
      </c>
      <c r="B2553" s="8"/>
      <c r="C2553" s="8"/>
      <c r="D2553" s="8"/>
      <c r="E2553" s="8"/>
      <c r="F2553" s="8"/>
      <c r="G2553" s="8"/>
      <c r="H2553" s="8"/>
      <c r="I2553" s="8"/>
      <c r="J2553" s="8"/>
      <c r="K2553" s="8"/>
      <c r="L2553" s="8"/>
      <c r="M2553" s="8"/>
      <c r="N2553" s="8"/>
      <c r="O2553" s="8"/>
      <c r="P2553" s="8"/>
      <c r="Q2553" s="8"/>
      <c r="R2553" s="8"/>
      <c r="S2553" s="8"/>
      <c r="T2553" s="8"/>
      <c r="U2553" s="8"/>
      <c r="V2553" s="8"/>
      <c r="W2553" s="8"/>
    </row>
    <row r="2554" spans="1:23" ht="15.75" customHeight="1" x14ac:dyDescent="0.25">
      <c r="A2554" s="6" t="s">
        <v>3392</v>
      </c>
      <c r="B2554" s="8"/>
      <c r="C2554" s="8"/>
      <c r="D2554" s="8"/>
      <c r="E2554" s="8"/>
      <c r="F2554" s="8"/>
      <c r="G2554" s="8"/>
      <c r="H2554" s="8"/>
      <c r="I2554" s="8"/>
      <c r="J2554" s="8"/>
      <c r="K2554" s="8"/>
      <c r="L2554" s="8"/>
      <c r="M2554" s="8"/>
      <c r="N2554" s="8"/>
      <c r="O2554" s="8"/>
      <c r="P2554" s="8"/>
      <c r="Q2554" s="8"/>
      <c r="R2554" s="8"/>
      <c r="S2554" s="8"/>
      <c r="T2554" s="8"/>
      <c r="U2554" s="8"/>
      <c r="V2554" s="8"/>
      <c r="W2554" s="8"/>
    </row>
    <row r="2555" spans="1:23" ht="15.75" customHeight="1" x14ac:dyDescent="0.25">
      <c r="A2555" s="6" t="s">
        <v>3392</v>
      </c>
      <c r="B2555" s="8"/>
      <c r="C2555" s="8"/>
      <c r="D2555" s="8"/>
      <c r="E2555" s="8"/>
      <c r="F2555" s="8"/>
      <c r="G2555" s="8"/>
      <c r="H2555" s="8"/>
      <c r="I2555" s="8"/>
      <c r="J2555" s="8"/>
      <c r="K2555" s="8"/>
      <c r="L2555" s="8"/>
      <c r="M2555" s="8"/>
      <c r="N2555" s="8"/>
      <c r="O2555" s="8"/>
      <c r="P2555" s="8"/>
      <c r="Q2555" s="8"/>
      <c r="R2555" s="8"/>
      <c r="S2555" s="8"/>
      <c r="T2555" s="8"/>
      <c r="U2555" s="8"/>
      <c r="V2555" s="8"/>
      <c r="W2555" s="8"/>
    </row>
    <row r="2556" spans="1:23" ht="15.75" customHeight="1" x14ac:dyDescent="0.25">
      <c r="A2556" s="6" t="s">
        <v>3392</v>
      </c>
      <c r="B2556" s="8"/>
      <c r="C2556" s="8"/>
      <c r="D2556" s="8"/>
      <c r="E2556" s="8"/>
      <c r="F2556" s="8"/>
      <c r="G2556" s="8"/>
      <c r="H2556" s="8"/>
      <c r="I2556" s="8"/>
      <c r="J2556" s="8"/>
      <c r="K2556" s="8"/>
      <c r="L2556" s="8"/>
      <c r="M2556" s="8"/>
      <c r="N2556" s="8"/>
      <c r="O2556" s="8"/>
      <c r="P2556" s="8"/>
      <c r="Q2556" s="8"/>
      <c r="R2556" s="8"/>
      <c r="S2556" s="8"/>
      <c r="T2556" s="8"/>
      <c r="U2556" s="8"/>
      <c r="V2556" s="8"/>
      <c r="W2556" s="8"/>
    </row>
    <row r="2557" spans="1:23" ht="15.75" customHeight="1" x14ac:dyDescent="0.25">
      <c r="A2557" s="6" t="s">
        <v>3392</v>
      </c>
      <c r="B2557" s="8"/>
      <c r="C2557" s="8"/>
      <c r="D2557" s="8"/>
      <c r="E2557" s="8"/>
      <c r="F2557" s="8"/>
      <c r="G2557" s="8"/>
      <c r="H2557" s="8"/>
      <c r="I2557" s="8"/>
      <c r="J2557" s="8"/>
      <c r="K2557" s="8"/>
      <c r="L2557" s="8"/>
      <c r="M2557" s="8"/>
      <c r="N2557" s="8"/>
      <c r="O2557" s="8"/>
      <c r="P2557" s="8"/>
      <c r="Q2557" s="8"/>
      <c r="R2557" s="8"/>
      <c r="S2557" s="8"/>
      <c r="T2557" s="8"/>
      <c r="U2557" s="8"/>
      <c r="V2557" s="8"/>
      <c r="W2557" s="8"/>
    </row>
    <row r="2558" spans="1:23" ht="15.75" customHeight="1" x14ac:dyDescent="0.25">
      <c r="A2558" s="6" t="s">
        <v>3392</v>
      </c>
      <c r="B2558" s="8"/>
      <c r="C2558" s="8"/>
      <c r="D2558" s="8"/>
      <c r="E2558" s="8"/>
      <c r="F2558" s="8"/>
      <c r="G2558" s="8"/>
      <c r="H2558" s="8"/>
      <c r="I2558" s="8"/>
      <c r="J2558" s="8"/>
      <c r="K2558" s="8"/>
      <c r="L2558" s="8"/>
      <c r="M2558" s="8"/>
      <c r="N2558" s="8"/>
      <c r="O2558" s="8"/>
      <c r="P2558" s="8"/>
      <c r="Q2558" s="8"/>
      <c r="R2558" s="8"/>
      <c r="S2558" s="8"/>
      <c r="T2558" s="8"/>
      <c r="U2558" s="8"/>
      <c r="V2558" s="8"/>
      <c r="W2558" s="8"/>
    </row>
    <row r="2559" spans="1:23" ht="15.75" customHeight="1" x14ac:dyDescent="0.25">
      <c r="A2559" s="6" t="s">
        <v>3392</v>
      </c>
      <c r="B2559" s="8"/>
      <c r="C2559" s="8"/>
      <c r="D2559" s="8"/>
      <c r="E2559" s="8"/>
      <c r="F2559" s="8"/>
      <c r="G2559" s="8"/>
      <c r="H2559" s="8"/>
      <c r="I2559" s="8"/>
      <c r="J2559" s="8"/>
      <c r="K2559" s="8"/>
      <c r="L2559" s="8"/>
      <c r="M2559" s="8"/>
      <c r="N2559" s="8"/>
      <c r="O2559" s="8"/>
      <c r="P2559" s="8"/>
      <c r="Q2559" s="8"/>
      <c r="R2559" s="8"/>
      <c r="S2559" s="8"/>
      <c r="T2559" s="8"/>
      <c r="U2559" s="8"/>
      <c r="V2559" s="8"/>
      <c r="W2559" s="8"/>
    </row>
    <row r="2560" spans="1:23" ht="15.75" customHeight="1" x14ac:dyDescent="0.25">
      <c r="A2560" s="6" t="s">
        <v>3392</v>
      </c>
      <c r="B2560" s="8"/>
      <c r="C2560" s="8"/>
      <c r="D2560" s="8"/>
      <c r="E2560" s="8"/>
      <c r="F2560" s="8"/>
      <c r="G2560" s="8"/>
      <c r="H2560" s="8"/>
      <c r="I2560" s="8"/>
      <c r="J2560" s="8"/>
      <c r="K2560" s="8"/>
      <c r="L2560" s="8"/>
      <c r="M2560" s="8"/>
      <c r="N2560" s="8"/>
      <c r="O2560" s="8"/>
      <c r="P2560" s="8"/>
      <c r="Q2560" s="8"/>
      <c r="R2560" s="8"/>
      <c r="S2560" s="8"/>
      <c r="T2560" s="8"/>
      <c r="U2560" s="8"/>
      <c r="V2560" s="8"/>
      <c r="W2560" s="8"/>
    </row>
    <row r="2561" spans="1:23" ht="15.75" customHeight="1" x14ac:dyDescent="0.25">
      <c r="A2561" s="6" t="s">
        <v>3392</v>
      </c>
      <c r="B2561" s="8"/>
      <c r="C2561" s="8"/>
      <c r="D2561" s="8"/>
      <c r="E2561" s="8"/>
      <c r="F2561" s="8"/>
      <c r="G2561" s="8"/>
      <c r="H2561" s="8"/>
      <c r="I2561" s="8"/>
      <c r="J2561" s="8"/>
      <c r="K2561" s="8"/>
      <c r="L2561" s="8"/>
      <c r="M2561" s="8"/>
      <c r="N2561" s="8"/>
      <c r="O2561" s="8"/>
      <c r="P2561" s="8"/>
      <c r="Q2561" s="8"/>
      <c r="R2561" s="8"/>
      <c r="S2561" s="8"/>
      <c r="T2561" s="8"/>
      <c r="U2561" s="8"/>
      <c r="V2561" s="8"/>
      <c r="W2561" s="8"/>
    </row>
    <row r="2562" spans="1:23" ht="15.75" customHeight="1" x14ac:dyDescent="0.25">
      <c r="A2562" s="6" t="s">
        <v>3740</v>
      </c>
      <c r="B2562" s="8"/>
      <c r="C2562" s="8"/>
      <c r="D2562" s="8"/>
      <c r="E2562" s="8"/>
      <c r="F2562" s="8"/>
      <c r="G2562" s="8"/>
      <c r="H2562" s="8"/>
      <c r="I2562" s="8"/>
      <c r="J2562" s="8"/>
      <c r="K2562" s="8"/>
      <c r="L2562" s="8"/>
      <c r="M2562" s="8"/>
      <c r="N2562" s="8"/>
      <c r="O2562" s="8"/>
      <c r="P2562" s="8"/>
      <c r="Q2562" s="8"/>
      <c r="R2562" s="8"/>
      <c r="S2562" s="8"/>
      <c r="T2562" s="8"/>
      <c r="U2562" s="8"/>
      <c r="V2562" s="8"/>
      <c r="W2562" s="8"/>
    </row>
    <row r="2563" spans="1:23" ht="15.75" customHeight="1" x14ac:dyDescent="0.25">
      <c r="A2563" s="8" t="s">
        <v>3740</v>
      </c>
      <c r="B2563" s="8"/>
      <c r="C2563" s="8"/>
      <c r="D2563" s="8"/>
      <c r="E2563" s="8"/>
      <c r="F2563" s="8"/>
      <c r="G2563" s="8"/>
      <c r="H2563" s="8"/>
      <c r="I2563" s="8"/>
      <c r="J2563" s="8"/>
      <c r="K2563" s="8"/>
      <c r="L2563" s="8"/>
      <c r="M2563" s="8"/>
      <c r="N2563" s="8"/>
      <c r="O2563" s="8"/>
      <c r="P2563" s="8"/>
      <c r="Q2563" s="8"/>
      <c r="R2563" s="8"/>
      <c r="S2563" s="8"/>
      <c r="T2563" s="8"/>
      <c r="U2563" s="8"/>
      <c r="V2563" s="8"/>
      <c r="W2563" s="8"/>
    </row>
    <row r="2564" spans="1:23" ht="15.75" customHeight="1" x14ac:dyDescent="0.25">
      <c r="A2564" s="8" t="s">
        <v>3740</v>
      </c>
      <c r="B2564" s="8"/>
      <c r="C2564" s="8"/>
      <c r="D2564" s="8"/>
      <c r="E2564" s="8"/>
      <c r="F2564" s="8"/>
      <c r="G2564" s="8"/>
      <c r="H2564" s="8"/>
      <c r="I2564" s="8"/>
      <c r="J2564" s="8"/>
      <c r="K2564" s="8"/>
      <c r="L2564" s="8"/>
      <c r="M2564" s="8"/>
      <c r="N2564" s="8"/>
      <c r="O2564" s="8"/>
      <c r="P2564" s="8"/>
      <c r="Q2564" s="8"/>
      <c r="R2564" s="8"/>
      <c r="S2564" s="8"/>
      <c r="T2564" s="8"/>
      <c r="U2564" s="8"/>
      <c r="V2564" s="8"/>
      <c r="W2564" s="8"/>
    </row>
    <row r="2565" spans="1:23" ht="15.75" customHeight="1" x14ac:dyDescent="0.25">
      <c r="A2565" s="6" t="s">
        <v>3990</v>
      </c>
      <c r="B2565" s="8"/>
      <c r="C2565" s="8"/>
      <c r="D2565" s="8"/>
      <c r="E2565" s="8"/>
      <c r="F2565" s="8"/>
      <c r="G2565" s="8"/>
      <c r="H2565" s="8"/>
      <c r="I2565" s="8"/>
      <c r="J2565" s="8"/>
      <c r="K2565" s="8"/>
      <c r="L2565" s="8"/>
      <c r="M2565" s="8"/>
      <c r="N2565" s="8"/>
      <c r="O2565" s="8"/>
      <c r="P2565" s="8"/>
      <c r="Q2565" s="8"/>
      <c r="R2565" s="8"/>
      <c r="S2565" s="8"/>
      <c r="T2565" s="8"/>
      <c r="U2565" s="8"/>
      <c r="V2565" s="8"/>
      <c r="W2565" s="8"/>
    </row>
    <row r="2566" spans="1:23" ht="15.75" customHeight="1" x14ac:dyDescent="0.25">
      <c r="A2566" s="8" t="s">
        <v>3990</v>
      </c>
      <c r="B2566" s="8"/>
      <c r="C2566" s="8"/>
      <c r="D2566" s="8"/>
      <c r="E2566" s="8"/>
      <c r="F2566" s="8"/>
      <c r="G2566" s="8"/>
      <c r="H2566" s="8"/>
      <c r="I2566" s="8"/>
      <c r="J2566" s="8"/>
      <c r="K2566" s="8"/>
      <c r="L2566" s="8"/>
      <c r="M2566" s="8"/>
      <c r="N2566" s="8"/>
      <c r="O2566" s="8"/>
      <c r="P2566" s="8"/>
      <c r="Q2566" s="8"/>
      <c r="R2566" s="8"/>
      <c r="S2566" s="8"/>
      <c r="T2566" s="8"/>
      <c r="U2566" s="8"/>
      <c r="V2566" s="8"/>
      <c r="W2566" s="8"/>
    </row>
    <row r="2567" spans="1:23" ht="15.75" customHeight="1" x14ac:dyDescent="0.25">
      <c r="A2567" s="6" t="s">
        <v>3743</v>
      </c>
      <c r="B2567" s="8"/>
      <c r="C2567" s="8"/>
      <c r="D2567" s="8"/>
      <c r="E2567" s="8"/>
      <c r="F2567" s="8"/>
      <c r="G2567" s="8"/>
      <c r="H2567" s="8"/>
      <c r="I2567" s="8"/>
      <c r="J2567" s="8"/>
      <c r="K2567" s="8"/>
      <c r="L2567" s="8"/>
      <c r="M2567" s="8"/>
      <c r="N2567" s="8"/>
      <c r="O2567" s="8"/>
      <c r="P2567" s="8"/>
      <c r="Q2567" s="8"/>
      <c r="R2567" s="8"/>
      <c r="S2567" s="8"/>
      <c r="T2567" s="8"/>
      <c r="U2567" s="8"/>
      <c r="V2567" s="8"/>
      <c r="W2567" s="8"/>
    </row>
    <row r="2568" spans="1:23" ht="15.75" customHeight="1" x14ac:dyDescent="0.25">
      <c r="A2568" s="6" t="s">
        <v>3743</v>
      </c>
      <c r="B2568" s="8"/>
      <c r="C2568" s="8"/>
      <c r="D2568" s="8"/>
      <c r="E2568" s="8"/>
      <c r="F2568" s="8"/>
      <c r="G2568" s="8"/>
      <c r="H2568" s="8"/>
      <c r="I2568" s="8"/>
      <c r="J2568" s="8"/>
      <c r="K2568" s="8"/>
      <c r="L2568" s="8"/>
      <c r="M2568" s="8"/>
      <c r="N2568" s="8"/>
      <c r="O2568" s="8"/>
      <c r="P2568" s="8"/>
      <c r="Q2568" s="8"/>
      <c r="R2568" s="8"/>
      <c r="S2568" s="8"/>
      <c r="T2568" s="8"/>
      <c r="U2568" s="8"/>
      <c r="V2568" s="8"/>
      <c r="W2568" s="8"/>
    </row>
    <row r="2569" spans="1:23" ht="15.75" customHeight="1" x14ac:dyDescent="0.25">
      <c r="A2569" s="6" t="s">
        <v>3743</v>
      </c>
      <c r="B2569" s="8"/>
      <c r="C2569" s="8"/>
      <c r="D2569" s="8"/>
      <c r="E2569" s="8"/>
      <c r="F2569" s="8"/>
      <c r="G2569" s="8"/>
      <c r="H2569" s="8"/>
      <c r="I2569" s="8"/>
      <c r="J2569" s="8"/>
      <c r="K2569" s="8"/>
      <c r="L2569" s="8"/>
      <c r="M2569" s="8"/>
      <c r="N2569" s="8"/>
      <c r="O2569" s="8"/>
      <c r="P2569" s="8"/>
      <c r="Q2569" s="8"/>
      <c r="R2569" s="8"/>
      <c r="S2569" s="8"/>
      <c r="T2569" s="8"/>
      <c r="U2569" s="8"/>
      <c r="V2569" s="8"/>
      <c r="W2569" s="8"/>
    </row>
    <row r="2570" spans="1:23" ht="15.75" customHeight="1" x14ac:dyDescent="0.25">
      <c r="A2570" s="6" t="s">
        <v>4297</v>
      </c>
      <c r="B2570" s="8"/>
      <c r="C2570" s="8"/>
      <c r="D2570" s="8"/>
      <c r="E2570" s="8"/>
      <c r="F2570" s="8"/>
      <c r="G2570" s="8"/>
      <c r="H2570" s="8"/>
      <c r="I2570" s="8"/>
      <c r="J2570" s="8"/>
      <c r="K2570" s="8"/>
      <c r="L2570" s="8"/>
      <c r="M2570" s="8"/>
      <c r="N2570" s="8"/>
      <c r="O2570" s="8"/>
      <c r="P2570" s="8"/>
      <c r="Q2570" s="8"/>
      <c r="R2570" s="8"/>
      <c r="S2570" s="8"/>
      <c r="T2570" s="8"/>
      <c r="U2570" s="8"/>
      <c r="V2570" s="8"/>
      <c r="W2570" s="8"/>
    </row>
    <row r="2571" spans="1:23" ht="15.75" customHeight="1" x14ac:dyDescent="0.25">
      <c r="A2571" s="6" t="s">
        <v>4298</v>
      </c>
      <c r="B2571" s="8"/>
      <c r="C2571" s="8"/>
      <c r="D2571" s="8"/>
      <c r="E2571" s="8"/>
      <c r="F2571" s="8"/>
      <c r="G2571" s="8"/>
      <c r="H2571" s="8"/>
      <c r="I2571" s="8"/>
      <c r="J2571" s="8"/>
      <c r="K2571" s="8"/>
      <c r="L2571" s="8"/>
      <c r="M2571" s="8"/>
      <c r="N2571" s="8"/>
      <c r="O2571" s="8"/>
      <c r="P2571" s="8"/>
      <c r="Q2571" s="8"/>
      <c r="R2571" s="8"/>
      <c r="S2571" s="8"/>
      <c r="T2571" s="8"/>
      <c r="U2571" s="8"/>
      <c r="V2571" s="8"/>
      <c r="W2571" s="8"/>
    </row>
    <row r="2572" spans="1:23" ht="15.75" customHeight="1" x14ac:dyDescent="0.25">
      <c r="A2572" s="6" t="s">
        <v>4299</v>
      </c>
      <c r="B2572" s="8"/>
      <c r="C2572" s="8"/>
      <c r="D2572" s="8"/>
      <c r="E2572" s="8"/>
      <c r="F2572" s="8"/>
      <c r="G2572" s="8"/>
      <c r="H2572" s="8"/>
      <c r="I2572" s="8"/>
      <c r="J2572" s="8"/>
      <c r="K2572" s="8"/>
      <c r="L2572" s="8"/>
      <c r="M2572" s="8"/>
      <c r="N2572" s="8"/>
      <c r="O2572" s="8"/>
      <c r="P2572" s="8"/>
      <c r="Q2572" s="8"/>
      <c r="R2572" s="8"/>
      <c r="S2572" s="8"/>
      <c r="T2572" s="8"/>
      <c r="U2572" s="8"/>
      <c r="V2572" s="8"/>
      <c r="W2572" s="8"/>
    </row>
    <row r="2573" spans="1:23" ht="15.75" customHeight="1" x14ac:dyDescent="0.25">
      <c r="A2573" s="6" t="s">
        <v>3260</v>
      </c>
      <c r="B2573" s="8"/>
      <c r="C2573" s="8"/>
      <c r="D2573" s="8"/>
      <c r="E2573" s="8"/>
      <c r="F2573" s="8"/>
      <c r="G2573" s="8"/>
      <c r="H2573" s="8"/>
      <c r="I2573" s="8"/>
      <c r="J2573" s="8"/>
      <c r="K2573" s="8"/>
      <c r="L2573" s="8"/>
      <c r="M2573" s="8"/>
      <c r="N2573" s="8"/>
      <c r="O2573" s="8"/>
      <c r="P2573" s="8"/>
      <c r="Q2573" s="8"/>
      <c r="R2573" s="8"/>
      <c r="S2573" s="8"/>
      <c r="T2573" s="8"/>
      <c r="U2573" s="8"/>
      <c r="V2573" s="8"/>
      <c r="W2573" s="8"/>
    </row>
    <row r="2574" spans="1:23" ht="15.75" customHeight="1" x14ac:dyDescent="0.25">
      <c r="A2574" s="6" t="s">
        <v>3260</v>
      </c>
      <c r="B2574" s="8"/>
      <c r="C2574" s="8"/>
      <c r="D2574" s="8"/>
      <c r="E2574" s="8"/>
      <c r="F2574" s="8"/>
      <c r="G2574" s="8"/>
      <c r="H2574" s="8"/>
      <c r="I2574" s="8"/>
      <c r="J2574" s="8"/>
      <c r="K2574" s="8"/>
      <c r="L2574" s="8"/>
      <c r="M2574" s="8"/>
      <c r="N2574" s="8"/>
      <c r="O2574" s="8"/>
      <c r="P2574" s="8"/>
      <c r="Q2574" s="8"/>
      <c r="R2574" s="8"/>
      <c r="S2574" s="8"/>
      <c r="T2574" s="8"/>
      <c r="U2574" s="8"/>
      <c r="V2574" s="8"/>
      <c r="W2574" s="8"/>
    </row>
    <row r="2575" spans="1:23" ht="15.75" customHeight="1" x14ac:dyDescent="0.25">
      <c r="A2575" s="6" t="s">
        <v>3260</v>
      </c>
      <c r="B2575" s="8"/>
      <c r="C2575" s="8"/>
      <c r="D2575" s="8"/>
      <c r="E2575" s="8"/>
      <c r="F2575" s="8"/>
      <c r="G2575" s="8"/>
      <c r="H2575" s="8"/>
      <c r="I2575" s="8"/>
      <c r="J2575" s="8"/>
      <c r="K2575" s="8"/>
      <c r="L2575" s="8"/>
      <c r="M2575" s="8"/>
      <c r="N2575" s="8"/>
      <c r="O2575" s="8"/>
      <c r="P2575" s="8"/>
      <c r="Q2575" s="8"/>
      <c r="R2575" s="8"/>
      <c r="S2575" s="8"/>
      <c r="T2575" s="8"/>
      <c r="U2575" s="8"/>
      <c r="V2575" s="8"/>
      <c r="W2575" s="8"/>
    </row>
    <row r="2576" spans="1:23" ht="15.75" customHeight="1" x14ac:dyDescent="0.25">
      <c r="A2576" s="6" t="s">
        <v>3260</v>
      </c>
      <c r="B2576" s="8"/>
      <c r="C2576" s="8"/>
      <c r="D2576" s="8"/>
      <c r="E2576" s="8"/>
      <c r="F2576" s="8"/>
      <c r="G2576" s="8"/>
      <c r="H2576" s="8"/>
      <c r="I2576" s="8"/>
      <c r="J2576" s="8"/>
      <c r="K2576" s="8"/>
      <c r="L2576" s="8"/>
      <c r="M2576" s="8"/>
      <c r="N2576" s="8"/>
      <c r="O2576" s="8"/>
      <c r="P2576" s="8"/>
      <c r="Q2576" s="8"/>
      <c r="R2576" s="8"/>
      <c r="S2576" s="8"/>
      <c r="T2576" s="8"/>
      <c r="U2576" s="8"/>
      <c r="V2576" s="8"/>
      <c r="W2576" s="8"/>
    </row>
    <row r="2577" spans="1:23" ht="15.75" customHeight="1" x14ac:dyDescent="0.25">
      <c r="A2577" s="6" t="s">
        <v>3260</v>
      </c>
      <c r="B2577" s="8"/>
      <c r="C2577" s="8"/>
      <c r="D2577" s="8"/>
      <c r="E2577" s="8"/>
      <c r="F2577" s="8"/>
      <c r="G2577" s="8"/>
      <c r="H2577" s="8"/>
      <c r="I2577" s="8"/>
      <c r="J2577" s="8"/>
      <c r="K2577" s="8"/>
      <c r="L2577" s="8"/>
      <c r="M2577" s="8"/>
      <c r="N2577" s="8"/>
      <c r="O2577" s="8"/>
      <c r="P2577" s="8"/>
      <c r="Q2577" s="8"/>
      <c r="R2577" s="8"/>
      <c r="S2577" s="8"/>
      <c r="T2577" s="8"/>
      <c r="U2577" s="8"/>
      <c r="V2577" s="8"/>
      <c r="W2577" s="8"/>
    </row>
    <row r="2578" spans="1:23" ht="15.75" customHeight="1" x14ac:dyDescent="0.25">
      <c r="A2578" s="6" t="s">
        <v>3260</v>
      </c>
      <c r="B2578" s="8"/>
      <c r="C2578" s="8"/>
      <c r="D2578" s="8"/>
      <c r="E2578" s="8"/>
      <c r="F2578" s="8"/>
      <c r="G2578" s="8"/>
      <c r="H2578" s="8"/>
      <c r="I2578" s="8"/>
      <c r="J2578" s="8"/>
      <c r="K2578" s="8"/>
      <c r="L2578" s="8"/>
      <c r="M2578" s="8"/>
      <c r="N2578" s="8"/>
      <c r="O2578" s="8"/>
      <c r="P2578" s="8"/>
      <c r="Q2578" s="8"/>
      <c r="R2578" s="8"/>
      <c r="S2578" s="8"/>
      <c r="T2578" s="8"/>
      <c r="U2578" s="8"/>
      <c r="V2578" s="8"/>
      <c r="W2578" s="8"/>
    </row>
    <row r="2579" spans="1:23" ht="15.75" customHeight="1" x14ac:dyDescent="0.25">
      <c r="A2579" s="6" t="s">
        <v>3260</v>
      </c>
      <c r="B2579" s="8"/>
      <c r="C2579" s="8"/>
      <c r="D2579" s="8"/>
      <c r="E2579" s="8"/>
      <c r="F2579" s="8"/>
      <c r="G2579" s="8"/>
      <c r="H2579" s="8"/>
      <c r="I2579" s="8"/>
      <c r="J2579" s="8"/>
      <c r="K2579" s="8"/>
      <c r="L2579" s="8"/>
      <c r="M2579" s="8"/>
      <c r="N2579" s="8"/>
      <c r="O2579" s="8"/>
      <c r="P2579" s="8"/>
      <c r="Q2579" s="8"/>
      <c r="R2579" s="8"/>
      <c r="S2579" s="8"/>
      <c r="T2579" s="8"/>
      <c r="U2579" s="8"/>
      <c r="V2579" s="8"/>
      <c r="W2579" s="8"/>
    </row>
    <row r="2580" spans="1:23" ht="15.75" customHeight="1" x14ac:dyDescent="0.25">
      <c r="A2580" s="6" t="s">
        <v>3260</v>
      </c>
      <c r="B2580" s="8"/>
      <c r="C2580" s="8"/>
      <c r="D2580" s="8"/>
      <c r="E2580" s="8"/>
      <c r="F2580" s="8"/>
      <c r="G2580" s="8"/>
      <c r="H2580" s="8"/>
      <c r="I2580" s="8"/>
      <c r="J2580" s="8"/>
      <c r="K2580" s="8"/>
      <c r="L2580" s="8"/>
      <c r="M2580" s="8"/>
      <c r="N2580" s="8"/>
      <c r="O2580" s="8"/>
      <c r="P2580" s="8"/>
      <c r="Q2580" s="8"/>
      <c r="R2580" s="8"/>
      <c r="S2580" s="8"/>
      <c r="T2580" s="8"/>
      <c r="U2580" s="8"/>
      <c r="V2580" s="8"/>
      <c r="W2580" s="8"/>
    </row>
    <row r="2581" spans="1:23" ht="15.75" customHeight="1" x14ac:dyDescent="0.25">
      <c r="A2581" s="6" t="s">
        <v>3260</v>
      </c>
      <c r="B2581" s="8"/>
      <c r="C2581" s="8"/>
      <c r="D2581" s="8"/>
      <c r="E2581" s="8"/>
      <c r="F2581" s="8"/>
      <c r="G2581" s="8"/>
      <c r="H2581" s="8"/>
      <c r="I2581" s="8"/>
      <c r="J2581" s="8"/>
      <c r="K2581" s="8"/>
      <c r="L2581" s="8"/>
      <c r="M2581" s="8"/>
      <c r="N2581" s="8"/>
      <c r="O2581" s="8"/>
      <c r="P2581" s="8"/>
      <c r="Q2581" s="8"/>
      <c r="R2581" s="8"/>
      <c r="S2581" s="8"/>
      <c r="T2581" s="8"/>
      <c r="U2581" s="8"/>
      <c r="V2581" s="8"/>
      <c r="W2581" s="8"/>
    </row>
    <row r="2582" spans="1:23" ht="15.75" customHeight="1" x14ac:dyDescent="0.25">
      <c r="A2582" s="6" t="s">
        <v>3260</v>
      </c>
      <c r="B2582" s="8"/>
      <c r="C2582" s="8"/>
      <c r="D2582" s="8"/>
      <c r="E2582" s="8"/>
      <c r="F2582" s="8"/>
      <c r="G2582" s="8"/>
      <c r="H2582" s="8"/>
      <c r="I2582" s="8"/>
      <c r="J2582" s="8"/>
      <c r="K2582" s="8"/>
      <c r="L2582" s="8"/>
      <c r="M2582" s="8"/>
      <c r="N2582" s="8"/>
      <c r="O2582" s="8"/>
      <c r="P2582" s="8"/>
      <c r="Q2582" s="8"/>
      <c r="R2582" s="8"/>
      <c r="S2582" s="8"/>
      <c r="T2582" s="8"/>
      <c r="U2582" s="8"/>
      <c r="V2582" s="8"/>
      <c r="W2582" s="8"/>
    </row>
    <row r="2583" spans="1:23" ht="15.75" customHeight="1" x14ac:dyDescent="0.25">
      <c r="A2583" s="6" t="s">
        <v>3260</v>
      </c>
      <c r="B2583" s="8"/>
      <c r="C2583" s="8"/>
      <c r="D2583" s="8"/>
      <c r="E2583" s="8"/>
      <c r="F2583" s="8"/>
      <c r="G2583" s="8"/>
      <c r="H2583" s="8"/>
      <c r="I2583" s="8"/>
      <c r="J2583" s="8"/>
      <c r="K2583" s="8"/>
      <c r="L2583" s="8"/>
      <c r="M2583" s="8"/>
      <c r="N2583" s="8"/>
      <c r="O2583" s="8"/>
      <c r="P2583" s="8"/>
      <c r="Q2583" s="8"/>
      <c r="R2583" s="8"/>
      <c r="S2583" s="8"/>
      <c r="T2583" s="8"/>
      <c r="U2583" s="8"/>
      <c r="V2583" s="8"/>
      <c r="W2583" s="8"/>
    </row>
    <row r="2584" spans="1:23" ht="15.75" customHeight="1" x14ac:dyDescent="0.25">
      <c r="A2584" s="6" t="s">
        <v>3260</v>
      </c>
      <c r="B2584" s="8"/>
      <c r="C2584" s="8"/>
      <c r="D2584" s="8"/>
      <c r="E2584" s="8"/>
      <c r="F2584" s="8"/>
      <c r="G2584" s="8"/>
      <c r="H2584" s="8"/>
      <c r="I2584" s="8"/>
      <c r="J2584" s="8"/>
      <c r="K2584" s="8"/>
      <c r="L2584" s="8"/>
      <c r="M2584" s="8"/>
      <c r="N2584" s="8"/>
      <c r="O2584" s="8"/>
      <c r="P2584" s="8"/>
      <c r="Q2584" s="8"/>
      <c r="R2584" s="8"/>
      <c r="S2584" s="8"/>
      <c r="T2584" s="8"/>
      <c r="U2584" s="8"/>
      <c r="V2584" s="8"/>
      <c r="W2584" s="8"/>
    </row>
    <row r="2585" spans="1:23" ht="15.75" customHeight="1" x14ac:dyDescent="0.25">
      <c r="A2585" s="6" t="s">
        <v>3260</v>
      </c>
      <c r="B2585" s="8"/>
      <c r="C2585" s="8"/>
      <c r="D2585" s="8"/>
      <c r="E2585" s="8"/>
      <c r="F2585" s="8"/>
      <c r="G2585" s="8"/>
      <c r="H2585" s="8"/>
      <c r="I2585" s="8"/>
      <c r="J2585" s="8"/>
      <c r="K2585" s="8"/>
      <c r="L2585" s="8"/>
      <c r="M2585" s="8"/>
      <c r="N2585" s="8"/>
      <c r="O2585" s="8"/>
      <c r="P2585" s="8"/>
      <c r="Q2585" s="8"/>
      <c r="R2585" s="8"/>
      <c r="S2585" s="8"/>
      <c r="T2585" s="8"/>
      <c r="U2585" s="8"/>
      <c r="V2585" s="8"/>
      <c r="W2585" s="8"/>
    </row>
    <row r="2586" spans="1:23" ht="15.75" customHeight="1" x14ac:dyDescent="0.25">
      <c r="A2586" s="6" t="s">
        <v>3260</v>
      </c>
      <c r="B2586" s="8"/>
      <c r="C2586" s="8"/>
      <c r="D2586" s="8"/>
      <c r="E2586" s="8"/>
      <c r="F2586" s="8"/>
      <c r="G2586" s="8"/>
      <c r="H2586" s="8"/>
      <c r="I2586" s="8"/>
      <c r="J2586" s="8"/>
      <c r="K2586" s="8"/>
      <c r="L2586" s="8"/>
      <c r="M2586" s="8"/>
      <c r="N2586" s="8"/>
      <c r="O2586" s="8"/>
      <c r="P2586" s="8"/>
      <c r="Q2586" s="8"/>
      <c r="R2586" s="8"/>
      <c r="S2586" s="8"/>
      <c r="T2586" s="8"/>
      <c r="U2586" s="8"/>
      <c r="V2586" s="8"/>
      <c r="W2586" s="8"/>
    </row>
    <row r="2587" spans="1:23" ht="15.75" customHeight="1" x14ac:dyDescent="0.25">
      <c r="A2587" s="6" t="s">
        <v>3260</v>
      </c>
      <c r="B2587" s="8"/>
      <c r="C2587" s="8"/>
      <c r="D2587" s="8"/>
      <c r="E2587" s="8"/>
      <c r="F2587" s="8"/>
      <c r="G2587" s="8"/>
      <c r="H2587" s="8"/>
      <c r="I2587" s="8"/>
      <c r="J2587" s="8"/>
      <c r="K2587" s="8"/>
      <c r="L2587" s="8"/>
      <c r="M2587" s="8"/>
      <c r="N2587" s="8"/>
      <c r="O2587" s="8"/>
      <c r="P2587" s="8"/>
      <c r="Q2587" s="8"/>
      <c r="R2587" s="8"/>
      <c r="S2587" s="8"/>
      <c r="T2587" s="8"/>
      <c r="U2587" s="8"/>
      <c r="V2587" s="8"/>
      <c r="W2587" s="8"/>
    </row>
    <row r="2588" spans="1:23" ht="15.75" customHeight="1" x14ac:dyDescent="0.25">
      <c r="A2588" s="6" t="s">
        <v>3260</v>
      </c>
      <c r="B2588" s="8"/>
      <c r="C2588" s="8"/>
      <c r="D2588" s="8"/>
      <c r="E2588" s="8"/>
      <c r="F2588" s="8"/>
      <c r="G2588" s="8"/>
      <c r="H2588" s="8"/>
      <c r="I2588" s="8"/>
      <c r="J2588" s="8"/>
      <c r="K2588" s="8"/>
      <c r="L2588" s="8"/>
      <c r="M2588" s="8"/>
      <c r="N2588" s="8"/>
      <c r="O2588" s="8"/>
      <c r="P2588" s="8"/>
      <c r="Q2588" s="8"/>
      <c r="R2588" s="8"/>
      <c r="S2588" s="8"/>
      <c r="T2588" s="8"/>
      <c r="U2588" s="8"/>
      <c r="V2588" s="8"/>
      <c r="W2588" s="8"/>
    </row>
    <row r="2589" spans="1:23" ht="15.75" customHeight="1" x14ac:dyDescent="0.25">
      <c r="A2589" s="6" t="s">
        <v>3260</v>
      </c>
      <c r="B2589" s="8"/>
      <c r="C2589" s="8"/>
      <c r="D2589" s="8"/>
      <c r="E2589" s="8"/>
      <c r="F2589" s="8"/>
      <c r="G2589" s="8"/>
      <c r="H2589" s="8"/>
      <c r="I2589" s="8"/>
      <c r="J2589" s="8"/>
      <c r="K2589" s="8"/>
      <c r="L2589" s="8"/>
      <c r="M2589" s="8"/>
      <c r="N2589" s="8"/>
      <c r="O2589" s="8"/>
      <c r="P2589" s="8"/>
      <c r="Q2589" s="8"/>
      <c r="R2589" s="8"/>
      <c r="S2589" s="8"/>
      <c r="T2589" s="8"/>
      <c r="U2589" s="8"/>
      <c r="V2589" s="8"/>
      <c r="W2589" s="8"/>
    </row>
    <row r="2590" spans="1:23" ht="15.75" customHeight="1" x14ac:dyDescent="0.25">
      <c r="A2590" s="6" t="s">
        <v>3260</v>
      </c>
      <c r="B2590" s="8"/>
      <c r="C2590" s="8"/>
      <c r="D2590" s="8"/>
      <c r="E2590" s="8"/>
      <c r="F2590" s="8"/>
      <c r="G2590" s="8"/>
      <c r="H2590" s="8"/>
      <c r="I2590" s="8"/>
      <c r="J2590" s="8"/>
      <c r="K2590" s="8"/>
      <c r="L2590" s="8"/>
      <c r="M2590" s="8"/>
      <c r="N2590" s="8"/>
      <c r="O2590" s="8"/>
      <c r="P2590" s="8"/>
      <c r="Q2590" s="8"/>
      <c r="R2590" s="8"/>
      <c r="S2590" s="8"/>
      <c r="T2590" s="8"/>
      <c r="U2590" s="8"/>
      <c r="V2590" s="8"/>
      <c r="W2590" s="8"/>
    </row>
    <row r="2591" spans="1:23" ht="15.75" customHeight="1" x14ac:dyDescent="0.25">
      <c r="A2591" s="6" t="s">
        <v>3260</v>
      </c>
      <c r="B2591" s="8"/>
      <c r="C2591" s="8"/>
      <c r="D2591" s="8"/>
      <c r="E2591" s="8"/>
      <c r="F2591" s="8"/>
      <c r="G2591" s="8"/>
      <c r="H2591" s="8"/>
      <c r="I2591" s="8"/>
      <c r="J2591" s="8"/>
      <c r="K2591" s="8"/>
      <c r="L2591" s="8"/>
      <c r="M2591" s="8"/>
      <c r="N2591" s="8"/>
      <c r="O2591" s="8"/>
      <c r="P2591" s="8"/>
      <c r="Q2591" s="8"/>
      <c r="R2591" s="8"/>
      <c r="S2591" s="8"/>
      <c r="T2591" s="8"/>
      <c r="U2591" s="8"/>
      <c r="V2591" s="8"/>
      <c r="W2591" s="8"/>
    </row>
    <row r="2592" spans="1:23" ht="15.75" customHeight="1" x14ac:dyDescent="0.25">
      <c r="A2592" s="6" t="s">
        <v>3260</v>
      </c>
      <c r="B2592" s="8"/>
      <c r="C2592" s="8"/>
      <c r="D2592" s="8"/>
      <c r="E2592" s="8"/>
      <c r="F2592" s="8"/>
      <c r="G2592" s="8"/>
      <c r="H2592" s="8"/>
      <c r="I2592" s="8"/>
      <c r="J2592" s="8"/>
      <c r="K2592" s="8"/>
      <c r="L2592" s="8"/>
      <c r="M2592" s="8"/>
      <c r="N2592" s="8"/>
      <c r="O2592" s="8"/>
      <c r="P2592" s="8"/>
      <c r="Q2592" s="8"/>
      <c r="R2592" s="8"/>
      <c r="S2592" s="8"/>
      <c r="T2592" s="8"/>
      <c r="U2592" s="8"/>
      <c r="V2592" s="8"/>
      <c r="W2592" s="8"/>
    </row>
    <row r="2593" spans="1:23" ht="15.75" customHeight="1" x14ac:dyDescent="0.25">
      <c r="A2593" s="6" t="s">
        <v>3260</v>
      </c>
      <c r="B2593" s="8"/>
      <c r="C2593" s="8"/>
      <c r="D2593" s="8"/>
      <c r="E2593" s="8"/>
      <c r="F2593" s="8"/>
      <c r="G2593" s="8"/>
      <c r="H2593" s="8"/>
      <c r="I2593" s="8"/>
      <c r="J2593" s="8"/>
      <c r="K2593" s="8"/>
      <c r="L2593" s="8"/>
      <c r="M2593" s="8"/>
      <c r="N2593" s="8"/>
      <c r="O2593" s="8"/>
      <c r="P2593" s="8"/>
      <c r="Q2593" s="8"/>
      <c r="R2593" s="8"/>
      <c r="S2593" s="8"/>
      <c r="T2593" s="8"/>
      <c r="U2593" s="8"/>
      <c r="V2593" s="8"/>
      <c r="W2593" s="8"/>
    </row>
    <row r="2594" spans="1:23" ht="15.75" customHeight="1" x14ac:dyDescent="0.25">
      <c r="A2594" s="6" t="s">
        <v>3260</v>
      </c>
      <c r="B2594" s="8"/>
      <c r="C2594" s="8"/>
      <c r="D2594" s="8"/>
      <c r="E2594" s="8"/>
      <c r="F2594" s="8"/>
      <c r="G2594" s="8"/>
      <c r="H2594" s="8"/>
      <c r="I2594" s="8"/>
      <c r="J2594" s="8"/>
      <c r="K2594" s="8"/>
      <c r="L2594" s="8"/>
      <c r="M2594" s="8"/>
      <c r="N2594" s="8"/>
      <c r="O2594" s="8"/>
      <c r="P2594" s="8"/>
      <c r="Q2594" s="8"/>
      <c r="R2594" s="8"/>
      <c r="S2594" s="8"/>
      <c r="T2594" s="8"/>
      <c r="U2594" s="8"/>
      <c r="V2594" s="8"/>
      <c r="W2594" s="8"/>
    </row>
    <row r="2595" spans="1:23" ht="15.75" customHeight="1" x14ac:dyDescent="0.25">
      <c r="A2595" s="8" t="s">
        <v>3260</v>
      </c>
      <c r="B2595" s="8"/>
      <c r="C2595" s="8"/>
      <c r="D2595" s="8"/>
      <c r="E2595" s="8"/>
      <c r="F2595" s="8"/>
      <c r="G2595" s="8"/>
      <c r="H2595" s="8"/>
      <c r="I2595" s="8"/>
      <c r="J2595" s="8"/>
      <c r="K2595" s="8"/>
      <c r="L2595" s="8"/>
      <c r="M2595" s="8"/>
      <c r="N2595" s="8"/>
      <c r="O2595" s="8"/>
      <c r="P2595" s="8"/>
      <c r="Q2595" s="8"/>
      <c r="R2595" s="8"/>
      <c r="S2595" s="8"/>
      <c r="T2595" s="8"/>
      <c r="U2595" s="8"/>
      <c r="V2595" s="8"/>
      <c r="W2595" s="8"/>
    </row>
    <row r="2596" spans="1:23" ht="15.75" customHeight="1" x14ac:dyDescent="0.25">
      <c r="A2596" s="6" t="s">
        <v>3260</v>
      </c>
      <c r="B2596" s="8"/>
      <c r="C2596" s="8"/>
      <c r="D2596" s="8"/>
      <c r="E2596" s="8"/>
      <c r="F2596" s="8"/>
      <c r="G2596" s="8"/>
      <c r="H2596" s="8"/>
      <c r="I2596" s="8"/>
      <c r="J2596" s="8"/>
      <c r="K2596" s="8"/>
      <c r="L2596" s="8"/>
      <c r="M2596" s="8"/>
      <c r="N2596" s="8"/>
      <c r="O2596" s="8"/>
      <c r="P2596" s="8"/>
      <c r="Q2596" s="8"/>
      <c r="R2596" s="8"/>
      <c r="S2596" s="8"/>
      <c r="T2596" s="8"/>
      <c r="U2596" s="8"/>
      <c r="V2596" s="8"/>
      <c r="W2596" s="8"/>
    </row>
    <row r="2597" spans="1:23" ht="15.75" customHeight="1" x14ac:dyDescent="0.25">
      <c r="A2597" s="6" t="s">
        <v>3641</v>
      </c>
      <c r="B2597" s="8"/>
      <c r="C2597" s="8"/>
      <c r="D2597" s="8"/>
      <c r="E2597" s="8"/>
      <c r="F2597" s="8"/>
      <c r="G2597" s="8"/>
      <c r="H2597" s="8"/>
      <c r="I2597" s="8"/>
      <c r="J2597" s="8"/>
      <c r="K2597" s="8"/>
      <c r="L2597" s="8"/>
      <c r="M2597" s="8"/>
      <c r="N2597" s="8"/>
      <c r="O2597" s="8"/>
      <c r="P2597" s="8"/>
      <c r="Q2597" s="8"/>
      <c r="R2597" s="8"/>
      <c r="S2597" s="8"/>
      <c r="T2597" s="8"/>
      <c r="U2597" s="8"/>
      <c r="V2597" s="8"/>
      <c r="W2597" s="8"/>
    </row>
    <row r="2598" spans="1:23" ht="15.75" customHeight="1" x14ac:dyDescent="0.25">
      <c r="A2598" s="6" t="s">
        <v>3641</v>
      </c>
      <c r="B2598" s="8"/>
      <c r="C2598" s="8"/>
      <c r="D2598" s="8"/>
      <c r="E2598" s="8"/>
      <c r="F2598" s="8"/>
      <c r="G2598" s="8"/>
      <c r="H2598" s="8"/>
      <c r="I2598" s="8"/>
      <c r="J2598" s="8"/>
      <c r="K2598" s="8"/>
      <c r="L2598" s="8"/>
      <c r="M2598" s="8"/>
      <c r="N2598" s="8"/>
      <c r="O2598" s="8"/>
      <c r="P2598" s="8"/>
      <c r="Q2598" s="8"/>
      <c r="R2598" s="8"/>
      <c r="S2598" s="8"/>
      <c r="T2598" s="8"/>
      <c r="U2598" s="8"/>
      <c r="V2598" s="8"/>
      <c r="W2598" s="8"/>
    </row>
    <row r="2599" spans="1:23" ht="15.75" customHeight="1" x14ac:dyDescent="0.25">
      <c r="A2599" s="6" t="s">
        <v>3641</v>
      </c>
      <c r="B2599" s="8"/>
      <c r="C2599" s="8"/>
      <c r="D2599" s="8"/>
      <c r="E2599" s="8"/>
      <c r="F2599" s="8"/>
      <c r="G2599" s="8"/>
      <c r="H2599" s="8"/>
      <c r="I2599" s="8"/>
      <c r="J2599" s="8"/>
      <c r="K2599" s="8"/>
      <c r="L2599" s="8"/>
      <c r="M2599" s="8"/>
      <c r="N2599" s="8"/>
      <c r="O2599" s="8"/>
      <c r="P2599" s="8"/>
      <c r="Q2599" s="8"/>
      <c r="R2599" s="8"/>
      <c r="S2599" s="8"/>
      <c r="T2599" s="8"/>
      <c r="U2599" s="8"/>
      <c r="V2599" s="8"/>
      <c r="W2599" s="8"/>
    </row>
    <row r="2600" spans="1:23" ht="15.75" customHeight="1" x14ac:dyDescent="0.25">
      <c r="A2600" s="6" t="s">
        <v>3641</v>
      </c>
      <c r="B2600" s="8"/>
      <c r="C2600" s="8"/>
      <c r="D2600" s="8"/>
      <c r="E2600" s="8"/>
      <c r="F2600" s="8"/>
      <c r="G2600" s="8"/>
      <c r="H2600" s="8"/>
      <c r="I2600" s="8"/>
      <c r="J2600" s="8"/>
      <c r="K2600" s="8"/>
      <c r="L2600" s="8"/>
      <c r="M2600" s="8"/>
      <c r="N2600" s="8"/>
      <c r="O2600" s="8"/>
      <c r="P2600" s="8"/>
      <c r="Q2600" s="8"/>
      <c r="R2600" s="8"/>
      <c r="S2600" s="8"/>
      <c r="T2600" s="8"/>
      <c r="U2600" s="8"/>
      <c r="V2600" s="8"/>
      <c r="W2600" s="8"/>
    </row>
    <row r="2601" spans="1:23" ht="15.75" customHeight="1" x14ac:dyDescent="0.25">
      <c r="A2601" s="6" t="s">
        <v>254</v>
      </c>
      <c r="B2601" s="8"/>
      <c r="C2601" s="8"/>
      <c r="D2601" s="8"/>
      <c r="E2601" s="8"/>
      <c r="F2601" s="8"/>
      <c r="G2601" s="8"/>
      <c r="H2601" s="8"/>
      <c r="I2601" s="8"/>
      <c r="J2601" s="8"/>
      <c r="K2601" s="8"/>
      <c r="L2601" s="8"/>
      <c r="M2601" s="8"/>
      <c r="N2601" s="8"/>
      <c r="O2601" s="8"/>
      <c r="P2601" s="8"/>
      <c r="Q2601" s="8"/>
      <c r="R2601" s="8"/>
      <c r="S2601" s="8"/>
      <c r="T2601" s="8"/>
      <c r="U2601" s="8"/>
      <c r="V2601" s="8"/>
      <c r="W2601" s="8"/>
    </row>
    <row r="2602" spans="1:23" ht="15.75" customHeight="1" x14ac:dyDescent="0.25">
      <c r="A2602" s="6" t="s">
        <v>254</v>
      </c>
      <c r="B2602" s="8"/>
      <c r="C2602" s="8"/>
      <c r="D2602" s="8"/>
      <c r="E2602" s="8"/>
      <c r="F2602" s="8"/>
      <c r="G2602" s="8"/>
      <c r="H2602" s="8"/>
      <c r="I2602" s="8"/>
      <c r="J2602" s="8"/>
      <c r="K2602" s="8"/>
      <c r="L2602" s="8"/>
      <c r="M2602" s="8"/>
      <c r="N2602" s="8"/>
      <c r="O2602" s="8"/>
      <c r="P2602" s="8"/>
      <c r="Q2602" s="8"/>
      <c r="R2602" s="8"/>
      <c r="S2602" s="8"/>
      <c r="T2602" s="8"/>
      <c r="U2602" s="8"/>
      <c r="V2602" s="8"/>
      <c r="W2602" s="8"/>
    </row>
    <row r="2603" spans="1:23" ht="15.75" customHeight="1" x14ac:dyDescent="0.25">
      <c r="A2603" s="6" t="s">
        <v>254</v>
      </c>
      <c r="B2603" s="8"/>
      <c r="C2603" s="8"/>
      <c r="D2603" s="8"/>
      <c r="E2603" s="8"/>
      <c r="F2603" s="8"/>
      <c r="G2603" s="8"/>
      <c r="H2603" s="8"/>
      <c r="I2603" s="8"/>
      <c r="J2603" s="8"/>
      <c r="K2603" s="8"/>
      <c r="L2603" s="8"/>
      <c r="M2603" s="8"/>
      <c r="N2603" s="8"/>
      <c r="O2603" s="8"/>
      <c r="P2603" s="8"/>
      <c r="Q2603" s="8"/>
      <c r="R2603" s="8"/>
      <c r="S2603" s="8"/>
      <c r="T2603" s="8"/>
      <c r="U2603" s="8"/>
      <c r="V2603" s="8"/>
      <c r="W2603" s="8"/>
    </row>
    <row r="2604" spans="1:23" ht="15.75" customHeight="1" x14ac:dyDescent="0.25">
      <c r="A2604" s="6" t="s">
        <v>254</v>
      </c>
      <c r="B2604" s="8"/>
      <c r="C2604" s="8"/>
      <c r="D2604" s="8"/>
      <c r="E2604" s="8"/>
      <c r="F2604" s="8"/>
      <c r="G2604" s="8"/>
      <c r="H2604" s="8"/>
      <c r="I2604" s="8"/>
      <c r="J2604" s="8"/>
      <c r="K2604" s="8"/>
      <c r="L2604" s="8"/>
      <c r="M2604" s="8"/>
      <c r="N2604" s="8"/>
      <c r="O2604" s="8"/>
      <c r="P2604" s="8"/>
      <c r="Q2604" s="8"/>
      <c r="R2604" s="8"/>
      <c r="S2604" s="8"/>
      <c r="T2604" s="8"/>
      <c r="U2604" s="8"/>
      <c r="V2604" s="8"/>
      <c r="W2604" s="8"/>
    </row>
    <row r="2605" spans="1:23" ht="15.75" customHeight="1" x14ac:dyDescent="0.25">
      <c r="A2605" s="6" t="s">
        <v>254</v>
      </c>
      <c r="B2605" s="8"/>
      <c r="C2605" s="8"/>
      <c r="D2605" s="8"/>
      <c r="E2605" s="8"/>
      <c r="F2605" s="8"/>
      <c r="G2605" s="8"/>
      <c r="H2605" s="8"/>
      <c r="I2605" s="8"/>
      <c r="J2605" s="8"/>
      <c r="K2605" s="8"/>
      <c r="L2605" s="8"/>
      <c r="M2605" s="8"/>
      <c r="N2605" s="8"/>
      <c r="O2605" s="8"/>
      <c r="P2605" s="8"/>
      <c r="Q2605" s="8"/>
      <c r="R2605" s="8"/>
      <c r="S2605" s="8"/>
      <c r="T2605" s="8"/>
      <c r="U2605" s="8"/>
      <c r="V2605" s="8"/>
      <c r="W2605" s="8"/>
    </row>
    <row r="2606" spans="1:23" ht="15.75" customHeight="1" x14ac:dyDescent="0.25">
      <c r="A2606" s="6" t="s">
        <v>254</v>
      </c>
      <c r="B2606" s="8"/>
      <c r="C2606" s="8"/>
      <c r="D2606" s="8"/>
      <c r="E2606" s="8"/>
      <c r="F2606" s="8"/>
      <c r="G2606" s="8"/>
      <c r="H2606" s="8"/>
      <c r="I2606" s="8"/>
      <c r="J2606" s="8"/>
      <c r="K2606" s="8"/>
      <c r="L2606" s="8"/>
      <c r="M2606" s="8"/>
      <c r="N2606" s="8"/>
      <c r="O2606" s="8"/>
      <c r="P2606" s="8"/>
      <c r="Q2606" s="8"/>
      <c r="R2606" s="8"/>
      <c r="S2606" s="8"/>
      <c r="T2606" s="8"/>
      <c r="U2606" s="8"/>
      <c r="V2606" s="8"/>
      <c r="W2606" s="8"/>
    </row>
    <row r="2607" spans="1:23" ht="15.75" customHeight="1" x14ac:dyDescent="0.25">
      <c r="A2607" s="6" t="s">
        <v>254</v>
      </c>
      <c r="B2607" s="8"/>
      <c r="C2607" s="8"/>
      <c r="D2607" s="8"/>
      <c r="E2607" s="8"/>
      <c r="F2607" s="8"/>
      <c r="G2607" s="8"/>
      <c r="H2607" s="8"/>
      <c r="I2607" s="8"/>
      <c r="J2607" s="8"/>
      <c r="K2607" s="8"/>
      <c r="L2607" s="8"/>
      <c r="M2607" s="8"/>
      <c r="N2607" s="8"/>
      <c r="O2607" s="8"/>
      <c r="P2607" s="8"/>
      <c r="Q2607" s="8"/>
      <c r="R2607" s="8"/>
      <c r="S2607" s="8"/>
      <c r="T2607" s="8"/>
      <c r="U2607" s="8"/>
      <c r="V2607" s="8"/>
      <c r="W2607" s="8"/>
    </row>
    <row r="2608" spans="1:23" ht="15.75" customHeight="1" x14ac:dyDescent="0.25">
      <c r="A2608" s="6" t="s">
        <v>254</v>
      </c>
      <c r="B2608" s="8"/>
      <c r="C2608" s="8"/>
      <c r="D2608" s="8"/>
      <c r="E2608" s="8"/>
      <c r="F2608" s="8"/>
      <c r="G2608" s="8"/>
      <c r="H2608" s="8"/>
      <c r="I2608" s="8"/>
      <c r="J2608" s="8"/>
      <c r="K2608" s="8"/>
      <c r="L2608" s="8"/>
      <c r="M2608" s="8"/>
      <c r="N2608" s="8"/>
      <c r="O2608" s="8"/>
      <c r="P2608" s="8"/>
      <c r="Q2608" s="8"/>
      <c r="R2608" s="8"/>
      <c r="S2608" s="8"/>
      <c r="T2608" s="8"/>
      <c r="U2608" s="8"/>
      <c r="V2608" s="8"/>
      <c r="W2608" s="8"/>
    </row>
    <row r="2609" spans="1:23" ht="15.75" customHeight="1" x14ac:dyDescent="0.25">
      <c r="A2609" s="6" t="s">
        <v>254</v>
      </c>
      <c r="B2609" s="8"/>
      <c r="C2609" s="8"/>
      <c r="D2609" s="8"/>
      <c r="E2609" s="8"/>
      <c r="F2609" s="8"/>
      <c r="G2609" s="8"/>
      <c r="H2609" s="8"/>
      <c r="I2609" s="8"/>
      <c r="J2609" s="8"/>
      <c r="K2609" s="8"/>
      <c r="L2609" s="8"/>
      <c r="M2609" s="8"/>
      <c r="N2609" s="8"/>
      <c r="O2609" s="8"/>
      <c r="P2609" s="8"/>
      <c r="Q2609" s="8"/>
      <c r="R2609" s="8"/>
      <c r="S2609" s="8"/>
      <c r="T2609" s="8"/>
      <c r="U2609" s="8"/>
      <c r="V2609" s="8"/>
      <c r="W2609" s="8"/>
    </row>
    <row r="2610" spans="1:23" ht="15.75" customHeight="1" x14ac:dyDescent="0.25">
      <c r="A2610" s="6" t="s">
        <v>254</v>
      </c>
      <c r="B2610" s="8"/>
      <c r="C2610" s="8"/>
      <c r="D2610" s="8"/>
      <c r="E2610" s="8"/>
      <c r="F2610" s="8"/>
      <c r="G2610" s="8"/>
      <c r="H2610" s="8"/>
      <c r="I2610" s="8"/>
      <c r="J2610" s="8"/>
      <c r="K2610" s="8"/>
      <c r="L2610" s="8"/>
      <c r="M2610" s="8"/>
      <c r="N2610" s="8"/>
      <c r="O2610" s="8"/>
      <c r="P2610" s="8"/>
      <c r="Q2610" s="8"/>
      <c r="R2610" s="8"/>
      <c r="S2610" s="8"/>
      <c r="T2610" s="8"/>
      <c r="U2610" s="8"/>
      <c r="V2610" s="8"/>
      <c r="W2610" s="8"/>
    </row>
    <row r="2611" spans="1:23" ht="15.75" customHeight="1" x14ac:dyDescent="0.25">
      <c r="A2611" s="6" t="s">
        <v>254</v>
      </c>
      <c r="B2611" s="8"/>
      <c r="C2611" s="8"/>
      <c r="D2611" s="8"/>
      <c r="E2611" s="8"/>
      <c r="F2611" s="8"/>
      <c r="G2611" s="8"/>
      <c r="H2611" s="8"/>
      <c r="I2611" s="8"/>
      <c r="J2611" s="8"/>
      <c r="K2611" s="8"/>
      <c r="L2611" s="8"/>
      <c r="M2611" s="8"/>
      <c r="N2611" s="8"/>
      <c r="O2611" s="8"/>
      <c r="P2611" s="8"/>
      <c r="Q2611" s="8"/>
      <c r="R2611" s="8"/>
      <c r="S2611" s="8"/>
      <c r="T2611" s="8"/>
      <c r="U2611" s="8"/>
      <c r="V2611" s="8"/>
      <c r="W2611" s="8"/>
    </row>
    <row r="2612" spans="1:23" ht="15.75" customHeight="1" x14ac:dyDescent="0.25">
      <c r="A2612" s="6" t="s">
        <v>254</v>
      </c>
      <c r="B2612" s="8"/>
      <c r="C2612" s="8"/>
      <c r="D2612" s="8"/>
      <c r="E2612" s="8"/>
      <c r="F2612" s="8"/>
      <c r="G2612" s="8"/>
      <c r="H2612" s="8"/>
      <c r="I2612" s="8"/>
      <c r="J2612" s="8"/>
      <c r="K2612" s="8"/>
      <c r="L2612" s="8"/>
      <c r="M2612" s="8"/>
      <c r="N2612" s="8"/>
      <c r="O2612" s="8"/>
      <c r="P2612" s="8"/>
      <c r="Q2612" s="8"/>
      <c r="R2612" s="8"/>
      <c r="S2612" s="8"/>
      <c r="T2612" s="8"/>
      <c r="U2612" s="8"/>
      <c r="V2612" s="8"/>
      <c r="W2612" s="8"/>
    </row>
    <row r="2613" spans="1:23" ht="15.75" customHeight="1" x14ac:dyDescent="0.25">
      <c r="A2613" s="6" t="s">
        <v>254</v>
      </c>
      <c r="B2613" s="8"/>
      <c r="C2613" s="8"/>
      <c r="D2613" s="8"/>
      <c r="E2613" s="8"/>
      <c r="F2613" s="8"/>
      <c r="G2613" s="8"/>
      <c r="H2613" s="8"/>
      <c r="I2613" s="8"/>
      <c r="J2613" s="8"/>
      <c r="K2613" s="8"/>
      <c r="L2613" s="8"/>
      <c r="M2613" s="8"/>
      <c r="N2613" s="8"/>
      <c r="O2613" s="8"/>
      <c r="P2613" s="8"/>
      <c r="Q2613" s="8"/>
      <c r="R2613" s="8"/>
      <c r="S2613" s="8"/>
      <c r="T2613" s="8"/>
      <c r="U2613" s="8"/>
      <c r="V2613" s="8"/>
      <c r="W2613" s="8"/>
    </row>
    <row r="2614" spans="1:23" ht="15.75" customHeight="1" x14ac:dyDescent="0.25">
      <c r="A2614" s="6" t="s">
        <v>254</v>
      </c>
      <c r="B2614" s="8"/>
      <c r="C2614" s="8"/>
      <c r="D2614" s="8"/>
      <c r="E2614" s="8"/>
      <c r="F2614" s="8"/>
      <c r="G2614" s="8"/>
      <c r="H2614" s="8"/>
      <c r="I2614" s="8"/>
      <c r="J2614" s="8"/>
      <c r="K2614" s="8"/>
      <c r="L2614" s="8"/>
      <c r="M2614" s="8"/>
      <c r="N2614" s="8"/>
      <c r="O2614" s="8"/>
      <c r="P2614" s="8"/>
      <c r="Q2614" s="8"/>
      <c r="R2614" s="8"/>
      <c r="S2614" s="8"/>
      <c r="T2614" s="8"/>
      <c r="U2614" s="8"/>
      <c r="V2614" s="8"/>
      <c r="W2614" s="8"/>
    </row>
    <row r="2615" spans="1:23" ht="15.75" customHeight="1" x14ac:dyDescent="0.25">
      <c r="A2615" s="6" t="s">
        <v>254</v>
      </c>
      <c r="B2615" s="8"/>
      <c r="C2615" s="8"/>
      <c r="D2615" s="8"/>
      <c r="E2615" s="8"/>
      <c r="F2615" s="8"/>
      <c r="G2615" s="8"/>
      <c r="H2615" s="8"/>
      <c r="I2615" s="8"/>
      <c r="J2615" s="8"/>
      <c r="K2615" s="8"/>
      <c r="L2615" s="8"/>
      <c r="M2615" s="8"/>
      <c r="N2615" s="8"/>
      <c r="O2615" s="8"/>
      <c r="P2615" s="8"/>
      <c r="Q2615" s="8"/>
      <c r="R2615" s="8"/>
      <c r="S2615" s="8"/>
      <c r="T2615" s="8"/>
      <c r="U2615" s="8"/>
      <c r="V2615" s="8"/>
      <c r="W2615" s="8"/>
    </row>
    <row r="2616" spans="1:23" ht="15.75" customHeight="1" x14ac:dyDescent="0.25">
      <c r="A2616" s="6" t="s">
        <v>254</v>
      </c>
      <c r="B2616" s="8"/>
      <c r="C2616" s="8"/>
      <c r="D2616" s="8"/>
      <c r="E2616" s="8"/>
      <c r="F2616" s="8"/>
      <c r="G2616" s="8"/>
      <c r="H2616" s="8"/>
      <c r="I2616" s="8"/>
      <c r="J2616" s="8"/>
      <c r="K2616" s="8"/>
      <c r="L2616" s="8"/>
      <c r="M2616" s="8"/>
      <c r="N2616" s="8"/>
      <c r="O2616" s="8"/>
      <c r="P2616" s="8"/>
      <c r="Q2616" s="8"/>
      <c r="R2616" s="8"/>
      <c r="S2616" s="8"/>
      <c r="T2616" s="8"/>
      <c r="U2616" s="8"/>
      <c r="V2616" s="8"/>
      <c r="W2616" s="8"/>
    </row>
    <row r="2617" spans="1:23" ht="15.75" customHeight="1" x14ac:dyDescent="0.25">
      <c r="A2617" s="6" t="s">
        <v>254</v>
      </c>
      <c r="B2617" s="8"/>
      <c r="C2617" s="8"/>
      <c r="D2617" s="8"/>
      <c r="E2617" s="8"/>
      <c r="F2617" s="8"/>
      <c r="G2617" s="8"/>
      <c r="H2617" s="8"/>
      <c r="I2617" s="8"/>
      <c r="J2617" s="8"/>
      <c r="K2617" s="8"/>
      <c r="L2617" s="8"/>
      <c r="M2617" s="8"/>
      <c r="N2617" s="8"/>
      <c r="O2617" s="8"/>
      <c r="P2617" s="8"/>
      <c r="Q2617" s="8"/>
      <c r="R2617" s="8"/>
      <c r="S2617" s="8"/>
      <c r="T2617" s="8"/>
      <c r="U2617" s="8"/>
      <c r="V2617" s="8"/>
      <c r="W2617" s="8"/>
    </row>
    <row r="2618" spans="1:23" ht="15.75" customHeight="1" x14ac:dyDescent="0.25">
      <c r="A2618" s="6" t="s">
        <v>254</v>
      </c>
      <c r="B2618" s="8"/>
      <c r="C2618" s="8"/>
      <c r="D2618" s="8"/>
      <c r="E2618" s="8"/>
      <c r="F2618" s="8"/>
      <c r="G2618" s="8"/>
      <c r="H2618" s="8"/>
      <c r="I2618" s="8"/>
      <c r="J2618" s="8"/>
      <c r="K2618" s="8"/>
      <c r="L2618" s="8"/>
      <c r="M2618" s="8"/>
      <c r="N2618" s="8"/>
      <c r="O2618" s="8"/>
      <c r="P2618" s="8"/>
      <c r="Q2618" s="8"/>
      <c r="R2618" s="8"/>
      <c r="S2618" s="8"/>
      <c r="T2618" s="8"/>
      <c r="U2618" s="8"/>
      <c r="V2618" s="8"/>
      <c r="W2618" s="8"/>
    </row>
    <row r="2619" spans="1:23" ht="15.75" customHeight="1" x14ac:dyDescent="0.25">
      <c r="A2619" s="6" t="s">
        <v>254</v>
      </c>
      <c r="B2619" s="8"/>
      <c r="C2619" s="8"/>
      <c r="D2619" s="8"/>
      <c r="E2619" s="8"/>
      <c r="F2619" s="8"/>
      <c r="G2619" s="8"/>
      <c r="H2619" s="8"/>
      <c r="I2619" s="8"/>
      <c r="J2619" s="8"/>
      <c r="K2619" s="8"/>
      <c r="L2619" s="8"/>
      <c r="M2619" s="8"/>
      <c r="N2619" s="8"/>
      <c r="O2619" s="8"/>
      <c r="P2619" s="8"/>
      <c r="Q2619" s="8"/>
      <c r="R2619" s="8"/>
      <c r="S2619" s="8"/>
      <c r="T2619" s="8"/>
      <c r="U2619" s="8"/>
      <c r="V2619" s="8"/>
      <c r="W2619" s="8"/>
    </row>
    <row r="2620" spans="1:23" ht="15.75" customHeight="1" x14ac:dyDescent="0.25">
      <c r="A2620" s="6" t="s">
        <v>254</v>
      </c>
      <c r="B2620" s="8"/>
      <c r="C2620" s="8"/>
      <c r="D2620" s="8"/>
      <c r="E2620" s="8"/>
      <c r="F2620" s="8"/>
      <c r="G2620" s="8"/>
      <c r="H2620" s="8"/>
      <c r="I2620" s="8"/>
      <c r="J2620" s="8"/>
      <c r="K2620" s="8"/>
      <c r="L2620" s="8"/>
      <c r="M2620" s="8"/>
      <c r="N2620" s="8"/>
      <c r="O2620" s="8"/>
      <c r="P2620" s="8"/>
      <c r="Q2620" s="8"/>
      <c r="R2620" s="8"/>
      <c r="S2620" s="8"/>
      <c r="T2620" s="8"/>
      <c r="U2620" s="8"/>
      <c r="V2620" s="8"/>
      <c r="W2620" s="8"/>
    </row>
    <row r="2621" spans="1:23" ht="15.75" customHeight="1" x14ac:dyDescent="0.25">
      <c r="A2621" s="6" t="s">
        <v>254</v>
      </c>
      <c r="B2621" s="8"/>
      <c r="C2621" s="8"/>
      <c r="D2621" s="8"/>
      <c r="E2621" s="8"/>
      <c r="F2621" s="8"/>
      <c r="G2621" s="8"/>
      <c r="H2621" s="8"/>
      <c r="I2621" s="8"/>
      <c r="J2621" s="8"/>
      <c r="K2621" s="8"/>
      <c r="L2621" s="8"/>
      <c r="M2621" s="8"/>
      <c r="N2621" s="8"/>
      <c r="O2621" s="8"/>
      <c r="P2621" s="8"/>
      <c r="Q2621" s="8"/>
      <c r="R2621" s="8"/>
      <c r="S2621" s="8"/>
      <c r="T2621" s="8"/>
      <c r="U2621" s="8"/>
      <c r="V2621" s="8"/>
      <c r="W2621" s="8"/>
    </row>
    <row r="2622" spans="1:23" ht="15.75" customHeight="1" x14ac:dyDescent="0.25">
      <c r="A2622" s="6" t="s">
        <v>254</v>
      </c>
      <c r="B2622" s="8"/>
      <c r="C2622" s="8"/>
      <c r="D2622" s="8"/>
      <c r="E2622" s="8"/>
      <c r="F2622" s="8"/>
      <c r="G2622" s="8"/>
      <c r="H2622" s="8"/>
      <c r="I2622" s="8"/>
      <c r="J2622" s="8"/>
      <c r="K2622" s="8"/>
      <c r="L2622" s="8"/>
      <c r="M2622" s="8"/>
      <c r="N2622" s="8"/>
      <c r="O2622" s="8"/>
      <c r="P2622" s="8"/>
      <c r="Q2622" s="8"/>
      <c r="R2622" s="8"/>
      <c r="S2622" s="8"/>
      <c r="T2622" s="8"/>
      <c r="U2622" s="8"/>
      <c r="V2622" s="8"/>
      <c r="W2622" s="8"/>
    </row>
    <row r="2623" spans="1:23" ht="15.75" customHeight="1" x14ac:dyDescent="0.25">
      <c r="A2623" s="6" t="s">
        <v>254</v>
      </c>
      <c r="B2623" s="8"/>
      <c r="C2623" s="8"/>
      <c r="D2623" s="8"/>
      <c r="E2623" s="8"/>
      <c r="F2623" s="8"/>
      <c r="G2623" s="8"/>
      <c r="H2623" s="8"/>
      <c r="I2623" s="8"/>
      <c r="J2623" s="8"/>
      <c r="K2623" s="8"/>
      <c r="L2623" s="8"/>
      <c r="M2623" s="8"/>
      <c r="N2623" s="8"/>
      <c r="O2623" s="8"/>
      <c r="P2623" s="8"/>
      <c r="Q2623" s="8"/>
      <c r="R2623" s="8"/>
      <c r="S2623" s="8"/>
      <c r="T2623" s="8"/>
      <c r="U2623" s="8"/>
      <c r="V2623" s="8"/>
      <c r="W2623" s="8"/>
    </row>
    <row r="2624" spans="1:23" ht="15.75" customHeight="1" x14ac:dyDescent="0.25">
      <c r="A2624" s="6" t="s">
        <v>254</v>
      </c>
      <c r="B2624" s="8"/>
      <c r="C2624" s="8"/>
      <c r="D2624" s="8"/>
      <c r="E2624" s="8"/>
      <c r="F2624" s="8"/>
      <c r="G2624" s="8"/>
      <c r="H2624" s="8"/>
      <c r="I2624" s="8"/>
      <c r="J2624" s="8"/>
      <c r="K2624" s="8"/>
      <c r="L2624" s="8"/>
      <c r="M2624" s="8"/>
      <c r="N2624" s="8"/>
      <c r="O2624" s="8"/>
      <c r="P2624" s="8"/>
      <c r="Q2624" s="8"/>
      <c r="R2624" s="8"/>
      <c r="S2624" s="8"/>
      <c r="T2624" s="8"/>
      <c r="U2624" s="8"/>
      <c r="V2624" s="8"/>
      <c r="W2624" s="8"/>
    </row>
    <row r="2625" spans="1:23" ht="15.75" customHeight="1" x14ac:dyDescent="0.25">
      <c r="A2625" s="6" t="s">
        <v>254</v>
      </c>
      <c r="B2625" s="8"/>
      <c r="C2625" s="8"/>
      <c r="D2625" s="8"/>
      <c r="E2625" s="8"/>
      <c r="F2625" s="8"/>
      <c r="G2625" s="8"/>
      <c r="H2625" s="8"/>
      <c r="I2625" s="8"/>
      <c r="J2625" s="8"/>
      <c r="K2625" s="8"/>
      <c r="L2625" s="8"/>
      <c r="M2625" s="8"/>
      <c r="N2625" s="8"/>
      <c r="O2625" s="8"/>
      <c r="P2625" s="8"/>
      <c r="Q2625" s="8"/>
      <c r="R2625" s="8"/>
      <c r="S2625" s="8"/>
      <c r="T2625" s="8"/>
      <c r="U2625" s="8"/>
      <c r="V2625" s="8"/>
      <c r="W2625" s="8"/>
    </row>
    <row r="2626" spans="1:23" ht="15.75" customHeight="1" x14ac:dyDescent="0.25">
      <c r="A2626" s="6" t="s">
        <v>254</v>
      </c>
      <c r="B2626" s="8"/>
      <c r="C2626" s="8"/>
      <c r="D2626" s="8"/>
      <c r="E2626" s="8"/>
      <c r="F2626" s="8"/>
      <c r="G2626" s="8"/>
      <c r="H2626" s="8"/>
      <c r="I2626" s="8"/>
      <c r="J2626" s="8"/>
      <c r="K2626" s="8"/>
      <c r="L2626" s="8"/>
      <c r="M2626" s="8"/>
      <c r="N2626" s="8"/>
      <c r="O2626" s="8"/>
      <c r="P2626" s="8"/>
      <c r="Q2626" s="8"/>
      <c r="R2626" s="8"/>
      <c r="S2626" s="8"/>
      <c r="T2626" s="8"/>
      <c r="U2626" s="8"/>
      <c r="V2626" s="8"/>
      <c r="W2626" s="8"/>
    </row>
    <row r="2627" spans="1:23" ht="15.75" customHeight="1" x14ac:dyDescent="0.25">
      <c r="A2627" s="6" t="s">
        <v>254</v>
      </c>
      <c r="B2627" s="8"/>
      <c r="C2627" s="8"/>
      <c r="D2627" s="8"/>
      <c r="E2627" s="8"/>
      <c r="F2627" s="8"/>
      <c r="G2627" s="8"/>
      <c r="H2627" s="8"/>
      <c r="I2627" s="8"/>
      <c r="J2627" s="8"/>
      <c r="K2627" s="8"/>
      <c r="L2627" s="8"/>
      <c r="M2627" s="8"/>
      <c r="N2627" s="8"/>
      <c r="O2627" s="8"/>
      <c r="P2627" s="8"/>
      <c r="Q2627" s="8"/>
      <c r="R2627" s="8"/>
      <c r="S2627" s="8"/>
      <c r="T2627" s="8"/>
      <c r="U2627" s="8"/>
      <c r="V2627" s="8"/>
      <c r="W2627" s="8"/>
    </row>
    <row r="2628" spans="1:23" ht="15.75" customHeight="1" x14ac:dyDescent="0.25">
      <c r="A2628" s="6" t="s">
        <v>254</v>
      </c>
      <c r="B2628" s="8"/>
      <c r="C2628" s="8"/>
      <c r="D2628" s="8"/>
      <c r="E2628" s="8"/>
      <c r="F2628" s="8"/>
      <c r="G2628" s="8"/>
      <c r="H2628" s="8"/>
      <c r="I2628" s="8"/>
      <c r="J2628" s="8"/>
      <c r="K2628" s="8"/>
      <c r="L2628" s="8"/>
      <c r="M2628" s="8"/>
      <c r="N2628" s="8"/>
      <c r="O2628" s="8"/>
      <c r="P2628" s="8"/>
      <c r="Q2628" s="8"/>
      <c r="R2628" s="8"/>
      <c r="S2628" s="8"/>
      <c r="T2628" s="8"/>
      <c r="U2628" s="8"/>
      <c r="V2628" s="8"/>
      <c r="W2628" s="8"/>
    </row>
    <row r="2629" spans="1:23" ht="15.75" customHeight="1" x14ac:dyDescent="0.25">
      <c r="A2629" s="6" t="s">
        <v>254</v>
      </c>
      <c r="B2629" s="8"/>
      <c r="C2629" s="8"/>
      <c r="D2629" s="8"/>
      <c r="E2629" s="8"/>
      <c r="F2629" s="8"/>
      <c r="G2629" s="8"/>
      <c r="H2629" s="8"/>
      <c r="I2629" s="8"/>
      <c r="J2629" s="8"/>
      <c r="K2629" s="8"/>
      <c r="L2629" s="8"/>
      <c r="M2629" s="8"/>
      <c r="N2629" s="8"/>
      <c r="O2629" s="8"/>
      <c r="P2629" s="8"/>
      <c r="Q2629" s="8"/>
      <c r="R2629" s="8"/>
      <c r="S2629" s="8"/>
      <c r="T2629" s="8"/>
      <c r="U2629" s="8"/>
      <c r="V2629" s="8"/>
      <c r="W2629" s="8"/>
    </row>
    <row r="2630" spans="1:23" ht="15.75" customHeight="1" x14ac:dyDescent="0.25">
      <c r="A2630" s="6" t="s">
        <v>254</v>
      </c>
      <c r="B2630" s="8"/>
      <c r="C2630" s="8"/>
      <c r="D2630" s="8"/>
      <c r="E2630" s="8"/>
      <c r="F2630" s="8"/>
      <c r="G2630" s="8"/>
      <c r="H2630" s="8"/>
      <c r="I2630" s="8"/>
      <c r="J2630" s="8"/>
      <c r="K2630" s="8"/>
      <c r="L2630" s="8"/>
      <c r="M2630" s="8"/>
      <c r="N2630" s="8"/>
      <c r="O2630" s="8"/>
      <c r="P2630" s="8"/>
      <c r="Q2630" s="8"/>
      <c r="R2630" s="8"/>
      <c r="S2630" s="8"/>
      <c r="T2630" s="8"/>
      <c r="U2630" s="8"/>
      <c r="V2630" s="8"/>
      <c r="W2630" s="8"/>
    </row>
    <row r="2631" spans="1:23" ht="15.75" customHeight="1" x14ac:dyDescent="0.25">
      <c r="A2631" s="6" t="s">
        <v>254</v>
      </c>
      <c r="B2631" s="8"/>
      <c r="C2631" s="8"/>
      <c r="D2631" s="8"/>
      <c r="E2631" s="8"/>
      <c r="F2631" s="8"/>
      <c r="G2631" s="8"/>
      <c r="H2631" s="8"/>
      <c r="I2631" s="8"/>
      <c r="J2631" s="8"/>
      <c r="K2631" s="8"/>
      <c r="L2631" s="8"/>
      <c r="M2631" s="8"/>
      <c r="N2631" s="8"/>
      <c r="O2631" s="8"/>
      <c r="P2631" s="8"/>
      <c r="Q2631" s="8"/>
      <c r="R2631" s="8"/>
      <c r="S2631" s="8"/>
      <c r="T2631" s="8"/>
      <c r="U2631" s="8"/>
      <c r="V2631" s="8"/>
      <c r="W2631" s="8"/>
    </row>
    <row r="2632" spans="1:23" ht="15.75" customHeight="1" x14ac:dyDescent="0.25">
      <c r="A2632" s="6" t="s">
        <v>254</v>
      </c>
      <c r="B2632" s="8"/>
      <c r="C2632" s="8"/>
      <c r="D2632" s="8"/>
      <c r="E2632" s="8"/>
      <c r="F2632" s="8"/>
      <c r="G2632" s="8"/>
      <c r="H2632" s="8"/>
      <c r="I2632" s="8"/>
      <c r="J2632" s="8"/>
      <c r="K2632" s="8"/>
      <c r="L2632" s="8"/>
      <c r="M2632" s="8"/>
      <c r="N2632" s="8"/>
      <c r="O2632" s="8"/>
      <c r="P2632" s="8"/>
      <c r="Q2632" s="8"/>
      <c r="R2632" s="8"/>
      <c r="S2632" s="8"/>
      <c r="T2632" s="8"/>
      <c r="U2632" s="8"/>
      <c r="V2632" s="8"/>
      <c r="W2632" s="8"/>
    </row>
    <row r="2633" spans="1:23" ht="15.75" customHeight="1" x14ac:dyDescent="0.25">
      <c r="A2633" s="6" t="s">
        <v>254</v>
      </c>
      <c r="B2633" s="8"/>
      <c r="C2633" s="8"/>
      <c r="D2633" s="8"/>
      <c r="E2633" s="8"/>
      <c r="F2633" s="8"/>
      <c r="G2633" s="8"/>
      <c r="H2633" s="8"/>
      <c r="I2633" s="8"/>
      <c r="J2633" s="8"/>
      <c r="K2633" s="8"/>
      <c r="L2633" s="8"/>
      <c r="M2633" s="8"/>
      <c r="N2633" s="8"/>
      <c r="O2633" s="8"/>
      <c r="P2633" s="8"/>
      <c r="Q2633" s="8"/>
      <c r="R2633" s="8"/>
      <c r="S2633" s="8"/>
      <c r="T2633" s="8"/>
      <c r="U2633" s="8"/>
      <c r="V2633" s="8"/>
      <c r="W2633" s="8"/>
    </row>
    <row r="2634" spans="1:23" ht="15.75" customHeight="1" x14ac:dyDescent="0.25">
      <c r="A2634" s="6" t="s">
        <v>254</v>
      </c>
      <c r="B2634" s="8"/>
      <c r="C2634" s="8"/>
      <c r="D2634" s="8"/>
      <c r="E2634" s="8"/>
      <c r="F2634" s="8"/>
      <c r="G2634" s="8"/>
      <c r="H2634" s="8"/>
      <c r="I2634" s="8"/>
      <c r="J2634" s="8"/>
      <c r="K2634" s="8"/>
      <c r="L2634" s="8"/>
      <c r="M2634" s="8"/>
      <c r="N2634" s="8"/>
      <c r="O2634" s="8"/>
      <c r="P2634" s="8"/>
      <c r="Q2634" s="8"/>
      <c r="R2634" s="8"/>
      <c r="S2634" s="8"/>
      <c r="T2634" s="8"/>
      <c r="U2634" s="8"/>
      <c r="V2634" s="8"/>
      <c r="W2634" s="8"/>
    </row>
    <row r="2635" spans="1:23" ht="15.75" customHeight="1" x14ac:dyDescent="0.25">
      <c r="A2635" s="6" t="s">
        <v>254</v>
      </c>
      <c r="B2635" s="8"/>
      <c r="C2635" s="8"/>
      <c r="D2635" s="8"/>
      <c r="E2635" s="8"/>
      <c r="F2635" s="8"/>
      <c r="G2635" s="8"/>
      <c r="H2635" s="8"/>
      <c r="I2635" s="8"/>
      <c r="J2635" s="8"/>
      <c r="K2635" s="8"/>
      <c r="L2635" s="8"/>
      <c r="M2635" s="8"/>
      <c r="N2635" s="8"/>
      <c r="O2635" s="8"/>
      <c r="P2635" s="8"/>
      <c r="Q2635" s="8"/>
      <c r="R2635" s="8"/>
      <c r="S2635" s="8"/>
      <c r="T2635" s="8"/>
      <c r="U2635" s="8"/>
      <c r="V2635" s="8"/>
      <c r="W2635" s="8"/>
    </row>
    <row r="2636" spans="1:23" ht="15.75" customHeight="1" x14ac:dyDescent="0.25">
      <c r="A2636" s="6" t="s">
        <v>254</v>
      </c>
      <c r="B2636" s="8"/>
      <c r="C2636" s="8"/>
      <c r="D2636" s="8"/>
      <c r="E2636" s="8"/>
      <c r="F2636" s="8"/>
      <c r="G2636" s="8"/>
      <c r="H2636" s="8"/>
      <c r="I2636" s="8"/>
      <c r="J2636" s="8"/>
      <c r="K2636" s="8"/>
      <c r="L2636" s="8"/>
      <c r="M2636" s="8"/>
      <c r="N2636" s="8"/>
      <c r="O2636" s="8"/>
      <c r="P2636" s="8"/>
      <c r="Q2636" s="8"/>
      <c r="R2636" s="8"/>
      <c r="S2636" s="8"/>
      <c r="T2636" s="8"/>
      <c r="U2636" s="8"/>
      <c r="V2636" s="8"/>
      <c r="W2636" s="8"/>
    </row>
    <row r="2637" spans="1:23" ht="15.75" customHeight="1" x14ac:dyDescent="0.25">
      <c r="A2637" s="6" t="s">
        <v>254</v>
      </c>
      <c r="B2637" s="8"/>
      <c r="C2637" s="8"/>
      <c r="D2637" s="8"/>
      <c r="E2637" s="8"/>
      <c r="F2637" s="8"/>
      <c r="G2637" s="8"/>
      <c r="H2637" s="8"/>
      <c r="I2637" s="8"/>
      <c r="J2637" s="8"/>
      <c r="K2637" s="8"/>
      <c r="L2637" s="8"/>
      <c r="M2637" s="8"/>
      <c r="N2637" s="8"/>
      <c r="O2637" s="8"/>
      <c r="P2637" s="8"/>
      <c r="Q2637" s="8"/>
      <c r="R2637" s="8"/>
      <c r="S2637" s="8"/>
      <c r="T2637" s="8"/>
      <c r="U2637" s="8"/>
      <c r="V2637" s="8"/>
      <c r="W2637" s="8"/>
    </row>
    <row r="2638" spans="1:23" ht="15.75" customHeight="1" x14ac:dyDescent="0.25">
      <c r="A2638" s="6" t="s">
        <v>254</v>
      </c>
      <c r="B2638" s="8"/>
      <c r="C2638" s="8"/>
      <c r="D2638" s="8"/>
      <c r="E2638" s="8"/>
      <c r="F2638" s="8"/>
      <c r="G2638" s="8"/>
      <c r="H2638" s="8"/>
      <c r="I2638" s="8"/>
      <c r="J2638" s="8"/>
      <c r="K2638" s="8"/>
      <c r="L2638" s="8"/>
      <c r="M2638" s="8"/>
      <c r="N2638" s="8"/>
      <c r="O2638" s="8"/>
      <c r="P2638" s="8"/>
      <c r="Q2638" s="8"/>
      <c r="R2638" s="8"/>
      <c r="S2638" s="8"/>
      <c r="T2638" s="8"/>
      <c r="U2638" s="8"/>
      <c r="V2638" s="8"/>
      <c r="W2638" s="8"/>
    </row>
    <row r="2639" spans="1:23" ht="15.75" customHeight="1" x14ac:dyDescent="0.25">
      <c r="A2639" s="6" t="s">
        <v>254</v>
      </c>
      <c r="B2639" s="8"/>
      <c r="C2639" s="8"/>
      <c r="D2639" s="8"/>
      <c r="E2639" s="8"/>
      <c r="F2639" s="8"/>
      <c r="G2639" s="8"/>
      <c r="H2639" s="8"/>
      <c r="I2639" s="8"/>
      <c r="J2639" s="8"/>
      <c r="K2639" s="8"/>
      <c r="L2639" s="8"/>
      <c r="M2639" s="8"/>
      <c r="N2639" s="8"/>
      <c r="O2639" s="8"/>
      <c r="P2639" s="8"/>
      <c r="Q2639" s="8"/>
      <c r="R2639" s="8"/>
      <c r="S2639" s="8"/>
      <c r="T2639" s="8"/>
      <c r="U2639" s="8"/>
      <c r="V2639" s="8"/>
      <c r="W2639" s="8"/>
    </row>
    <row r="2640" spans="1:23" ht="15.75" customHeight="1" x14ac:dyDescent="0.25">
      <c r="A2640" s="6" t="s">
        <v>254</v>
      </c>
      <c r="B2640" s="8"/>
      <c r="C2640" s="8"/>
      <c r="D2640" s="8"/>
      <c r="E2640" s="8"/>
      <c r="F2640" s="8"/>
      <c r="G2640" s="8"/>
      <c r="H2640" s="8"/>
      <c r="I2640" s="8"/>
      <c r="J2640" s="8"/>
      <c r="K2640" s="8"/>
      <c r="L2640" s="8"/>
      <c r="M2640" s="8"/>
      <c r="N2640" s="8"/>
      <c r="O2640" s="8"/>
      <c r="P2640" s="8"/>
      <c r="Q2640" s="8"/>
      <c r="R2640" s="8"/>
      <c r="S2640" s="8"/>
      <c r="T2640" s="8"/>
      <c r="U2640" s="8"/>
      <c r="V2640" s="8"/>
      <c r="W2640" s="8"/>
    </row>
    <row r="2641" spans="1:23" ht="15.75" customHeight="1" x14ac:dyDescent="0.25">
      <c r="A2641" s="8" t="s">
        <v>254</v>
      </c>
      <c r="B2641" s="8"/>
      <c r="C2641" s="8"/>
      <c r="D2641" s="8"/>
      <c r="E2641" s="8"/>
      <c r="F2641" s="8"/>
      <c r="G2641" s="8"/>
      <c r="H2641" s="8"/>
      <c r="I2641" s="8"/>
      <c r="J2641" s="8"/>
      <c r="K2641" s="8"/>
      <c r="L2641" s="8"/>
      <c r="M2641" s="8"/>
      <c r="N2641" s="8"/>
      <c r="O2641" s="8"/>
      <c r="P2641" s="8"/>
      <c r="Q2641" s="8"/>
      <c r="R2641" s="8"/>
      <c r="S2641" s="8"/>
      <c r="T2641" s="8"/>
      <c r="U2641" s="8"/>
      <c r="V2641" s="8"/>
      <c r="W2641" s="8"/>
    </row>
    <row r="2642" spans="1:23" ht="15.75" customHeight="1" x14ac:dyDescent="0.25">
      <c r="A2642" s="6" t="s">
        <v>254</v>
      </c>
      <c r="B2642" s="8"/>
      <c r="C2642" s="8"/>
      <c r="D2642" s="8"/>
      <c r="E2642" s="8"/>
      <c r="F2642" s="8"/>
      <c r="G2642" s="8"/>
      <c r="H2642" s="8"/>
      <c r="I2642" s="8"/>
      <c r="J2642" s="8"/>
      <c r="K2642" s="8"/>
      <c r="L2642" s="8"/>
      <c r="M2642" s="8"/>
      <c r="N2642" s="8"/>
      <c r="O2642" s="8"/>
      <c r="P2642" s="8"/>
      <c r="Q2642" s="8"/>
      <c r="R2642" s="8"/>
      <c r="S2642" s="8"/>
      <c r="T2642" s="8"/>
      <c r="U2642" s="8"/>
      <c r="V2642" s="8"/>
      <c r="W2642" s="8"/>
    </row>
    <row r="2643" spans="1:23" ht="15.75" customHeight="1" x14ac:dyDescent="0.25">
      <c r="A2643" s="8" t="s">
        <v>254</v>
      </c>
      <c r="B2643" s="8"/>
      <c r="C2643" s="8"/>
      <c r="D2643" s="8"/>
      <c r="E2643" s="8"/>
      <c r="F2643" s="8"/>
      <c r="G2643" s="8"/>
      <c r="H2643" s="8"/>
      <c r="I2643" s="8"/>
      <c r="J2643" s="8"/>
      <c r="K2643" s="8"/>
      <c r="L2643" s="8"/>
      <c r="M2643" s="8"/>
      <c r="N2643" s="8"/>
      <c r="O2643" s="8"/>
      <c r="P2643" s="8"/>
      <c r="Q2643" s="8"/>
      <c r="R2643" s="8"/>
      <c r="S2643" s="8"/>
      <c r="T2643" s="8"/>
      <c r="U2643" s="8"/>
      <c r="V2643" s="8"/>
      <c r="W2643" s="8"/>
    </row>
    <row r="2644" spans="1:23" ht="15.75" customHeight="1" x14ac:dyDescent="0.25">
      <c r="A2644" s="6" t="s">
        <v>254</v>
      </c>
      <c r="B2644" s="8"/>
      <c r="C2644" s="8"/>
      <c r="D2644" s="8"/>
      <c r="E2644" s="8"/>
      <c r="F2644" s="8"/>
      <c r="G2644" s="8"/>
      <c r="H2644" s="8"/>
      <c r="I2644" s="8"/>
      <c r="J2644" s="8"/>
      <c r="K2644" s="8"/>
      <c r="L2644" s="8"/>
      <c r="M2644" s="8"/>
      <c r="N2644" s="8"/>
      <c r="O2644" s="8"/>
      <c r="P2644" s="8"/>
      <c r="Q2644" s="8"/>
      <c r="R2644" s="8"/>
      <c r="S2644" s="8"/>
      <c r="T2644" s="8"/>
      <c r="U2644" s="8"/>
      <c r="V2644" s="8"/>
      <c r="W2644" s="8"/>
    </row>
    <row r="2645" spans="1:23" ht="15.75" customHeight="1" x14ac:dyDescent="0.25">
      <c r="A2645" s="6" t="s">
        <v>254</v>
      </c>
      <c r="B2645" s="8"/>
      <c r="C2645" s="8"/>
      <c r="D2645" s="8"/>
      <c r="E2645" s="8"/>
      <c r="F2645" s="8"/>
      <c r="G2645" s="8"/>
      <c r="H2645" s="8"/>
      <c r="I2645" s="8"/>
      <c r="J2645" s="8"/>
      <c r="K2645" s="8"/>
      <c r="L2645" s="8"/>
      <c r="M2645" s="8"/>
      <c r="N2645" s="8"/>
      <c r="O2645" s="8"/>
      <c r="P2645" s="8"/>
      <c r="Q2645" s="8"/>
      <c r="R2645" s="8"/>
      <c r="S2645" s="8"/>
      <c r="T2645" s="8"/>
      <c r="U2645" s="8"/>
      <c r="V2645" s="8"/>
      <c r="W2645" s="8"/>
    </row>
    <row r="2646" spans="1:23" ht="15.75" customHeight="1" x14ac:dyDescent="0.25">
      <c r="A2646" s="6" t="s">
        <v>254</v>
      </c>
      <c r="B2646" s="8"/>
      <c r="C2646" s="8"/>
      <c r="D2646" s="8"/>
      <c r="E2646" s="8"/>
      <c r="F2646" s="8"/>
      <c r="G2646" s="8"/>
      <c r="H2646" s="8"/>
      <c r="I2646" s="8"/>
      <c r="J2646" s="8"/>
      <c r="K2646" s="8"/>
      <c r="L2646" s="8"/>
      <c r="M2646" s="8"/>
      <c r="N2646" s="8"/>
      <c r="O2646" s="8"/>
      <c r="P2646" s="8"/>
      <c r="Q2646" s="8"/>
      <c r="R2646" s="8"/>
      <c r="S2646" s="8"/>
      <c r="T2646" s="8"/>
      <c r="U2646" s="8"/>
      <c r="V2646" s="8"/>
      <c r="W2646" s="8"/>
    </row>
    <row r="2647" spans="1:23" ht="15.75" customHeight="1" x14ac:dyDescent="0.25">
      <c r="A2647" s="6" t="s">
        <v>254</v>
      </c>
      <c r="B2647" s="8"/>
      <c r="C2647" s="8"/>
      <c r="D2647" s="8"/>
      <c r="E2647" s="8"/>
      <c r="F2647" s="8"/>
      <c r="G2647" s="8"/>
      <c r="H2647" s="8"/>
      <c r="I2647" s="8"/>
      <c r="J2647" s="8"/>
      <c r="K2647" s="8"/>
      <c r="L2647" s="8"/>
      <c r="M2647" s="8"/>
      <c r="N2647" s="8"/>
      <c r="O2647" s="8"/>
      <c r="P2647" s="8"/>
      <c r="Q2647" s="8"/>
      <c r="R2647" s="8"/>
      <c r="S2647" s="8"/>
      <c r="T2647" s="8"/>
      <c r="U2647" s="8"/>
      <c r="V2647" s="8"/>
      <c r="W2647" s="8"/>
    </row>
    <row r="2648" spans="1:23" ht="15.75" customHeight="1" x14ac:dyDescent="0.25">
      <c r="A2648" s="6" t="s">
        <v>254</v>
      </c>
      <c r="B2648" s="8"/>
      <c r="C2648" s="8"/>
      <c r="D2648" s="8"/>
      <c r="E2648" s="8"/>
      <c r="F2648" s="8"/>
      <c r="G2648" s="8"/>
      <c r="H2648" s="8"/>
      <c r="I2648" s="8"/>
      <c r="J2648" s="8"/>
      <c r="K2648" s="8"/>
      <c r="L2648" s="8"/>
      <c r="M2648" s="8"/>
      <c r="N2648" s="8"/>
      <c r="O2648" s="8"/>
      <c r="P2648" s="8"/>
      <c r="Q2648" s="8"/>
      <c r="R2648" s="8"/>
      <c r="S2648" s="8"/>
      <c r="T2648" s="8"/>
      <c r="U2648" s="8"/>
      <c r="V2648" s="8"/>
      <c r="W2648" s="8"/>
    </row>
    <row r="2649" spans="1:23" ht="15.75" customHeight="1" x14ac:dyDescent="0.25">
      <c r="A2649" s="6" t="s">
        <v>254</v>
      </c>
      <c r="B2649" s="8"/>
      <c r="C2649" s="8"/>
      <c r="D2649" s="8"/>
      <c r="E2649" s="8"/>
      <c r="F2649" s="8"/>
      <c r="G2649" s="8"/>
      <c r="H2649" s="8"/>
      <c r="I2649" s="8"/>
      <c r="J2649" s="8"/>
      <c r="K2649" s="8"/>
      <c r="L2649" s="8"/>
      <c r="M2649" s="8"/>
      <c r="N2649" s="8"/>
      <c r="O2649" s="8"/>
      <c r="P2649" s="8"/>
      <c r="Q2649" s="8"/>
      <c r="R2649" s="8"/>
      <c r="S2649" s="8"/>
      <c r="T2649" s="8"/>
      <c r="U2649" s="8"/>
      <c r="V2649" s="8"/>
      <c r="W2649" s="8"/>
    </row>
    <row r="2650" spans="1:23" ht="15.75" customHeight="1" x14ac:dyDescent="0.25">
      <c r="A2650" s="8" t="s">
        <v>254</v>
      </c>
      <c r="B2650" s="8"/>
      <c r="C2650" s="8"/>
      <c r="D2650" s="8"/>
      <c r="E2650" s="8"/>
      <c r="F2650" s="8"/>
      <c r="G2650" s="8"/>
      <c r="H2650" s="8"/>
      <c r="I2650" s="8"/>
      <c r="J2650" s="8"/>
      <c r="K2650" s="8"/>
      <c r="L2650" s="8"/>
      <c r="M2650" s="8"/>
      <c r="N2650" s="8"/>
      <c r="O2650" s="8"/>
      <c r="P2650" s="8"/>
      <c r="Q2650" s="8"/>
      <c r="R2650" s="8"/>
      <c r="S2650" s="8"/>
      <c r="T2650" s="8"/>
      <c r="U2650" s="8"/>
      <c r="V2650" s="8"/>
      <c r="W2650" s="8"/>
    </row>
    <row r="2651" spans="1:23" ht="15.75" customHeight="1" x14ac:dyDescent="0.25">
      <c r="A2651" s="6" t="s">
        <v>254</v>
      </c>
      <c r="B2651" s="8"/>
      <c r="C2651" s="8"/>
      <c r="D2651" s="8"/>
      <c r="E2651" s="8"/>
      <c r="F2651" s="8"/>
      <c r="G2651" s="8"/>
      <c r="H2651" s="8"/>
      <c r="I2651" s="8"/>
      <c r="J2651" s="8"/>
      <c r="K2651" s="8"/>
      <c r="L2651" s="8"/>
      <c r="M2651" s="8"/>
      <c r="N2651" s="8"/>
      <c r="O2651" s="8"/>
      <c r="P2651" s="8"/>
      <c r="Q2651" s="8"/>
      <c r="R2651" s="8"/>
      <c r="S2651" s="8"/>
      <c r="T2651" s="8"/>
      <c r="U2651" s="8"/>
      <c r="V2651" s="8"/>
      <c r="W2651" s="8"/>
    </row>
    <row r="2652" spans="1:23" ht="15.75" customHeight="1" x14ac:dyDescent="0.25">
      <c r="A2652" s="6" t="s">
        <v>254</v>
      </c>
      <c r="B2652" s="8"/>
      <c r="C2652" s="8"/>
      <c r="D2652" s="8"/>
      <c r="E2652" s="8"/>
      <c r="F2652" s="8"/>
      <c r="G2652" s="8"/>
      <c r="H2652" s="8"/>
      <c r="I2652" s="8"/>
      <c r="J2652" s="8"/>
      <c r="K2652" s="8"/>
      <c r="L2652" s="8"/>
      <c r="M2652" s="8"/>
      <c r="N2652" s="8"/>
      <c r="O2652" s="8"/>
      <c r="P2652" s="8"/>
      <c r="Q2652" s="8"/>
      <c r="R2652" s="8"/>
      <c r="S2652" s="8"/>
      <c r="T2652" s="8"/>
      <c r="U2652" s="8"/>
      <c r="V2652" s="8"/>
      <c r="W2652" s="8"/>
    </row>
    <row r="2653" spans="1:23" ht="15.75" customHeight="1" x14ac:dyDescent="0.25">
      <c r="A2653" s="6" t="s">
        <v>254</v>
      </c>
      <c r="B2653" s="8"/>
      <c r="C2653" s="8"/>
      <c r="D2653" s="8"/>
      <c r="E2653" s="8"/>
      <c r="F2653" s="8"/>
      <c r="G2653" s="8"/>
      <c r="H2653" s="8"/>
      <c r="I2653" s="8"/>
      <c r="J2653" s="8"/>
      <c r="K2653" s="8"/>
      <c r="L2653" s="8"/>
      <c r="M2653" s="8"/>
      <c r="N2653" s="8"/>
      <c r="O2653" s="8"/>
      <c r="P2653" s="8"/>
      <c r="Q2653" s="8"/>
      <c r="R2653" s="8"/>
      <c r="S2653" s="8"/>
      <c r="T2653" s="8"/>
      <c r="U2653" s="8"/>
      <c r="V2653" s="8"/>
      <c r="W2653" s="8"/>
    </row>
    <row r="2654" spans="1:23" ht="15.75" customHeight="1" x14ac:dyDescent="0.25">
      <c r="A2654" s="6" t="s">
        <v>254</v>
      </c>
      <c r="B2654" s="8"/>
      <c r="C2654" s="8"/>
      <c r="D2654" s="8"/>
      <c r="E2654" s="8"/>
      <c r="F2654" s="8"/>
      <c r="G2654" s="8"/>
      <c r="H2654" s="8"/>
      <c r="I2654" s="8"/>
      <c r="J2654" s="8"/>
      <c r="K2654" s="8"/>
      <c r="L2654" s="8"/>
      <c r="M2654" s="8"/>
      <c r="N2654" s="8"/>
      <c r="O2654" s="8"/>
      <c r="P2654" s="8"/>
      <c r="Q2654" s="8"/>
      <c r="R2654" s="8"/>
      <c r="S2654" s="8"/>
      <c r="T2654" s="8"/>
      <c r="U2654" s="8"/>
      <c r="V2654" s="8"/>
      <c r="W2654" s="8"/>
    </row>
    <row r="2655" spans="1:23" ht="15.75" customHeight="1" x14ac:dyDescent="0.25">
      <c r="A2655" s="6" t="s">
        <v>254</v>
      </c>
      <c r="B2655" s="8"/>
      <c r="C2655" s="8"/>
      <c r="D2655" s="8"/>
      <c r="E2655" s="8"/>
      <c r="F2655" s="8"/>
      <c r="G2655" s="8"/>
      <c r="H2655" s="8"/>
      <c r="I2655" s="8"/>
      <c r="J2655" s="8"/>
      <c r="K2655" s="8"/>
      <c r="L2655" s="8"/>
      <c r="M2655" s="8"/>
      <c r="N2655" s="8"/>
      <c r="O2655" s="8"/>
      <c r="P2655" s="8"/>
      <c r="Q2655" s="8"/>
      <c r="R2655" s="8"/>
      <c r="S2655" s="8"/>
      <c r="T2655" s="8"/>
      <c r="U2655" s="8"/>
      <c r="V2655" s="8"/>
      <c r="W2655" s="8"/>
    </row>
    <row r="2656" spans="1:23" ht="15.75" customHeight="1" x14ac:dyDescent="0.25">
      <c r="A2656" s="6" t="s">
        <v>3484</v>
      </c>
      <c r="B2656" s="8"/>
      <c r="C2656" s="8"/>
      <c r="D2656" s="8"/>
      <c r="E2656" s="8"/>
      <c r="F2656" s="8"/>
      <c r="G2656" s="8"/>
      <c r="H2656" s="8"/>
      <c r="I2656" s="8"/>
      <c r="J2656" s="8"/>
      <c r="K2656" s="8"/>
      <c r="L2656" s="8"/>
      <c r="M2656" s="8"/>
      <c r="N2656" s="8"/>
      <c r="O2656" s="8"/>
      <c r="P2656" s="8"/>
      <c r="Q2656" s="8"/>
      <c r="R2656" s="8"/>
      <c r="S2656" s="8"/>
      <c r="T2656" s="8"/>
      <c r="U2656" s="8"/>
      <c r="V2656" s="8"/>
      <c r="W2656" s="8"/>
    </row>
    <row r="2657" spans="1:23" ht="15.75" customHeight="1" x14ac:dyDescent="0.25">
      <c r="A2657" s="6" t="s">
        <v>3484</v>
      </c>
      <c r="B2657" s="8"/>
      <c r="C2657" s="8"/>
      <c r="D2657" s="8"/>
      <c r="E2657" s="8"/>
      <c r="F2657" s="8"/>
      <c r="G2657" s="8"/>
      <c r="H2657" s="8"/>
      <c r="I2657" s="8"/>
      <c r="J2657" s="8"/>
      <c r="K2657" s="8"/>
      <c r="L2657" s="8"/>
      <c r="M2657" s="8"/>
      <c r="N2657" s="8"/>
      <c r="O2657" s="8"/>
      <c r="P2657" s="8"/>
      <c r="Q2657" s="8"/>
      <c r="R2657" s="8"/>
      <c r="S2657" s="8"/>
      <c r="T2657" s="8"/>
      <c r="U2657" s="8"/>
      <c r="V2657" s="8"/>
      <c r="W2657" s="8"/>
    </row>
    <row r="2658" spans="1:23" ht="15.75" customHeight="1" x14ac:dyDescent="0.25">
      <c r="A2658" s="6" t="s">
        <v>3484</v>
      </c>
      <c r="B2658" s="8"/>
      <c r="C2658" s="8"/>
      <c r="D2658" s="8"/>
      <c r="E2658" s="8"/>
      <c r="F2658" s="8"/>
      <c r="G2658" s="8"/>
      <c r="H2658" s="8"/>
      <c r="I2658" s="8"/>
      <c r="J2658" s="8"/>
      <c r="K2658" s="8"/>
      <c r="L2658" s="8"/>
      <c r="M2658" s="8"/>
      <c r="N2658" s="8"/>
      <c r="O2658" s="8"/>
      <c r="P2658" s="8"/>
      <c r="Q2658" s="8"/>
      <c r="R2658" s="8"/>
      <c r="S2658" s="8"/>
      <c r="T2658" s="8"/>
      <c r="U2658" s="8"/>
      <c r="V2658" s="8"/>
      <c r="W2658" s="8"/>
    </row>
    <row r="2659" spans="1:23" ht="15.75" customHeight="1" x14ac:dyDescent="0.25">
      <c r="A2659" s="6" t="s">
        <v>3484</v>
      </c>
      <c r="B2659" s="8"/>
      <c r="C2659" s="8"/>
      <c r="D2659" s="8"/>
      <c r="E2659" s="8"/>
      <c r="F2659" s="8"/>
      <c r="G2659" s="8"/>
      <c r="H2659" s="8"/>
      <c r="I2659" s="8"/>
      <c r="J2659" s="8"/>
      <c r="K2659" s="8"/>
      <c r="L2659" s="8"/>
      <c r="M2659" s="8"/>
      <c r="N2659" s="8"/>
      <c r="O2659" s="8"/>
      <c r="P2659" s="8"/>
      <c r="Q2659" s="8"/>
      <c r="R2659" s="8"/>
      <c r="S2659" s="8"/>
      <c r="T2659" s="8"/>
      <c r="U2659" s="8"/>
      <c r="V2659" s="8"/>
      <c r="W2659" s="8"/>
    </row>
    <row r="2660" spans="1:23" ht="15.75" customHeight="1" x14ac:dyDescent="0.25">
      <c r="A2660" s="6" t="s">
        <v>3484</v>
      </c>
      <c r="B2660" s="8"/>
      <c r="C2660" s="8"/>
      <c r="D2660" s="8"/>
      <c r="E2660" s="8"/>
      <c r="F2660" s="8"/>
      <c r="G2660" s="8"/>
      <c r="H2660" s="8"/>
      <c r="I2660" s="8"/>
      <c r="J2660" s="8"/>
      <c r="K2660" s="8"/>
      <c r="L2660" s="8"/>
      <c r="M2660" s="8"/>
      <c r="N2660" s="8"/>
      <c r="O2660" s="8"/>
      <c r="P2660" s="8"/>
      <c r="Q2660" s="8"/>
      <c r="R2660" s="8"/>
      <c r="S2660" s="8"/>
      <c r="T2660" s="8"/>
      <c r="U2660" s="8"/>
      <c r="V2660" s="8"/>
      <c r="W2660" s="8"/>
    </row>
    <row r="2661" spans="1:23" ht="15.75" customHeight="1" x14ac:dyDescent="0.25">
      <c r="A2661" s="6" t="s">
        <v>3484</v>
      </c>
      <c r="B2661" s="8"/>
      <c r="C2661" s="8"/>
      <c r="D2661" s="8"/>
      <c r="E2661" s="8"/>
      <c r="F2661" s="8"/>
      <c r="G2661" s="8"/>
      <c r="H2661" s="8"/>
      <c r="I2661" s="8"/>
      <c r="J2661" s="8"/>
      <c r="K2661" s="8"/>
      <c r="L2661" s="8"/>
      <c r="M2661" s="8"/>
      <c r="N2661" s="8"/>
      <c r="O2661" s="8"/>
      <c r="P2661" s="8"/>
      <c r="Q2661" s="8"/>
      <c r="R2661" s="8"/>
      <c r="S2661" s="8"/>
      <c r="T2661" s="8"/>
      <c r="U2661" s="8"/>
      <c r="V2661" s="8"/>
      <c r="W2661" s="8"/>
    </row>
    <row r="2662" spans="1:23" ht="15.75" customHeight="1" x14ac:dyDescent="0.25">
      <c r="A2662" s="6" t="s">
        <v>3484</v>
      </c>
      <c r="B2662" s="8"/>
      <c r="C2662" s="8"/>
      <c r="D2662" s="8"/>
      <c r="E2662" s="8"/>
      <c r="F2662" s="8"/>
      <c r="G2662" s="8"/>
      <c r="H2662" s="8"/>
      <c r="I2662" s="8"/>
      <c r="J2662" s="8"/>
      <c r="K2662" s="8"/>
      <c r="L2662" s="8"/>
      <c r="M2662" s="8"/>
      <c r="N2662" s="8"/>
      <c r="O2662" s="8"/>
      <c r="P2662" s="8"/>
      <c r="Q2662" s="8"/>
      <c r="R2662" s="8"/>
      <c r="S2662" s="8"/>
      <c r="T2662" s="8"/>
      <c r="U2662" s="8"/>
      <c r="V2662" s="8"/>
      <c r="W2662" s="8"/>
    </row>
    <row r="2663" spans="1:23" ht="15.75" customHeight="1" x14ac:dyDescent="0.25">
      <c r="A2663" s="6" t="s">
        <v>4300</v>
      </c>
      <c r="B2663" s="8"/>
      <c r="C2663" s="8"/>
      <c r="D2663" s="8"/>
      <c r="E2663" s="8"/>
      <c r="F2663" s="8"/>
      <c r="G2663" s="8"/>
      <c r="H2663" s="8"/>
      <c r="I2663" s="8"/>
      <c r="J2663" s="8"/>
      <c r="K2663" s="8"/>
      <c r="L2663" s="8"/>
      <c r="M2663" s="8"/>
      <c r="N2663" s="8"/>
      <c r="O2663" s="8"/>
      <c r="P2663" s="8"/>
      <c r="Q2663" s="8"/>
      <c r="R2663" s="8"/>
      <c r="S2663" s="8"/>
      <c r="T2663" s="8"/>
      <c r="U2663" s="8"/>
      <c r="V2663" s="8"/>
      <c r="W2663" s="8"/>
    </row>
    <row r="2664" spans="1:23" ht="15.75" customHeight="1" x14ac:dyDescent="0.25">
      <c r="A2664" s="6" t="s">
        <v>3251</v>
      </c>
      <c r="B2664" s="8"/>
      <c r="C2664" s="8"/>
      <c r="D2664" s="8"/>
      <c r="E2664" s="8"/>
      <c r="F2664" s="8"/>
      <c r="G2664" s="8"/>
      <c r="H2664" s="8"/>
      <c r="I2664" s="8"/>
      <c r="J2664" s="8"/>
      <c r="K2664" s="8"/>
      <c r="L2664" s="8"/>
      <c r="M2664" s="8"/>
      <c r="N2664" s="8"/>
      <c r="O2664" s="8"/>
      <c r="P2664" s="8"/>
      <c r="Q2664" s="8"/>
      <c r="R2664" s="8"/>
      <c r="S2664" s="8"/>
      <c r="T2664" s="8"/>
      <c r="U2664" s="8"/>
      <c r="V2664" s="8"/>
      <c r="W2664" s="8"/>
    </row>
    <row r="2665" spans="1:23" ht="15.75" customHeight="1" x14ac:dyDescent="0.25">
      <c r="A2665" s="6" t="s">
        <v>3251</v>
      </c>
      <c r="B2665" s="8"/>
      <c r="C2665" s="8"/>
      <c r="D2665" s="8"/>
      <c r="E2665" s="8"/>
      <c r="F2665" s="8"/>
      <c r="G2665" s="8"/>
      <c r="H2665" s="8"/>
      <c r="I2665" s="8"/>
      <c r="J2665" s="8"/>
      <c r="K2665" s="8"/>
      <c r="L2665" s="8"/>
      <c r="M2665" s="8"/>
      <c r="N2665" s="8"/>
      <c r="O2665" s="8"/>
      <c r="P2665" s="8"/>
      <c r="Q2665" s="8"/>
      <c r="R2665" s="8"/>
      <c r="S2665" s="8"/>
      <c r="T2665" s="8"/>
      <c r="U2665" s="8"/>
      <c r="V2665" s="8"/>
      <c r="W2665" s="8"/>
    </row>
    <row r="2666" spans="1:23" ht="15.75" customHeight="1" x14ac:dyDescent="0.25">
      <c r="A2666" s="6" t="s">
        <v>3251</v>
      </c>
      <c r="B2666" s="8"/>
      <c r="C2666" s="8"/>
      <c r="D2666" s="8"/>
      <c r="E2666" s="8"/>
      <c r="F2666" s="8"/>
      <c r="G2666" s="8"/>
      <c r="H2666" s="8"/>
      <c r="I2666" s="8"/>
      <c r="J2666" s="8"/>
      <c r="K2666" s="8"/>
      <c r="L2666" s="8"/>
      <c r="M2666" s="8"/>
      <c r="N2666" s="8"/>
      <c r="O2666" s="8"/>
      <c r="P2666" s="8"/>
      <c r="Q2666" s="8"/>
      <c r="R2666" s="8"/>
      <c r="S2666" s="8"/>
      <c r="T2666" s="8"/>
      <c r="U2666" s="8"/>
      <c r="V2666" s="8"/>
      <c r="W2666" s="8"/>
    </row>
    <row r="2667" spans="1:23" ht="15.75" customHeight="1" x14ac:dyDescent="0.25">
      <c r="A2667" s="6" t="s">
        <v>3251</v>
      </c>
      <c r="B2667" s="8"/>
      <c r="C2667" s="8"/>
      <c r="D2667" s="8"/>
      <c r="E2667" s="8"/>
      <c r="F2667" s="8"/>
      <c r="G2667" s="8"/>
      <c r="H2667" s="8"/>
      <c r="I2667" s="8"/>
      <c r="J2667" s="8"/>
      <c r="K2667" s="8"/>
      <c r="L2667" s="8"/>
      <c r="M2667" s="8"/>
      <c r="N2667" s="8"/>
      <c r="O2667" s="8"/>
      <c r="P2667" s="8"/>
      <c r="Q2667" s="8"/>
      <c r="R2667" s="8"/>
      <c r="S2667" s="8"/>
      <c r="T2667" s="8"/>
      <c r="U2667" s="8"/>
      <c r="V2667" s="8"/>
      <c r="W2667" s="8"/>
    </row>
    <row r="2668" spans="1:23" ht="15.75" customHeight="1" x14ac:dyDescent="0.25">
      <c r="A2668" s="6" t="s">
        <v>3251</v>
      </c>
      <c r="B2668" s="8"/>
      <c r="C2668" s="8"/>
      <c r="D2668" s="8"/>
      <c r="E2668" s="8"/>
      <c r="F2668" s="8"/>
      <c r="G2668" s="8"/>
      <c r="H2668" s="8"/>
      <c r="I2668" s="8"/>
      <c r="J2668" s="8"/>
      <c r="K2668" s="8"/>
      <c r="L2668" s="8"/>
      <c r="M2668" s="8"/>
      <c r="N2668" s="8"/>
      <c r="O2668" s="8"/>
      <c r="P2668" s="8"/>
      <c r="Q2668" s="8"/>
      <c r="R2668" s="8"/>
      <c r="S2668" s="8"/>
      <c r="T2668" s="8"/>
      <c r="U2668" s="8"/>
      <c r="V2668" s="8"/>
      <c r="W2668" s="8"/>
    </row>
    <row r="2669" spans="1:23" ht="15.75" customHeight="1" x14ac:dyDescent="0.25">
      <c r="A2669" s="6" t="s">
        <v>3251</v>
      </c>
      <c r="B2669" s="8"/>
      <c r="C2669" s="8"/>
      <c r="D2669" s="8"/>
      <c r="E2669" s="8"/>
      <c r="F2669" s="8"/>
      <c r="G2669" s="8"/>
      <c r="H2669" s="8"/>
      <c r="I2669" s="8"/>
      <c r="J2669" s="8"/>
      <c r="K2669" s="8"/>
      <c r="L2669" s="8"/>
      <c r="M2669" s="8"/>
      <c r="N2669" s="8"/>
      <c r="O2669" s="8"/>
      <c r="P2669" s="8"/>
      <c r="Q2669" s="8"/>
      <c r="R2669" s="8"/>
      <c r="S2669" s="8"/>
      <c r="T2669" s="8"/>
      <c r="U2669" s="8"/>
      <c r="V2669" s="8"/>
      <c r="W2669" s="8"/>
    </row>
    <row r="2670" spans="1:23" ht="15.75" customHeight="1" x14ac:dyDescent="0.25">
      <c r="A2670" s="6" t="s">
        <v>3251</v>
      </c>
      <c r="B2670" s="8"/>
      <c r="C2670" s="8"/>
      <c r="D2670" s="8"/>
      <c r="E2670" s="8"/>
      <c r="F2670" s="8"/>
      <c r="G2670" s="8"/>
      <c r="H2670" s="8"/>
      <c r="I2670" s="8"/>
      <c r="J2670" s="8"/>
      <c r="K2670" s="8"/>
      <c r="L2670" s="8"/>
      <c r="M2670" s="8"/>
      <c r="N2670" s="8"/>
      <c r="O2670" s="8"/>
      <c r="P2670" s="8"/>
      <c r="Q2670" s="8"/>
      <c r="R2670" s="8"/>
      <c r="S2670" s="8"/>
      <c r="T2670" s="8"/>
      <c r="U2670" s="8"/>
      <c r="V2670" s="8"/>
      <c r="W2670" s="8"/>
    </row>
    <row r="2671" spans="1:23" ht="15.75" customHeight="1" x14ac:dyDescent="0.25">
      <c r="A2671" s="6" t="s">
        <v>3251</v>
      </c>
      <c r="B2671" s="8"/>
      <c r="C2671" s="8"/>
      <c r="D2671" s="8"/>
      <c r="E2671" s="8"/>
      <c r="F2671" s="8"/>
      <c r="G2671" s="8"/>
      <c r="H2671" s="8"/>
      <c r="I2671" s="8"/>
      <c r="J2671" s="8"/>
      <c r="K2671" s="8"/>
      <c r="L2671" s="8"/>
      <c r="M2671" s="8"/>
      <c r="N2671" s="8"/>
      <c r="O2671" s="8"/>
      <c r="P2671" s="8"/>
      <c r="Q2671" s="8"/>
      <c r="R2671" s="8"/>
      <c r="S2671" s="8"/>
      <c r="T2671" s="8"/>
      <c r="U2671" s="8"/>
      <c r="V2671" s="8"/>
      <c r="W2671" s="8"/>
    </row>
    <row r="2672" spans="1:23" ht="15.75" customHeight="1" x14ac:dyDescent="0.25">
      <c r="A2672" s="6" t="s">
        <v>3251</v>
      </c>
      <c r="B2672" s="8"/>
      <c r="C2672" s="8"/>
      <c r="D2672" s="8"/>
      <c r="E2672" s="8"/>
      <c r="F2672" s="8"/>
      <c r="G2672" s="8"/>
      <c r="H2672" s="8"/>
      <c r="I2672" s="8"/>
      <c r="J2672" s="8"/>
      <c r="K2672" s="8"/>
      <c r="L2672" s="8"/>
      <c r="M2672" s="8"/>
      <c r="N2672" s="8"/>
      <c r="O2672" s="8"/>
      <c r="P2672" s="8"/>
      <c r="Q2672" s="8"/>
      <c r="R2672" s="8"/>
      <c r="S2672" s="8"/>
      <c r="T2672" s="8"/>
      <c r="U2672" s="8"/>
      <c r="V2672" s="8"/>
      <c r="W2672" s="8"/>
    </row>
    <row r="2673" spans="1:23" ht="15.75" customHeight="1" x14ac:dyDescent="0.25">
      <c r="A2673" s="6" t="s">
        <v>3251</v>
      </c>
      <c r="B2673" s="8"/>
      <c r="C2673" s="8"/>
      <c r="D2673" s="8"/>
      <c r="E2673" s="8"/>
      <c r="F2673" s="8"/>
      <c r="G2673" s="8"/>
      <c r="H2673" s="8"/>
      <c r="I2673" s="8"/>
      <c r="J2673" s="8"/>
      <c r="K2673" s="8"/>
      <c r="L2673" s="8"/>
      <c r="M2673" s="8"/>
      <c r="N2673" s="8"/>
      <c r="O2673" s="8"/>
      <c r="P2673" s="8"/>
      <c r="Q2673" s="8"/>
      <c r="R2673" s="8"/>
      <c r="S2673" s="8"/>
      <c r="T2673" s="8"/>
      <c r="U2673" s="8"/>
      <c r="V2673" s="8"/>
      <c r="W2673" s="8"/>
    </row>
    <row r="2674" spans="1:23" ht="15.75" customHeight="1" x14ac:dyDescent="0.25">
      <c r="A2674" s="6" t="s">
        <v>3251</v>
      </c>
      <c r="B2674" s="8"/>
      <c r="C2674" s="8"/>
      <c r="D2674" s="8"/>
      <c r="E2674" s="8"/>
      <c r="F2674" s="8"/>
      <c r="G2674" s="8"/>
      <c r="H2674" s="8"/>
      <c r="I2674" s="8"/>
      <c r="J2674" s="8"/>
      <c r="K2674" s="8"/>
      <c r="L2674" s="8"/>
      <c r="M2674" s="8"/>
      <c r="N2674" s="8"/>
      <c r="O2674" s="8"/>
      <c r="P2674" s="8"/>
      <c r="Q2674" s="8"/>
      <c r="R2674" s="8"/>
      <c r="S2674" s="8"/>
      <c r="T2674" s="8"/>
      <c r="U2674" s="8"/>
      <c r="V2674" s="8"/>
      <c r="W2674" s="8"/>
    </row>
    <row r="2675" spans="1:23" ht="15.75" customHeight="1" x14ac:dyDescent="0.25">
      <c r="A2675" s="6" t="s">
        <v>3251</v>
      </c>
      <c r="B2675" s="8"/>
      <c r="C2675" s="8"/>
      <c r="D2675" s="8"/>
      <c r="E2675" s="8"/>
      <c r="F2675" s="8"/>
      <c r="G2675" s="8"/>
      <c r="H2675" s="8"/>
      <c r="I2675" s="8"/>
      <c r="J2675" s="8"/>
      <c r="K2675" s="8"/>
      <c r="L2675" s="8"/>
      <c r="M2675" s="8"/>
      <c r="N2675" s="8"/>
      <c r="O2675" s="8"/>
      <c r="P2675" s="8"/>
      <c r="Q2675" s="8"/>
      <c r="R2675" s="8"/>
      <c r="S2675" s="8"/>
      <c r="T2675" s="8"/>
      <c r="U2675" s="8"/>
      <c r="V2675" s="8"/>
      <c r="W2675" s="8"/>
    </row>
    <row r="2676" spans="1:23" ht="15.75" customHeight="1" x14ac:dyDescent="0.25">
      <c r="A2676" s="6" t="s">
        <v>3251</v>
      </c>
      <c r="B2676" s="8"/>
      <c r="C2676" s="8"/>
      <c r="D2676" s="8"/>
      <c r="E2676" s="8"/>
      <c r="F2676" s="8"/>
      <c r="G2676" s="8"/>
      <c r="H2676" s="8"/>
      <c r="I2676" s="8"/>
      <c r="J2676" s="8"/>
      <c r="K2676" s="8"/>
      <c r="L2676" s="8"/>
      <c r="M2676" s="8"/>
      <c r="N2676" s="8"/>
      <c r="O2676" s="8"/>
      <c r="P2676" s="8"/>
      <c r="Q2676" s="8"/>
      <c r="R2676" s="8"/>
      <c r="S2676" s="8"/>
      <c r="T2676" s="8"/>
      <c r="U2676" s="8"/>
      <c r="V2676" s="8"/>
      <c r="W2676" s="8"/>
    </row>
    <row r="2677" spans="1:23" ht="15.75" customHeight="1" x14ac:dyDescent="0.25">
      <c r="A2677" s="6" t="s">
        <v>3251</v>
      </c>
      <c r="B2677" s="8"/>
      <c r="C2677" s="8"/>
      <c r="D2677" s="8"/>
      <c r="E2677" s="8"/>
      <c r="F2677" s="8"/>
      <c r="G2677" s="8"/>
      <c r="H2677" s="8"/>
      <c r="I2677" s="8"/>
      <c r="J2677" s="8"/>
      <c r="K2677" s="8"/>
      <c r="L2677" s="8"/>
      <c r="M2677" s="8"/>
      <c r="N2677" s="8"/>
      <c r="O2677" s="8"/>
      <c r="P2677" s="8"/>
      <c r="Q2677" s="8"/>
      <c r="R2677" s="8"/>
      <c r="S2677" s="8"/>
      <c r="T2677" s="8"/>
      <c r="U2677" s="8"/>
      <c r="V2677" s="8"/>
      <c r="W2677" s="8"/>
    </row>
    <row r="2678" spans="1:23" ht="15.75" customHeight="1" x14ac:dyDescent="0.25">
      <c r="A2678" s="6" t="s">
        <v>3251</v>
      </c>
      <c r="B2678" s="8"/>
      <c r="C2678" s="8"/>
      <c r="D2678" s="8"/>
      <c r="E2678" s="8"/>
      <c r="F2678" s="8"/>
      <c r="G2678" s="8"/>
      <c r="H2678" s="8"/>
      <c r="I2678" s="8"/>
      <c r="J2678" s="8"/>
      <c r="K2678" s="8"/>
      <c r="L2678" s="8"/>
      <c r="M2678" s="8"/>
      <c r="N2678" s="8"/>
      <c r="O2678" s="8"/>
      <c r="P2678" s="8"/>
      <c r="Q2678" s="8"/>
      <c r="R2678" s="8"/>
      <c r="S2678" s="8"/>
      <c r="T2678" s="8"/>
      <c r="U2678" s="8"/>
      <c r="V2678" s="8"/>
      <c r="W2678" s="8"/>
    </row>
    <row r="2679" spans="1:23" ht="15.75" customHeight="1" x14ac:dyDescent="0.25">
      <c r="A2679" s="6" t="s">
        <v>3251</v>
      </c>
      <c r="B2679" s="8"/>
      <c r="C2679" s="8"/>
      <c r="D2679" s="8"/>
      <c r="E2679" s="8"/>
      <c r="F2679" s="8"/>
      <c r="G2679" s="8"/>
      <c r="H2679" s="8"/>
      <c r="I2679" s="8"/>
      <c r="J2679" s="8"/>
      <c r="K2679" s="8"/>
      <c r="L2679" s="8"/>
      <c r="M2679" s="8"/>
      <c r="N2679" s="8"/>
      <c r="O2679" s="8"/>
      <c r="P2679" s="8"/>
      <c r="Q2679" s="8"/>
      <c r="R2679" s="8"/>
      <c r="S2679" s="8"/>
      <c r="T2679" s="8"/>
      <c r="U2679" s="8"/>
      <c r="V2679" s="8"/>
      <c r="W2679" s="8"/>
    </row>
    <row r="2680" spans="1:23" ht="15.75" customHeight="1" x14ac:dyDescent="0.25">
      <c r="A2680" s="6" t="s">
        <v>3251</v>
      </c>
      <c r="B2680" s="8"/>
      <c r="C2680" s="8"/>
      <c r="D2680" s="8"/>
      <c r="E2680" s="8"/>
      <c r="F2680" s="8"/>
      <c r="G2680" s="8"/>
      <c r="H2680" s="8"/>
      <c r="I2680" s="8"/>
      <c r="J2680" s="8"/>
      <c r="K2680" s="8"/>
      <c r="L2680" s="8"/>
      <c r="M2680" s="8"/>
      <c r="N2680" s="8"/>
      <c r="O2680" s="8"/>
      <c r="P2680" s="8"/>
      <c r="Q2680" s="8"/>
      <c r="R2680" s="8"/>
      <c r="S2680" s="8"/>
      <c r="T2680" s="8"/>
      <c r="U2680" s="8"/>
      <c r="V2680" s="8"/>
      <c r="W2680" s="8"/>
    </row>
    <row r="2681" spans="1:23" ht="15.75" customHeight="1" x14ac:dyDescent="0.25">
      <c r="A2681" s="6" t="s">
        <v>3251</v>
      </c>
      <c r="B2681" s="8"/>
      <c r="C2681" s="8"/>
      <c r="D2681" s="8"/>
      <c r="E2681" s="8"/>
      <c r="F2681" s="8"/>
      <c r="G2681" s="8"/>
      <c r="H2681" s="8"/>
      <c r="I2681" s="8"/>
      <c r="J2681" s="8"/>
      <c r="K2681" s="8"/>
      <c r="L2681" s="8"/>
      <c r="M2681" s="8"/>
      <c r="N2681" s="8"/>
      <c r="O2681" s="8"/>
      <c r="P2681" s="8"/>
      <c r="Q2681" s="8"/>
      <c r="R2681" s="8"/>
      <c r="S2681" s="8"/>
      <c r="T2681" s="8"/>
      <c r="U2681" s="8"/>
      <c r="V2681" s="8"/>
      <c r="W2681" s="8"/>
    </row>
    <row r="2682" spans="1:23" ht="15.75" customHeight="1" x14ac:dyDescent="0.25">
      <c r="A2682" s="6" t="s">
        <v>3251</v>
      </c>
      <c r="B2682" s="8"/>
      <c r="C2682" s="8"/>
      <c r="D2682" s="8"/>
      <c r="E2682" s="8"/>
      <c r="F2682" s="8"/>
      <c r="G2682" s="8"/>
      <c r="H2682" s="8"/>
      <c r="I2682" s="8"/>
      <c r="J2682" s="8"/>
      <c r="K2682" s="8"/>
      <c r="L2682" s="8"/>
      <c r="M2682" s="8"/>
      <c r="N2682" s="8"/>
      <c r="O2682" s="8"/>
      <c r="P2682" s="8"/>
      <c r="Q2682" s="8"/>
      <c r="R2682" s="8"/>
      <c r="S2682" s="8"/>
      <c r="T2682" s="8"/>
      <c r="U2682" s="8"/>
      <c r="V2682" s="8"/>
      <c r="W2682" s="8"/>
    </row>
    <row r="2683" spans="1:23" ht="15.75" customHeight="1" x14ac:dyDescent="0.25">
      <c r="A2683" s="6" t="s">
        <v>3251</v>
      </c>
      <c r="B2683" s="8"/>
      <c r="C2683" s="8"/>
      <c r="D2683" s="8"/>
      <c r="E2683" s="8"/>
      <c r="F2683" s="8"/>
      <c r="G2683" s="8"/>
      <c r="H2683" s="8"/>
      <c r="I2683" s="8"/>
      <c r="J2683" s="8"/>
      <c r="K2683" s="8"/>
      <c r="L2683" s="8"/>
      <c r="M2683" s="8"/>
      <c r="N2683" s="8"/>
      <c r="O2683" s="8"/>
      <c r="P2683" s="8"/>
      <c r="Q2683" s="8"/>
      <c r="R2683" s="8"/>
      <c r="S2683" s="8"/>
      <c r="T2683" s="8"/>
      <c r="U2683" s="8"/>
      <c r="V2683" s="8"/>
      <c r="W2683" s="8"/>
    </row>
    <row r="2684" spans="1:23" ht="15.75" customHeight="1" x14ac:dyDescent="0.25">
      <c r="A2684" s="6" t="s">
        <v>3251</v>
      </c>
      <c r="B2684" s="8"/>
      <c r="C2684" s="8"/>
      <c r="D2684" s="8"/>
      <c r="E2684" s="8"/>
      <c r="F2684" s="8"/>
      <c r="G2684" s="8"/>
      <c r="H2684" s="8"/>
      <c r="I2684" s="8"/>
      <c r="J2684" s="8"/>
      <c r="K2684" s="8"/>
      <c r="L2684" s="8"/>
      <c r="M2684" s="8"/>
      <c r="N2684" s="8"/>
      <c r="O2684" s="8"/>
      <c r="P2684" s="8"/>
      <c r="Q2684" s="8"/>
      <c r="R2684" s="8"/>
      <c r="S2684" s="8"/>
      <c r="T2684" s="8"/>
      <c r="U2684" s="8"/>
      <c r="V2684" s="8"/>
      <c r="W2684" s="8"/>
    </row>
    <row r="2685" spans="1:23" ht="15.75" customHeight="1" x14ac:dyDescent="0.25">
      <c r="A2685" s="8" t="s">
        <v>3251</v>
      </c>
      <c r="B2685" s="8"/>
      <c r="C2685" s="8"/>
      <c r="D2685" s="8"/>
      <c r="E2685" s="8"/>
      <c r="F2685" s="8"/>
      <c r="G2685" s="8"/>
      <c r="H2685" s="8"/>
      <c r="I2685" s="8"/>
      <c r="J2685" s="8"/>
      <c r="K2685" s="8"/>
      <c r="L2685" s="8"/>
      <c r="M2685" s="8"/>
      <c r="N2685" s="8"/>
      <c r="O2685" s="8"/>
      <c r="P2685" s="8"/>
      <c r="Q2685" s="8"/>
      <c r="R2685" s="8"/>
      <c r="S2685" s="8"/>
      <c r="T2685" s="8"/>
      <c r="U2685" s="8"/>
      <c r="V2685" s="8"/>
      <c r="W2685" s="8"/>
    </row>
    <row r="2686" spans="1:23" ht="15.75" customHeight="1" x14ac:dyDescent="0.25">
      <c r="A2686" s="8" t="s">
        <v>3251</v>
      </c>
      <c r="B2686" s="8"/>
      <c r="C2686" s="8"/>
      <c r="D2686" s="8"/>
      <c r="E2686" s="8"/>
      <c r="F2686" s="8"/>
      <c r="G2686" s="8"/>
      <c r="H2686" s="8"/>
      <c r="I2686" s="8"/>
      <c r="J2686" s="8"/>
      <c r="K2686" s="8"/>
      <c r="L2686" s="8"/>
      <c r="M2686" s="8"/>
      <c r="N2686" s="8"/>
      <c r="O2686" s="8"/>
      <c r="P2686" s="8"/>
      <c r="Q2686" s="8"/>
      <c r="R2686" s="8"/>
      <c r="S2686" s="8"/>
      <c r="T2686" s="8"/>
      <c r="U2686" s="8"/>
      <c r="V2686" s="8"/>
      <c r="W2686" s="8"/>
    </row>
    <row r="2687" spans="1:23" ht="15.75" customHeight="1" x14ac:dyDescent="0.25">
      <c r="A2687" s="6" t="s">
        <v>3251</v>
      </c>
      <c r="B2687" s="8"/>
      <c r="C2687" s="8"/>
      <c r="D2687" s="8"/>
      <c r="E2687" s="8"/>
      <c r="F2687" s="8"/>
      <c r="G2687" s="8"/>
      <c r="H2687" s="8"/>
      <c r="I2687" s="8"/>
      <c r="J2687" s="8"/>
      <c r="K2687" s="8"/>
      <c r="L2687" s="8"/>
      <c r="M2687" s="8"/>
      <c r="N2687" s="8"/>
      <c r="O2687" s="8"/>
      <c r="P2687" s="8"/>
      <c r="Q2687" s="8"/>
      <c r="R2687" s="8"/>
      <c r="S2687" s="8"/>
      <c r="T2687" s="8"/>
      <c r="U2687" s="8"/>
      <c r="V2687" s="8"/>
      <c r="W2687" s="8"/>
    </row>
    <row r="2688" spans="1:23" ht="15.75" customHeight="1" x14ac:dyDescent="0.25">
      <c r="A2688" s="6" t="s">
        <v>3251</v>
      </c>
      <c r="B2688" s="8"/>
      <c r="C2688" s="8"/>
      <c r="D2688" s="8"/>
      <c r="E2688" s="8"/>
      <c r="F2688" s="8"/>
      <c r="G2688" s="8"/>
      <c r="H2688" s="8"/>
      <c r="I2688" s="8"/>
      <c r="J2688" s="8"/>
      <c r="K2688" s="8"/>
      <c r="L2688" s="8"/>
      <c r="M2688" s="8"/>
      <c r="N2688" s="8"/>
      <c r="O2688" s="8"/>
      <c r="P2688" s="8"/>
      <c r="Q2688" s="8"/>
      <c r="R2688" s="8"/>
      <c r="S2688" s="8"/>
      <c r="T2688" s="8"/>
      <c r="U2688" s="8"/>
      <c r="V2688" s="8"/>
      <c r="W2688" s="8"/>
    </row>
    <row r="2689" spans="1:23" ht="15.75" customHeight="1" x14ac:dyDescent="0.25">
      <c r="A2689" s="6" t="s">
        <v>3251</v>
      </c>
      <c r="B2689" s="8"/>
      <c r="C2689" s="8"/>
      <c r="D2689" s="8"/>
      <c r="E2689" s="8"/>
      <c r="F2689" s="8"/>
      <c r="G2689" s="8"/>
      <c r="H2689" s="8"/>
      <c r="I2689" s="8"/>
      <c r="J2689" s="8"/>
      <c r="K2689" s="8"/>
      <c r="L2689" s="8"/>
      <c r="M2689" s="8"/>
      <c r="N2689" s="8"/>
      <c r="O2689" s="8"/>
      <c r="P2689" s="8"/>
      <c r="Q2689" s="8"/>
      <c r="R2689" s="8"/>
      <c r="S2689" s="8"/>
      <c r="T2689" s="8"/>
      <c r="U2689" s="8"/>
      <c r="V2689" s="8"/>
      <c r="W2689" s="8"/>
    </row>
    <row r="2690" spans="1:23" ht="15.75" customHeight="1" x14ac:dyDescent="0.25">
      <c r="A2690" s="6" t="s">
        <v>3251</v>
      </c>
      <c r="B2690" s="8"/>
      <c r="C2690" s="8"/>
      <c r="D2690" s="8"/>
      <c r="E2690" s="8"/>
      <c r="F2690" s="8"/>
      <c r="G2690" s="8"/>
      <c r="H2690" s="8"/>
      <c r="I2690" s="8"/>
      <c r="J2690" s="8"/>
      <c r="K2690" s="8"/>
      <c r="L2690" s="8"/>
      <c r="M2690" s="8"/>
      <c r="N2690" s="8"/>
      <c r="O2690" s="8"/>
      <c r="P2690" s="8"/>
      <c r="Q2690" s="8"/>
      <c r="R2690" s="8"/>
      <c r="S2690" s="8"/>
      <c r="T2690" s="8"/>
      <c r="U2690" s="8"/>
      <c r="V2690" s="8"/>
      <c r="W2690" s="8"/>
    </row>
    <row r="2691" spans="1:23" ht="15.75" customHeight="1" x14ac:dyDescent="0.25">
      <c r="A2691" s="8" t="s">
        <v>3251</v>
      </c>
      <c r="B2691" s="8"/>
      <c r="C2691" s="8"/>
      <c r="D2691" s="8"/>
      <c r="E2691" s="8"/>
      <c r="F2691" s="8"/>
      <c r="G2691" s="8"/>
      <c r="H2691" s="8"/>
      <c r="I2691" s="8"/>
      <c r="J2691" s="8"/>
      <c r="K2691" s="8"/>
      <c r="L2691" s="8"/>
      <c r="M2691" s="8"/>
      <c r="N2691" s="8"/>
      <c r="O2691" s="8"/>
      <c r="P2691" s="8"/>
      <c r="Q2691" s="8"/>
      <c r="R2691" s="8"/>
      <c r="S2691" s="8"/>
      <c r="T2691" s="8"/>
      <c r="U2691" s="8"/>
      <c r="V2691" s="8"/>
      <c r="W2691" s="8"/>
    </row>
    <row r="2692" spans="1:23" ht="15.75" customHeight="1" x14ac:dyDescent="0.25">
      <c r="A2692" s="6" t="s">
        <v>3310</v>
      </c>
      <c r="B2692" s="8"/>
      <c r="C2692" s="8"/>
      <c r="D2692" s="8"/>
      <c r="E2692" s="8"/>
      <c r="F2692" s="8"/>
      <c r="G2692" s="8"/>
      <c r="H2692" s="8"/>
      <c r="I2692" s="8"/>
      <c r="J2692" s="8"/>
      <c r="K2692" s="8"/>
      <c r="L2692" s="8"/>
      <c r="M2692" s="8"/>
      <c r="N2692" s="8"/>
      <c r="O2692" s="8"/>
      <c r="P2692" s="8"/>
      <c r="Q2692" s="8"/>
      <c r="R2692" s="8"/>
      <c r="S2692" s="8"/>
      <c r="T2692" s="8"/>
      <c r="U2692" s="8"/>
      <c r="V2692" s="8"/>
      <c r="W2692" s="8"/>
    </row>
    <row r="2693" spans="1:23" ht="15.75" customHeight="1" x14ac:dyDescent="0.25">
      <c r="A2693" s="6" t="s">
        <v>3310</v>
      </c>
      <c r="B2693" s="8"/>
      <c r="C2693" s="8"/>
      <c r="D2693" s="8"/>
      <c r="E2693" s="8"/>
      <c r="F2693" s="8"/>
      <c r="G2693" s="8"/>
      <c r="H2693" s="8"/>
      <c r="I2693" s="8"/>
      <c r="J2693" s="8"/>
      <c r="K2693" s="8"/>
      <c r="L2693" s="8"/>
      <c r="M2693" s="8"/>
      <c r="N2693" s="8"/>
      <c r="O2693" s="8"/>
      <c r="P2693" s="8"/>
      <c r="Q2693" s="8"/>
      <c r="R2693" s="8"/>
      <c r="S2693" s="8"/>
      <c r="T2693" s="8"/>
      <c r="U2693" s="8"/>
      <c r="V2693" s="8"/>
      <c r="W2693" s="8"/>
    </row>
    <row r="2694" spans="1:23" ht="15.75" customHeight="1" x14ac:dyDescent="0.25">
      <c r="A2694" s="6" t="s">
        <v>3310</v>
      </c>
      <c r="B2694" s="8"/>
      <c r="C2694" s="8"/>
      <c r="D2694" s="8"/>
      <c r="E2694" s="8"/>
      <c r="F2694" s="8"/>
      <c r="G2694" s="8"/>
      <c r="H2694" s="8"/>
      <c r="I2694" s="8"/>
      <c r="J2694" s="8"/>
      <c r="K2694" s="8"/>
      <c r="L2694" s="8"/>
      <c r="M2694" s="8"/>
      <c r="N2694" s="8"/>
      <c r="O2694" s="8"/>
      <c r="P2694" s="8"/>
      <c r="Q2694" s="8"/>
      <c r="R2694" s="8"/>
      <c r="S2694" s="8"/>
      <c r="T2694" s="8"/>
      <c r="U2694" s="8"/>
      <c r="V2694" s="8"/>
      <c r="W2694" s="8"/>
    </row>
    <row r="2695" spans="1:23" ht="15.75" customHeight="1" x14ac:dyDescent="0.25">
      <c r="A2695" s="6" t="s">
        <v>3310</v>
      </c>
      <c r="B2695" s="8"/>
      <c r="C2695" s="8"/>
      <c r="D2695" s="8"/>
      <c r="E2695" s="8"/>
      <c r="F2695" s="8"/>
      <c r="G2695" s="8"/>
      <c r="H2695" s="8"/>
      <c r="I2695" s="8"/>
      <c r="J2695" s="8"/>
      <c r="K2695" s="8"/>
      <c r="L2695" s="8"/>
      <c r="M2695" s="8"/>
      <c r="N2695" s="8"/>
      <c r="O2695" s="8"/>
      <c r="P2695" s="8"/>
      <c r="Q2695" s="8"/>
      <c r="R2695" s="8"/>
      <c r="S2695" s="8"/>
      <c r="T2695" s="8"/>
      <c r="U2695" s="8"/>
      <c r="V2695" s="8"/>
      <c r="W2695" s="8"/>
    </row>
    <row r="2696" spans="1:23" ht="15.75" customHeight="1" x14ac:dyDescent="0.25">
      <c r="A2696" s="6" t="s">
        <v>3310</v>
      </c>
      <c r="B2696" s="8"/>
      <c r="C2696" s="8"/>
      <c r="D2696" s="8"/>
      <c r="E2696" s="8"/>
      <c r="F2696" s="8"/>
      <c r="G2696" s="8"/>
      <c r="H2696" s="8"/>
      <c r="I2696" s="8"/>
      <c r="J2696" s="8"/>
      <c r="K2696" s="8"/>
      <c r="L2696" s="8"/>
      <c r="M2696" s="8"/>
      <c r="N2696" s="8"/>
      <c r="O2696" s="8"/>
      <c r="P2696" s="8"/>
      <c r="Q2696" s="8"/>
      <c r="R2696" s="8"/>
      <c r="S2696" s="8"/>
      <c r="T2696" s="8"/>
      <c r="U2696" s="8"/>
      <c r="V2696" s="8"/>
      <c r="W2696" s="8"/>
    </row>
    <row r="2697" spans="1:23" ht="15.75" customHeight="1" x14ac:dyDescent="0.25">
      <c r="A2697" s="6" t="s">
        <v>3310</v>
      </c>
      <c r="B2697" s="8"/>
      <c r="C2697" s="8"/>
      <c r="D2697" s="8"/>
      <c r="E2697" s="8"/>
      <c r="F2697" s="8"/>
      <c r="G2697" s="8"/>
      <c r="H2697" s="8"/>
      <c r="I2697" s="8"/>
      <c r="J2697" s="8"/>
      <c r="K2697" s="8"/>
      <c r="L2697" s="8"/>
      <c r="M2697" s="8"/>
      <c r="N2697" s="8"/>
      <c r="O2697" s="8"/>
      <c r="P2697" s="8"/>
      <c r="Q2697" s="8"/>
      <c r="R2697" s="8"/>
      <c r="S2697" s="8"/>
      <c r="T2697" s="8"/>
      <c r="U2697" s="8"/>
      <c r="V2697" s="8"/>
      <c r="W2697" s="8"/>
    </row>
    <row r="2698" spans="1:23" ht="15.75" customHeight="1" x14ac:dyDescent="0.25">
      <c r="A2698" s="6" t="s">
        <v>3310</v>
      </c>
      <c r="B2698" s="8"/>
      <c r="C2698" s="8"/>
      <c r="D2698" s="8"/>
      <c r="E2698" s="8"/>
      <c r="F2698" s="8"/>
      <c r="G2698" s="8"/>
      <c r="H2698" s="8"/>
      <c r="I2698" s="8"/>
      <c r="J2698" s="8"/>
      <c r="K2698" s="8"/>
      <c r="L2698" s="8"/>
      <c r="M2698" s="8"/>
      <c r="N2698" s="8"/>
      <c r="O2698" s="8"/>
      <c r="P2698" s="8"/>
      <c r="Q2698" s="8"/>
      <c r="R2698" s="8"/>
      <c r="S2698" s="8"/>
      <c r="T2698" s="8"/>
      <c r="U2698" s="8"/>
      <c r="V2698" s="8"/>
      <c r="W2698" s="8"/>
    </row>
    <row r="2699" spans="1:23" ht="15.75" customHeight="1" x14ac:dyDescent="0.25">
      <c r="A2699" s="6" t="s">
        <v>3310</v>
      </c>
      <c r="B2699" s="8"/>
      <c r="C2699" s="8"/>
      <c r="D2699" s="8"/>
      <c r="E2699" s="8"/>
      <c r="F2699" s="8"/>
      <c r="G2699" s="8"/>
      <c r="H2699" s="8"/>
      <c r="I2699" s="8"/>
      <c r="J2699" s="8"/>
      <c r="K2699" s="8"/>
      <c r="L2699" s="8"/>
      <c r="M2699" s="8"/>
      <c r="N2699" s="8"/>
      <c r="O2699" s="8"/>
      <c r="P2699" s="8"/>
      <c r="Q2699" s="8"/>
      <c r="R2699" s="8"/>
      <c r="S2699" s="8"/>
      <c r="T2699" s="8"/>
      <c r="U2699" s="8"/>
      <c r="V2699" s="8"/>
      <c r="W2699" s="8"/>
    </row>
    <row r="2700" spans="1:23" ht="15.75" customHeight="1" x14ac:dyDescent="0.25">
      <c r="A2700" s="6" t="s">
        <v>3310</v>
      </c>
      <c r="B2700" s="8"/>
      <c r="C2700" s="8"/>
      <c r="D2700" s="8"/>
      <c r="E2700" s="8"/>
      <c r="F2700" s="8"/>
      <c r="G2700" s="8"/>
      <c r="H2700" s="8"/>
      <c r="I2700" s="8"/>
      <c r="J2700" s="8"/>
      <c r="K2700" s="8"/>
      <c r="L2700" s="8"/>
      <c r="M2700" s="8"/>
      <c r="N2700" s="8"/>
      <c r="O2700" s="8"/>
      <c r="P2700" s="8"/>
      <c r="Q2700" s="8"/>
      <c r="R2700" s="8"/>
      <c r="S2700" s="8"/>
      <c r="T2700" s="8"/>
      <c r="U2700" s="8"/>
      <c r="V2700" s="8"/>
      <c r="W2700" s="8"/>
    </row>
    <row r="2701" spans="1:23" ht="15.75" customHeight="1" x14ac:dyDescent="0.25">
      <c r="A2701" s="6" t="s">
        <v>3310</v>
      </c>
      <c r="B2701" s="8"/>
      <c r="C2701" s="8"/>
      <c r="D2701" s="8"/>
      <c r="E2701" s="8"/>
      <c r="F2701" s="8"/>
      <c r="G2701" s="8"/>
      <c r="H2701" s="8"/>
      <c r="I2701" s="8"/>
      <c r="J2701" s="8"/>
      <c r="K2701" s="8"/>
      <c r="L2701" s="8"/>
      <c r="M2701" s="8"/>
      <c r="N2701" s="8"/>
      <c r="O2701" s="8"/>
      <c r="P2701" s="8"/>
      <c r="Q2701" s="8"/>
      <c r="R2701" s="8"/>
      <c r="S2701" s="8"/>
      <c r="T2701" s="8"/>
      <c r="U2701" s="8"/>
      <c r="V2701" s="8"/>
      <c r="W2701" s="8"/>
    </row>
    <row r="2702" spans="1:23" ht="15.75" customHeight="1" x14ac:dyDescent="0.25">
      <c r="A2702" s="8" t="s">
        <v>3310</v>
      </c>
      <c r="B2702" s="8"/>
      <c r="C2702" s="8"/>
      <c r="D2702" s="8"/>
      <c r="E2702" s="8"/>
      <c r="F2702" s="8"/>
      <c r="G2702" s="8"/>
      <c r="H2702" s="8"/>
      <c r="I2702" s="8"/>
      <c r="J2702" s="8"/>
      <c r="K2702" s="8"/>
      <c r="L2702" s="8"/>
      <c r="M2702" s="8"/>
      <c r="N2702" s="8"/>
      <c r="O2702" s="8"/>
      <c r="P2702" s="8"/>
      <c r="Q2702" s="8"/>
      <c r="R2702" s="8"/>
      <c r="S2702" s="8"/>
      <c r="T2702" s="8"/>
      <c r="U2702" s="8"/>
      <c r="V2702" s="8"/>
      <c r="W2702" s="8"/>
    </row>
    <row r="2703" spans="1:23" ht="15.75" customHeight="1" x14ac:dyDescent="0.25">
      <c r="A2703" s="6" t="s">
        <v>3310</v>
      </c>
      <c r="B2703" s="8"/>
      <c r="C2703" s="8"/>
      <c r="D2703" s="8"/>
      <c r="E2703" s="8"/>
      <c r="F2703" s="8"/>
      <c r="G2703" s="8"/>
      <c r="H2703" s="8"/>
      <c r="I2703" s="8"/>
      <c r="J2703" s="8"/>
      <c r="K2703" s="8"/>
      <c r="L2703" s="8"/>
      <c r="M2703" s="8"/>
      <c r="N2703" s="8"/>
      <c r="O2703" s="8"/>
      <c r="P2703" s="8"/>
      <c r="Q2703" s="8"/>
      <c r="R2703" s="8"/>
      <c r="S2703" s="8"/>
      <c r="T2703" s="8"/>
      <c r="U2703" s="8"/>
      <c r="V2703" s="8"/>
      <c r="W2703" s="8"/>
    </row>
    <row r="2704" spans="1:23" ht="15.75" customHeight="1" x14ac:dyDescent="0.25">
      <c r="A2704" s="6" t="s">
        <v>3310</v>
      </c>
      <c r="B2704" s="8"/>
      <c r="C2704" s="8"/>
      <c r="D2704" s="8"/>
      <c r="E2704" s="8"/>
      <c r="F2704" s="8"/>
      <c r="G2704" s="8"/>
      <c r="H2704" s="8"/>
      <c r="I2704" s="8"/>
      <c r="J2704" s="8"/>
      <c r="K2704" s="8"/>
      <c r="L2704" s="8"/>
      <c r="M2704" s="8"/>
      <c r="N2704" s="8"/>
      <c r="O2704" s="8"/>
      <c r="P2704" s="8"/>
      <c r="Q2704" s="8"/>
      <c r="R2704" s="8"/>
      <c r="S2704" s="8"/>
      <c r="T2704" s="8"/>
      <c r="U2704" s="8"/>
      <c r="V2704" s="8"/>
      <c r="W2704" s="8"/>
    </row>
    <row r="2705" spans="1:23" ht="15.75" customHeight="1" x14ac:dyDescent="0.25">
      <c r="A2705" s="6" t="s">
        <v>3310</v>
      </c>
      <c r="B2705" s="8"/>
      <c r="C2705" s="8"/>
      <c r="D2705" s="8"/>
      <c r="E2705" s="8"/>
      <c r="F2705" s="8"/>
      <c r="G2705" s="8"/>
      <c r="H2705" s="8"/>
      <c r="I2705" s="8"/>
      <c r="J2705" s="8"/>
      <c r="K2705" s="8"/>
      <c r="L2705" s="8"/>
      <c r="M2705" s="8"/>
      <c r="N2705" s="8"/>
      <c r="O2705" s="8"/>
      <c r="P2705" s="8"/>
      <c r="Q2705" s="8"/>
      <c r="R2705" s="8"/>
      <c r="S2705" s="8"/>
      <c r="T2705" s="8"/>
      <c r="U2705" s="8"/>
      <c r="V2705" s="8"/>
      <c r="W2705" s="8"/>
    </row>
    <row r="2706" spans="1:23" ht="15.75" customHeight="1" x14ac:dyDescent="0.25">
      <c r="A2706" s="8" t="s">
        <v>3310</v>
      </c>
      <c r="B2706" s="8"/>
      <c r="C2706" s="8"/>
      <c r="D2706" s="8"/>
      <c r="E2706" s="8"/>
      <c r="F2706" s="8"/>
      <c r="G2706" s="8"/>
      <c r="H2706" s="8"/>
      <c r="I2706" s="8"/>
      <c r="J2706" s="8"/>
      <c r="K2706" s="8"/>
      <c r="L2706" s="8"/>
      <c r="M2706" s="8"/>
      <c r="N2706" s="8"/>
      <c r="O2706" s="8"/>
      <c r="P2706" s="8"/>
      <c r="Q2706" s="8"/>
      <c r="R2706" s="8"/>
      <c r="S2706" s="8"/>
      <c r="T2706" s="8"/>
      <c r="U2706" s="8"/>
      <c r="V2706" s="8"/>
      <c r="W2706" s="8"/>
    </row>
    <row r="2707" spans="1:23" ht="15.75" customHeight="1" x14ac:dyDescent="0.25">
      <c r="A2707" s="6" t="s">
        <v>3310</v>
      </c>
      <c r="B2707" s="8"/>
      <c r="C2707" s="8"/>
      <c r="D2707" s="8"/>
      <c r="E2707" s="8"/>
      <c r="F2707" s="8"/>
      <c r="G2707" s="8"/>
      <c r="H2707" s="8"/>
      <c r="I2707" s="8"/>
      <c r="J2707" s="8"/>
      <c r="K2707" s="8"/>
      <c r="L2707" s="8"/>
      <c r="M2707" s="8"/>
      <c r="N2707" s="8"/>
      <c r="O2707" s="8"/>
      <c r="P2707" s="8"/>
      <c r="Q2707" s="8"/>
      <c r="R2707" s="8"/>
      <c r="S2707" s="8"/>
      <c r="T2707" s="8"/>
      <c r="U2707" s="8"/>
      <c r="V2707" s="8"/>
      <c r="W2707" s="8"/>
    </row>
    <row r="2708" spans="1:23" ht="15.75" customHeight="1" x14ac:dyDescent="0.25">
      <c r="A2708" s="11" t="s">
        <v>4301</v>
      </c>
      <c r="B2708" s="8"/>
      <c r="C2708" s="8"/>
      <c r="D2708" s="8"/>
      <c r="E2708" s="8"/>
      <c r="F2708" s="8"/>
      <c r="G2708" s="8"/>
      <c r="H2708" s="8"/>
      <c r="I2708" s="8"/>
      <c r="J2708" s="8"/>
      <c r="K2708" s="8"/>
      <c r="L2708" s="8"/>
      <c r="M2708" s="8"/>
      <c r="N2708" s="8"/>
      <c r="O2708" s="8"/>
      <c r="P2708" s="8"/>
      <c r="Q2708" s="8"/>
      <c r="R2708" s="8"/>
      <c r="S2708" s="8"/>
      <c r="T2708" s="8"/>
      <c r="U2708" s="8"/>
      <c r="V2708" s="8"/>
      <c r="W2708" s="8"/>
    </row>
    <row r="2709" spans="1:23" ht="15.75" customHeight="1" x14ac:dyDescent="0.25">
      <c r="A2709" s="6" t="s">
        <v>3313</v>
      </c>
      <c r="B2709" s="8"/>
      <c r="C2709" s="8"/>
      <c r="D2709" s="8"/>
      <c r="E2709" s="8"/>
      <c r="F2709" s="8"/>
      <c r="G2709" s="8"/>
      <c r="H2709" s="8"/>
      <c r="I2709" s="8"/>
      <c r="J2709" s="8"/>
      <c r="K2709" s="8"/>
      <c r="L2709" s="8"/>
      <c r="M2709" s="8"/>
      <c r="N2709" s="8"/>
      <c r="O2709" s="8"/>
      <c r="P2709" s="8"/>
      <c r="Q2709" s="8"/>
      <c r="R2709" s="8"/>
      <c r="S2709" s="8"/>
      <c r="T2709" s="8"/>
      <c r="U2709" s="8"/>
      <c r="V2709" s="8"/>
      <c r="W2709" s="8"/>
    </row>
    <row r="2710" spans="1:23" ht="15.75" customHeight="1" x14ac:dyDescent="0.25">
      <c r="A2710" s="6" t="s">
        <v>3313</v>
      </c>
      <c r="B2710" s="8"/>
      <c r="C2710" s="8"/>
      <c r="D2710" s="8"/>
      <c r="E2710" s="8"/>
      <c r="F2710" s="8"/>
      <c r="G2710" s="8"/>
      <c r="H2710" s="8"/>
      <c r="I2710" s="8"/>
      <c r="J2710" s="8"/>
      <c r="K2710" s="8"/>
      <c r="L2710" s="8"/>
      <c r="M2710" s="8"/>
      <c r="N2710" s="8"/>
      <c r="O2710" s="8"/>
      <c r="P2710" s="8"/>
      <c r="Q2710" s="8"/>
      <c r="R2710" s="8"/>
      <c r="S2710" s="8"/>
      <c r="T2710" s="8"/>
      <c r="U2710" s="8"/>
      <c r="V2710" s="8"/>
      <c r="W2710" s="8"/>
    </row>
    <row r="2711" spans="1:23" ht="15.75" customHeight="1" x14ac:dyDescent="0.25">
      <c r="A2711" s="6" t="s">
        <v>3313</v>
      </c>
      <c r="B2711" s="8"/>
      <c r="C2711" s="8"/>
      <c r="D2711" s="8"/>
      <c r="E2711" s="8"/>
      <c r="F2711" s="8"/>
      <c r="G2711" s="8"/>
      <c r="H2711" s="8"/>
      <c r="I2711" s="8"/>
      <c r="J2711" s="8"/>
      <c r="K2711" s="8"/>
      <c r="L2711" s="8"/>
      <c r="M2711" s="8"/>
      <c r="N2711" s="8"/>
      <c r="O2711" s="8"/>
      <c r="P2711" s="8"/>
      <c r="Q2711" s="8"/>
      <c r="R2711" s="8"/>
      <c r="S2711" s="8"/>
      <c r="T2711" s="8"/>
      <c r="U2711" s="8"/>
      <c r="V2711" s="8"/>
      <c r="W2711" s="8"/>
    </row>
    <row r="2712" spans="1:23" ht="15.75" customHeight="1" x14ac:dyDescent="0.25">
      <c r="A2712" s="6" t="s">
        <v>3313</v>
      </c>
      <c r="B2712" s="8"/>
      <c r="C2712" s="8"/>
      <c r="D2712" s="8"/>
      <c r="E2712" s="8"/>
      <c r="F2712" s="8"/>
      <c r="G2712" s="8"/>
      <c r="H2712" s="8"/>
      <c r="I2712" s="8"/>
      <c r="J2712" s="8"/>
      <c r="K2712" s="8"/>
      <c r="L2712" s="8"/>
      <c r="M2712" s="8"/>
      <c r="N2712" s="8"/>
      <c r="O2712" s="8"/>
      <c r="P2712" s="8"/>
      <c r="Q2712" s="8"/>
      <c r="R2712" s="8"/>
      <c r="S2712" s="8"/>
      <c r="T2712" s="8"/>
      <c r="U2712" s="8"/>
      <c r="V2712" s="8"/>
      <c r="W2712" s="8"/>
    </row>
    <row r="2713" spans="1:23" ht="15.75" customHeight="1" x14ac:dyDescent="0.25">
      <c r="A2713" s="6" t="s">
        <v>3313</v>
      </c>
      <c r="B2713" s="8"/>
      <c r="C2713" s="8"/>
      <c r="D2713" s="8"/>
      <c r="E2713" s="8"/>
      <c r="F2713" s="8"/>
      <c r="G2713" s="8"/>
      <c r="H2713" s="8"/>
      <c r="I2713" s="8"/>
      <c r="J2713" s="8"/>
      <c r="K2713" s="8"/>
      <c r="L2713" s="8"/>
      <c r="M2713" s="8"/>
      <c r="N2713" s="8"/>
      <c r="O2713" s="8"/>
      <c r="P2713" s="8"/>
      <c r="Q2713" s="8"/>
      <c r="R2713" s="8"/>
      <c r="S2713" s="8"/>
      <c r="T2713" s="8"/>
      <c r="U2713" s="8"/>
      <c r="V2713" s="8"/>
      <c r="W2713" s="8"/>
    </row>
    <row r="2714" spans="1:23" ht="15.75" customHeight="1" x14ac:dyDescent="0.25">
      <c r="A2714" s="6" t="s">
        <v>3313</v>
      </c>
      <c r="B2714" s="8"/>
      <c r="C2714" s="8"/>
      <c r="D2714" s="8"/>
      <c r="E2714" s="8"/>
      <c r="F2714" s="8"/>
      <c r="G2714" s="8"/>
      <c r="H2714" s="8"/>
      <c r="I2714" s="8"/>
      <c r="J2714" s="8"/>
      <c r="K2714" s="8"/>
      <c r="L2714" s="8"/>
      <c r="M2714" s="8"/>
      <c r="N2714" s="8"/>
      <c r="O2714" s="8"/>
      <c r="P2714" s="8"/>
      <c r="Q2714" s="8"/>
      <c r="R2714" s="8"/>
      <c r="S2714" s="8"/>
      <c r="T2714" s="8"/>
      <c r="U2714" s="8"/>
      <c r="V2714" s="8"/>
      <c r="W2714" s="8"/>
    </row>
    <row r="2715" spans="1:23" ht="15.75" customHeight="1" x14ac:dyDescent="0.25">
      <c r="A2715" s="6" t="s">
        <v>3313</v>
      </c>
      <c r="B2715" s="8"/>
      <c r="C2715" s="8"/>
      <c r="D2715" s="8"/>
      <c r="E2715" s="8"/>
      <c r="F2715" s="8"/>
      <c r="G2715" s="8"/>
      <c r="H2715" s="8"/>
      <c r="I2715" s="8"/>
      <c r="J2715" s="8"/>
      <c r="K2715" s="8"/>
      <c r="L2715" s="8"/>
      <c r="M2715" s="8"/>
      <c r="N2715" s="8"/>
      <c r="O2715" s="8"/>
      <c r="P2715" s="8"/>
      <c r="Q2715" s="8"/>
      <c r="R2715" s="8"/>
      <c r="S2715" s="8"/>
      <c r="T2715" s="8"/>
      <c r="U2715" s="8"/>
      <c r="V2715" s="8"/>
      <c r="W2715" s="8"/>
    </row>
    <row r="2716" spans="1:23" ht="15.75" customHeight="1" x14ac:dyDescent="0.25">
      <c r="A2716" s="6" t="s">
        <v>3313</v>
      </c>
      <c r="B2716" s="8"/>
      <c r="C2716" s="8"/>
      <c r="D2716" s="8"/>
      <c r="E2716" s="8"/>
      <c r="F2716" s="8"/>
      <c r="G2716" s="8"/>
      <c r="H2716" s="8"/>
      <c r="I2716" s="8"/>
      <c r="J2716" s="8"/>
      <c r="K2716" s="8"/>
      <c r="L2716" s="8"/>
      <c r="M2716" s="8"/>
      <c r="N2716" s="8"/>
      <c r="O2716" s="8"/>
      <c r="P2716" s="8"/>
      <c r="Q2716" s="8"/>
      <c r="R2716" s="8"/>
      <c r="S2716" s="8"/>
      <c r="T2716" s="8"/>
      <c r="U2716" s="8"/>
      <c r="V2716" s="8"/>
      <c r="W2716" s="8"/>
    </row>
    <row r="2717" spans="1:23" ht="15.75" customHeight="1" x14ac:dyDescent="0.25">
      <c r="A2717" s="6" t="s">
        <v>3313</v>
      </c>
      <c r="B2717" s="8"/>
      <c r="C2717" s="8"/>
      <c r="D2717" s="8"/>
      <c r="E2717" s="8"/>
      <c r="F2717" s="8"/>
      <c r="G2717" s="8"/>
      <c r="H2717" s="8"/>
      <c r="I2717" s="8"/>
      <c r="J2717" s="8"/>
      <c r="K2717" s="8"/>
      <c r="L2717" s="8"/>
      <c r="M2717" s="8"/>
      <c r="N2717" s="8"/>
      <c r="O2717" s="8"/>
      <c r="P2717" s="8"/>
      <c r="Q2717" s="8"/>
      <c r="R2717" s="8"/>
      <c r="S2717" s="8"/>
      <c r="T2717" s="8"/>
      <c r="U2717" s="8"/>
      <c r="V2717" s="8"/>
      <c r="W2717" s="8"/>
    </row>
    <row r="2718" spans="1:23" ht="15.75" customHeight="1" x14ac:dyDescent="0.25">
      <c r="A2718" s="6" t="s">
        <v>3313</v>
      </c>
      <c r="B2718" s="8"/>
      <c r="C2718" s="8"/>
      <c r="D2718" s="8"/>
      <c r="E2718" s="8"/>
      <c r="F2718" s="8"/>
      <c r="G2718" s="8"/>
      <c r="H2718" s="8"/>
      <c r="I2718" s="8"/>
      <c r="J2718" s="8"/>
      <c r="K2718" s="8"/>
      <c r="L2718" s="8"/>
      <c r="M2718" s="8"/>
      <c r="N2718" s="8"/>
      <c r="O2718" s="8"/>
      <c r="P2718" s="8"/>
      <c r="Q2718" s="8"/>
      <c r="R2718" s="8"/>
      <c r="S2718" s="8"/>
      <c r="T2718" s="8"/>
      <c r="U2718" s="8"/>
      <c r="V2718" s="8"/>
      <c r="W2718" s="8"/>
    </row>
    <row r="2719" spans="1:23" ht="15.75" customHeight="1" x14ac:dyDescent="0.25">
      <c r="A2719" s="6" t="s">
        <v>3313</v>
      </c>
      <c r="B2719" s="8"/>
      <c r="C2719" s="8"/>
      <c r="D2719" s="8"/>
      <c r="E2719" s="8"/>
      <c r="F2719" s="8"/>
      <c r="G2719" s="8"/>
      <c r="H2719" s="8"/>
      <c r="I2719" s="8"/>
      <c r="J2719" s="8"/>
      <c r="K2719" s="8"/>
      <c r="L2719" s="8"/>
      <c r="M2719" s="8"/>
      <c r="N2719" s="8"/>
      <c r="O2719" s="8"/>
      <c r="P2719" s="8"/>
      <c r="Q2719" s="8"/>
      <c r="R2719" s="8"/>
      <c r="S2719" s="8"/>
      <c r="T2719" s="8"/>
      <c r="U2719" s="8"/>
      <c r="V2719" s="8"/>
      <c r="W2719" s="8"/>
    </row>
    <row r="2720" spans="1:23" ht="15.75" customHeight="1" x14ac:dyDescent="0.25">
      <c r="A2720" s="6" t="s">
        <v>3313</v>
      </c>
      <c r="B2720" s="8"/>
      <c r="C2720" s="8"/>
      <c r="D2720" s="8"/>
      <c r="E2720" s="8"/>
      <c r="F2720" s="8"/>
      <c r="G2720" s="8"/>
      <c r="H2720" s="8"/>
      <c r="I2720" s="8"/>
      <c r="J2720" s="8"/>
      <c r="K2720" s="8"/>
      <c r="L2720" s="8"/>
      <c r="M2720" s="8"/>
      <c r="N2720" s="8"/>
      <c r="O2720" s="8"/>
      <c r="P2720" s="8"/>
      <c r="Q2720" s="8"/>
      <c r="R2720" s="8"/>
      <c r="S2720" s="8"/>
      <c r="T2720" s="8"/>
      <c r="U2720" s="8"/>
      <c r="V2720" s="8"/>
      <c r="W2720" s="8"/>
    </row>
    <row r="2721" spans="1:23" ht="15.75" customHeight="1" x14ac:dyDescent="0.25">
      <c r="A2721" s="6" t="s">
        <v>3313</v>
      </c>
      <c r="B2721" s="8"/>
      <c r="C2721" s="8"/>
      <c r="D2721" s="8"/>
      <c r="E2721" s="8"/>
      <c r="F2721" s="8"/>
      <c r="G2721" s="8"/>
      <c r="H2721" s="8"/>
      <c r="I2721" s="8"/>
      <c r="J2721" s="8"/>
      <c r="K2721" s="8"/>
      <c r="L2721" s="8"/>
      <c r="M2721" s="8"/>
      <c r="N2721" s="8"/>
      <c r="O2721" s="8"/>
      <c r="P2721" s="8"/>
      <c r="Q2721" s="8"/>
      <c r="R2721" s="8"/>
      <c r="S2721" s="8"/>
      <c r="T2721" s="8"/>
      <c r="U2721" s="8"/>
      <c r="V2721" s="8"/>
      <c r="W2721" s="8"/>
    </row>
    <row r="2722" spans="1:23" ht="15.75" customHeight="1" x14ac:dyDescent="0.25">
      <c r="A2722" s="6" t="s">
        <v>3313</v>
      </c>
      <c r="B2722" s="8"/>
      <c r="C2722" s="8"/>
      <c r="D2722" s="8"/>
      <c r="E2722" s="8"/>
      <c r="F2722" s="8"/>
      <c r="G2722" s="8"/>
      <c r="H2722" s="8"/>
      <c r="I2722" s="8"/>
      <c r="J2722" s="8"/>
      <c r="K2722" s="8"/>
      <c r="L2722" s="8"/>
      <c r="M2722" s="8"/>
      <c r="N2722" s="8"/>
      <c r="O2722" s="8"/>
      <c r="P2722" s="8"/>
      <c r="Q2722" s="8"/>
      <c r="R2722" s="8"/>
      <c r="S2722" s="8"/>
      <c r="T2722" s="8"/>
      <c r="U2722" s="8"/>
      <c r="V2722" s="8"/>
      <c r="W2722" s="8"/>
    </row>
    <row r="2723" spans="1:23" ht="15.75" customHeight="1" x14ac:dyDescent="0.25">
      <c r="A2723" s="6" t="s">
        <v>3313</v>
      </c>
      <c r="B2723" s="8"/>
      <c r="C2723" s="8"/>
      <c r="D2723" s="8"/>
      <c r="E2723" s="8"/>
      <c r="F2723" s="8"/>
      <c r="G2723" s="8"/>
      <c r="H2723" s="8"/>
      <c r="I2723" s="8"/>
      <c r="J2723" s="8"/>
      <c r="K2723" s="8"/>
      <c r="L2723" s="8"/>
      <c r="M2723" s="8"/>
      <c r="N2723" s="8"/>
      <c r="O2723" s="8"/>
      <c r="P2723" s="8"/>
      <c r="Q2723" s="8"/>
      <c r="R2723" s="8"/>
      <c r="S2723" s="8"/>
      <c r="T2723" s="8"/>
      <c r="U2723" s="8"/>
      <c r="V2723" s="8"/>
      <c r="W2723" s="8"/>
    </row>
    <row r="2724" spans="1:23" ht="15.75" customHeight="1" x14ac:dyDescent="0.25">
      <c r="A2724" s="6" t="s">
        <v>3313</v>
      </c>
      <c r="B2724" s="8"/>
      <c r="C2724" s="8"/>
      <c r="D2724" s="8"/>
      <c r="E2724" s="8"/>
      <c r="F2724" s="8"/>
      <c r="G2724" s="8"/>
      <c r="H2724" s="8"/>
      <c r="I2724" s="8"/>
      <c r="J2724" s="8"/>
      <c r="K2724" s="8"/>
      <c r="L2724" s="8"/>
      <c r="M2724" s="8"/>
      <c r="N2724" s="8"/>
      <c r="O2724" s="8"/>
      <c r="P2724" s="8"/>
      <c r="Q2724" s="8"/>
      <c r="R2724" s="8"/>
      <c r="S2724" s="8"/>
      <c r="T2724" s="8"/>
      <c r="U2724" s="8"/>
      <c r="V2724" s="8"/>
      <c r="W2724" s="8"/>
    </row>
    <row r="2725" spans="1:23" ht="15.75" customHeight="1" x14ac:dyDescent="0.25">
      <c r="A2725" s="8" t="s">
        <v>4302</v>
      </c>
      <c r="B2725" s="8"/>
      <c r="C2725" s="8"/>
      <c r="D2725" s="8"/>
      <c r="E2725" s="8"/>
      <c r="F2725" s="8"/>
      <c r="G2725" s="8"/>
      <c r="H2725" s="8"/>
      <c r="I2725" s="8"/>
      <c r="J2725" s="8"/>
      <c r="K2725" s="8"/>
      <c r="L2725" s="8"/>
      <c r="M2725" s="8"/>
      <c r="N2725" s="8"/>
      <c r="O2725" s="8"/>
      <c r="P2725" s="8"/>
      <c r="Q2725" s="8"/>
      <c r="R2725" s="8"/>
      <c r="S2725" s="8"/>
      <c r="T2725" s="8"/>
      <c r="U2725" s="8"/>
      <c r="V2725" s="8"/>
      <c r="W2725" s="8"/>
    </row>
    <row r="2726" spans="1:23" ht="15.75" customHeight="1" x14ac:dyDescent="0.25">
      <c r="A2726" s="6" t="s">
        <v>4303</v>
      </c>
      <c r="B2726" s="8"/>
      <c r="C2726" s="8"/>
      <c r="D2726" s="8"/>
      <c r="E2726" s="8"/>
      <c r="F2726" s="8"/>
      <c r="G2726" s="8"/>
      <c r="H2726" s="8"/>
      <c r="I2726" s="8"/>
      <c r="J2726" s="8"/>
      <c r="K2726" s="8"/>
      <c r="L2726" s="8"/>
      <c r="M2726" s="8"/>
      <c r="N2726" s="8"/>
      <c r="O2726" s="8"/>
      <c r="P2726" s="8"/>
      <c r="Q2726" s="8"/>
      <c r="R2726" s="8"/>
      <c r="S2726" s="8"/>
      <c r="T2726" s="8"/>
      <c r="U2726" s="8"/>
      <c r="V2726" s="8"/>
      <c r="W2726" s="8"/>
    </row>
    <row r="2727" spans="1:23" ht="15.75" customHeight="1" x14ac:dyDescent="0.25">
      <c r="A2727" s="6" t="s">
        <v>4304</v>
      </c>
      <c r="B2727" s="8"/>
      <c r="C2727" s="8"/>
      <c r="D2727" s="8"/>
      <c r="E2727" s="8"/>
      <c r="F2727" s="8"/>
      <c r="G2727" s="8"/>
      <c r="H2727" s="8"/>
      <c r="I2727" s="8"/>
      <c r="J2727" s="8"/>
      <c r="K2727" s="8"/>
      <c r="L2727" s="8"/>
      <c r="M2727" s="8"/>
      <c r="N2727" s="8"/>
      <c r="O2727" s="8"/>
      <c r="P2727" s="8"/>
      <c r="Q2727" s="8"/>
      <c r="R2727" s="8"/>
      <c r="S2727" s="8"/>
      <c r="T2727" s="8"/>
      <c r="U2727" s="8"/>
      <c r="V2727" s="8"/>
      <c r="W2727" s="8"/>
    </row>
    <row r="2728" spans="1:23" ht="15.75" customHeight="1" x14ac:dyDescent="0.25">
      <c r="A2728" s="6" t="s">
        <v>4305</v>
      </c>
      <c r="B2728" s="8"/>
      <c r="C2728" s="8"/>
      <c r="D2728" s="8"/>
      <c r="E2728" s="8"/>
      <c r="F2728" s="8"/>
      <c r="G2728" s="8"/>
      <c r="H2728" s="8"/>
      <c r="I2728" s="8"/>
      <c r="J2728" s="8"/>
      <c r="K2728" s="8"/>
      <c r="L2728" s="8"/>
      <c r="M2728" s="8"/>
      <c r="N2728" s="8"/>
      <c r="O2728" s="8"/>
      <c r="P2728" s="8"/>
      <c r="Q2728" s="8"/>
      <c r="R2728" s="8"/>
      <c r="S2728" s="8"/>
      <c r="T2728" s="8"/>
      <c r="U2728" s="8"/>
      <c r="V2728" s="8"/>
      <c r="W2728" s="8"/>
    </row>
    <row r="2729" spans="1:23" ht="15.75" customHeight="1" x14ac:dyDescent="0.25">
      <c r="A2729" s="6" t="s">
        <v>4306</v>
      </c>
      <c r="B2729" s="8"/>
      <c r="C2729" s="8"/>
      <c r="D2729" s="8"/>
      <c r="E2729" s="8"/>
      <c r="F2729" s="8"/>
      <c r="G2729" s="8"/>
      <c r="H2729" s="8"/>
      <c r="I2729" s="8"/>
      <c r="J2729" s="8"/>
      <c r="K2729" s="8"/>
      <c r="L2729" s="8"/>
      <c r="M2729" s="8"/>
      <c r="N2729" s="8"/>
      <c r="O2729" s="8"/>
      <c r="P2729" s="8"/>
      <c r="Q2729" s="8"/>
      <c r="R2729" s="8"/>
      <c r="S2729" s="8"/>
      <c r="T2729" s="8"/>
      <c r="U2729" s="8"/>
      <c r="V2729" s="8"/>
      <c r="W2729" s="8"/>
    </row>
    <row r="2730" spans="1:23" ht="15.75" customHeight="1" x14ac:dyDescent="0.25">
      <c r="A2730" s="6" t="s">
        <v>4307</v>
      </c>
      <c r="B2730" s="8"/>
      <c r="C2730" s="8"/>
      <c r="D2730" s="8"/>
      <c r="E2730" s="8"/>
      <c r="F2730" s="8"/>
      <c r="G2730" s="8"/>
      <c r="H2730" s="8"/>
      <c r="I2730" s="8"/>
      <c r="J2730" s="8"/>
      <c r="K2730" s="8"/>
      <c r="L2730" s="8"/>
      <c r="M2730" s="8"/>
      <c r="N2730" s="8"/>
      <c r="O2730" s="8"/>
      <c r="P2730" s="8"/>
      <c r="Q2730" s="8"/>
      <c r="R2730" s="8"/>
      <c r="S2730" s="8"/>
      <c r="T2730" s="8"/>
      <c r="U2730" s="8"/>
      <c r="V2730" s="8"/>
      <c r="W2730" s="8"/>
    </row>
    <row r="2731" spans="1:23" ht="15.75" customHeight="1" x14ac:dyDescent="0.25">
      <c r="A2731" s="6" t="s">
        <v>4308</v>
      </c>
      <c r="B2731" s="8"/>
      <c r="C2731" s="8"/>
      <c r="D2731" s="8"/>
      <c r="E2731" s="8"/>
      <c r="F2731" s="8"/>
      <c r="G2731" s="8"/>
      <c r="H2731" s="8"/>
      <c r="I2731" s="8"/>
      <c r="J2731" s="8"/>
      <c r="K2731" s="8"/>
      <c r="L2731" s="8"/>
      <c r="M2731" s="8"/>
      <c r="N2731" s="8"/>
      <c r="O2731" s="8"/>
      <c r="P2731" s="8"/>
      <c r="Q2731" s="8"/>
      <c r="R2731" s="8"/>
      <c r="S2731" s="8"/>
      <c r="T2731" s="8"/>
      <c r="U2731" s="8"/>
      <c r="V2731" s="8"/>
      <c r="W2731" s="8"/>
    </row>
    <row r="2732" spans="1:23" ht="15.75" customHeight="1" x14ac:dyDescent="0.25">
      <c r="A2732" s="6" t="s">
        <v>4309</v>
      </c>
      <c r="B2732" s="8"/>
      <c r="C2732" s="8"/>
      <c r="D2732" s="8"/>
      <c r="E2732" s="8"/>
      <c r="F2732" s="8"/>
      <c r="G2732" s="8"/>
      <c r="H2732" s="8"/>
      <c r="I2732" s="8"/>
      <c r="J2732" s="8"/>
      <c r="K2732" s="8"/>
      <c r="L2732" s="8"/>
      <c r="M2732" s="8"/>
      <c r="N2732" s="8"/>
      <c r="O2732" s="8"/>
      <c r="P2732" s="8"/>
      <c r="Q2732" s="8"/>
      <c r="R2732" s="8"/>
      <c r="S2732" s="8"/>
      <c r="T2732" s="8"/>
      <c r="U2732" s="8"/>
      <c r="V2732" s="8"/>
      <c r="W2732" s="8"/>
    </row>
    <row r="2733" spans="1:23" ht="15.75" customHeight="1" x14ac:dyDescent="0.25">
      <c r="A2733" s="6" t="s">
        <v>3748</v>
      </c>
      <c r="B2733" s="8"/>
      <c r="C2733" s="8"/>
      <c r="D2733" s="8"/>
      <c r="E2733" s="8"/>
      <c r="F2733" s="8"/>
      <c r="G2733" s="8"/>
      <c r="H2733" s="8"/>
      <c r="I2733" s="8"/>
      <c r="J2733" s="8"/>
      <c r="K2733" s="8"/>
      <c r="L2733" s="8"/>
      <c r="M2733" s="8"/>
      <c r="N2733" s="8"/>
      <c r="O2733" s="8"/>
      <c r="P2733" s="8"/>
      <c r="Q2733" s="8"/>
      <c r="R2733" s="8"/>
      <c r="S2733" s="8"/>
      <c r="T2733" s="8"/>
      <c r="U2733" s="8"/>
      <c r="V2733" s="8"/>
      <c r="W2733" s="8"/>
    </row>
    <row r="2734" spans="1:23" ht="15.75" customHeight="1" x14ac:dyDescent="0.25">
      <c r="A2734" s="6" t="s">
        <v>3748</v>
      </c>
      <c r="B2734" s="8"/>
      <c r="C2734" s="8"/>
      <c r="D2734" s="8"/>
      <c r="E2734" s="8"/>
      <c r="F2734" s="8"/>
      <c r="G2734" s="8"/>
      <c r="H2734" s="8"/>
      <c r="I2734" s="8"/>
      <c r="J2734" s="8"/>
      <c r="K2734" s="8"/>
      <c r="L2734" s="8"/>
      <c r="M2734" s="8"/>
      <c r="N2734" s="8"/>
      <c r="O2734" s="8"/>
      <c r="P2734" s="8"/>
      <c r="Q2734" s="8"/>
      <c r="R2734" s="8"/>
      <c r="S2734" s="8"/>
      <c r="T2734" s="8"/>
      <c r="U2734" s="8"/>
      <c r="V2734" s="8"/>
      <c r="W2734" s="8"/>
    </row>
    <row r="2735" spans="1:23" ht="15.75" customHeight="1" x14ac:dyDescent="0.25">
      <c r="A2735" s="6" t="s">
        <v>3748</v>
      </c>
      <c r="B2735" s="8"/>
      <c r="C2735" s="8"/>
      <c r="D2735" s="8"/>
      <c r="E2735" s="8"/>
      <c r="F2735" s="8"/>
      <c r="G2735" s="8"/>
      <c r="H2735" s="8"/>
      <c r="I2735" s="8"/>
      <c r="J2735" s="8"/>
      <c r="K2735" s="8"/>
      <c r="L2735" s="8"/>
      <c r="M2735" s="8"/>
      <c r="N2735" s="8"/>
      <c r="O2735" s="8"/>
      <c r="P2735" s="8"/>
      <c r="Q2735" s="8"/>
      <c r="R2735" s="8"/>
      <c r="S2735" s="8"/>
      <c r="T2735" s="8"/>
      <c r="U2735" s="8"/>
      <c r="V2735" s="8"/>
      <c r="W2735" s="8"/>
    </row>
    <row r="2736" spans="1:23" ht="15.75" customHeight="1" x14ac:dyDescent="0.25">
      <c r="A2736" s="6" t="s">
        <v>3993</v>
      </c>
      <c r="B2736" s="8"/>
      <c r="C2736" s="8"/>
      <c r="D2736" s="8"/>
      <c r="E2736" s="8"/>
      <c r="F2736" s="8"/>
      <c r="G2736" s="8"/>
      <c r="H2736" s="8"/>
      <c r="I2736" s="8"/>
      <c r="J2736" s="8"/>
      <c r="K2736" s="8"/>
      <c r="L2736" s="8"/>
      <c r="M2736" s="8"/>
      <c r="N2736" s="8"/>
      <c r="O2736" s="8"/>
      <c r="P2736" s="8"/>
      <c r="Q2736" s="8"/>
      <c r="R2736" s="8"/>
      <c r="S2736" s="8"/>
      <c r="T2736" s="8"/>
      <c r="U2736" s="8"/>
      <c r="V2736" s="8"/>
      <c r="W2736" s="8"/>
    </row>
    <row r="2737" spans="1:23" ht="15.75" customHeight="1" x14ac:dyDescent="0.25">
      <c r="A2737" s="6" t="s">
        <v>3993</v>
      </c>
      <c r="B2737" s="8"/>
      <c r="C2737" s="8"/>
      <c r="D2737" s="8"/>
      <c r="E2737" s="8"/>
      <c r="F2737" s="8"/>
      <c r="G2737" s="8"/>
      <c r="H2737" s="8"/>
      <c r="I2737" s="8"/>
      <c r="J2737" s="8"/>
      <c r="K2737" s="8"/>
      <c r="L2737" s="8"/>
      <c r="M2737" s="8"/>
      <c r="N2737" s="8"/>
      <c r="O2737" s="8"/>
      <c r="P2737" s="8"/>
      <c r="Q2737" s="8"/>
      <c r="R2737" s="8"/>
      <c r="S2737" s="8"/>
      <c r="T2737" s="8"/>
      <c r="U2737" s="8"/>
      <c r="V2737" s="8"/>
      <c r="W2737" s="8"/>
    </row>
    <row r="2738" spans="1:23" ht="15.75" customHeight="1" x14ac:dyDescent="0.25">
      <c r="A2738" s="6" t="s">
        <v>4310</v>
      </c>
      <c r="B2738" s="8"/>
      <c r="C2738" s="8"/>
      <c r="D2738" s="8"/>
      <c r="E2738" s="8"/>
      <c r="F2738" s="8"/>
      <c r="G2738" s="8"/>
      <c r="H2738" s="8"/>
      <c r="I2738" s="8"/>
      <c r="J2738" s="8"/>
      <c r="K2738" s="8"/>
      <c r="L2738" s="8"/>
      <c r="M2738" s="8"/>
      <c r="N2738" s="8"/>
      <c r="O2738" s="8"/>
      <c r="P2738" s="8"/>
      <c r="Q2738" s="8"/>
      <c r="R2738" s="8"/>
      <c r="S2738" s="8"/>
      <c r="T2738" s="8"/>
      <c r="U2738" s="8"/>
      <c r="V2738" s="8"/>
      <c r="W2738" s="8"/>
    </row>
    <row r="2739" spans="1:23" ht="15.75" customHeight="1" x14ac:dyDescent="0.25">
      <c r="A2739" s="6" t="s">
        <v>3997</v>
      </c>
      <c r="B2739" s="8"/>
      <c r="C2739" s="8"/>
      <c r="D2739" s="8"/>
      <c r="E2739" s="8"/>
      <c r="F2739" s="8"/>
      <c r="G2739" s="8"/>
      <c r="H2739" s="8"/>
      <c r="I2739" s="8"/>
      <c r="J2739" s="8"/>
      <c r="K2739" s="8"/>
      <c r="L2739" s="8"/>
      <c r="M2739" s="8"/>
      <c r="N2739" s="8"/>
      <c r="O2739" s="8"/>
      <c r="P2739" s="8"/>
      <c r="Q2739" s="8"/>
      <c r="R2739" s="8"/>
      <c r="S2739" s="8"/>
      <c r="T2739" s="8"/>
      <c r="U2739" s="8"/>
      <c r="V2739" s="8"/>
      <c r="W2739" s="8"/>
    </row>
    <row r="2740" spans="1:23" ht="15.75" customHeight="1" x14ac:dyDescent="0.25">
      <c r="A2740" s="6" t="s">
        <v>3997</v>
      </c>
      <c r="B2740" s="8"/>
      <c r="C2740" s="8"/>
      <c r="D2740" s="8"/>
      <c r="E2740" s="8"/>
      <c r="F2740" s="8"/>
      <c r="G2740" s="8"/>
      <c r="H2740" s="8"/>
      <c r="I2740" s="8"/>
      <c r="J2740" s="8"/>
      <c r="K2740" s="8"/>
      <c r="L2740" s="8"/>
      <c r="M2740" s="8"/>
      <c r="N2740" s="8"/>
      <c r="O2740" s="8"/>
      <c r="P2740" s="8"/>
      <c r="Q2740" s="8"/>
      <c r="R2740" s="8"/>
      <c r="S2740" s="8"/>
      <c r="T2740" s="8"/>
      <c r="U2740" s="8"/>
      <c r="V2740" s="8"/>
      <c r="W2740" s="8"/>
    </row>
    <row r="2741" spans="1:23" ht="15.75" customHeight="1" x14ac:dyDescent="0.25">
      <c r="A2741" s="6" t="s">
        <v>4311</v>
      </c>
      <c r="B2741" s="8"/>
      <c r="C2741" s="8"/>
      <c r="D2741" s="8"/>
      <c r="E2741" s="8"/>
      <c r="F2741" s="8"/>
      <c r="G2741" s="8"/>
      <c r="H2741" s="8"/>
      <c r="I2741" s="8"/>
      <c r="J2741" s="8"/>
      <c r="K2741" s="8"/>
      <c r="L2741" s="8"/>
      <c r="M2741" s="8"/>
      <c r="N2741" s="8"/>
      <c r="O2741" s="8"/>
      <c r="P2741" s="8"/>
      <c r="Q2741" s="8"/>
      <c r="R2741" s="8"/>
      <c r="S2741" s="8"/>
      <c r="T2741" s="8"/>
      <c r="U2741" s="8"/>
      <c r="V2741" s="8"/>
      <c r="W2741" s="8"/>
    </row>
    <row r="2742" spans="1:23" ht="15.75" customHeight="1" x14ac:dyDescent="0.25">
      <c r="A2742" s="6" t="s">
        <v>4312</v>
      </c>
      <c r="B2742" s="8"/>
      <c r="C2742" s="8"/>
      <c r="D2742" s="8"/>
      <c r="E2742" s="8"/>
      <c r="F2742" s="8"/>
      <c r="G2742" s="8"/>
      <c r="H2742" s="8"/>
      <c r="I2742" s="8"/>
      <c r="J2742" s="8"/>
      <c r="K2742" s="8"/>
      <c r="L2742" s="8"/>
      <c r="M2742" s="8"/>
      <c r="N2742" s="8"/>
      <c r="O2742" s="8"/>
      <c r="P2742" s="8"/>
      <c r="Q2742" s="8"/>
      <c r="R2742" s="8"/>
      <c r="S2742" s="8"/>
      <c r="T2742" s="8"/>
      <c r="U2742" s="8"/>
      <c r="V2742" s="8"/>
      <c r="W2742" s="8"/>
    </row>
    <row r="2743" spans="1:23" ht="15.75" customHeight="1" x14ac:dyDescent="0.25">
      <c r="A2743" s="6" t="s">
        <v>4313</v>
      </c>
      <c r="B2743" s="8"/>
      <c r="C2743" s="8"/>
      <c r="D2743" s="8"/>
      <c r="E2743" s="8"/>
      <c r="F2743" s="8"/>
      <c r="G2743" s="8"/>
      <c r="H2743" s="8"/>
      <c r="I2743" s="8"/>
      <c r="J2743" s="8"/>
      <c r="K2743" s="8"/>
      <c r="L2743" s="8"/>
      <c r="M2743" s="8"/>
      <c r="N2743" s="8"/>
      <c r="O2743" s="8"/>
      <c r="P2743" s="8"/>
      <c r="Q2743" s="8"/>
      <c r="R2743" s="8"/>
      <c r="S2743" s="8"/>
      <c r="T2743" s="8"/>
      <c r="U2743" s="8"/>
      <c r="V2743" s="8"/>
      <c r="W2743" s="8"/>
    </row>
    <row r="2744" spans="1:23" ht="15.75" customHeight="1" x14ac:dyDescent="0.25">
      <c r="A2744" s="6" t="s">
        <v>4314</v>
      </c>
      <c r="B2744" s="8"/>
      <c r="C2744" s="8"/>
      <c r="D2744" s="8"/>
      <c r="E2744" s="8"/>
      <c r="F2744" s="8"/>
      <c r="G2744" s="8"/>
      <c r="H2744" s="8"/>
      <c r="I2744" s="8"/>
      <c r="J2744" s="8"/>
      <c r="K2744" s="8"/>
      <c r="L2744" s="8"/>
      <c r="M2744" s="8"/>
      <c r="N2744" s="8"/>
      <c r="O2744" s="8"/>
      <c r="P2744" s="8"/>
      <c r="Q2744" s="8"/>
      <c r="R2744" s="8"/>
      <c r="S2744" s="8"/>
      <c r="T2744" s="8"/>
      <c r="U2744" s="8"/>
      <c r="V2744" s="8"/>
      <c r="W2744" s="8"/>
    </row>
    <row r="2745" spans="1:23" ht="15.75" customHeight="1" x14ac:dyDescent="0.25">
      <c r="A2745" s="6" t="s">
        <v>4315</v>
      </c>
      <c r="B2745" s="8"/>
      <c r="C2745" s="8"/>
      <c r="D2745" s="8"/>
      <c r="E2745" s="8"/>
      <c r="F2745" s="8"/>
      <c r="G2745" s="8"/>
      <c r="H2745" s="8"/>
      <c r="I2745" s="8"/>
      <c r="J2745" s="8"/>
      <c r="K2745" s="8"/>
      <c r="L2745" s="8"/>
      <c r="M2745" s="8"/>
      <c r="N2745" s="8"/>
      <c r="O2745" s="8"/>
      <c r="P2745" s="8"/>
      <c r="Q2745" s="8"/>
      <c r="R2745" s="8"/>
      <c r="S2745" s="8"/>
      <c r="T2745" s="8"/>
      <c r="U2745" s="8"/>
      <c r="V2745" s="8"/>
      <c r="W2745" s="8"/>
    </row>
    <row r="2746" spans="1:23" ht="15.75" customHeight="1" x14ac:dyDescent="0.25">
      <c r="A2746" s="6" t="s">
        <v>3998</v>
      </c>
      <c r="B2746" s="8"/>
      <c r="C2746" s="8"/>
      <c r="D2746" s="8"/>
      <c r="E2746" s="8"/>
      <c r="F2746" s="8"/>
      <c r="G2746" s="8"/>
      <c r="H2746" s="8"/>
      <c r="I2746" s="8"/>
      <c r="J2746" s="8"/>
      <c r="K2746" s="8"/>
      <c r="L2746" s="8"/>
      <c r="M2746" s="8"/>
      <c r="N2746" s="8"/>
      <c r="O2746" s="8"/>
      <c r="P2746" s="8"/>
      <c r="Q2746" s="8"/>
      <c r="R2746" s="8"/>
      <c r="S2746" s="8"/>
      <c r="T2746" s="8"/>
      <c r="U2746" s="8"/>
      <c r="V2746" s="8"/>
      <c r="W2746" s="8"/>
    </row>
    <row r="2747" spans="1:23" ht="15.75" customHeight="1" x14ac:dyDescent="0.25">
      <c r="A2747" s="6" t="s">
        <v>3998</v>
      </c>
      <c r="B2747" s="8"/>
      <c r="C2747" s="8"/>
      <c r="D2747" s="8"/>
      <c r="E2747" s="8"/>
      <c r="F2747" s="8"/>
      <c r="G2747" s="8"/>
      <c r="H2747" s="8"/>
      <c r="I2747" s="8"/>
      <c r="J2747" s="8"/>
      <c r="K2747" s="8"/>
      <c r="L2747" s="8"/>
      <c r="M2747" s="8"/>
      <c r="N2747" s="8"/>
      <c r="O2747" s="8"/>
      <c r="P2747" s="8"/>
      <c r="Q2747" s="8"/>
      <c r="R2747" s="8"/>
      <c r="S2747" s="8"/>
      <c r="T2747" s="8"/>
      <c r="U2747" s="8"/>
      <c r="V2747" s="8"/>
      <c r="W2747" s="8"/>
    </row>
    <row r="2748" spans="1:23" ht="15.75" customHeight="1" x14ac:dyDescent="0.25">
      <c r="A2748" s="6" t="s">
        <v>4316</v>
      </c>
      <c r="B2748" s="8"/>
      <c r="C2748" s="8"/>
      <c r="D2748" s="8"/>
      <c r="E2748" s="8"/>
      <c r="F2748" s="8"/>
      <c r="G2748" s="8"/>
      <c r="H2748" s="8"/>
      <c r="I2748" s="8"/>
      <c r="J2748" s="8"/>
      <c r="K2748" s="8"/>
      <c r="L2748" s="8"/>
      <c r="M2748" s="8"/>
      <c r="N2748" s="8"/>
      <c r="O2748" s="8"/>
      <c r="P2748" s="8"/>
      <c r="Q2748" s="8"/>
      <c r="R2748" s="8"/>
      <c r="S2748" s="8"/>
      <c r="T2748" s="8"/>
      <c r="U2748" s="8"/>
      <c r="V2748" s="8"/>
      <c r="W2748" s="8"/>
    </row>
    <row r="2749" spans="1:23" ht="15.75" customHeight="1" x14ac:dyDescent="0.25">
      <c r="A2749" s="6" t="s">
        <v>3568</v>
      </c>
      <c r="B2749" s="8"/>
      <c r="C2749" s="8"/>
      <c r="D2749" s="8"/>
      <c r="E2749" s="8"/>
      <c r="F2749" s="8"/>
      <c r="G2749" s="8"/>
      <c r="H2749" s="8"/>
      <c r="I2749" s="8"/>
      <c r="J2749" s="8"/>
      <c r="K2749" s="8"/>
      <c r="L2749" s="8"/>
      <c r="M2749" s="8"/>
      <c r="N2749" s="8"/>
      <c r="O2749" s="8"/>
      <c r="P2749" s="8"/>
      <c r="Q2749" s="8"/>
      <c r="R2749" s="8"/>
      <c r="S2749" s="8"/>
      <c r="T2749" s="8"/>
      <c r="U2749" s="8"/>
      <c r="V2749" s="8"/>
      <c r="W2749" s="8"/>
    </row>
    <row r="2750" spans="1:23" ht="15.75" customHeight="1" x14ac:dyDescent="0.25">
      <c r="A2750" s="6" t="s">
        <v>3568</v>
      </c>
      <c r="B2750" s="8"/>
      <c r="C2750" s="8"/>
      <c r="D2750" s="8"/>
      <c r="E2750" s="8"/>
      <c r="F2750" s="8"/>
      <c r="G2750" s="8"/>
      <c r="H2750" s="8"/>
      <c r="I2750" s="8"/>
      <c r="J2750" s="8"/>
      <c r="K2750" s="8"/>
      <c r="L2750" s="8"/>
      <c r="M2750" s="8"/>
      <c r="N2750" s="8"/>
      <c r="O2750" s="8"/>
      <c r="P2750" s="8"/>
      <c r="Q2750" s="8"/>
      <c r="R2750" s="8"/>
      <c r="S2750" s="8"/>
      <c r="T2750" s="8"/>
      <c r="U2750" s="8"/>
      <c r="V2750" s="8"/>
      <c r="W2750" s="8"/>
    </row>
    <row r="2751" spans="1:23" ht="15.75" customHeight="1" x14ac:dyDescent="0.25">
      <c r="A2751" s="6" t="s">
        <v>3568</v>
      </c>
      <c r="B2751" s="8"/>
      <c r="C2751" s="8"/>
      <c r="D2751" s="8"/>
      <c r="E2751" s="8"/>
      <c r="F2751" s="8"/>
      <c r="G2751" s="8"/>
      <c r="H2751" s="8"/>
      <c r="I2751" s="8"/>
      <c r="J2751" s="8"/>
      <c r="K2751" s="8"/>
      <c r="L2751" s="8"/>
      <c r="M2751" s="8"/>
      <c r="N2751" s="8"/>
      <c r="O2751" s="8"/>
      <c r="P2751" s="8"/>
      <c r="Q2751" s="8"/>
      <c r="R2751" s="8"/>
      <c r="S2751" s="8"/>
      <c r="T2751" s="8"/>
      <c r="U2751" s="8"/>
      <c r="V2751" s="8"/>
      <c r="W2751" s="8"/>
    </row>
    <row r="2752" spans="1:23" ht="15.75" customHeight="1" x14ac:dyDescent="0.25">
      <c r="A2752" s="6" t="s">
        <v>3568</v>
      </c>
      <c r="B2752" s="8"/>
      <c r="C2752" s="8"/>
      <c r="D2752" s="8"/>
      <c r="E2752" s="8"/>
      <c r="F2752" s="8"/>
      <c r="G2752" s="8"/>
      <c r="H2752" s="8"/>
      <c r="I2752" s="8"/>
      <c r="J2752" s="8"/>
      <c r="K2752" s="8"/>
      <c r="L2752" s="8"/>
      <c r="M2752" s="8"/>
      <c r="N2752" s="8"/>
      <c r="O2752" s="8"/>
      <c r="P2752" s="8"/>
      <c r="Q2752" s="8"/>
      <c r="R2752" s="8"/>
      <c r="S2752" s="8"/>
      <c r="T2752" s="8"/>
      <c r="U2752" s="8"/>
      <c r="V2752" s="8"/>
      <c r="W2752" s="8"/>
    </row>
    <row r="2753" spans="1:23" ht="15.75" customHeight="1" x14ac:dyDescent="0.25">
      <c r="A2753" s="6" t="s">
        <v>3568</v>
      </c>
      <c r="B2753" s="8"/>
      <c r="C2753" s="8"/>
      <c r="D2753" s="8"/>
      <c r="E2753" s="8"/>
      <c r="F2753" s="8"/>
      <c r="G2753" s="8"/>
      <c r="H2753" s="8"/>
      <c r="I2753" s="8"/>
      <c r="J2753" s="8"/>
      <c r="K2753" s="8"/>
      <c r="L2753" s="8"/>
      <c r="M2753" s="8"/>
      <c r="N2753" s="8"/>
      <c r="O2753" s="8"/>
      <c r="P2753" s="8"/>
      <c r="Q2753" s="8"/>
      <c r="R2753" s="8"/>
      <c r="S2753" s="8"/>
      <c r="T2753" s="8"/>
      <c r="U2753" s="8"/>
      <c r="V2753" s="8"/>
      <c r="W2753" s="8"/>
    </row>
    <row r="2754" spans="1:23" ht="15.75" customHeight="1" x14ac:dyDescent="0.25">
      <c r="A2754" s="6" t="s">
        <v>3397</v>
      </c>
      <c r="B2754" s="8"/>
      <c r="C2754" s="8"/>
      <c r="D2754" s="8"/>
      <c r="E2754" s="8"/>
      <c r="F2754" s="8"/>
      <c r="G2754" s="8"/>
      <c r="H2754" s="8"/>
      <c r="I2754" s="8"/>
      <c r="J2754" s="8"/>
      <c r="K2754" s="8"/>
      <c r="L2754" s="8"/>
      <c r="M2754" s="8"/>
      <c r="N2754" s="8"/>
      <c r="O2754" s="8"/>
      <c r="P2754" s="8"/>
      <c r="Q2754" s="8"/>
      <c r="R2754" s="8"/>
      <c r="S2754" s="8"/>
      <c r="T2754" s="8"/>
      <c r="U2754" s="8"/>
      <c r="V2754" s="8"/>
      <c r="W2754" s="8"/>
    </row>
    <row r="2755" spans="1:23" ht="15.75" customHeight="1" x14ac:dyDescent="0.25">
      <c r="A2755" s="6" t="s">
        <v>3397</v>
      </c>
      <c r="B2755" s="8"/>
      <c r="C2755" s="8"/>
      <c r="D2755" s="8"/>
      <c r="E2755" s="8"/>
      <c r="F2755" s="8"/>
      <c r="G2755" s="8"/>
      <c r="H2755" s="8"/>
      <c r="I2755" s="8"/>
      <c r="J2755" s="8"/>
      <c r="K2755" s="8"/>
      <c r="L2755" s="8"/>
      <c r="M2755" s="8"/>
      <c r="N2755" s="8"/>
      <c r="O2755" s="8"/>
      <c r="P2755" s="8"/>
      <c r="Q2755" s="8"/>
      <c r="R2755" s="8"/>
      <c r="S2755" s="8"/>
      <c r="T2755" s="8"/>
      <c r="U2755" s="8"/>
      <c r="V2755" s="8"/>
      <c r="W2755" s="8"/>
    </row>
    <row r="2756" spans="1:23" ht="15.75" customHeight="1" x14ac:dyDescent="0.25">
      <c r="A2756" s="6" t="s">
        <v>3397</v>
      </c>
      <c r="B2756" s="8"/>
      <c r="C2756" s="8"/>
      <c r="D2756" s="8"/>
      <c r="E2756" s="8"/>
      <c r="F2756" s="8"/>
      <c r="G2756" s="8"/>
      <c r="H2756" s="8"/>
      <c r="I2756" s="8"/>
      <c r="J2756" s="8"/>
      <c r="K2756" s="8"/>
      <c r="L2756" s="8"/>
      <c r="M2756" s="8"/>
      <c r="N2756" s="8"/>
      <c r="O2756" s="8"/>
      <c r="P2756" s="8"/>
      <c r="Q2756" s="8"/>
      <c r="R2756" s="8"/>
      <c r="S2756" s="8"/>
      <c r="T2756" s="8"/>
      <c r="U2756" s="8"/>
      <c r="V2756" s="8"/>
      <c r="W2756" s="8"/>
    </row>
    <row r="2757" spans="1:23" ht="15.75" customHeight="1" x14ac:dyDescent="0.25">
      <c r="A2757" s="6" t="s">
        <v>3397</v>
      </c>
      <c r="B2757" s="8"/>
      <c r="C2757" s="8"/>
      <c r="D2757" s="8"/>
      <c r="E2757" s="8"/>
      <c r="F2757" s="8"/>
      <c r="G2757" s="8"/>
      <c r="H2757" s="8"/>
      <c r="I2757" s="8"/>
      <c r="J2757" s="8"/>
      <c r="K2757" s="8"/>
      <c r="L2757" s="8"/>
      <c r="M2757" s="8"/>
      <c r="N2757" s="8"/>
      <c r="O2757" s="8"/>
      <c r="P2757" s="8"/>
      <c r="Q2757" s="8"/>
      <c r="R2757" s="8"/>
      <c r="S2757" s="8"/>
      <c r="T2757" s="8"/>
      <c r="U2757" s="8"/>
      <c r="V2757" s="8"/>
      <c r="W2757" s="8"/>
    </row>
    <row r="2758" spans="1:23" ht="15.75" customHeight="1" x14ac:dyDescent="0.25">
      <c r="A2758" s="6" t="s">
        <v>3397</v>
      </c>
      <c r="B2758" s="8"/>
      <c r="C2758" s="8"/>
      <c r="D2758" s="8"/>
      <c r="E2758" s="8"/>
      <c r="F2758" s="8"/>
      <c r="G2758" s="8"/>
      <c r="H2758" s="8"/>
      <c r="I2758" s="8"/>
      <c r="J2758" s="8"/>
      <c r="K2758" s="8"/>
      <c r="L2758" s="8"/>
      <c r="M2758" s="8"/>
      <c r="N2758" s="8"/>
      <c r="O2758" s="8"/>
      <c r="P2758" s="8"/>
      <c r="Q2758" s="8"/>
      <c r="R2758" s="8"/>
      <c r="S2758" s="8"/>
      <c r="T2758" s="8"/>
      <c r="U2758" s="8"/>
      <c r="V2758" s="8"/>
      <c r="W2758" s="8"/>
    </row>
    <row r="2759" spans="1:23" ht="15.75" customHeight="1" x14ac:dyDescent="0.25">
      <c r="A2759" s="6" t="s">
        <v>3397</v>
      </c>
      <c r="B2759" s="8"/>
      <c r="C2759" s="8"/>
      <c r="D2759" s="8"/>
      <c r="E2759" s="8"/>
      <c r="F2759" s="8"/>
      <c r="G2759" s="8"/>
      <c r="H2759" s="8"/>
      <c r="I2759" s="8"/>
      <c r="J2759" s="8"/>
      <c r="K2759" s="8"/>
      <c r="L2759" s="8"/>
      <c r="M2759" s="8"/>
      <c r="N2759" s="8"/>
      <c r="O2759" s="8"/>
      <c r="P2759" s="8"/>
      <c r="Q2759" s="8"/>
      <c r="R2759" s="8"/>
      <c r="S2759" s="8"/>
      <c r="T2759" s="8"/>
      <c r="U2759" s="8"/>
      <c r="V2759" s="8"/>
      <c r="W2759" s="8"/>
    </row>
    <row r="2760" spans="1:23" ht="15.75" customHeight="1" x14ac:dyDescent="0.25">
      <c r="A2760" s="6" t="s">
        <v>3397</v>
      </c>
      <c r="B2760" s="8"/>
      <c r="C2760" s="8"/>
      <c r="D2760" s="8"/>
      <c r="E2760" s="8"/>
      <c r="F2760" s="8"/>
      <c r="G2760" s="8"/>
      <c r="H2760" s="8"/>
      <c r="I2760" s="8"/>
      <c r="J2760" s="8"/>
      <c r="K2760" s="8"/>
      <c r="L2760" s="8"/>
      <c r="M2760" s="8"/>
      <c r="N2760" s="8"/>
      <c r="O2760" s="8"/>
      <c r="P2760" s="8"/>
      <c r="Q2760" s="8"/>
      <c r="R2760" s="8"/>
      <c r="S2760" s="8"/>
      <c r="T2760" s="8"/>
      <c r="U2760" s="8"/>
      <c r="V2760" s="8"/>
      <c r="W2760" s="8"/>
    </row>
    <row r="2761" spans="1:23" ht="15.75" customHeight="1" x14ac:dyDescent="0.25">
      <c r="A2761" s="6" t="s">
        <v>3397</v>
      </c>
      <c r="B2761" s="8"/>
      <c r="C2761" s="8"/>
      <c r="D2761" s="8"/>
      <c r="E2761" s="8"/>
      <c r="F2761" s="8"/>
      <c r="G2761" s="8"/>
      <c r="H2761" s="8"/>
      <c r="I2761" s="8"/>
      <c r="J2761" s="8"/>
      <c r="K2761" s="8"/>
      <c r="L2761" s="8"/>
      <c r="M2761" s="8"/>
      <c r="N2761" s="8"/>
      <c r="O2761" s="8"/>
      <c r="P2761" s="8"/>
      <c r="Q2761" s="8"/>
      <c r="R2761" s="8"/>
      <c r="S2761" s="8"/>
      <c r="T2761" s="8"/>
      <c r="U2761" s="8"/>
      <c r="V2761" s="8"/>
      <c r="W2761" s="8"/>
    </row>
    <row r="2762" spans="1:23" ht="15.75" customHeight="1" x14ac:dyDescent="0.25">
      <c r="A2762" s="6" t="s">
        <v>3397</v>
      </c>
      <c r="B2762" s="8"/>
      <c r="C2762" s="8"/>
      <c r="D2762" s="8"/>
      <c r="E2762" s="8"/>
      <c r="F2762" s="8"/>
      <c r="G2762" s="8"/>
      <c r="H2762" s="8"/>
      <c r="I2762" s="8"/>
      <c r="J2762" s="8"/>
      <c r="K2762" s="8"/>
      <c r="L2762" s="8"/>
      <c r="M2762" s="8"/>
      <c r="N2762" s="8"/>
      <c r="O2762" s="8"/>
      <c r="P2762" s="8"/>
      <c r="Q2762" s="8"/>
      <c r="R2762" s="8"/>
      <c r="S2762" s="8"/>
      <c r="T2762" s="8"/>
      <c r="U2762" s="8"/>
      <c r="V2762" s="8"/>
      <c r="W2762" s="8"/>
    </row>
    <row r="2763" spans="1:23" ht="15.75" customHeight="1" x14ac:dyDescent="0.25">
      <c r="A2763" s="6" t="s">
        <v>3397</v>
      </c>
      <c r="B2763" s="8"/>
      <c r="C2763" s="8"/>
      <c r="D2763" s="8"/>
      <c r="E2763" s="8"/>
      <c r="F2763" s="8"/>
      <c r="G2763" s="8"/>
      <c r="H2763" s="8"/>
      <c r="I2763" s="8"/>
      <c r="J2763" s="8"/>
      <c r="K2763" s="8"/>
      <c r="L2763" s="8"/>
      <c r="M2763" s="8"/>
      <c r="N2763" s="8"/>
      <c r="O2763" s="8"/>
      <c r="P2763" s="8"/>
      <c r="Q2763" s="8"/>
      <c r="R2763" s="8"/>
      <c r="S2763" s="8"/>
      <c r="T2763" s="8"/>
      <c r="U2763" s="8"/>
      <c r="V2763" s="8"/>
      <c r="W2763" s="8"/>
    </row>
    <row r="2764" spans="1:23" ht="15.75" customHeight="1" x14ac:dyDescent="0.25">
      <c r="A2764" s="6" t="s">
        <v>4317</v>
      </c>
      <c r="B2764" s="8"/>
      <c r="C2764" s="8"/>
      <c r="D2764" s="8"/>
      <c r="E2764" s="8"/>
      <c r="F2764" s="8"/>
      <c r="G2764" s="8"/>
      <c r="H2764" s="8"/>
      <c r="I2764" s="8"/>
      <c r="J2764" s="8"/>
      <c r="K2764" s="8"/>
      <c r="L2764" s="8"/>
      <c r="M2764" s="8"/>
      <c r="N2764" s="8"/>
      <c r="O2764" s="8"/>
      <c r="P2764" s="8"/>
      <c r="Q2764" s="8"/>
      <c r="R2764" s="8"/>
      <c r="S2764" s="8"/>
      <c r="T2764" s="8"/>
      <c r="U2764" s="8"/>
      <c r="V2764" s="8"/>
      <c r="W2764" s="8"/>
    </row>
    <row r="2765" spans="1:23" ht="15.75" customHeight="1" x14ac:dyDescent="0.25">
      <c r="A2765" s="6" t="s">
        <v>3517</v>
      </c>
      <c r="B2765" s="8"/>
      <c r="C2765" s="8"/>
      <c r="D2765" s="8"/>
      <c r="E2765" s="8"/>
      <c r="F2765" s="8"/>
      <c r="G2765" s="8"/>
      <c r="H2765" s="8"/>
      <c r="I2765" s="8"/>
      <c r="J2765" s="8"/>
      <c r="K2765" s="8"/>
      <c r="L2765" s="8"/>
      <c r="M2765" s="8"/>
      <c r="N2765" s="8"/>
      <c r="O2765" s="8"/>
      <c r="P2765" s="8"/>
      <c r="Q2765" s="8"/>
      <c r="R2765" s="8"/>
      <c r="S2765" s="8"/>
      <c r="T2765" s="8"/>
      <c r="U2765" s="8"/>
      <c r="V2765" s="8"/>
      <c r="W2765" s="8"/>
    </row>
    <row r="2766" spans="1:23" ht="15.75" customHeight="1" x14ac:dyDescent="0.25">
      <c r="A2766" s="6" t="s">
        <v>3517</v>
      </c>
      <c r="B2766" s="8"/>
      <c r="C2766" s="8"/>
      <c r="D2766" s="8"/>
      <c r="E2766" s="8"/>
      <c r="F2766" s="8"/>
      <c r="G2766" s="8"/>
      <c r="H2766" s="8"/>
      <c r="I2766" s="8"/>
      <c r="J2766" s="8"/>
      <c r="K2766" s="8"/>
      <c r="L2766" s="8"/>
      <c r="M2766" s="8"/>
      <c r="N2766" s="8"/>
      <c r="O2766" s="8"/>
      <c r="P2766" s="8"/>
      <c r="Q2766" s="8"/>
      <c r="R2766" s="8"/>
      <c r="S2766" s="8"/>
      <c r="T2766" s="8"/>
      <c r="U2766" s="8"/>
      <c r="V2766" s="8"/>
      <c r="W2766" s="8"/>
    </row>
    <row r="2767" spans="1:23" ht="15.75" customHeight="1" x14ac:dyDescent="0.25">
      <c r="A2767" s="6" t="s">
        <v>3517</v>
      </c>
      <c r="B2767" s="8"/>
      <c r="C2767" s="8"/>
      <c r="D2767" s="8"/>
      <c r="E2767" s="8"/>
      <c r="F2767" s="8"/>
      <c r="G2767" s="8"/>
      <c r="H2767" s="8"/>
      <c r="I2767" s="8"/>
      <c r="J2767" s="8"/>
      <c r="K2767" s="8"/>
      <c r="L2767" s="8"/>
      <c r="M2767" s="8"/>
      <c r="N2767" s="8"/>
      <c r="O2767" s="8"/>
      <c r="P2767" s="8"/>
      <c r="Q2767" s="8"/>
      <c r="R2767" s="8"/>
      <c r="S2767" s="8"/>
      <c r="T2767" s="8"/>
      <c r="U2767" s="8"/>
      <c r="V2767" s="8"/>
      <c r="W2767" s="8"/>
    </row>
    <row r="2768" spans="1:23" ht="15.75" customHeight="1" x14ac:dyDescent="0.25">
      <c r="A2768" s="6" t="s">
        <v>3517</v>
      </c>
      <c r="B2768" s="8"/>
      <c r="C2768" s="8"/>
      <c r="D2768" s="8"/>
      <c r="E2768" s="8"/>
      <c r="F2768" s="8"/>
      <c r="G2768" s="8"/>
      <c r="H2768" s="8"/>
      <c r="I2768" s="8"/>
      <c r="J2768" s="8"/>
      <c r="K2768" s="8"/>
      <c r="L2768" s="8"/>
      <c r="M2768" s="8"/>
      <c r="N2768" s="8"/>
      <c r="O2768" s="8"/>
      <c r="P2768" s="8"/>
      <c r="Q2768" s="8"/>
      <c r="R2768" s="8"/>
      <c r="S2768" s="8"/>
      <c r="T2768" s="8"/>
      <c r="U2768" s="8"/>
      <c r="V2768" s="8"/>
      <c r="W2768" s="8"/>
    </row>
    <row r="2769" spans="1:23" ht="15.75" customHeight="1" x14ac:dyDescent="0.25">
      <c r="A2769" s="6" t="s">
        <v>3517</v>
      </c>
      <c r="B2769" s="8"/>
      <c r="C2769" s="8"/>
      <c r="D2769" s="8"/>
      <c r="E2769" s="8"/>
      <c r="F2769" s="8"/>
      <c r="G2769" s="8"/>
      <c r="H2769" s="8"/>
      <c r="I2769" s="8"/>
      <c r="J2769" s="8"/>
      <c r="K2769" s="8"/>
      <c r="L2769" s="8"/>
      <c r="M2769" s="8"/>
      <c r="N2769" s="8"/>
      <c r="O2769" s="8"/>
      <c r="P2769" s="8"/>
      <c r="Q2769" s="8"/>
      <c r="R2769" s="8"/>
      <c r="S2769" s="8"/>
      <c r="T2769" s="8"/>
      <c r="U2769" s="8"/>
      <c r="V2769" s="8"/>
      <c r="W2769" s="8"/>
    </row>
    <row r="2770" spans="1:23" ht="15.75" customHeight="1" x14ac:dyDescent="0.25">
      <c r="A2770" s="6" t="s">
        <v>3517</v>
      </c>
      <c r="B2770" s="8"/>
      <c r="C2770" s="8"/>
      <c r="D2770" s="8"/>
      <c r="E2770" s="8"/>
      <c r="F2770" s="8"/>
      <c r="G2770" s="8"/>
      <c r="H2770" s="8"/>
      <c r="I2770" s="8"/>
      <c r="J2770" s="8"/>
      <c r="K2770" s="8"/>
      <c r="L2770" s="8"/>
      <c r="M2770" s="8"/>
      <c r="N2770" s="8"/>
      <c r="O2770" s="8"/>
      <c r="P2770" s="8"/>
      <c r="Q2770" s="8"/>
      <c r="R2770" s="8"/>
      <c r="S2770" s="8"/>
      <c r="T2770" s="8"/>
      <c r="U2770" s="8"/>
      <c r="V2770" s="8"/>
      <c r="W2770" s="8"/>
    </row>
    <row r="2771" spans="1:23" ht="15.75" customHeight="1" x14ac:dyDescent="0.25">
      <c r="A2771" s="6" t="s">
        <v>3999</v>
      </c>
      <c r="B2771" s="8"/>
      <c r="C2771" s="8"/>
      <c r="D2771" s="8"/>
      <c r="E2771" s="8"/>
      <c r="F2771" s="8"/>
      <c r="G2771" s="8"/>
      <c r="H2771" s="8"/>
      <c r="I2771" s="8"/>
      <c r="J2771" s="8"/>
      <c r="K2771" s="8"/>
      <c r="L2771" s="8"/>
      <c r="M2771" s="8"/>
      <c r="N2771" s="8"/>
      <c r="O2771" s="8"/>
      <c r="P2771" s="8"/>
      <c r="Q2771" s="8"/>
      <c r="R2771" s="8"/>
      <c r="S2771" s="8"/>
      <c r="T2771" s="8"/>
      <c r="U2771" s="8"/>
      <c r="V2771" s="8"/>
      <c r="W2771" s="8"/>
    </row>
    <row r="2772" spans="1:23" ht="15.75" customHeight="1" x14ac:dyDescent="0.25">
      <c r="A2772" s="6" t="s">
        <v>3999</v>
      </c>
      <c r="B2772" s="8"/>
      <c r="C2772" s="8"/>
      <c r="D2772" s="8"/>
      <c r="E2772" s="8"/>
      <c r="F2772" s="8"/>
      <c r="G2772" s="8"/>
      <c r="H2772" s="8"/>
      <c r="I2772" s="8"/>
      <c r="J2772" s="8"/>
      <c r="K2772" s="8"/>
      <c r="L2772" s="8"/>
      <c r="M2772" s="8"/>
      <c r="N2772" s="8"/>
      <c r="O2772" s="8"/>
      <c r="P2772" s="8"/>
      <c r="Q2772" s="8"/>
      <c r="R2772" s="8"/>
      <c r="S2772" s="8"/>
      <c r="T2772" s="8"/>
      <c r="U2772" s="8"/>
      <c r="V2772" s="8"/>
      <c r="W2772" s="8"/>
    </row>
    <row r="2773" spans="1:23" ht="15.75" customHeight="1" x14ac:dyDescent="0.25">
      <c r="A2773" s="6" t="s">
        <v>3569</v>
      </c>
      <c r="B2773" s="8"/>
      <c r="C2773" s="8"/>
      <c r="D2773" s="8"/>
      <c r="E2773" s="8"/>
      <c r="F2773" s="8"/>
      <c r="G2773" s="8"/>
      <c r="H2773" s="8"/>
      <c r="I2773" s="8"/>
      <c r="J2773" s="8"/>
      <c r="K2773" s="8"/>
      <c r="L2773" s="8"/>
      <c r="M2773" s="8"/>
      <c r="N2773" s="8"/>
      <c r="O2773" s="8"/>
      <c r="P2773" s="8"/>
      <c r="Q2773" s="8"/>
      <c r="R2773" s="8"/>
      <c r="S2773" s="8"/>
      <c r="T2773" s="8"/>
      <c r="U2773" s="8"/>
      <c r="V2773" s="8"/>
      <c r="W2773" s="8"/>
    </row>
    <row r="2774" spans="1:23" ht="15.75" customHeight="1" x14ac:dyDescent="0.25">
      <c r="A2774" s="6" t="s">
        <v>3569</v>
      </c>
      <c r="B2774" s="8"/>
      <c r="C2774" s="8"/>
      <c r="D2774" s="8"/>
      <c r="E2774" s="8"/>
      <c r="F2774" s="8"/>
      <c r="G2774" s="8"/>
      <c r="H2774" s="8"/>
      <c r="I2774" s="8"/>
      <c r="J2774" s="8"/>
      <c r="K2774" s="8"/>
      <c r="L2774" s="8"/>
      <c r="M2774" s="8"/>
      <c r="N2774" s="8"/>
      <c r="O2774" s="8"/>
      <c r="P2774" s="8"/>
      <c r="Q2774" s="8"/>
      <c r="R2774" s="8"/>
      <c r="S2774" s="8"/>
      <c r="T2774" s="8"/>
      <c r="U2774" s="8"/>
      <c r="V2774" s="8"/>
      <c r="W2774" s="8"/>
    </row>
    <row r="2775" spans="1:23" ht="15.75" customHeight="1" x14ac:dyDescent="0.25">
      <c r="A2775" s="6" t="s">
        <v>3569</v>
      </c>
      <c r="B2775" s="8"/>
      <c r="C2775" s="8"/>
      <c r="D2775" s="8"/>
      <c r="E2775" s="8"/>
      <c r="F2775" s="8"/>
      <c r="G2775" s="8"/>
      <c r="H2775" s="8"/>
      <c r="I2775" s="8"/>
      <c r="J2775" s="8"/>
      <c r="K2775" s="8"/>
      <c r="L2775" s="8"/>
      <c r="M2775" s="8"/>
      <c r="N2775" s="8"/>
      <c r="O2775" s="8"/>
      <c r="P2775" s="8"/>
      <c r="Q2775" s="8"/>
      <c r="R2775" s="8"/>
      <c r="S2775" s="8"/>
      <c r="T2775" s="8"/>
      <c r="U2775" s="8"/>
      <c r="V2775" s="8"/>
      <c r="W2775" s="8"/>
    </row>
    <row r="2776" spans="1:23" ht="15.75" customHeight="1" x14ac:dyDescent="0.25">
      <c r="A2776" s="6" t="s">
        <v>3569</v>
      </c>
      <c r="B2776" s="8"/>
      <c r="C2776" s="8"/>
      <c r="D2776" s="8"/>
      <c r="E2776" s="8"/>
      <c r="F2776" s="8"/>
      <c r="G2776" s="8"/>
      <c r="H2776" s="8"/>
      <c r="I2776" s="8"/>
      <c r="J2776" s="8"/>
      <c r="K2776" s="8"/>
      <c r="L2776" s="8"/>
      <c r="M2776" s="8"/>
      <c r="N2776" s="8"/>
      <c r="O2776" s="8"/>
      <c r="P2776" s="8"/>
      <c r="Q2776" s="8"/>
      <c r="R2776" s="8"/>
      <c r="S2776" s="8"/>
      <c r="T2776" s="8"/>
      <c r="U2776" s="8"/>
      <c r="V2776" s="8"/>
      <c r="W2776" s="8"/>
    </row>
    <row r="2777" spans="1:23" ht="15.75" customHeight="1" x14ac:dyDescent="0.25">
      <c r="A2777" s="6" t="s">
        <v>3569</v>
      </c>
      <c r="B2777" s="8"/>
      <c r="C2777" s="8"/>
      <c r="D2777" s="8"/>
      <c r="E2777" s="8"/>
      <c r="F2777" s="8"/>
      <c r="G2777" s="8"/>
      <c r="H2777" s="8"/>
      <c r="I2777" s="8"/>
      <c r="J2777" s="8"/>
      <c r="K2777" s="8"/>
      <c r="L2777" s="8"/>
      <c r="M2777" s="8"/>
      <c r="N2777" s="8"/>
      <c r="O2777" s="8"/>
      <c r="P2777" s="8"/>
      <c r="Q2777" s="8"/>
      <c r="R2777" s="8"/>
      <c r="S2777" s="8"/>
      <c r="T2777" s="8"/>
      <c r="U2777" s="8"/>
      <c r="V2777" s="8"/>
      <c r="W2777" s="8"/>
    </row>
    <row r="2778" spans="1:23" ht="15.75" customHeight="1" x14ac:dyDescent="0.25">
      <c r="A2778" s="8" t="s">
        <v>4318</v>
      </c>
      <c r="B2778" s="8"/>
      <c r="C2778" s="8"/>
      <c r="D2778" s="8"/>
      <c r="E2778" s="8"/>
      <c r="F2778" s="8"/>
      <c r="G2778" s="8"/>
      <c r="H2778" s="8"/>
      <c r="I2778" s="8"/>
      <c r="J2778" s="8"/>
      <c r="K2778" s="8"/>
      <c r="L2778" s="8"/>
      <c r="M2778" s="8"/>
      <c r="N2778" s="8"/>
      <c r="O2778" s="8"/>
      <c r="P2778" s="8"/>
      <c r="Q2778" s="8"/>
      <c r="R2778" s="8"/>
      <c r="S2778" s="8"/>
      <c r="T2778" s="8"/>
      <c r="U2778" s="8"/>
      <c r="V2778" s="8"/>
      <c r="W2778" s="8"/>
    </row>
    <row r="2779" spans="1:23" ht="15.75" customHeight="1" x14ac:dyDescent="0.25">
      <c r="A2779" s="6" t="s">
        <v>4000</v>
      </c>
      <c r="B2779" s="8"/>
      <c r="C2779" s="8"/>
      <c r="D2779" s="8"/>
      <c r="E2779" s="8"/>
      <c r="F2779" s="8"/>
      <c r="G2779" s="8"/>
      <c r="H2779" s="8"/>
      <c r="I2779" s="8"/>
      <c r="J2779" s="8"/>
      <c r="K2779" s="8"/>
      <c r="L2779" s="8"/>
      <c r="M2779" s="8"/>
      <c r="N2779" s="8"/>
      <c r="O2779" s="8"/>
      <c r="P2779" s="8"/>
      <c r="Q2779" s="8"/>
      <c r="R2779" s="8"/>
      <c r="S2779" s="8"/>
      <c r="T2779" s="8"/>
      <c r="U2779" s="8"/>
      <c r="V2779" s="8"/>
      <c r="W2779" s="8"/>
    </row>
    <row r="2780" spans="1:23" ht="15.75" customHeight="1" x14ac:dyDescent="0.25">
      <c r="A2780" s="6" t="s">
        <v>4000</v>
      </c>
      <c r="B2780" s="8"/>
      <c r="C2780" s="8"/>
      <c r="D2780" s="8"/>
      <c r="E2780" s="8"/>
      <c r="F2780" s="8"/>
      <c r="G2780" s="8"/>
      <c r="H2780" s="8"/>
      <c r="I2780" s="8"/>
      <c r="J2780" s="8"/>
      <c r="K2780" s="8"/>
      <c r="L2780" s="8"/>
      <c r="M2780" s="8"/>
      <c r="N2780" s="8"/>
      <c r="O2780" s="8"/>
      <c r="P2780" s="8"/>
      <c r="Q2780" s="8"/>
      <c r="R2780" s="8"/>
      <c r="S2780" s="8"/>
      <c r="T2780" s="8"/>
      <c r="U2780" s="8"/>
      <c r="V2780" s="8"/>
      <c r="W2780" s="8"/>
    </row>
    <row r="2781" spans="1:23" ht="15.75" customHeight="1" x14ac:dyDescent="0.25">
      <c r="A2781" s="6" t="s">
        <v>4319</v>
      </c>
      <c r="B2781" s="8"/>
      <c r="C2781" s="8"/>
      <c r="D2781" s="8"/>
      <c r="E2781" s="8"/>
      <c r="F2781" s="8"/>
      <c r="G2781" s="8"/>
      <c r="H2781" s="8"/>
      <c r="I2781" s="8"/>
      <c r="J2781" s="8"/>
      <c r="K2781" s="8"/>
      <c r="L2781" s="8"/>
      <c r="M2781" s="8"/>
      <c r="N2781" s="8"/>
      <c r="O2781" s="8"/>
      <c r="P2781" s="8"/>
      <c r="Q2781" s="8"/>
      <c r="R2781" s="8"/>
      <c r="S2781" s="8"/>
      <c r="T2781" s="8"/>
      <c r="U2781" s="8"/>
      <c r="V2781" s="8"/>
      <c r="W2781" s="8"/>
    </row>
    <row r="2782" spans="1:23" ht="15.75" customHeight="1" x14ac:dyDescent="0.25">
      <c r="A2782" s="6" t="s">
        <v>3270</v>
      </c>
      <c r="B2782" s="8"/>
      <c r="C2782" s="8"/>
      <c r="D2782" s="8"/>
      <c r="E2782" s="8"/>
      <c r="F2782" s="8"/>
      <c r="G2782" s="8"/>
      <c r="H2782" s="8"/>
      <c r="I2782" s="8"/>
      <c r="J2782" s="8"/>
      <c r="K2782" s="8"/>
      <c r="L2782" s="8"/>
      <c r="M2782" s="8"/>
      <c r="N2782" s="8"/>
      <c r="O2782" s="8"/>
      <c r="P2782" s="8"/>
      <c r="Q2782" s="8"/>
      <c r="R2782" s="8"/>
      <c r="S2782" s="8"/>
      <c r="T2782" s="8"/>
      <c r="U2782" s="8"/>
      <c r="V2782" s="8"/>
      <c r="W2782" s="8"/>
    </row>
    <row r="2783" spans="1:23" ht="15.75" customHeight="1" x14ac:dyDescent="0.25">
      <c r="A2783" s="6" t="s">
        <v>3270</v>
      </c>
      <c r="B2783" s="8"/>
      <c r="C2783" s="8"/>
      <c r="D2783" s="8"/>
      <c r="E2783" s="8"/>
      <c r="F2783" s="8"/>
      <c r="G2783" s="8"/>
      <c r="H2783" s="8"/>
      <c r="I2783" s="8"/>
      <c r="J2783" s="8"/>
      <c r="K2783" s="8"/>
      <c r="L2783" s="8"/>
      <c r="M2783" s="8"/>
      <c r="N2783" s="8"/>
      <c r="O2783" s="8"/>
      <c r="P2783" s="8"/>
      <c r="Q2783" s="8"/>
      <c r="R2783" s="8"/>
      <c r="S2783" s="8"/>
      <c r="T2783" s="8"/>
      <c r="U2783" s="8"/>
      <c r="V2783" s="8"/>
      <c r="W2783" s="8"/>
    </row>
    <row r="2784" spans="1:23" ht="15.75" customHeight="1" x14ac:dyDescent="0.25">
      <c r="A2784" s="6" t="s">
        <v>3270</v>
      </c>
      <c r="B2784" s="8"/>
      <c r="C2784" s="8"/>
      <c r="D2784" s="8"/>
      <c r="E2784" s="8"/>
      <c r="F2784" s="8"/>
      <c r="G2784" s="8"/>
      <c r="H2784" s="8"/>
      <c r="I2784" s="8"/>
      <c r="J2784" s="8"/>
      <c r="K2784" s="8"/>
      <c r="L2784" s="8"/>
      <c r="M2784" s="8"/>
      <c r="N2784" s="8"/>
      <c r="O2784" s="8"/>
      <c r="P2784" s="8"/>
      <c r="Q2784" s="8"/>
      <c r="R2784" s="8"/>
      <c r="S2784" s="8"/>
      <c r="T2784" s="8"/>
      <c r="U2784" s="8"/>
      <c r="V2784" s="8"/>
      <c r="W2784" s="8"/>
    </row>
    <row r="2785" spans="1:23" ht="15.75" customHeight="1" x14ac:dyDescent="0.25">
      <c r="A2785" s="6" t="s">
        <v>3270</v>
      </c>
      <c r="B2785" s="8"/>
      <c r="C2785" s="8"/>
      <c r="D2785" s="8"/>
      <c r="E2785" s="8"/>
      <c r="F2785" s="8"/>
      <c r="G2785" s="8"/>
      <c r="H2785" s="8"/>
      <c r="I2785" s="8"/>
      <c r="J2785" s="8"/>
      <c r="K2785" s="8"/>
      <c r="L2785" s="8"/>
      <c r="M2785" s="8"/>
      <c r="N2785" s="8"/>
      <c r="O2785" s="8"/>
      <c r="P2785" s="8"/>
      <c r="Q2785" s="8"/>
      <c r="R2785" s="8"/>
      <c r="S2785" s="8"/>
      <c r="T2785" s="8"/>
      <c r="U2785" s="8"/>
      <c r="V2785" s="8"/>
      <c r="W2785" s="8"/>
    </row>
    <row r="2786" spans="1:23" ht="15.75" customHeight="1" x14ac:dyDescent="0.25">
      <c r="A2786" s="6" t="s">
        <v>3270</v>
      </c>
      <c r="B2786" s="8"/>
      <c r="C2786" s="8"/>
      <c r="D2786" s="8"/>
      <c r="E2786" s="8"/>
      <c r="F2786" s="8"/>
      <c r="G2786" s="8"/>
      <c r="H2786" s="8"/>
      <c r="I2786" s="8"/>
      <c r="J2786" s="8"/>
      <c r="K2786" s="8"/>
      <c r="L2786" s="8"/>
      <c r="M2786" s="8"/>
      <c r="N2786" s="8"/>
      <c r="O2786" s="8"/>
      <c r="P2786" s="8"/>
      <c r="Q2786" s="8"/>
      <c r="R2786" s="8"/>
      <c r="S2786" s="8"/>
      <c r="T2786" s="8"/>
      <c r="U2786" s="8"/>
      <c r="V2786" s="8"/>
      <c r="W2786" s="8"/>
    </row>
    <row r="2787" spans="1:23" ht="15.75" customHeight="1" x14ac:dyDescent="0.25">
      <c r="A2787" s="6" t="s">
        <v>3270</v>
      </c>
      <c r="B2787" s="8"/>
      <c r="C2787" s="8"/>
      <c r="D2787" s="8"/>
      <c r="E2787" s="8"/>
      <c r="F2787" s="8"/>
      <c r="G2787" s="8"/>
      <c r="H2787" s="8"/>
      <c r="I2787" s="8"/>
      <c r="J2787" s="8"/>
      <c r="K2787" s="8"/>
      <c r="L2787" s="8"/>
      <c r="M2787" s="8"/>
      <c r="N2787" s="8"/>
      <c r="O2787" s="8"/>
      <c r="P2787" s="8"/>
      <c r="Q2787" s="8"/>
      <c r="R2787" s="8"/>
      <c r="S2787" s="8"/>
      <c r="T2787" s="8"/>
      <c r="U2787" s="8"/>
      <c r="V2787" s="8"/>
      <c r="W2787" s="8"/>
    </row>
    <row r="2788" spans="1:23" ht="15.75" customHeight="1" x14ac:dyDescent="0.25">
      <c r="A2788" s="6" t="s">
        <v>3270</v>
      </c>
      <c r="B2788" s="8"/>
      <c r="C2788" s="8"/>
      <c r="D2788" s="8"/>
      <c r="E2788" s="8"/>
      <c r="F2788" s="8"/>
      <c r="G2788" s="8"/>
      <c r="H2788" s="8"/>
      <c r="I2788" s="8"/>
      <c r="J2788" s="8"/>
      <c r="K2788" s="8"/>
      <c r="L2788" s="8"/>
      <c r="M2788" s="8"/>
      <c r="N2788" s="8"/>
      <c r="O2788" s="8"/>
      <c r="P2788" s="8"/>
      <c r="Q2788" s="8"/>
      <c r="R2788" s="8"/>
      <c r="S2788" s="8"/>
      <c r="T2788" s="8"/>
      <c r="U2788" s="8"/>
      <c r="V2788" s="8"/>
      <c r="W2788" s="8"/>
    </row>
    <row r="2789" spans="1:23" ht="15.75" customHeight="1" x14ac:dyDescent="0.25">
      <c r="A2789" s="6" t="s">
        <v>3270</v>
      </c>
      <c r="B2789" s="8"/>
      <c r="C2789" s="8"/>
      <c r="D2789" s="8"/>
      <c r="E2789" s="8"/>
      <c r="F2789" s="8"/>
      <c r="G2789" s="8"/>
      <c r="H2789" s="8"/>
      <c r="I2789" s="8"/>
      <c r="J2789" s="8"/>
      <c r="K2789" s="8"/>
      <c r="L2789" s="8"/>
      <c r="M2789" s="8"/>
      <c r="N2789" s="8"/>
      <c r="O2789" s="8"/>
      <c r="P2789" s="8"/>
      <c r="Q2789" s="8"/>
      <c r="R2789" s="8"/>
      <c r="S2789" s="8"/>
      <c r="T2789" s="8"/>
      <c r="U2789" s="8"/>
      <c r="V2789" s="8"/>
      <c r="W2789" s="8"/>
    </row>
    <row r="2790" spans="1:23" ht="15.75" customHeight="1" x14ac:dyDescent="0.25">
      <c r="A2790" s="6" t="s">
        <v>3270</v>
      </c>
      <c r="B2790" s="8"/>
      <c r="C2790" s="8"/>
      <c r="D2790" s="8"/>
      <c r="E2790" s="8"/>
      <c r="F2790" s="8"/>
      <c r="G2790" s="8"/>
      <c r="H2790" s="8"/>
      <c r="I2790" s="8"/>
      <c r="J2790" s="8"/>
      <c r="K2790" s="8"/>
      <c r="L2790" s="8"/>
      <c r="M2790" s="8"/>
      <c r="N2790" s="8"/>
      <c r="O2790" s="8"/>
      <c r="P2790" s="8"/>
      <c r="Q2790" s="8"/>
      <c r="R2790" s="8"/>
      <c r="S2790" s="8"/>
      <c r="T2790" s="8"/>
      <c r="U2790" s="8"/>
      <c r="V2790" s="8"/>
      <c r="W2790" s="8"/>
    </row>
    <row r="2791" spans="1:23" ht="15.75" customHeight="1" x14ac:dyDescent="0.25">
      <c r="A2791" s="6" t="s">
        <v>3270</v>
      </c>
      <c r="B2791" s="8"/>
      <c r="C2791" s="8"/>
      <c r="D2791" s="8"/>
      <c r="E2791" s="8"/>
      <c r="F2791" s="8"/>
      <c r="G2791" s="8"/>
      <c r="H2791" s="8"/>
      <c r="I2791" s="8"/>
      <c r="J2791" s="8"/>
      <c r="K2791" s="8"/>
      <c r="L2791" s="8"/>
      <c r="M2791" s="8"/>
      <c r="N2791" s="8"/>
      <c r="O2791" s="8"/>
      <c r="P2791" s="8"/>
      <c r="Q2791" s="8"/>
      <c r="R2791" s="8"/>
      <c r="S2791" s="8"/>
      <c r="T2791" s="8"/>
      <c r="U2791" s="8"/>
      <c r="V2791" s="8"/>
      <c r="W2791" s="8"/>
    </row>
    <row r="2792" spans="1:23" ht="15.75" customHeight="1" x14ac:dyDescent="0.25">
      <c r="A2792" s="6" t="s">
        <v>3270</v>
      </c>
      <c r="B2792" s="8"/>
      <c r="C2792" s="8"/>
      <c r="D2792" s="8"/>
      <c r="E2792" s="8"/>
      <c r="F2792" s="8"/>
      <c r="G2792" s="8"/>
      <c r="H2792" s="8"/>
      <c r="I2792" s="8"/>
      <c r="J2792" s="8"/>
      <c r="K2792" s="8"/>
      <c r="L2792" s="8"/>
      <c r="M2792" s="8"/>
      <c r="N2792" s="8"/>
      <c r="O2792" s="8"/>
      <c r="P2792" s="8"/>
      <c r="Q2792" s="8"/>
      <c r="R2792" s="8"/>
      <c r="S2792" s="8"/>
      <c r="T2792" s="8"/>
      <c r="U2792" s="8"/>
      <c r="V2792" s="8"/>
      <c r="W2792" s="8"/>
    </row>
    <row r="2793" spans="1:23" ht="15.75" customHeight="1" x14ac:dyDescent="0.25">
      <c r="A2793" s="6" t="s">
        <v>3270</v>
      </c>
      <c r="B2793" s="8"/>
      <c r="C2793" s="8"/>
      <c r="D2793" s="8"/>
      <c r="E2793" s="8"/>
      <c r="F2793" s="8"/>
      <c r="G2793" s="8"/>
      <c r="H2793" s="8"/>
      <c r="I2793" s="8"/>
      <c r="J2793" s="8"/>
      <c r="K2793" s="8"/>
      <c r="L2793" s="8"/>
      <c r="M2793" s="8"/>
      <c r="N2793" s="8"/>
      <c r="O2793" s="8"/>
      <c r="P2793" s="8"/>
      <c r="Q2793" s="8"/>
      <c r="R2793" s="8"/>
      <c r="S2793" s="8"/>
      <c r="T2793" s="8"/>
      <c r="U2793" s="8"/>
      <c r="V2793" s="8"/>
      <c r="W2793" s="8"/>
    </row>
    <row r="2794" spans="1:23" ht="15.75" customHeight="1" x14ac:dyDescent="0.25">
      <c r="A2794" s="6" t="s">
        <v>3270</v>
      </c>
      <c r="B2794" s="8"/>
      <c r="C2794" s="8"/>
      <c r="D2794" s="8"/>
      <c r="E2794" s="8"/>
      <c r="F2794" s="8"/>
      <c r="G2794" s="8"/>
      <c r="H2794" s="8"/>
      <c r="I2794" s="8"/>
      <c r="J2794" s="8"/>
      <c r="K2794" s="8"/>
      <c r="L2794" s="8"/>
      <c r="M2794" s="8"/>
      <c r="N2794" s="8"/>
      <c r="O2794" s="8"/>
      <c r="P2794" s="8"/>
      <c r="Q2794" s="8"/>
      <c r="R2794" s="8"/>
      <c r="S2794" s="8"/>
      <c r="T2794" s="8"/>
      <c r="U2794" s="8"/>
      <c r="V2794" s="8"/>
      <c r="W2794" s="8"/>
    </row>
    <row r="2795" spans="1:23" ht="15.75" customHeight="1" x14ac:dyDescent="0.25">
      <c r="A2795" s="6" t="s">
        <v>3270</v>
      </c>
      <c r="B2795" s="8"/>
      <c r="C2795" s="8"/>
      <c r="D2795" s="8"/>
      <c r="E2795" s="8"/>
      <c r="F2795" s="8"/>
      <c r="G2795" s="8"/>
      <c r="H2795" s="8"/>
      <c r="I2795" s="8"/>
      <c r="J2795" s="8"/>
      <c r="K2795" s="8"/>
      <c r="L2795" s="8"/>
      <c r="M2795" s="8"/>
      <c r="N2795" s="8"/>
      <c r="O2795" s="8"/>
      <c r="P2795" s="8"/>
      <c r="Q2795" s="8"/>
      <c r="R2795" s="8"/>
      <c r="S2795" s="8"/>
      <c r="T2795" s="8"/>
      <c r="U2795" s="8"/>
      <c r="V2795" s="8"/>
      <c r="W2795" s="8"/>
    </row>
    <row r="2796" spans="1:23" ht="15.75" customHeight="1" x14ac:dyDescent="0.25">
      <c r="A2796" s="6" t="s">
        <v>3270</v>
      </c>
      <c r="B2796" s="8"/>
      <c r="C2796" s="8"/>
      <c r="D2796" s="8"/>
      <c r="E2796" s="8"/>
      <c r="F2796" s="8"/>
      <c r="G2796" s="8"/>
      <c r="H2796" s="8"/>
      <c r="I2796" s="8"/>
      <c r="J2796" s="8"/>
      <c r="K2796" s="8"/>
      <c r="L2796" s="8"/>
      <c r="M2796" s="8"/>
      <c r="N2796" s="8"/>
      <c r="O2796" s="8"/>
      <c r="P2796" s="8"/>
      <c r="Q2796" s="8"/>
      <c r="R2796" s="8"/>
      <c r="S2796" s="8"/>
      <c r="T2796" s="8"/>
      <c r="U2796" s="8"/>
      <c r="V2796" s="8"/>
      <c r="W2796" s="8"/>
    </row>
    <row r="2797" spans="1:23" ht="15.75" customHeight="1" x14ac:dyDescent="0.25">
      <c r="A2797" s="6" t="s">
        <v>3270</v>
      </c>
      <c r="B2797" s="8"/>
      <c r="C2797" s="8"/>
      <c r="D2797" s="8"/>
      <c r="E2797" s="8"/>
      <c r="F2797" s="8"/>
      <c r="G2797" s="8"/>
      <c r="H2797" s="8"/>
      <c r="I2797" s="8"/>
      <c r="J2797" s="8"/>
      <c r="K2797" s="8"/>
      <c r="L2797" s="8"/>
      <c r="M2797" s="8"/>
      <c r="N2797" s="8"/>
      <c r="O2797" s="8"/>
      <c r="P2797" s="8"/>
      <c r="Q2797" s="8"/>
      <c r="R2797" s="8"/>
      <c r="S2797" s="8"/>
      <c r="T2797" s="8"/>
      <c r="U2797" s="8"/>
      <c r="V2797" s="8"/>
      <c r="W2797" s="8"/>
    </row>
    <row r="2798" spans="1:23" ht="15.75" customHeight="1" x14ac:dyDescent="0.25">
      <c r="A2798" s="6" t="s">
        <v>3270</v>
      </c>
      <c r="B2798" s="8"/>
      <c r="C2798" s="8"/>
      <c r="D2798" s="8"/>
      <c r="E2798" s="8"/>
      <c r="F2798" s="8"/>
      <c r="G2798" s="8"/>
      <c r="H2798" s="8"/>
      <c r="I2798" s="8"/>
      <c r="J2798" s="8"/>
      <c r="K2798" s="8"/>
      <c r="L2798" s="8"/>
      <c r="M2798" s="8"/>
      <c r="N2798" s="8"/>
      <c r="O2798" s="8"/>
      <c r="P2798" s="8"/>
      <c r="Q2798" s="8"/>
      <c r="R2798" s="8"/>
      <c r="S2798" s="8"/>
      <c r="T2798" s="8"/>
      <c r="U2798" s="8"/>
      <c r="V2798" s="8"/>
      <c r="W2798" s="8"/>
    </row>
    <row r="2799" spans="1:23" ht="15.75" customHeight="1" x14ac:dyDescent="0.25">
      <c r="A2799" s="6" t="s">
        <v>3270</v>
      </c>
      <c r="B2799" s="8"/>
      <c r="C2799" s="8"/>
      <c r="D2799" s="8"/>
      <c r="E2799" s="8"/>
      <c r="F2799" s="8"/>
      <c r="G2799" s="8"/>
      <c r="H2799" s="8"/>
      <c r="I2799" s="8"/>
      <c r="J2799" s="8"/>
      <c r="K2799" s="8"/>
      <c r="L2799" s="8"/>
      <c r="M2799" s="8"/>
      <c r="N2799" s="8"/>
      <c r="O2799" s="8"/>
      <c r="P2799" s="8"/>
      <c r="Q2799" s="8"/>
      <c r="R2799" s="8"/>
      <c r="S2799" s="8"/>
      <c r="T2799" s="8"/>
      <c r="U2799" s="8"/>
      <c r="V2799" s="8"/>
      <c r="W2799" s="8"/>
    </row>
    <row r="2800" spans="1:23" ht="15.75" customHeight="1" x14ac:dyDescent="0.25">
      <c r="A2800" s="6" t="s">
        <v>3270</v>
      </c>
      <c r="B2800" s="8"/>
      <c r="C2800" s="8"/>
      <c r="D2800" s="8"/>
      <c r="E2800" s="8"/>
      <c r="F2800" s="8"/>
      <c r="G2800" s="8"/>
      <c r="H2800" s="8"/>
      <c r="I2800" s="8"/>
      <c r="J2800" s="8"/>
      <c r="K2800" s="8"/>
      <c r="L2800" s="8"/>
      <c r="M2800" s="8"/>
      <c r="N2800" s="8"/>
      <c r="O2800" s="8"/>
      <c r="P2800" s="8"/>
      <c r="Q2800" s="8"/>
      <c r="R2800" s="8"/>
      <c r="S2800" s="8"/>
      <c r="T2800" s="8"/>
      <c r="U2800" s="8"/>
      <c r="V2800" s="8"/>
      <c r="W2800" s="8"/>
    </row>
    <row r="2801" spans="1:23" ht="15.75" customHeight="1" x14ac:dyDescent="0.25">
      <c r="A2801" s="6" t="s">
        <v>3270</v>
      </c>
      <c r="B2801" s="8"/>
      <c r="C2801" s="8"/>
      <c r="D2801" s="8"/>
      <c r="E2801" s="8"/>
      <c r="F2801" s="8"/>
      <c r="G2801" s="8"/>
      <c r="H2801" s="8"/>
      <c r="I2801" s="8"/>
      <c r="J2801" s="8"/>
      <c r="K2801" s="8"/>
      <c r="L2801" s="8"/>
      <c r="M2801" s="8"/>
      <c r="N2801" s="8"/>
      <c r="O2801" s="8"/>
      <c r="P2801" s="8"/>
      <c r="Q2801" s="8"/>
      <c r="R2801" s="8"/>
      <c r="S2801" s="8"/>
      <c r="T2801" s="8"/>
      <c r="U2801" s="8"/>
      <c r="V2801" s="8"/>
      <c r="W2801" s="8"/>
    </row>
    <row r="2802" spans="1:23" ht="15.75" customHeight="1" x14ac:dyDescent="0.25">
      <c r="A2802" s="6" t="s">
        <v>3243</v>
      </c>
      <c r="B2802" s="8"/>
      <c r="C2802" s="8"/>
      <c r="D2802" s="8"/>
      <c r="E2802" s="8"/>
      <c r="F2802" s="8"/>
      <c r="G2802" s="8"/>
      <c r="H2802" s="8"/>
      <c r="I2802" s="8"/>
      <c r="J2802" s="8"/>
      <c r="K2802" s="8"/>
      <c r="L2802" s="8"/>
      <c r="M2802" s="8"/>
      <c r="N2802" s="8"/>
      <c r="O2802" s="8"/>
      <c r="P2802" s="8"/>
      <c r="Q2802" s="8"/>
      <c r="R2802" s="8"/>
      <c r="S2802" s="8"/>
      <c r="T2802" s="8"/>
      <c r="U2802" s="8"/>
      <c r="V2802" s="8"/>
      <c r="W2802" s="8"/>
    </row>
    <row r="2803" spans="1:23" ht="15.75" customHeight="1" x14ac:dyDescent="0.25">
      <c r="A2803" s="6" t="s">
        <v>3243</v>
      </c>
      <c r="B2803" s="8"/>
      <c r="C2803" s="8"/>
      <c r="D2803" s="8"/>
      <c r="E2803" s="8"/>
      <c r="F2803" s="8"/>
      <c r="G2803" s="8"/>
      <c r="H2803" s="8"/>
      <c r="I2803" s="8"/>
      <c r="J2803" s="8"/>
      <c r="K2803" s="8"/>
      <c r="L2803" s="8"/>
      <c r="M2803" s="8"/>
      <c r="N2803" s="8"/>
      <c r="O2803" s="8"/>
      <c r="P2803" s="8"/>
      <c r="Q2803" s="8"/>
      <c r="R2803" s="8"/>
      <c r="S2803" s="8"/>
      <c r="T2803" s="8"/>
      <c r="U2803" s="8"/>
      <c r="V2803" s="8"/>
      <c r="W2803" s="8"/>
    </row>
    <row r="2804" spans="1:23" ht="15.75" customHeight="1" x14ac:dyDescent="0.25">
      <c r="A2804" s="6" t="s">
        <v>3243</v>
      </c>
      <c r="B2804" s="8"/>
      <c r="C2804" s="8"/>
      <c r="D2804" s="8"/>
      <c r="E2804" s="8"/>
      <c r="F2804" s="8"/>
      <c r="G2804" s="8"/>
      <c r="H2804" s="8"/>
      <c r="I2804" s="8"/>
      <c r="J2804" s="8"/>
      <c r="K2804" s="8"/>
      <c r="L2804" s="8"/>
      <c r="M2804" s="8"/>
      <c r="N2804" s="8"/>
      <c r="O2804" s="8"/>
      <c r="P2804" s="8"/>
      <c r="Q2804" s="8"/>
      <c r="R2804" s="8"/>
      <c r="S2804" s="8"/>
      <c r="T2804" s="8"/>
      <c r="U2804" s="8"/>
      <c r="V2804" s="8"/>
      <c r="W2804" s="8"/>
    </row>
    <row r="2805" spans="1:23" ht="15.75" customHeight="1" x14ac:dyDescent="0.25">
      <c r="A2805" s="6" t="s">
        <v>3243</v>
      </c>
      <c r="B2805" s="8"/>
      <c r="C2805" s="8"/>
      <c r="D2805" s="8"/>
      <c r="E2805" s="8"/>
      <c r="F2805" s="8"/>
      <c r="G2805" s="8"/>
      <c r="H2805" s="8"/>
      <c r="I2805" s="8"/>
      <c r="J2805" s="8"/>
      <c r="K2805" s="8"/>
      <c r="L2805" s="8"/>
      <c r="M2805" s="8"/>
      <c r="N2805" s="8"/>
      <c r="O2805" s="8"/>
      <c r="P2805" s="8"/>
      <c r="Q2805" s="8"/>
      <c r="R2805" s="8"/>
      <c r="S2805" s="8"/>
      <c r="T2805" s="8"/>
      <c r="U2805" s="8"/>
      <c r="V2805" s="8"/>
      <c r="W2805" s="8"/>
    </row>
    <row r="2806" spans="1:23" ht="15.75" customHeight="1" x14ac:dyDescent="0.25">
      <c r="A2806" s="6" t="s">
        <v>3243</v>
      </c>
      <c r="B2806" s="8"/>
      <c r="C2806" s="8"/>
      <c r="D2806" s="8"/>
      <c r="E2806" s="8"/>
      <c r="F2806" s="8"/>
      <c r="G2806" s="8"/>
      <c r="H2806" s="8"/>
      <c r="I2806" s="8"/>
      <c r="J2806" s="8"/>
      <c r="K2806" s="8"/>
      <c r="L2806" s="8"/>
      <c r="M2806" s="8"/>
      <c r="N2806" s="8"/>
      <c r="O2806" s="8"/>
      <c r="P2806" s="8"/>
      <c r="Q2806" s="8"/>
      <c r="R2806" s="8"/>
      <c r="S2806" s="8"/>
      <c r="T2806" s="8"/>
      <c r="U2806" s="8"/>
      <c r="V2806" s="8"/>
      <c r="W2806" s="8"/>
    </row>
    <row r="2807" spans="1:23" ht="15.75" customHeight="1" x14ac:dyDescent="0.25">
      <c r="A2807" s="6" t="s">
        <v>3243</v>
      </c>
      <c r="B2807" s="8"/>
      <c r="C2807" s="8"/>
      <c r="D2807" s="8"/>
      <c r="E2807" s="8"/>
      <c r="F2807" s="8"/>
      <c r="G2807" s="8"/>
      <c r="H2807" s="8"/>
      <c r="I2807" s="8"/>
      <c r="J2807" s="8"/>
      <c r="K2807" s="8"/>
      <c r="L2807" s="8"/>
      <c r="M2807" s="8"/>
      <c r="N2807" s="8"/>
      <c r="O2807" s="8"/>
      <c r="P2807" s="8"/>
      <c r="Q2807" s="8"/>
      <c r="R2807" s="8"/>
      <c r="S2807" s="8"/>
      <c r="T2807" s="8"/>
      <c r="U2807" s="8"/>
      <c r="V2807" s="8"/>
      <c r="W2807" s="8"/>
    </row>
    <row r="2808" spans="1:23" ht="15.75" customHeight="1" x14ac:dyDescent="0.25">
      <c r="A2808" s="6" t="s">
        <v>3243</v>
      </c>
      <c r="B2808" s="8"/>
      <c r="C2808" s="8"/>
      <c r="D2808" s="8"/>
      <c r="E2808" s="8"/>
      <c r="F2808" s="8"/>
      <c r="G2808" s="8"/>
      <c r="H2808" s="8"/>
      <c r="I2808" s="8"/>
      <c r="J2808" s="8"/>
      <c r="K2808" s="8"/>
      <c r="L2808" s="8"/>
      <c r="M2808" s="8"/>
      <c r="N2808" s="8"/>
      <c r="O2808" s="8"/>
      <c r="P2808" s="8"/>
      <c r="Q2808" s="8"/>
      <c r="R2808" s="8"/>
      <c r="S2808" s="8"/>
      <c r="T2808" s="8"/>
      <c r="U2808" s="8"/>
      <c r="V2808" s="8"/>
      <c r="W2808" s="8"/>
    </row>
    <row r="2809" spans="1:23" ht="15.75" customHeight="1" x14ac:dyDescent="0.25">
      <c r="A2809" s="6" t="s">
        <v>3243</v>
      </c>
      <c r="B2809" s="8"/>
      <c r="C2809" s="8"/>
      <c r="D2809" s="8"/>
      <c r="E2809" s="8"/>
      <c r="F2809" s="8"/>
      <c r="G2809" s="8"/>
      <c r="H2809" s="8"/>
      <c r="I2809" s="8"/>
      <c r="J2809" s="8"/>
      <c r="K2809" s="8"/>
      <c r="L2809" s="8"/>
      <c r="M2809" s="8"/>
      <c r="N2809" s="8"/>
      <c r="O2809" s="8"/>
      <c r="P2809" s="8"/>
      <c r="Q2809" s="8"/>
      <c r="R2809" s="8"/>
      <c r="S2809" s="8"/>
      <c r="T2809" s="8"/>
      <c r="U2809" s="8"/>
      <c r="V2809" s="8"/>
      <c r="W2809" s="8"/>
    </row>
    <row r="2810" spans="1:23" ht="15.75" customHeight="1" x14ac:dyDescent="0.25">
      <c r="A2810" s="6" t="s">
        <v>3243</v>
      </c>
      <c r="B2810" s="8"/>
      <c r="C2810" s="8"/>
      <c r="D2810" s="8"/>
      <c r="E2810" s="8"/>
      <c r="F2810" s="8"/>
      <c r="G2810" s="8"/>
      <c r="H2810" s="8"/>
      <c r="I2810" s="8"/>
      <c r="J2810" s="8"/>
      <c r="K2810" s="8"/>
      <c r="L2810" s="8"/>
      <c r="M2810" s="8"/>
      <c r="N2810" s="8"/>
      <c r="O2810" s="8"/>
      <c r="P2810" s="8"/>
      <c r="Q2810" s="8"/>
      <c r="R2810" s="8"/>
      <c r="S2810" s="8"/>
      <c r="T2810" s="8"/>
      <c r="U2810" s="8"/>
      <c r="V2810" s="8"/>
      <c r="W2810" s="8"/>
    </row>
    <row r="2811" spans="1:23" ht="15.75" customHeight="1" x14ac:dyDescent="0.25">
      <c r="A2811" s="6" t="s">
        <v>3243</v>
      </c>
      <c r="B2811" s="8"/>
      <c r="C2811" s="8"/>
      <c r="D2811" s="8"/>
      <c r="E2811" s="8"/>
      <c r="F2811" s="8"/>
      <c r="G2811" s="8"/>
      <c r="H2811" s="8"/>
      <c r="I2811" s="8"/>
      <c r="J2811" s="8"/>
      <c r="K2811" s="8"/>
      <c r="L2811" s="8"/>
      <c r="M2811" s="8"/>
      <c r="N2811" s="8"/>
      <c r="O2811" s="8"/>
      <c r="P2811" s="8"/>
      <c r="Q2811" s="8"/>
      <c r="R2811" s="8"/>
      <c r="S2811" s="8"/>
      <c r="T2811" s="8"/>
      <c r="U2811" s="8"/>
      <c r="V2811" s="8"/>
      <c r="W2811" s="8"/>
    </row>
    <row r="2812" spans="1:23" ht="15.75" customHeight="1" x14ac:dyDescent="0.25">
      <c r="A2812" s="6" t="s">
        <v>3243</v>
      </c>
      <c r="B2812" s="8"/>
      <c r="C2812" s="8"/>
      <c r="D2812" s="8"/>
      <c r="E2812" s="8"/>
      <c r="F2812" s="8"/>
      <c r="G2812" s="8"/>
      <c r="H2812" s="8"/>
      <c r="I2812" s="8"/>
      <c r="J2812" s="8"/>
      <c r="K2812" s="8"/>
      <c r="L2812" s="8"/>
      <c r="M2812" s="8"/>
      <c r="N2812" s="8"/>
      <c r="O2812" s="8"/>
      <c r="P2812" s="8"/>
      <c r="Q2812" s="8"/>
      <c r="R2812" s="8"/>
      <c r="S2812" s="8"/>
      <c r="T2812" s="8"/>
      <c r="U2812" s="8"/>
      <c r="V2812" s="8"/>
      <c r="W2812" s="8"/>
    </row>
    <row r="2813" spans="1:23" ht="15.75" customHeight="1" x14ac:dyDescent="0.25">
      <c r="A2813" s="6" t="s">
        <v>3243</v>
      </c>
      <c r="B2813" s="8"/>
      <c r="C2813" s="8"/>
      <c r="D2813" s="8"/>
      <c r="E2813" s="8"/>
      <c r="F2813" s="8"/>
      <c r="G2813" s="8"/>
      <c r="H2813" s="8"/>
      <c r="I2813" s="8"/>
      <c r="J2813" s="8"/>
      <c r="K2813" s="8"/>
      <c r="L2813" s="8"/>
      <c r="M2813" s="8"/>
      <c r="N2813" s="8"/>
      <c r="O2813" s="8"/>
      <c r="P2813" s="8"/>
      <c r="Q2813" s="8"/>
      <c r="R2813" s="8"/>
      <c r="S2813" s="8"/>
      <c r="T2813" s="8"/>
      <c r="U2813" s="8"/>
      <c r="V2813" s="8"/>
      <c r="W2813" s="8"/>
    </row>
    <row r="2814" spans="1:23" ht="15.75" customHeight="1" x14ac:dyDescent="0.25">
      <c r="A2814" s="6" t="s">
        <v>3243</v>
      </c>
      <c r="B2814" s="8"/>
      <c r="C2814" s="8"/>
      <c r="D2814" s="8"/>
      <c r="E2814" s="8"/>
      <c r="F2814" s="8"/>
      <c r="G2814" s="8"/>
      <c r="H2814" s="8"/>
      <c r="I2814" s="8"/>
      <c r="J2814" s="8"/>
      <c r="K2814" s="8"/>
      <c r="L2814" s="8"/>
      <c r="M2814" s="8"/>
      <c r="N2814" s="8"/>
      <c r="O2814" s="8"/>
      <c r="P2814" s="8"/>
      <c r="Q2814" s="8"/>
      <c r="R2814" s="8"/>
      <c r="S2814" s="8"/>
      <c r="T2814" s="8"/>
      <c r="U2814" s="8"/>
      <c r="V2814" s="8"/>
      <c r="W2814" s="8"/>
    </row>
    <row r="2815" spans="1:23" ht="15.75" customHeight="1" x14ac:dyDescent="0.25">
      <c r="A2815" s="6" t="s">
        <v>3243</v>
      </c>
      <c r="B2815" s="8"/>
      <c r="C2815" s="8"/>
      <c r="D2815" s="8"/>
      <c r="E2815" s="8"/>
      <c r="F2815" s="8"/>
      <c r="G2815" s="8"/>
      <c r="H2815" s="8"/>
      <c r="I2815" s="8"/>
      <c r="J2815" s="8"/>
      <c r="K2815" s="8"/>
      <c r="L2815" s="8"/>
      <c r="M2815" s="8"/>
      <c r="N2815" s="8"/>
      <c r="O2815" s="8"/>
      <c r="P2815" s="8"/>
      <c r="Q2815" s="8"/>
      <c r="R2815" s="8"/>
      <c r="S2815" s="8"/>
      <c r="T2815" s="8"/>
      <c r="U2815" s="8"/>
      <c r="V2815" s="8"/>
      <c r="W2815" s="8"/>
    </row>
    <row r="2816" spans="1:23" ht="15.75" customHeight="1" x14ac:dyDescent="0.25">
      <c r="A2816" s="6" t="s">
        <v>3243</v>
      </c>
      <c r="B2816" s="8"/>
      <c r="C2816" s="8"/>
      <c r="D2816" s="8"/>
      <c r="E2816" s="8"/>
      <c r="F2816" s="8"/>
      <c r="G2816" s="8"/>
      <c r="H2816" s="8"/>
      <c r="I2816" s="8"/>
      <c r="J2816" s="8"/>
      <c r="K2816" s="8"/>
      <c r="L2816" s="8"/>
      <c r="M2816" s="8"/>
      <c r="N2816" s="8"/>
      <c r="O2816" s="8"/>
      <c r="P2816" s="8"/>
      <c r="Q2816" s="8"/>
      <c r="R2816" s="8"/>
      <c r="S2816" s="8"/>
      <c r="T2816" s="8"/>
      <c r="U2816" s="8"/>
      <c r="V2816" s="8"/>
      <c r="W2816" s="8"/>
    </row>
    <row r="2817" spans="1:23" ht="15.75" customHeight="1" x14ac:dyDescent="0.25">
      <c r="A2817" s="6" t="s">
        <v>3243</v>
      </c>
      <c r="B2817" s="8"/>
      <c r="C2817" s="8"/>
      <c r="D2817" s="8"/>
      <c r="E2817" s="8"/>
      <c r="F2817" s="8"/>
      <c r="G2817" s="8"/>
      <c r="H2817" s="8"/>
      <c r="I2817" s="8"/>
      <c r="J2817" s="8"/>
      <c r="K2817" s="8"/>
      <c r="L2817" s="8"/>
      <c r="M2817" s="8"/>
      <c r="N2817" s="8"/>
      <c r="O2817" s="8"/>
      <c r="P2817" s="8"/>
      <c r="Q2817" s="8"/>
      <c r="R2817" s="8"/>
      <c r="S2817" s="8"/>
      <c r="T2817" s="8"/>
      <c r="U2817" s="8"/>
      <c r="V2817" s="8"/>
      <c r="W2817" s="8"/>
    </row>
    <row r="2818" spans="1:23" ht="15.75" customHeight="1" x14ac:dyDescent="0.25">
      <c r="A2818" s="6" t="s">
        <v>3243</v>
      </c>
      <c r="B2818" s="8"/>
      <c r="C2818" s="8"/>
      <c r="D2818" s="8"/>
      <c r="E2818" s="8"/>
      <c r="F2818" s="8"/>
      <c r="G2818" s="8"/>
      <c r="H2818" s="8"/>
      <c r="I2818" s="8"/>
      <c r="J2818" s="8"/>
      <c r="K2818" s="8"/>
      <c r="L2818" s="8"/>
      <c r="M2818" s="8"/>
      <c r="N2818" s="8"/>
      <c r="O2818" s="8"/>
      <c r="P2818" s="8"/>
      <c r="Q2818" s="8"/>
      <c r="R2818" s="8"/>
      <c r="S2818" s="8"/>
      <c r="T2818" s="8"/>
      <c r="U2818" s="8"/>
      <c r="V2818" s="8"/>
      <c r="W2818" s="8"/>
    </row>
    <row r="2819" spans="1:23" ht="15.75" customHeight="1" x14ac:dyDescent="0.25">
      <c r="A2819" s="6" t="s">
        <v>3243</v>
      </c>
      <c r="B2819" s="8"/>
      <c r="C2819" s="8"/>
      <c r="D2819" s="8"/>
      <c r="E2819" s="8"/>
      <c r="F2819" s="8"/>
      <c r="G2819" s="8"/>
      <c r="H2819" s="8"/>
      <c r="I2819" s="8"/>
      <c r="J2819" s="8"/>
      <c r="K2819" s="8"/>
      <c r="L2819" s="8"/>
      <c r="M2819" s="8"/>
      <c r="N2819" s="8"/>
      <c r="O2819" s="8"/>
      <c r="P2819" s="8"/>
      <c r="Q2819" s="8"/>
      <c r="R2819" s="8"/>
      <c r="S2819" s="8"/>
      <c r="T2819" s="8"/>
      <c r="U2819" s="8"/>
      <c r="V2819" s="8"/>
      <c r="W2819" s="8"/>
    </row>
    <row r="2820" spans="1:23" ht="15.75" customHeight="1" x14ac:dyDescent="0.25">
      <c r="A2820" s="6" t="s">
        <v>3243</v>
      </c>
      <c r="B2820" s="8"/>
      <c r="C2820" s="8"/>
      <c r="D2820" s="8"/>
      <c r="E2820" s="8"/>
      <c r="F2820" s="8"/>
      <c r="G2820" s="8"/>
      <c r="H2820" s="8"/>
      <c r="I2820" s="8"/>
      <c r="J2820" s="8"/>
      <c r="K2820" s="8"/>
      <c r="L2820" s="8"/>
      <c r="M2820" s="8"/>
      <c r="N2820" s="8"/>
      <c r="O2820" s="8"/>
      <c r="P2820" s="8"/>
      <c r="Q2820" s="8"/>
      <c r="R2820" s="8"/>
      <c r="S2820" s="8"/>
      <c r="T2820" s="8"/>
      <c r="U2820" s="8"/>
      <c r="V2820" s="8"/>
      <c r="W2820" s="8"/>
    </row>
    <row r="2821" spans="1:23" ht="15.75" customHeight="1" x14ac:dyDescent="0.25">
      <c r="A2821" s="6" t="s">
        <v>3243</v>
      </c>
      <c r="B2821" s="8"/>
      <c r="C2821" s="8"/>
      <c r="D2821" s="8"/>
      <c r="E2821" s="8"/>
      <c r="F2821" s="8"/>
      <c r="G2821" s="8"/>
      <c r="H2821" s="8"/>
      <c r="I2821" s="8"/>
      <c r="J2821" s="8"/>
      <c r="K2821" s="8"/>
      <c r="L2821" s="8"/>
      <c r="M2821" s="8"/>
      <c r="N2821" s="8"/>
      <c r="O2821" s="8"/>
      <c r="P2821" s="8"/>
      <c r="Q2821" s="8"/>
      <c r="R2821" s="8"/>
      <c r="S2821" s="8"/>
      <c r="T2821" s="8"/>
      <c r="U2821" s="8"/>
      <c r="V2821" s="8"/>
      <c r="W2821" s="8"/>
    </row>
    <row r="2822" spans="1:23" ht="15.75" customHeight="1" x14ac:dyDescent="0.25">
      <c r="A2822" s="8" t="s">
        <v>3243</v>
      </c>
      <c r="B2822" s="8"/>
      <c r="C2822" s="8"/>
      <c r="D2822" s="8"/>
      <c r="E2822" s="8"/>
      <c r="F2822" s="8"/>
      <c r="G2822" s="8"/>
      <c r="H2822" s="8"/>
      <c r="I2822" s="8"/>
      <c r="J2822" s="8"/>
      <c r="K2822" s="8"/>
      <c r="L2822" s="8"/>
      <c r="M2822" s="8"/>
      <c r="N2822" s="8"/>
      <c r="O2822" s="8"/>
      <c r="P2822" s="8"/>
      <c r="Q2822" s="8"/>
      <c r="R2822" s="8"/>
      <c r="S2822" s="8"/>
      <c r="T2822" s="8"/>
      <c r="U2822" s="8"/>
      <c r="V2822" s="8"/>
      <c r="W2822" s="8"/>
    </row>
    <row r="2823" spans="1:23" ht="15.75" customHeight="1" x14ac:dyDescent="0.25">
      <c r="A2823" s="6" t="s">
        <v>3243</v>
      </c>
      <c r="B2823" s="8"/>
      <c r="C2823" s="8"/>
      <c r="D2823" s="8"/>
      <c r="E2823" s="8"/>
      <c r="F2823" s="8"/>
      <c r="G2823" s="8"/>
      <c r="H2823" s="8"/>
      <c r="I2823" s="8"/>
      <c r="J2823" s="8"/>
      <c r="K2823" s="8"/>
      <c r="L2823" s="8"/>
      <c r="M2823" s="8"/>
      <c r="N2823" s="8"/>
      <c r="O2823" s="8"/>
      <c r="P2823" s="8"/>
      <c r="Q2823" s="8"/>
      <c r="R2823" s="8"/>
      <c r="S2823" s="8"/>
      <c r="T2823" s="8"/>
      <c r="U2823" s="8"/>
      <c r="V2823" s="8"/>
      <c r="W2823" s="8"/>
    </row>
    <row r="2824" spans="1:23" ht="15.75" customHeight="1" x14ac:dyDescent="0.25">
      <c r="A2824" s="8" t="s">
        <v>3243</v>
      </c>
      <c r="B2824" s="8"/>
      <c r="C2824" s="8"/>
      <c r="D2824" s="8"/>
      <c r="E2824" s="8"/>
      <c r="F2824" s="8"/>
      <c r="G2824" s="8"/>
      <c r="H2824" s="8"/>
      <c r="I2824" s="8"/>
      <c r="J2824" s="8"/>
      <c r="K2824" s="8"/>
      <c r="L2824" s="8"/>
      <c r="M2824" s="8"/>
      <c r="N2824" s="8"/>
      <c r="O2824" s="8"/>
      <c r="P2824" s="8"/>
      <c r="Q2824" s="8"/>
      <c r="R2824" s="8"/>
      <c r="S2824" s="8"/>
      <c r="T2824" s="8"/>
      <c r="U2824" s="8"/>
      <c r="V2824" s="8"/>
      <c r="W2824" s="8"/>
    </row>
    <row r="2825" spans="1:23" ht="15.75" customHeight="1" x14ac:dyDescent="0.25">
      <c r="A2825" s="6" t="s">
        <v>3243</v>
      </c>
      <c r="B2825" s="8"/>
      <c r="C2825" s="8"/>
      <c r="D2825" s="8"/>
      <c r="E2825" s="8"/>
      <c r="F2825" s="8"/>
      <c r="G2825" s="8"/>
      <c r="H2825" s="8"/>
      <c r="I2825" s="8"/>
      <c r="J2825" s="8"/>
      <c r="K2825" s="8"/>
      <c r="L2825" s="8"/>
      <c r="M2825" s="8"/>
      <c r="N2825" s="8"/>
      <c r="O2825" s="8"/>
      <c r="P2825" s="8"/>
      <c r="Q2825" s="8"/>
      <c r="R2825" s="8"/>
      <c r="S2825" s="8"/>
      <c r="T2825" s="8"/>
      <c r="U2825" s="8"/>
      <c r="V2825" s="8"/>
      <c r="W2825" s="8"/>
    </row>
    <row r="2826" spans="1:23" ht="15.75" customHeight="1" x14ac:dyDescent="0.25">
      <c r="A2826" s="6" t="s">
        <v>3243</v>
      </c>
      <c r="B2826" s="8"/>
      <c r="C2826" s="8"/>
      <c r="D2826" s="8"/>
      <c r="E2826" s="8"/>
      <c r="F2826" s="8"/>
      <c r="G2826" s="8"/>
      <c r="H2826" s="8"/>
      <c r="I2826" s="8"/>
      <c r="J2826" s="8"/>
      <c r="K2826" s="8"/>
      <c r="L2826" s="8"/>
      <c r="M2826" s="8"/>
      <c r="N2826" s="8"/>
      <c r="O2826" s="8"/>
      <c r="P2826" s="8"/>
      <c r="Q2826" s="8"/>
      <c r="R2826" s="8"/>
      <c r="S2826" s="8"/>
      <c r="T2826" s="8"/>
      <c r="U2826" s="8"/>
      <c r="V2826" s="8"/>
      <c r="W2826" s="8"/>
    </row>
    <row r="2827" spans="1:23" ht="15.75" customHeight="1" x14ac:dyDescent="0.25">
      <c r="A2827" s="6" t="s">
        <v>3243</v>
      </c>
      <c r="B2827" s="8"/>
      <c r="C2827" s="8"/>
      <c r="D2827" s="8"/>
      <c r="E2827" s="8"/>
      <c r="F2827" s="8"/>
      <c r="G2827" s="8"/>
      <c r="H2827" s="8"/>
      <c r="I2827" s="8"/>
      <c r="J2827" s="8"/>
      <c r="K2827" s="8"/>
      <c r="L2827" s="8"/>
      <c r="M2827" s="8"/>
      <c r="N2827" s="8"/>
      <c r="O2827" s="8"/>
      <c r="P2827" s="8"/>
      <c r="Q2827" s="8"/>
      <c r="R2827" s="8"/>
      <c r="S2827" s="8"/>
      <c r="T2827" s="8"/>
      <c r="U2827" s="8"/>
      <c r="V2827" s="8"/>
      <c r="W2827" s="8"/>
    </row>
    <row r="2828" spans="1:23" ht="15.75" customHeight="1" x14ac:dyDescent="0.25">
      <c r="A2828" s="6" t="s">
        <v>3243</v>
      </c>
      <c r="B2828" s="8"/>
      <c r="C2828" s="8"/>
      <c r="D2828" s="8"/>
      <c r="E2828" s="8"/>
      <c r="F2828" s="8"/>
      <c r="G2828" s="8"/>
      <c r="H2828" s="8"/>
      <c r="I2828" s="8"/>
      <c r="J2828" s="8"/>
      <c r="K2828" s="8"/>
      <c r="L2828" s="8"/>
      <c r="M2828" s="8"/>
      <c r="N2828" s="8"/>
      <c r="O2828" s="8"/>
      <c r="P2828" s="8"/>
      <c r="Q2828" s="8"/>
      <c r="R2828" s="8"/>
      <c r="S2828" s="8"/>
      <c r="T2828" s="8"/>
      <c r="U2828" s="8"/>
      <c r="V2828" s="8"/>
      <c r="W2828" s="8"/>
    </row>
    <row r="2829" spans="1:23" ht="15.75" customHeight="1" x14ac:dyDescent="0.25">
      <c r="A2829" s="6" t="s">
        <v>3243</v>
      </c>
      <c r="B2829" s="8"/>
      <c r="C2829" s="8"/>
      <c r="D2829" s="8"/>
      <c r="E2829" s="8"/>
      <c r="F2829" s="8"/>
      <c r="G2829" s="8"/>
      <c r="H2829" s="8"/>
      <c r="I2829" s="8"/>
      <c r="J2829" s="8"/>
      <c r="K2829" s="8"/>
      <c r="L2829" s="8"/>
      <c r="M2829" s="8"/>
      <c r="N2829" s="8"/>
      <c r="O2829" s="8"/>
      <c r="P2829" s="8"/>
      <c r="Q2829" s="8"/>
      <c r="R2829" s="8"/>
      <c r="S2829" s="8"/>
      <c r="T2829" s="8"/>
      <c r="U2829" s="8"/>
      <c r="V2829" s="8"/>
      <c r="W2829" s="8"/>
    </row>
    <row r="2830" spans="1:23" ht="15.75" customHeight="1" x14ac:dyDescent="0.25">
      <c r="A2830" s="6" t="s">
        <v>3243</v>
      </c>
      <c r="B2830" s="8"/>
      <c r="C2830" s="8"/>
      <c r="D2830" s="8"/>
      <c r="E2830" s="8"/>
      <c r="F2830" s="8"/>
      <c r="G2830" s="8"/>
      <c r="H2830" s="8"/>
      <c r="I2830" s="8"/>
      <c r="J2830" s="8"/>
      <c r="K2830" s="8"/>
      <c r="L2830" s="8"/>
      <c r="M2830" s="8"/>
      <c r="N2830" s="8"/>
      <c r="O2830" s="8"/>
      <c r="P2830" s="8"/>
      <c r="Q2830" s="8"/>
      <c r="R2830" s="8"/>
      <c r="S2830" s="8"/>
      <c r="T2830" s="8"/>
      <c r="U2830" s="8"/>
      <c r="V2830" s="8"/>
      <c r="W2830" s="8"/>
    </row>
    <row r="2831" spans="1:23" ht="15.75" customHeight="1" x14ac:dyDescent="0.25">
      <c r="A2831" s="6" t="s">
        <v>3243</v>
      </c>
      <c r="B2831" s="8"/>
      <c r="C2831" s="8"/>
      <c r="D2831" s="8"/>
      <c r="E2831" s="8"/>
      <c r="F2831" s="8"/>
      <c r="G2831" s="8"/>
      <c r="H2831" s="8"/>
      <c r="I2831" s="8"/>
      <c r="J2831" s="8"/>
      <c r="K2831" s="8"/>
      <c r="L2831" s="8"/>
      <c r="M2831" s="8"/>
      <c r="N2831" s="8"/>
      <c r="O2831" s="8"/>
      <c r="P2831" s="8"/>
      <c r="Q2831" s="8"/>
      <c r="R2831" s="8"/>
      <c r="S2831" s="8"/>
      <c r="T2831" s="8"/>
      <c r="U2831" s="8"/>
      <c r="V2831" s="8"/>
      <c r="W2831" s="8"/>
    </row>
    <row r="2832" spans="1:23" ht="15.75" customHeight="1" x14ac:dyDescent="0.25">
      <c r="A2832" s="6" t="s">
        <v>3751</v>
      </c>
      <c r="B2832" s="8"/>
      <c r="C2832" s="8"/>
      <c r="D2832" s="8"/>
      <c r="E2832" s="8"/>
      <c r="F2832" s="8"/>
      <c r="G2832" s="8"/>
      <c r="H2832" s="8"/>
      <c r="I2832" s="8"/>
      <c r="J2832" s="8"/>
      <c r="K2832" s="8"/>
      <c r="L2832" s="8"/>
      <c r="M2832" s="8"/>
      <c r="N2832" s="8"/>
      <c r="O2832" s="8"/>
      <c r="P2832" s="8"/>
      <c r="Q2832" s="8"/>
      <c r="R2832" s="8"/>
      <c r="S2832" s="8"/>
      <c r="T2832" s="8"/>
      <c r="U2832" s="8"/>
      <c r="V2832" s="8"/>
      <c r="W2832" s="8"/>
    </row>
    <row r="2833" spans="1:23" ht="15.75" customHeight="1" x14ac:dyDescent="0.25">
      <c r="A2833" s="6" t="s">
        <v>3751</v>
      </c>
      <c r="B2833" s="8"/>
      <c r="C2833" s="8"/>
      <c r="D2833" s="8"/>
      <c r="E2833" s="8"/>
      <c r="F2833" s="8"/>
      <c r="G2833" s="8"/>
      <c r="H2833" s="8"/>
      <c r="I2833" s="8"/>
      <c r="J2833" s="8"/>
      <c r="K2833" s="8"/>
      <c r="L2833" s="8"/>
      <c r="M2833" s="8"/>
      <c r="N2833" s="8"/>
      <c r="O2833" s="8"/>
      <c r="P2833" s="8"/>
      <c r="Q2833" s="8"/>
      <c r="R2833" s="8"/>
      <c r="S2833" s="8"/>
      <c r="T2833" s="8"/>
      <c r="U2833" s="8"/>
      <c r="V2833" s="8"/>
      <c r="W2833" s="8"/>
    </row>
    <row r="2834" spans="1:23" ht="15.75" customHeight="1" x14ac:dyDescent="0.25">
      <c r="A2834" s="6" t="s">
        <v>3751</v>
      </c>
      <c r="B2834" s="8"/>
      <c r="C2834" s="8"/>
      <c r="D2834" s="8"/>
      <c r="E2834" s="8"/>
      <c r="F2834" s="8"/>
      <c r="G2834" s="8"/>
      <c r="H2834" s="8"/>
      <c r="I2834" s="8"/>
      <c r="J2834" s="8"/>
      <c r="K2834" s="8"/>
      <c r="L2834" s="8"/>
      <c r="M2834" s="8"/>
      <c r="N2834" s="8"/>
      <c r="O2834" s="8"/>
      <c r="P2834" s="8"/>
      <c r="Q2834" s="8"/>
      <c r="R2834" s="8"/>
      <c r="S2834" s="8"/>
      <c r="T2834" s="8"/>
      <c r="U2834" s="8"/>
      <c r="V2834" s="8"/>
      <c r="W2834" s="8"/>
    </row>
    <row r="2835" spans="1:23" ht="15.75" customHeight="1" x14ac:dyDescent="0.25">
      <c r="A2835" s="6" t="s">
        <v>1971</v>
      </c>
      <c r="B2835" s="8"/>
      <c r="C2835" s="8"/>
      <c r="D2835" s="8"/>
      <c r="E2835" s="8"/>
      <c r="F2835" s="8"/>
      <c r="G2835" s="8"/>
      <c r="H2835" s="8"/>
      <c r="I2835" s="8"/>
      <c r="J2835" s="8"/>
      <c r="K2835" s="8"/>
      <c r="L2835" s="8"/>
      <c r="M2835" s="8"/>
      <c r="N2835" s="8"/>
      <c r="O2835" s="8"/>
      <c r="P2835" s="8"/>
      <c r="Q2835" s="8"/>
      <c r="R2835" s="8"/>
      <c r="S2835" s="8"/>
      <c r="T2835" s="8"/>
      <c r="U2835" s="8"/>
      <c r="V2835" s="8"/>
      <c r="W2835" s="8"/>
    </row>
    <row r="2836" spans="1:23" ht="15.75" customHeight="1" x14ac:dyDescent="0.25">
      <c r="A2836" s="6" t="s">
        <v>1971</v>
      </c>
      <c r="B2836" s="8"/>
      <c r="C2836" s="8"/>
      <c r="D2836" s="8"/>
      <c r="E2836" s="8"/>
      <c r="F2836" s="8"/>
      <c r="G2836" s="8"/>
      <c r="H2836" s="8"/>
      <c r="I2836" s="8"/>
      <c r="J2836" s="8"/>
      <c r="K2836" s="8"/>
      <c r="L2836" s="8"/>
      <c r="M2836" s="8"/>
      <c r="N2836" s="8"/>
      <c r="O2836" s="8"/>
      <c r="P2836" s="8"/>
      <c r="Q2836" s="8"/>
      <c r="R2836" s="8"/>
      <c r="S2836" s="8"/>
      <c r="T2836" s="8"/>
      <c r="U2836" s="8"/>
      <c r="V2836" s="8"/>
      <c r="W2836" s="8"/>
    </row>
    <row r="2837" spans="1:23" ht="15.75" customHeight="1" x14ac:dyDescent="0.25">
      <c r="A2837" s="6" t="s">
        <v>1971</v>
      </c>
      <c r="B2837" s="8"/>
      <c r="C2837" s="8"/>
      <c r="D2837" s="8"/>
      <c r="E2837" s="8"/>
      <c r="F2837" s="8"/>
      <c r="G2837" s="8"/>
      <c r="H2837" s="8"/>
      <c r="I2837" s="8"/>
      <c r="J2837" s="8"/>
      <c r="K2837" s="8"/>
      <c r="L2837" s="8"/>
      <c r="M2837" s="8"/>
      <c r="N2837" s="8"/>
      <c r="O2837" s="8"/>
      <c r="P2837" s="8"/>
      <c r="Q2837" s="8"/>
      <c r="R2837" s="8"/>
      <c r="S2837" s="8"/>
      <c r="T2837" s="8"/>
      <c r="U2837" s="8"/>
      <c r="V2837" s="8"/>
      <c r="W2837" s="8"/>
    </row>
    <row r="2838" spans="1:23" ht="15.75" customHeight="1" x14ac:dyDescent="0.25">
      <c r="A2838" s="6" t="s">
        <v>1971</v>
      </c>
      <c r="B2838" s="8"/>
      <c r="C2838" s="8"/>
      <c r="D2838" s="8"/>
      <c r="E2838" s="8"/>
      <c r="F2838" s="8"/>
      <c r="G2838" s="8"/>
      <c r="H2838" s="8"/>
      <c r="I2838" s="8"/>
      <c r="J2838" s="8"/>
      <c r="K2838" s="8"/>
      <c r="L2838" s="8"/>
      <c r="M2838" s="8"/>
      <c r="N2838" s="8"/>
      <c r="O2838" s="8"/>
      <c r="P2838" s="8"/>
      <c r="Q2838" s="8"/>
      <c r="R2838" s="8"/>
      <c r="S2838" s="8"/>
      <c r="T2838" s="8"/>
      <c r="U2838" s="8"/>
      <c r="V2838" s="8"/>
      <c r="W2838" s="8"/>
    </row>
    <row r="2839" spans="1:23" ht="15.75" customHeight="1" x14ac:dyDescent="0.25">
      <c r="A2839" s="6" t="s">
        <v>1971</v>
      </c>
      <c r="B2839" s="8"/>
      <c r="C2839" s="8"/>
      <c r="D2839" s="8"/>
      <c r="E2839" s="8"/>
      <c r="F2839" s="8"/>
      <c r="G2839" s="8"/>
      <c r="H2839" s="8"/>
      <c r="I2839" s="8"/>
      <c r="J2839" s="8"/>
      <c r="K2839" s="8"/>
      <c r="L2839" s="8"/>
      <c r="M2839" s="8"/>
      <c r="N2839" s="8"/>
      <c r="O2839" s="8"/>
      <c r="P2839" s="8"/>
      <c r="Q2839" s="8"/>
      <c r="R2839" s="8"/>
      <c r="S2839" s="8"/>
      <c r="T2839" s="8"/>
      <c r="U2839" s="8"/>
      <c r="V2839" s="8"/>
      <c r="W2839" s="8"/>
    </row>
    <row r="2840" spans="1:23" ht="15.75" customHeight="1" x14ac:dyDescent="0.25">
      <c r="A2840" s="6" t="s">
        <v>1971</v>
      </c>
      <c r="B2840" s="8"/>
      <c r="C2840" s="8"/>
      <c r="D2840" s="8"/>
      <c r="E2840" s="8"/>
      <c r="F2840" s="8"/>
      <c r="G2840" s="8"/>
      <c r="H2840" s="8"/>
      <c r="I2840" s="8"/>
      <c r="J2840" s="8"/>
      <c r="K2840" s="8"/>
      <c r="L2840" s="8"/>
      <c r="M2840" s="8"/>
      <c r="N2840" s="8"/>
      <c r="O2840" s="8"/>
      <c r="P2840" s="8"/>
      <c r="Q2840" s="8"/>
      <c r="R2840" s="8"/>
      <c r="S2840" s="8"/>
      <c r="T2840" s="8"/>
      <c r="U2840" s="8"/>
      <c r="V2840" s="8"/>
      <c r="W2840" s="8"/>
    </row>
    <row r="2841" spans="1:23" ht="15.75" customHeight="1" x14ac:dyDescent="0.25">
      <c r="A2841" s="6" t="s">
        <v>1971</v>
      </c>
      <c r="B2841" s="8"/>
      <c r="C2841" s="8"/>
      <c r="D2841" s="8"/>
      <c r="E2841" s="8"/>
      <c r="F2841" s="8"/>
      <c r="G2841" s="8"/>
      <c r="H2841" s="8"/>
      <c r="I2841" s="8"/>
      <c r="J2841" s="8"/>
      <c r="K2841" s="8"/>
      <c r="L2841" s="8"/>
      <c r="M2841" s="8"/>
      <c r="N2841" s="8"/>
      <c r="O2841" s="8"/>
      <c r="P2841" s="8"/>
      <c r="Q2841" s="8"/>
      <c r="R2841" s="8"/>
      <c r="S2841" s="8"/>
      <c r="T2841" s="8"/>
      <c r="U2841" s="8"/>
      <c r="V2841" s="8"/>
      <c r="W2841" s="8"/>
    </row>
    <row r="2842" spans="1:23" ht="15.75" customHeight="1" x14ac:dyDescent="0.25">
      <c r="A2842" s="6" t="s">
        <v>1971</v>
      </c>
      <c r="B2842" s="8"/>
      <c r="C2842" s="8"/>
      <c r="D2842" s="8"/>
      <c r="E2842" s="8"/>
      <c r="F2842" s="8"/>
      <c r="G2842" s="8"/>
      <c r="H2842" s="8"/>
      <c r="I2842" s="8"/>
      <c r="J2842" s="8"/>
      <c r="K2842" s="8"/>
      <c r="L2842" s="8"/>
      <c r="M2842" s="8"/>
      <c r="N2842" s="8"/>
      <c r="O2842" s="8"/>
      <c r="P2842" s="8"/>
      <c r="Q2842" s="8"/>
      <c r="R2842" s="8"/>
      <c r="S2842" s="8"/>
      <c r="T2842" s="8"/>
      <c r="U2842" s="8"/>
      <c r="V2842" s="8"/>
      <c r="W2842" s="8"/>
    </row>
    <row r="2843" spans="1:23" ht="15.75" customHeight="1" x14ac:dyDescent="0.25">
      <c r="A2843" s="6" t="s">
        <v>1971</v>
      </c>
      <c r="B2843" s="8"/>
      <c r="C2843" s="8"/>
      <c r="D2843" s="8"/>
      <c r="E2843" s="8"/>
      <c r="F2843" s="8"/>
      <c r="G2843" s="8"/>
      <c r="H2843" s="8"/>
      <c r="I2843" s="8"/>
      <c r="J2843" s="8"/>
      <c r="K2843" s="8"/>
      <c r="L2843" s="8"/>
      <c r="M2843" s="8"/>
      <c r="N2843" s="8"/>
      <c r="O2843" s="8"/>
      <c r="P2843" s="8"/>
      <c r="Q2843" s="8"/>
      <c r="R2843" s="8"/>
      <c r="S2843" s="8"/>
      <c r="T2843" s="8"/>
      <c r="U2843" s="8"/>
      <c r="V2843" s="8"/>
      <c r="W2843" s="8"/>
    </row>
    <row r="2844" spans="1:23" ht="15.75" customHeight="1" x14ac:dyDescent="0.25">
      <c r="A2844" s="6" t="s">
        <v>1971</v>
      </c>
      <c r="B2844" s="8"/>
      <c r="C2844" s="8"/>
      <c r="D2844" s="8"/>
      <c r="E2844" s="8"/>
      <c r="F2844" s="8"/>
      <c r="G2844" s="8"/>
      <c r="H2844" s="8"/>
      <c r="I2844" s="8"/>
      <c r="J2844" s="8"/>
      <c r="K2844" s="8"/>
      <c r="L2844" s="8"/>
      <c r="M2844" s="8"/>
      <c r="N2844" s="8"/>
      <c r="O2844" s="8"/>
      <c r="P2844" s="8"/>
      <c r="Q2844" s="8"/>
      <c r="R2844" s="8"/>
      <c r="S2844" s="8"/>
      <c r="T2844" s="8"/>
      <c r="U2844" s="8"/>
      <c r="V2844" s="8"/>
      <c r="W2844" s="8"/>
    </row>
    <row r="2845" spans="1:23" ht="15.75" customHeight="1" x14ac:dyDescent="0.25">
      <c r="A2845" s="6" t="s">
        <v>1971</v>
      </c>
      <c r="B2845" s="8"/>
      <c r="C2845" s="8"/>
      <c r="D2845" s="8"/>
      <c r="E2845" s="8"/>
      <c r="F2845" s="8"/>
      <c r="G2845" s="8"/>
      <c r="H2845" s="8"/>
      <c r="I2845" s="8"/>
      <c r="J2845" s="8"/>
      <c r="K2845" s="8"/>
      <c r="L2845" s="8"/>
      <c r="M2845" s="8"/>
      <c r="N2845" s="8"/>
      <c r="O2845" s="8"/>
      <c r="P2845" s="8"/>
      <c r="Q2845" s="8"/>
      <c r="R2845" s="8"/>
      <c r="S2845" s="8"/>
      <c r="T2845" s="8"/>
      <c r="U2845" s="8"/>
      <c r="V2845" s="8"/>
      <c r="W2845" s="8"/>
    </row>
    <row r="2846" spans="1:23" ht="15.75" customHeight="1" x14ac:dyDescent="0.25">
      <c r="A2846" s="6" t="s">
        <v>1971</v>
      </c>
      <c r="B2846" s="8"/>
      <c r="C2846" s="8"/>
      <c r="D2846" s="8"/>
      <c r="E2846" s="8"/>
      <c r="F2846" s="8"/>
      <c r="G2846" s="8"/>
      <c r="H2846" s="8"/>
      <c r="I2846" s="8"/>
      <c r="J2846" s="8"/>
      <c r="K2846" s="8"/>
      <c r="L2846" s="8"/>
      <c r="M2846" s="8"/>
      <c r="N2846" s="8"/>
      <c r="O2846" s="8"/>
      <c r="P2846" s="8"/>
      <c r="Q2846" s="8"/>
      <c r="R2846" s="8"/>
      <c r="S2846" s="8"/>
      <c r="T2846" s="8"/>
      <c r="U2846" s="8"/>
      <c r="V2846" s="8"/>
      <c r="W2846" s="8"/>
    </row>
    <row r="2847" spans="1:23" ht="15.75" customHeight="1" x14ac:dyDescent="0.25">
      <c r="A2847" s="6" t="s">
        <v>1971</v>
      </c>
      <c r="B2847" s="8"/>
      <c r="C2847" s="8"/>
      <c r="D2847" s="8"/>
      <c r="E2847" s="8"/>
      <c r="F2847" s="8"/>
      <c r="G2847" s="8"/>
      <c r="H2847" s="8"/>
      <c r="I2847" s="8"/>
      <c r="J2847" s="8"/>
      <c r="K2847" s="8"/>
      <c r="L2847" s="8"/>
      <c r="M2847" s="8"/>
      <c r="N2847" s="8"/>
      <c r="O2847" s="8"/>
      <c r="P2847" s="8"/>
      <c r="Q2847" s="8"/>
      <c r="R2847" s="8"/>
      <c r="S2847" s="8"/>
      <c r="T2847" s="8"/>
      <c r="U2847" s="8"/>
      <c r="V2847" s="8"/>
      <c r="W2847" s="8"/>
    </row>
    <row r="2848" spans="1:23" ht="15.75" customHeight="1" x14ac:dyDescent="0.25">
      <c r="A2848" s="6" t="s">
        <v>1971</v>
      </c>
      <c r="B2848" s="8"/>
      <c r="C2848" s="8"/>
      <c r="D2848" s="8"/>
      <c r="E2848" s="8"/>
      <c r="F2848" s="8"/>
      <c r="G2848" s="8"/>
      <c r="H2848" s="8"/>
      <c r="I2848" s="8"/>
      <c r="J2848" s="8"/>
      <c r="K2848" s="8"/>
      <c r="L2848" s="8"/>
      <c r="M2848" s="8"/>
      <c r="N2848" s="8"/>
      <c r="O2848" s="8"/>
      <c r="P2848" s="8"/>
      <c r="Q2848" s="8"/>
      <c r="R2848" s="8"/>
      <c r="S2848" s="8"/>
      <c r="T2848" s="8"/>
      <c r="U2848" s="8"/>
      <c r="V2848" s="8"/>
      <c r="W2848" s="8"/>
    </row>
    <row r="2849" spans="1:23" ht="15.75" customHeight="1" x14ac:dyDescent="0.25">
      <c r="A2849" s="6" t="s">
        <v>1971</v>
      </c>
      <c r="B2849" s="8"/>
      <c r="C2849" s="8"/>
      <c r="D2849" s="8"/>
      <c r="E2849" s="8"/>
      <c r="F2849" s="8"/>
      <c r="G2849" s="8"/>
      <c r="H2849" s="8"/>
      <c r="I2849" s="8"/>
      <c r="J2849" s="8"/>
      <c r="K2849" s="8"/>
      <c r="L2849" s="8"/>
      <c r="M2849" s="8"/>
      <c r="N2849" s="8"/>
      <c r="O2849" s="8"/>
      <c r="P2849" s="8"/>
      <c r="Q2849" s="8"/>
      <c r="R2849" s="8"/>
      <c r="S2849" s="8"/>
      <c r="T2849" s="8"/>
      <c r="U2849" s="8"/>
      <c r="V2849" s="8"/>
      <c r="W2849" s="8"/>
    </row>
    <row r="2850" spans="1:23" ht="15.75" customHeight="1" x14ac:dyDescent="0.25">
      <c r="A2850" s="6" t="s">
        <v>1971</v>
      </c>
      <c r="B2850" s="8"/>
      <c r="C2850" s="8"/>
      <c r="D2850" s="8"/>
      <c r="E2850" s="8"/>
      <c r="F2850" s="8"/>
      <c r="G2850" s="8"/>
      <c r="H2850" s="8"/>
      <c r="I2850" s="8"/>
      <c r="J2850" s="8"/>
      <c r="K2850" s="8"/>
      <c r="L2850" s="8"/>
      <c r="M2850" s="8"/>
      <c r="N2850" s="8"/>
      <c r="O2850" s="8"/>
      <c r="P2850" s="8"/>
      <c r="Q2850" s="8"/>
      <c r="R2850" s="8"/>
      <c r="S2850" s="8"/>
      <c r="T2850" s="8"/>
      <c r="U2850" s="8"/>
      <c r="V2850" s="8"/>
      <c r="W2850" s="8"/>
    </row>
    <row r="2851" spans="1:23" ht="15.75" customHeight="1" x14ac:dyDescent="0.25">
      <c r="A2851" s="6" t="s">
        <v>1971</v>
      </c>
      <c r="B2851" s="8"/>
      <c r="C2851" s="8"/>
      <c r="D2851" s="8"/>
      <c r="E2851" s="8"/>
      <c r="F2851" s="8"/>
      <c r="G2851" s="8"/>
      <c r="H2851" s="8"/>
      <c r="I2851" s="8"/>
      <c r="J2851" s="8"/>
      <c r="K2851" s="8"/>
      <c r="L2851" s="8"/>
      <c r="M2851" s="8"/>
      <c r="N2851" s="8"/>
      <c r="O2851" s="8"/>
      <c r="P2851" s="8"/>
      <c r="Q2851" s="8"/>
      <c r="R2851" s="8"/>
      <c r="S2851" s="8"/>
      <c r="T2851" s="8"/>
      <c r="U2851" s="8"/>
      <c r="V2851" s="8"/>
      <c r="W2851" s="8"/>
    </row>
    <row r="2852" spans="1:23" ht="15.75" customHeight="1" x14ac:dyDescent="0.25">
      <c r="A2852" s="6" t="s">
        <v>1971</v>
      </c>
      <c r="B2852" s="8"/>
      <c r="C2852" s="8"/>
      <c r="D2852" s="8"/>
      <c r="E2852" s="8"/>
      <c r="F2852" s="8"/>
      <c r="G2852" s="8"/>
      <c r="H2852" s="8"/>
      <c r="I2852" s="8"/>
      <c r="J2852" s="8"/>
      <c r="K2852" s="8"/>
      <c r="L2852" s="8"/>
      <c r="M2852" s="8"/>
      <c r="N2852" s="8"/>
      <c r="O2852" s="8"/>
      <c r="P2852" s="8"/>
      <c r="Q2852" s="8"/>
      <c r="R2852" s="8"/>
      <c r="S2852" s="8"/>
      <c r="T2852" s="8"/>
      <c r="U2852" s="8"/>
      <c r="V2852" s="8"/>
      <c r="W2852" s="8"/>
    </row>
    <row r="2853" spans="1:23" ht="15.75" customHeight="1" x14ac:dyDescent="0.25">
      <c r="A2853" s="6" t="s">
        <v>1971</v>
      </c>
      <c r="B2853" s="8"/>
      <c r="C2853" s="8"/>
      <c r="D2853" s="8"/>
      <c r="E2853" s="8"/>
      <c r="F2853" s="8"/>
      <c r="G2853" s="8"/>
      <c r="H2853" s="8"/>
      <c r="I2853" s="8"/>
      <c r="J2853" s="8"/>
      <c r="K2853" s="8"/>
      <c r="L2853" s="8"/>
      <c r="M2853" s="8"/>
      <c r="N2853" s="8"/>
      <c r="O2853" s="8"/>
      <c r="P2853" s="8"/>
      <c r="Q2853" s="8"/>
      <c r="R2853" s="8"/>
      <c r="S2853" s="8"/>
      <c r="T2853" s="8"/>
      <c r="U2853" s="8"/>
      <c r="V2853" s="8"/>
      <c r="W2853" s="8"/>
    </row>
    <row r="2854" spans="1:23" ht="15.75" customHeight="1" x14ac:dyDescent="0.25">
      <c r="A2854" s="6" t="s">
        <v>1971</v>
      </c>
      <c r="B2854" s="8"/>
      <c r="C2854" s="8"/>
      <c r="D2854" s="8"/>
      <c r="E2854" s="8"/>
      <c r="F2854" s="8"/>
      <c r="G2854" s="8"/>
      <c r="H2854" s="8"/>
      <c r="I2854" s="8"/>
      <c r="J2854" s="8"/>
      <c r="K2854" s="8"/>
      <c r="L2854" s="8"/>
      <c r="M2854" s="8"/>
      <c r="N2854" s="8"/>
      <c r="O2854" s="8"/>
      <c r="P2854" s="8"/>
      <c r="Q2854" s="8"/>
      <c r="R2854" s="8"/>
      <c r="S2854" s="8"/>
      <c r="T2854" s="8"/>
      <c r="U2854" s="8"/>
      <c r="V2854" s="8"/>
      <c r="W2854" s="8"/>
    </row>
    <row r="2855" spans="1:23" ht="15.75" customHeight="1" x14ac:dyDescent="0.25">
      <c r="A2855" s="6" t="s">
        <v>1971</v>
      </c>
      <c r="B2855" s="8"/>
      <c r="C2855" s="8"/>
      <c r="D2855" s="8"/>
      <c r="E2855" s="8"/>
      <c r="F2855" s="8"/>
      <c r="G2855" s="8"/>
      <c r="H2855" s="8"/>
      <c r="I2855" s="8"/>
      <c r="J2855" s="8"/>
      <c r="K2855" s="8"/>
      <c r="L2855" s="8"/>
      <c r="M2855" s="8"/>
      <c r="N2855" s="8"/>
      <c r="O2855" s="8"/>
      <c r="P2855" s="8"/>
      <c r="Q2855" s="8"/>
      <c r="R2855" s="8"/>
      <c r="S2855" s="8"/>
      <c r="T2855" s="8"/>
      <c r="U2855" s="8"/>
      <c r="V2855" s="8"/>
      <c r="W2855" s="8"/>
    </row>
    <row r="2856" spans="1:23" ht="15.75" customHeight="1" x14ac:dyDescent="0.25">
      <c r="A2856" s="6" t="s">
        <v>1971</v>
      </c>
      <c r="B2856" s="8"/>
      <c r="C2856" s="8"/>
      <c r="D2856" s="8"/>
      <c r="E2856" s="8"/>
      <c r="F2856" s="8"/>
      <c r="G2856" s="8"/>
      <c r="H2856" s="8"/>
      <c r="I2856" s="8"/>
      <c r="J2856" s="8"/>
      <c r="K2856" s="8"/>
      <c r="L2856" s="8"/>
      <c r="M2856" s="8"/>
      <c r="N2856" s="8"/>
      <c r="O2856" s="8"/>
      <c r="P2856" s="8"/>
      <c r="Q2856" s="8"/>
      <c r="R2856" s="8"/>
      <c r="S2856" s="8"/>
      <c r="T2856" s="8"/>
      <c r="U2856" s="8"/>
      <c r="V2856" s="8"/>
      <c r="W2856" s="8"/>
    </row>
    <row r="2857" spans="1:23" ht="15.75" customHeight="1" x14ac:dyDescent="0.25">
      <c r="A2857" s="6" t="s">
        <v>1971</v>
      </c>
      <c r="B2857" s="8"/>
      <c r="C2857" s="8"/>
      <c r="D2857" s="8"/>
      <c r="E2857" s="8"/>
      <c r="F2857" s="8"/>
      <c r="G2857" s="8"/>
      <c r="H2857" s="8"/>
      <c r="I2857" s="8"/>
      <c r="J2857" s="8"/>
      <c r="K2857" s="8"/>
      <c r="L2857" s="8"/>
      <c r="M2857" s="8"/>
      <c r="N2857" s="8"/>
      <c r="O2857" s="8"/>
      <c r="P2857" s="8"/>
      <c r="Q2857" s="8"/>
      <c r="R2857" s="8"/>
      <c r="S2857" s="8"/>
      <c r="T2857" s="8"/>
      <c r="U2857" s="8"/>
      <c r="V2857" s="8"/>
      <c r="W2857" s="8"/>
    </row>
    <row r="2858" spans="1:23" ht="15.75" customHeight="1" x14ac:dyDescent="0.25">
      <c r="A2858" s="6" t="s">
        <v>1971</v>
      </c>
      <c r="B2858" s="8"/>
      <c r="C2858" s="8"/>
      <c r="D2858" s="8"/>
      <c r="E2858" s="8"/>
      <c r="F2858" s="8"/>
      <c r="G2858" s="8"/>
      <c r="H2858" s="8"/>
      <c r="I2858" s="8"/>
      <c r="J2858" s="8"/>
      <c r="K2858" s="8"/>
      <c r="L2858" s="8"/>
      <c r="M2858" s="8"/>
      <c r="N2858" s="8"/>
      <c r="O2858" s="8"/>
      <c r="P2858" s="8"/>
      <c r="Q2858" s="8"/>
      <c r="R2858" s="8"/>
      <c r="S2858" s="8"/>
      <c r="T2858" s="8"/>
      <c r="U2858" s="8"/>
      <c r="V2858" s="8"/>
      <c r="W2858" s="8"/>
    </row>
    <row r="2859" spans="1:23" ht="15.75" customHeight="1" x14ac:dyDescent="0.25">
      <c r="A2859" s="6" t="s">
        <v>1971</v>
      </c>
      <c r="B2859" s="8"/>
      <c r="C2859" s="8"/>
      <c r="D2859" s="8"/>
      <c r="E2859" s="8"/>
      <c r="F2859" s="8"/>
      <c r="G2859" s="8"/>
      <c r="H2859" s="8"/>
      <c r="I2859" s="8"/>
      <c r="J2859" s="8"/>
      <c r="K2859" s="8"/>
      <c r="L2859" s="8"/>
      <c r="M2859" s="8"/>
      <c r="N2859" s="8"/>
      <c r="O2859" s="8"/>
      <c r="P2859" s="8"/>
      <c r="Q2859" s="8"/>
      <c r="R2859" s="8"/>
      <c r="S2859" s="8"/>
      <c r="T2859" s="8"/>
      <c r="U2859" s="8"/>
      <c r="V2859" s="8"/>
      <c r="W2859" s="8"/>
    </row>
    <row r="2860" spans="1:23" ht="15.75" customHeight="1" x14ac:dyDescent="0.25">
      <c r="A2860" s="6" t="s">
        <v>1971</v>
      </c>
      <c r="B2860" s="8"/>
      <c r="C2860" s="8"/>
      <c r="D2860" s="8"/>
      <c r="E2860" s="8"/>
      <c r="F2860" s="8"/>
      <c r="G2860" s="8"/>
      <c r="H2860" s="8"/>
      <c r="I2860" s="8"/>
      <c r="J2860" s="8"/>
      <c r="K2860" s="8"/>
      <c r="L2860" s="8"/>
      <c r="M2860" s="8"/>
      <c r="N2860" s="8"/>
      <c r="O2860" s="8"/>
      <c r="P2860" s="8"/>
      <c r="Q2860" s="8"/>
      <c r="R2860" s="8"/>
      <c r="S2860" s="8"/>
      <c r="T2860" s="8"/>
      <c r="U2860" s="8"/>
      <c r="V2860" s="8"/>
      <c r="W2860" s="8"/>
    </row>
    <row r="2861" spans="1:23" ht="15.75" customHeight="1" x14ac:dyDescent="0.25">
      <c r="A2861" s="6" t="s">
        <v>1971</v>
      </c>
      <c r="B2861" s="8"/>
      <c r="C2861" s="8"/>
      <c r="D2861" s="8"/>
      <c r="E2861" s="8"/>
      <c r="F2861" s="8"/>
      <c r="G2861" s="8"/>
      <c r="H2861" s="8"/>
      <c r="I2861" s="8"/>
      <c r="J2861" s="8"/>
      <c r="K2861" s="8"/>
      <c r="L2861" s="8"/>
      <c r="M2861" s="8"/>
      <c r="N2861" s="8"/>
      <c r="O2861" s="8"/>
      <c r="P2861" s="8"/>
      <c r="Q2861" s="8"/>
      <c r="R2861" s="8"/>
      <c r="S2861" s="8"/>
      <c r="T2861" s="8"/>
      <c r="U2861" s="8"/>
      <c r="V2861" s="8"/>
      <c r="W2861" s="8"/>
    </row>
    <row r="2862" spans="1:23" ht="15.75" customHeight="1" x14ac:dyDescent="0.25">
      <c r="A2862" s="6" t="s">
        <v>1971</v>
      </c>
      <c r="B2862" s="8"/>
      <c r="C2862" s="8"/>
      <c r="D2862" s="8"/>
      <c r="E2862" s="8"/>
      <c r="F2862" s="8"/>
      <c r="G2862" s="8"/>
      <c r="H2862" s="8"/>
      <c r="I2862" s="8"/>
      <c r="J2862" s="8"/>
      <c r="K2862" s="8"/>
      <c r="L2862" s="8"/>
      <c r="M2862" s="8"/>
      <c r="N2862" s="8"/>
      <c r="O2862" s="8"/>
      <c r="P2862" s="8"/>
      <c r="Q2862" s="8"/>
      <c r="R2862" s="8"/>
      <c r="S2862" s="8"/>
      <c r="T2862" s="8"/>
      <c r="U2862" s="8"/>
      <c r="V2862" s="8"/>
      <c r="W2862" s="8"/>
    </row>
    <row r="2863" spans="1:23" ht="15.75" customHeight="1" x14ac:dyDescent="0.25">
      <c r="A2863" s="6" t="s">
        <v>1971</v>
      </c>
      <c r="B2863" s="8"/>
      <c r="C2863" s="8"/>
      <c r="D2863" s="8"/>
      <c r="E2863" s="8"/>
      <c r="F2863" s="8"/>
      <c r="G2863" s="8"/>
      <c r="H2863" s="8"/>
      <c r="I2863" s="8"/>
      <c r="J2863" s="8"/>
      <c r="K2863" s="8"/>
      <c r="L2863" s="8"/>
      <c r="M2863" s="8"/>
      <c r="N2863" s="8"/>
      <c r="O2863" s="8"/>
      <c r="P2863" s="8"/>
      <c r="Q2863" s="8"/>
      <c r="R2863" s="8"/>
      <c r="S2863" s="8"/>
      <c r="T2863" s="8"/>
      <c r="U2863" s="8"/>
      <c r="V2863" s="8"/>
      <c r="W2863" s="8"/>
    </row>
    <row r="2864" spans="1:23" ht="15.75" customHeight="1" x14ac:dyDescent="0.25">
      <c r="A2864" s="6" t="s">
        <v>1971</v>
      </c>
      <c r="B2864" s="8"/>
      <c r="C2864" s="8"/>
      <c r="D2864" s="8"/>
      <c r="E2864" s="8"/>
      <c r="F2864" s="8"/>
      <c r="G2864" s="8"/>
      <c r="H2864" s="8"/>
      <c r="I2864" s="8"/>
      <c r="J2864" s="8"/>
      <c r="K2864" s="8"/>
      <c r="L2864" s="8"/>
      <c r="M2864" s="8"/>
      <c r="N2864" s="8"/>
      <c r="O2864" s="8"/>
      <c r="P2864" s="8"/>
      <c r="Q2864" s="8"/>
      <c r="R2864" s="8"/>
      <c r="S2864" s="8"/>
      <c r="T2864" s="8"/>
      <c r="U2864" s="8"/>
      <c r="V2864" s="8"/>
      <c r="W2864" s="8"/>
    </row>
    <row r="2865" spans="1:23" ht="15.75" customHeight="1" x14ac:dyDescent="0.25">
      <c r="A2865" s="6" t="s">
        <v>4320</v>
      </c>
      <c r="B2865" s="8"/>
      <c r="C2865" s="8"/>
      <c r="D2865" s="8"/>
      <c r="E2865" s="8"/>
      <c r="F2865" s="8"/>
      <c r="G2865" s="8"/>
      <c r="H2865" s="8"/>
      <c r="I2865" s="8"/>
      <c r="J2865" s="8"/>
      <c r="K2865" s="8"/>
      <c r="L2865" s="8"/>
      <c r="M2865" s="8"/>
      <c r="N2865" s="8"/>
      <c r="O2865" s="8"/>
      <c r="P2865" s="8"/>
      <c r="Q2865" s="8"/>
      <c r="R2865" s="8"/>
      <c r="S2865" s="8"/>
      <c r="T2865" s="8"/>
      <c r="U2865" s="8"/>
      <c r="V2865" s="8"/>
      <c r="W2865" s="8"/>
    </row>
    <row r="2866" spans="1:23" ht="15.75" customHeight="1" x14ac:dyDescent="0.25">
      <c r="A2866" s="6" t="s">
        <v>4321</v>
      </c>
      <c r="B2866" s="8"/>
      <c r="C2866" s="8"/>
      <c r="D2866" s="8"/>
      <c r="E2866" s="8"/>
      <c r="F2866" s="8"/>
      <c r="G2866" s="8"/>
      <c r="H2866" s="8"/>
      <c r="I2866" s="8"/>
      <c r="J2866" s="8"/>
      <c r="K2866" s="8"/>
      <c r="L2866" s="8"/>
      <c r="M2866" s="8"/>
      <c r="N2866" s="8"/>
      <c r="O2866" s="8"/>
      <c r="P2866" s="8"/>
      <c r="Q2866" s="8"/>
      <c r="R2866" s="8"/>
      <c r="S2866" s="8"/>
      <c r="T2866" s="8"/>
      <c r="U2866" s="8"/>
      <c r="V2866" s="8"/>
      <c r="W2866" s="8"/>
    </row>
    <row r="2867" spans="1:23" ht="15.75" customHeight="1" x14ac:dyDescent="0.25">
      <c r="A2867" s="6" t="s">
        <v>3523</v>
      </c>
      <c r="B2867" s="8"/>
      <c r="C2867" s="8"/>
      <c r="D2867" s="8"/>
      <c r="E2867" s="8"/>
      <c r="F2867" s="8"/>
      <c r="G2867" s="8"/>
      <c r="H2867" s="8"/>
      <c r="I2867" s="8"/>
      <c r="J2867" s="8"/>
      <c r="K2867" s="8"/>
      <c r="L2867" s="8"/>
      <c r="M2867" s="8"/>
      <c r="N2867" s="8"/>
      <c r="O2867" s="8"/>
      <c r="P2867" s="8"/>
      <c r="Q2867" s="8"/>
      <c r="R2867" s="8"/>
      <c r="S2867" s="8"/>
      <c r="T2867" s="8"/>
      <c r="U2867" s="8"/>
      <c r="V2867" s="8"/>
      <c r="W2867" s="8"/>
    </row>
    <row r="2868" spans="1:23" ht="15.75" customHeight="1" x14ac:dyDescent="0.25">
      <c r="A2868" s="6" t="s">
        <v>3523</v>
      </c>
      <c r="B2868" s="8"/>
      <c r="C2868" s="8"/>
      <c r="D2868" s="8"/>
      <c r="E2868" s="8"/>
      <c r="F2868" s="8"/>
      <c r="G2868" s="8"/>
      <c r="H2868" s="8"/>
      <c r="I2868" s="8"/>
      <c r="J2868" s="8"/>
      <c r="K2868" s="8"/>
      <c r="L2868" s="8"/>
      <c r="M2868" s="8"/>
      <c r="N2868" s="8"/>
      <c r="O2868" s="8"/>
      <c r="P2868" s="8"/>
      <c r="Q2868" s="8"/>
      <c r="R2868" s="8"/>
      <c r="S2868" s="8"/>
      <c r="T2868" s="8"/>
      <c r="U2868" s="8"/>
      <c r="V2868" s="8"/>
      <c r="W2868" s="8"/>
    </row>
    <row r="2869" spans="1:23" ht="15.75" customHeight="1" x14ac:dyDescent="0.25">
      <c r="A2869" s="6" t="s">
        <v>3523</v>
      </c>
      <c r="B2869" s="8"/>
      <c r="C2869" s="8"/>
      <c r="D2869" s="8"/>
      <c r="E2869" s="8"/>
      <c r="F2869" s="8"/>
      <c r="G2869" s="8"/>
      <c r="H2869" s="8"/>
      <c r="I2869" s="8"/>
      <c r="J2869" s="8"/>
      <c r="K2869" s="8"/>
      <c r="L2869" s="8"/>
      <c r="M2869" s="8"/>
      <c r="N2869" s="8"/>
      <c r="O2869" s="8"/>
      <c r="P2869" s="8"/>
      <c r="Q2869" s="8"/>
      <c r="R2869" s="8"/>
      <c r="S2869" s="8"/>
      <c r="T2869" s="8"/>
      <c r="U2869" s="8"/>
      <c r="V2869" s="8"/>
      <c r="W2869" s="8"/>
    </row>
    <row r="2870" spans="1:23" ht="15.75" customHeight="1" x14ac:dyDescent="0.25">
      <c r="A2870" s="6" t="s">
        <v>3523</v>
      </c>
      <c r="B2870" s="8"/>
      <c r="C2870" s="8"/>
      <c r="D2870" s="8"/>
      <c r="E2870" s="8"/>
      <c r="F2870" s="8"/>
      <c r="G2870" s="8"/>
      <c r="H2870" s="8"/>
      <c r="I2870" s="8"/>
      <c r="J2870" s="8"/>
      <c r="K2870" s="8"/>
      <c r="L2870" s="8"/>
      <c r="M2870" s="8"/>
      <c r="N2870" s="8"/>
      <c r="O2870" s="8"/>
      <c r="P2870" s="8"/>
      <c r="Q2870" s="8"/>
      <c r="R2870" s="8"/>
      <c r="S2870" s="8"/>
      <c r="T2870" s="8"/>
      <c r="U2870" s="8"/>
      <c r="V2870" s="8"/>
      <c r="W2870" s="8"/>
    </row>
    <row r="2871" spans="1:23" ht="15.75" customHeight="1" x14ac:dyDescent="0.25">
      <c r="A2871" s="6" t="s">
        <v>3523</v>
      </c>
      <c r="B2871" s="8"/>
      <c r="C2871" s="8"/>
      <c r="D2871" s="8"/>
      <c r="E2871" s="8"/>
      <c r="F2871" s="8"/>
      <c r="G2871" s="8"/>
      <c r="H2871" s="8"/>
      <c r="I2871" s="8"/>
      <c r="J2871" s="8"/>
      <c r="K2871" s="8"/>
      <c r="L2871" s="8"/>
      <c r="M2871" s="8"/>
      <c r="N2871" s="8"/>
      <c r="O2871" s="8"/>
      <c r="P2871" s="8"/>
      <c r="Q2871" s="8"/>
      <c r="R2871" s="8"/>
      <c r="S2871" s="8"/>
      <c r="T2871" s="8"/>
      <c r="U2871" s="8"/>
      <c r="V2871" s="8"/>
      <c r="W2871" s="8"/>
    </row>
    <row r="2872" spans="1:23" ht="15.75" customHeight="1" x14ac:dyDescent="0.25">
      <c r="A2872" s="6" t="s">
        <v>3523</v>
      </c>
      <c r="B2872" s="8"/>
      <c r="C2872" s="8"/>
      <c r="D2872" s="8"/>
      <c r="E2872" s="8"/>
      <c r="F2872" s="8"/>
      <c r="G2872" s="8"/>
      <c r="H2872" s="8"/>
      <c r="I2872" s="8"/>
      <c r="J2872" s="8"/>
      <c r="K2872" s="8"/>
      <c r="L2872" s="8"/>
      <c r="M2872" s="8"/>
      <c r="N2872" s="8"/>
      <c r="O2872" s="8"/>
      <c r="P2872" s="8"/>
      <c r="Q2872" s="8"/>
      <c r="R2872" s="8"/>
      <c r="S2872" s="8"/>
      <c r="T2872" s="8"/>
      <c r="U2872" s="8"/>
      <c r="V2872" s="8"/>
      <c r="W2872" s="8"/>
    </row>
    <row r="2873" spans="1:23" ht="15.75" customHeight="1" x14ac:dyDescent="0.25">
      <c r="A2873" s="6" t="s">
        <v>4322</v>
      </c>
      <c r="B2873" s="8"/>
      <c r="C2873" s="8"/>
      <c r="D2873" s="8"/>
      <c r="E2873" s="8"/>
      <c r="F2873" s="8"/>
      <c r="G2873" s="8"/>
      <c r="H2873" s="8"/>
      <c r="I2873" s="8"/>
      <c r="J2873" s="8"/>
      <c r="K2873" s="8"/>
      <c r="L2873" s="8"/>
      <c r="M2873" s="8"/>
      <c r="N2873" s="8"/>
      <c r="O2873" s="8"/>
      <c r="P2873" s="8"/>
      <c r="Q2873" s="8"/>
      <c r="R2873" s="8"/>
      <c r="S2873" s="8"/>
      <c r="T2873" s="8"/>
      <c r="U2873" s="8"/>
      <c r="V2873" s="8"/>
      <c r="W2873" s="8"/>
    </row>
    <row r="2874" spans="1:23" ht="15.75" customHeight="1" x14ac:dyDescent="0.25">
      <c r="A2874" s="6" t="s">
        <v>3757</v>
      </c>
      <c r="B2874" s="8"/>
      <c r="C2874" s="8"/>
      <c r="D2874" s="8"/>
      <c r="E2874" s="8"/>
      <c r="F2874" s="8"/>
      <c r="G2874" s="8"/>
      <c r="H2874" s="8"/>
      <c r="I2874" s="8"/>
      <c r="J2874" s="8"/>
      <c r="K2874" s="8"/>
      <c r="L2874" s="8"/>
      <c r="M2874" s="8"/>
      <c r="N2874" s="8"/>
      <c r="O2874" s="8"/>
      <c r="P2874" s="8"/>
      <c r="Q2874" s="8"/>
      <c r="R2874" s="8"/>
      <c r="S2874" s="8"/>
      <c r="T2874" s="8"/>
      <c r="U2874" s="8"/>
      <c r="V2874" s="8"/>
      <c r="W2874" s="8"/>
    </row>
    <row r="2875" spans="1:23" ht="15.75" customHeight="1" x14ac:dyDescent="0.25">
      <c r="A2875" s="6" t="s">
        <v>3757</v>
      </c>
      <c r="B2875" s="8"/>
      <c r="C2875" s="8"/>
      <c r="D2875" s="8"/>
      <c r="E2875" s="8"/>
      <c r="F2875" s="8"/>
      <c r="G2875" s="8"/>
      <c r="H2875" s="8"/>
      <c r="I2875" s="8"/>
      <c r="J2875" s="8"/>
      <c r="K2875" s="8"/>
      <c r="L2875" s="8"/>
      <c r="M2875" s="8"/>
      <c r="N2875" s="8"/>
      <c r="O2875" s="8"/>
      <c r="P2875" s="8"/>
      <c r="Q2875" s="8"/>
      <c r="R2875" s="8"/>
      <c r="S2875" s="8"/>
      <c r="T2875" s="8"/>
      <c r="U2875" s="8"/>
      <c r="V2875" s="8"/>
      <c r="W2875" s="8"/>
    </row>
    <row r="2876" spans="1:23" ht="15.75" customHeight="1" x14ac:dyDescent="0.25">
      <c r="A2876" s="6" t="s">
        <v>3757</v>
      </c>
      <c r="B2876" s="8"/>
      <c r="C2876" s="8"/>
      <c r="D2876" s="8"/>
      <c r="E2876" s="8"/>
      <c r="F2876" s="8"/>
      <c r="G2876" s="8"/>
      <c r="H2876" s="8"/>
      <c r="I2876" s="8"/>
      <c r="J2876" s="8"/>
      <c r="K2876" s="8"/>
      <c r="L2876" s="8"/>
      <c r="M2876" s="8"/>
      <c r="N2876" s="8"/>
      <c r="O2876" s="8"/>
      <c r="P2876" s="8"/>
      <c r="Q2876" s="8"/>
      <c r="R2876" s="8"/>
      <c r="S2876" s="8"/>
      <c r="T2876" s="8"/>
      <c r="U2876" s="8"/>
      <c r="V2876" s="8"/>
      <c r="W2876" s="8"/>
    </row>
    <row r="2877" spans="1:23" ht="15.75" customHeight="1" x14ac:dyDescent="0.25">
      <c r="A2877" s="6" t="s">
        <v>4323</v>
      </c>
      <c r="B2877" s="8"/>
      <c r="C2877" s="8"/>
      <c r="D2877" s="8"/>
      <c r="E2877" s="8"/>
      <c r="F2877" s="8"/>
      <c r="G2877" s="8"/>
      <c r="H2877" s="8"/>
      <c r="I2877" s="8"/>
      <c r="J2877" s="8"/>
      <c r="K2877" s="8"/>
      <c r="L2877" s="8"/>
      <c r="M2877" s="8"/>
      <c r="N2877" s="8"/>
      <c r="O2877" s="8"/>
      <c r="P2877" s="8"/>
      <c r="Q2877" s="8"/>
      <c r="R2877" s="8"/>
      <c r="S2877" s="8"/>
      <c r="T2877" s="8"/>
      <c r="U2877" s="8"/>
      <c r="V2877" s="8"/>
      <c r="W2877" s="8"/>
    </row>
    <row r="2878" spans="1:23" ht="15.75" customHeight="1" x14ac:dyDescent="0.25">
      <c r="A2878" s="6" t="s">
        <v>4324</v>
      </c>
      <c r="B2878" s="8"/>
      <c r="C2878" s="8"/>
      <c r="D2878" s="8"/>
      <c r="E2878" s="8"/>
      <c r="F2878" s="8"/>
      <c r="G2878" s="8"/>
      <c r="H2878" s="8"/>
      <c r="I2878" s="8"/>
      <c r="J2878" s="8"/>
      <c r="K2878" s="8"/>
      <c r="L2878" s="8"/>
      <c r="M2878" s="8"/>
      <c r="N2878" s="8"/>
      <c r="O2878" s="8"/>
      <c r="P2878" s="8"/>
      <c r="Q2878" s="8"/>
      <c r="R2878" s="8"/>
      <c r="S2878" s="8"/>
      <c r="T2878" s="8"/>
      <c r="U2878" s="8"/>
      <c r="V2878" s="8"/>
      <c r="W2878" s="8"/>
    </row>
    <row r="2879" spans="1:23" ht="15.75" customHeight="1" x14ac:dyDescent="0.25">
      <c r="A2879" s="6" t="s">
        <v>3843</v>
      </c>
      <c r="B2879" s="8"/>
      <c r="C2879" s="8"/>
      <c r="D2879" s="8"/>
      <c r="E2879" s="8"/>
      <c r="F2879" s="8"/>
      <c r="G2879" s="8"/>
      <c r="H2879" s="8"/>
      <c r="I2879" s="8"/>
      <c r="J2879" s="8"/>
      <c r="K2879" s="8"/>
      <c r="L2879" s="8"/>
      <c r="M2879" s="8"/>
      <c r="N2879" s="8"/>
      <c r="O2879" s="8"/>
      <c r="P2879" s="8"/>
      <c r="Q2879" s="8"/>
      <c r="R2879" s="8"/>
      <c r="S2879" s="8"/>
      <c r="T2879" s="8"/>
      <c r="U2879" s="8"/>
      <c r="V2879" s="8"/>
      <c r="W2879" s="8"/>
    </row>
    <row r="2880" spans="1:23" ht="15.75" customHeight="1" x14ac:dyDescent="0.25">
      <c r="A2880" s="6" t="s">
        <v>3758</v>
      </c>
      <c r="B2880" s="8"/>
      <c r="C2880" s="8"/>
      <c r="D2880" s="8"/>
      <c r="E2880" s="8"/>
      <c r="F2880" s="8"/>
      <c r="G2880" s="8"/>
      <c r="H2880" s="8"/>
      <c r="I2880" s="8"/>
      <c r="J2880" s="8"/>
      <c r="K2880" s="8"/>
      <c r="L2880" s="8"/>
      <c r="M2880" s="8"/>
      <c r="N2880" s="8"/>
      <c r="O2880" s="8"/>
      <c r="P2880" s="8"/>
      <c r="Q2880" s="8"/>
      <c r="R2880" s="8"/>
      <c r="S2880" s="8"/>
      <c r="T2880" s="8"/>
      <c r="U2880" s="8"/>
      <c r="V2880" s="8"/>
      <c r="W2880" s="8"/>
    </row>
    <row r="2881" spans="1:23" ht="15.75" customHeight="1" x14ac:dyDescent="0.25">
      <c r="A2881" s="6" t="s">
        <v>3758</v>
      </c>
      <c r="B2881" s="8"/>
      <c r="C2881" s="8"/>
      <c r="D2881" s="8"/>
      <c r="E2881" s="8"/>
      <c r="F2881" s="8"/>
      <c r="G2881" s="8"/>
      <c r="H2881" s="8"/>
      <c r="I2881" s="8"/>
      <c r="J2881" s="8"/>
      <c r="K2881" s="8"/>
      <c r="L2881" s="8"/>
      <c r="M2881" s="8"/>
      <c r="N2881" s="8"/>
      <c r="O2881" s="8"/>
      <c r="P2881" s="8"/>
      <c r="Q2881" s="8"/>
      <c r="R2881" s="8"/>
      <c r="S2881" s="8"/>
      <c r="T2881" s="8"/>
      <c r="U2881" s="8"/>
      <c r="V2881" s="8"/>
      <c r="W2881" s="8"/>
    </row>
    <row r="2882" spans="1:23" ht="15.75" customHeight="1" x14ac:dyDescent="0.25">
      <c r="A2882" s="6" t="s">
        <v>3758</v>
      </c>
      <c r="B2882" s="8"/>
      <c r="C2882" s="8"/>
      <c r="D2882" s="8"/>
      <c r="E2882" s="8"/>
      <c r="F2882" s="8"/>
      <c r="G2882" s="8"/>
      <c r="H2882" s="8"/>
      <c r="I2882" s="8"/>
      <c r="J2882" s="8"/>
      <c r="K2882" s="8"/>
      <c r="L2882" s="8"/>
      <c r="M2882" s="8"/>
      <c r="N2882" s="8"/>
      <c r="O2882" s="8"/>
      <c r="P2882" s="8"/>
      <c r="Q2882" s="8"/>
      <c r="R2882" s="8"/>
      <c r="S2882" s="8"/>
      <c r="T2882" s="8"/>
      <c r="U2882" s="8"/>
      <c r="V2882" s="8"/>
      <c r="W2882" s="8"/>
    </row>
    <row r="2883" spans="1:23" ht="15.75" customHeight="1" x14ac:dyDescent="0.25">
      <c r="A2883" s="6" t="s">
        <v>4325</v>
      </c>
      <c r="B2883" s="8"/>
      <c r="C2883" s="8"/>
      <c r="D2883" s="8"/>
      <c r="E2883" s="8"/>
      <c r="F2883" s="8"/>
      <c r="G2883" s="8"/>
      <c r="H2883" s="8"/>
      <c r="I2883" s="8"/>
      <c r="J2883" s="8"/>
      <c r="K2883" s="8"/>
      <c r="L2883" s="8"/>
      <c r="M2883" s="8"/>
      <c r="N2883" s="8"/>
      <c r="O2883" s="8"/>
      <c r="P2883" s="8"/>
      <c r="Q2883" s="8"/>
      <c r="R2883" s="8"/>
      <c r="S2883" s="8"/>
      <c r="T2883" s="8"/>
      <c r="U2883" s="8"/>
      <c r="V2883" s="8"/>
      <c r="W2883" s="8"/>
    </row>
    <row r="2884" spans="1:23" ht="15.75" customHeight="1" x14ac:dyDescent="0.25">
      <c r="A2884" s="6" t="s">
        <v>4001</v>
      </c>
      <c r="B2884" s="8"/>
      <c r="C2884" s="8"/>
      <c r="D2884" s="8"/>
      <c r="E2884" s="8"/>
      <c r="F2884" s="8"/>
      <c r="G2884" s="8"/>
      <c r="H2884" s="8"/>
      <c r="I2884" s="8"/>
      <c r="J2884" s="8"/>
      <c r="K2884" s="8"/>
      <c r="L2884" s="8"/>
      <c r="M2884" s="8"/>
      <c r="N2884" s="8"/>
      <c r="O2884" s="8"/>
      <c r="P2884" s="8"/>
      <c r="Q2884" s="8"/>
      <c r="R2884" s="8"/>
      <c r="S2884" s="8"/>
      <c r="T2884" s="8"/>
      <c r="U2884" s="8"/>
      <c r="V2884" s="8"/>
      <c r="W2884" s="8"/>
    </row>
    <row r="2885" spans="1:23" ht="15.75" customHeight="1" x14ac:dyDescent="0.25">
      <c r="A2885" s="6" t="s">
        <v>4001</v>
      </c>
      <c r="B2885" s="8"/>
      <c r="C2885" s="8"/>
      <c r="D2885" s="8"/>
      <c r="E2885" s="8"/>
      <c r="F2885" s="8"/>
      <c r="G2885" s="8"/>
      <c r="H2885" s="8"/>
      <c r="I2885" s="8"/>
      <c r="J2885" s="8"/>
      <c r="K2885" s="8"/>
      <c r="L2885" s="8"/>
      <c r="M2885" s="8"/>
      <c r="N2885" s="8"/>
      <c r="O2885" s="8"/>
      <c r="P2885" s="8"/>
      <c r="Q2885" s="8"/>
      <c r="R2885" s="8"/>
      <c r="S2885" s="8"/>
      <c r="T2885" s="8"/>
      <c r="U2885" s="8"/>
      <c r="V2885" s="8"/>
      <c r="W2885" s="8"/>
    </row>
    <row r="2886" spans="1:23" ht="15.75" customHeight="1" x14ac:dyDescent="0.25">
      <c r="A2886" s="8" t="s">
        <v>4002</v>
      </c>
      <c r="B2886" s="8"/>
      <c r="C2886" s="8"/>
      <c r="D2886" s="8"/>
      <c r="E2886" s="8"/>
      <c r="F2886" s="8"/>
      <c r="G2886" s="8"/>
      <c r="H2886" s="8"/>
      <c r="I2886" s="8"/>
      <c r="J2886" s="8"/>
      <c r="K2886" s="8"/>
      <c r="L2886" s="8"/>
      <c r="M2886" s="8"/>
      <c r="N2886" s="8"/>
      <c r="O2886" s="8"/>
      <c r="P2886" s="8"/>
      <c r="Q2886" s="8"/>
      <c r="R2886" s="8"/>
      <c r="S2886" s="8"/>
      <c r="T2886" s="8"/>
      <c r="U2886" s="8"/>
      <c r="V2886" s="8"/>
      <c r="W2886" s="8"/>
    </row>
    <row r="2887" spans="1:23" ht="15.75" customHeight="1" x14ac:dyDescent="0.25">
      <c r="A2887" s="8" t="s">
        <v>4002</v>
      </c>
      <c r="B2887" s="8"/>
      <c r="C2887" s="8"/>
      <c r="D2887" s="8"/>
      <c r="E2887" s="8"/>
      <c r="F2887" s="8"/>
      <c r="G2887" s="8"/>
      <c r="H2887" s="8"/>
      <c r="I2887" s="8"/>
      <c r="J2887" s="8"/>
      <c r="K2887" s="8"/>
      <c r="L2887" s="8"/>
      <c r="M2887" s="8"/>
      <c r="N2887" s="8"/>
      <c r="O2887" s="8"/>
      <c r="P2887" s="8"/>
      <c r="Q2887" s="8"/>
      <c r="R2887" s="8"/>
      <c r="S2887" s="8"/>
      <c r="T2887" s="8"/>
      <c r="U2887" s="8"/>
      <c r="V2887" s="8"/>
      <c r="W2887" s="8"/>
    </row>
    <row r="2888" spans="1:23" ht="15.75" customHeight="1" x14ac:dyDescent="0.25">
      <c r="A2888" s="6" t="s">
        <v>4003</v>
      </c>
      <c r="B2888" s="8"/>
      <c r="C2888" s="8"/>
      <c r="D2888" s="8"/>
      <c r="E2888" s="8"/>
      <c r="F2888" s="8"/>
      <c r="G2888" s="8"/>
      <c r="H2888" s="8"/>
      <c r="I2888" s="8"/>
      <c r="J2888" s="8"/>
      <c r="K2888" s="8"/>
      <c r="L2888" s="8"/>
      <c r="M2888" s="8"/>
      <c r="N2888" s="8"/>
      <c r="O2888" s="8"/>
      <c r="P2888" s="8"/>
      <c r="Q2888" s="8"/>
      <c r="R2888" s="8"/>
      <c r="S2888" s="8"/>
      <c r="T2888" s="8"/>
      <c r="U2888" s="8"/>
      <c r="V2888" s="8"/>
      <c r="W2888" s="8"/>
    </row>
    <row r="2889" spans="1:23" ht="15.75" customHeight="1" x14ac:dyDescent="0.25">
      <c r="A2889" s="6" t="s">
        <v>4003</v>
      </c>
      <c r="B2889" s="8"/>
      <c r="C2889" s="8"/>
      <c r="D2889" s="8"/>
      <c r="E2889" s="8"/>
      <c r="F2889" s="8"/>
      <c r="G2889" s="8"/>
      <c r="H2889" s="8"/>
      <c r="I2889" s="8"/>
      <c r="J2889" s="8"/>
      <c r="K2889" s="8"/>
      <c r="L2889" s="8"/>
      <c r="M2889" s="8"/>
      <c r="N2889" s="8"/>
      <c r="O2889" s="8"/>
      <c r="P2889" s="8"/>
      <c r="Q2889" s="8"/>
      <c r="R2889" s="8"/>
      <c r="S2889" s="8"/>
      <c r="T2889" s="8"/>
      <c r="U2889" s="8"/>
      <c r="V2889" s="8"/>
      <c r="W2889" s="8"/>
    </row>
    <row r="2890" spans="1:23" ht="15.75" customHeight="1" x14ac:dyDescent="0.25">
      <c r="A2890" s="6" t="s">
        <v>4326</v>
      </c>
      <c r="B2890" s="8"/>
      <c r="C2890" s="8"/>
      <c r="D2890" s="8"/>
      <c r="E2890" s="8"/>
      <c r="F2890" s="8"/>
      <c r="G2890" s="8"/>
      <c r="H2890" s="8"/>
      <c r="I2890" s="8"/>
      <c r="J2890" s="8"/>
      <c r="K2890" s="8"/>
      <c r="L2890" s="8"/>
      <c r="M2890" s="8"/>
      <c r="N2890" s="8"/>
      <c r="O2890" s="8"/>
      <c r="P2890" s="8"/>
      <c r="Q2890" s="8"/>
      <c r="R2890" s="8"/>
      <c r="S2890" s="8"/>
      <c r="T2890" s="8"/>
      <c r="U2890" s="8"/>
      <c r="V2890" s="8"/>
      <c r="W2890" s="8"/>
    </row>
    <row r="2891" spans="1:23" ht="15.75" customHeight="1" x14ac:dyDescent="0.25">
      <c r="A2891" s="8" t="s">
        <v>4327</v>
      </c>
      <c r="B2891" s="8"/>
      <c r="C2891" s="8"/>
      <c r="D2891" s="8"/>
      <c r="E2891" s="8"/>
      <c r="F2891" s="8"/>
      <c r="G2891" s="8"/>
      <c r="H2891" s="8"/>
      <c r="I2891" s="8"/>
      <c r="J2891" s="8"/>
      <c r="K2891" s="8"/>
      <c r="L2891" s="8"/>
      <c r="M2891" s="8"/>
      <c r="N2891" s="8"/>
      <c r="O2891" s="8"/>
      <c r="P2891" s="8"/>
      <c r="Q2891" s="8"/>
      <c r="R2891" s="8"/>
      <c r="S2891" s="8"/>
      <c r="T2891" s="8"/>
      <c r="U2891" s="8"/>
      <c r="V2891" s="8"/>
      <c r="W2891" s="8"/>
    </row>
    <row r="2892" spans="1:23" ht="15.75" customHeight="1" x14ac:dyDescent="0.25">
      <c r="A2892" s="8" t="s">
        <v>4004</v>
      </c>
      <c r="B2892" s="8"/>
      <c r="C2892" s="8"/>
      <c r="D2892" s="8"/>
      <c r="E2892" s="8"/>
      <c r="F2892" s="8"/>
      <c r="G2892" s="8"/>
      <c r="H2892" s="8"/>
      <c r="I2892" s="8"/>
      <c r="J2892" s="8"/>
      <c r="K2892" s="8"/>
      <c r="L2892" s="8"/>
      <c r="M2892" s="8"/>
      <c r="N2892" s="8"/>
      <c r="O2892" s="8"/>
      <c r="P2892" s="8"/>
      <c r="Q2892" s="8"/>
      <c r="R2892" s="8"/>
      <c r="S2892" s="8"/>
      <c r="T2892" s="8"/>
      <c r="U2892" s="8"/>
      <c r="V2892" s="8"/>
      <c r="W2892" s="8"/>
    </row>
    <row r="2893" spans="1:23" ht="15.75" customHeight="1" x14ac:dyDescent="0.25">
      <c r="A2893" s="8" t="s">
        <v>4004</v>
      </c>
      <c r="B2893" s="8"/>
      <c r="C2893" s="8"/>
      <c r="D2893" s="8"/>
      <c r="E2893" s="8"/>
      <c r="F2893" s="8"/>
      <c r="G2893" s="8"/>
      <c r="H2893" s="8"/>
      <c r="I2893" s="8"/>
      <c r="J2893" s="8"/>
      <c r="K2893" s="8"/>
      <c r="L2893" s="8"/>
      <c r="M2893" s="8"/>
      <c r="N2893" s="8"/>
      <c r="O2893" s="8"/>
      <c r="P2893" s="8"/>
      <c r="Q2893" s="8"/>
      <c r="R2893" s="8"/>
      <c r="S2893" s="8"/>
      <c r="T2893" s="8"/>
      <c r="U2893" s="8"/>
      <c r="V2893" s="8"/>
      <c r="W2893" s="8"/>
    </row>
    <row r="2894" spans="1:23" ht="15.75" customHeight="1" x14ac:dyDescent="0.25">
      <c r="A2894" s="6" t="s">
        <v>4328</v>
      </c>
      <c r="B2894" s="8"/>
      <c r="C2894" s="8"/>
      <c r="D2894" s="8"/>
      <c r="E2894" s="8"/>
      <c r="F2894" s="8"/>
      <c r="G2894" s="8"/>
      <c r="H2894" s="8"/>
      <c r="I2894" s="8"/>
      <c r="J2894" s="8"/>
      <c r="K2894" s="8"/>
      <c r="L2894" s="8"/>
      <c r="M2894" s="8"/>
      <c r="N2894" s="8"/>
      <c r="O2894" s="8"/>
      <c r="P2894" s="8"/>
      <c r="Q2894" s="8"/>
      <c r="R2894" s="8"/>
      <c r="S2894" s="8"/>
      <c r="T2894" s="8"/>
      <c r="U2894" s="8"/>
      <c r="V2894" s="8"/>
      <c r="W2894" s="8"/>
    </row>
    <row r="2895" spans="1:23" ht="15.75" customHeight="1" x14ac:dyDescent="0.25">
      <c r="A2895" s="6" t="s">
        <v>3437</v>
      </c>
      <c r="B2895" s="8"/>
      <c r="C2895" s="8"/>
      <c r="D2895" s="8"/>
      <c r="E2895" s="8"/>
      <c r="F2895" s="8"/>
      <c r="G2895" s="8"/>
      <c r="H2895" s="8"/>
      <c r="I2895" s="8"/>
      <c r="J2895" s="8"/>
      <c r="K2895" s="8"/>
      <c r="L2895" s="8"/>
      <c r="M2895" s="8"/>
      <c r="N2895" s="8"/>
      <c r="O2895" s="8"/>
      <c r="P2895" s="8"/>
      <c r="Q2895" s="8"/>
      <c r="R2895" s="8"/>
      <c r="S2895" s="8"/>
      <c r="T2895" s="8"/>
      <c r="U2895" s="8"/>
      <c r="V2895" s="8"/>
      <c r="W2895" s="8"/>
    </row>
    <row r="2896" spans="1:23" ht="15.75" customHeight="1" x14ac:dyDescent="0.25">
      <c r="A2896" s="6" t="s">
        <v>3437</v>
      </c>
      <c r="B2896" s="8"/>
      <c r="C2896" s="8"/>
      <c r="D2896" s="8"/>
      <c r="E2896" s="8"/>
      <c r="F2896" s="8"/>
      <c r="G2896" s="8"/>
      <c r="H2896" s="8"/>
      <c r="I2896" s="8"/>
      <c r="J2896" s="8"/>
      <c r="K2896" s="8"/>
      <c r="L2896" s="8"/>
      <c r="M2896" s="8"/>
      <c r="N2896" s="8"/>
      <c r="O2896" s="8"/>
      <c r="P2896" s="8"/>
      <c r="Q2896" s="8"/>
      <c r="R2896" s="8"/>
      <c r="S2896" s="8"/>
      <c r="T2896" s="8"/>
      <c r="U2896" s="8"/>
      <c r="V2896" s="8"/>
      <c r="W2896" s="8"/>
    </row>
    <row r="2897" spans="1:23" ht="15.75" customHeight="1" x14ac:dyDescent="0.25">
      <c r="A2897" s="6" t="s">
        <v>3437</v>
      </c>
      <c r="B2897" s="8"/>
      <c r="C2897" s="8"/>
      <c r="D2897" s="8"/>
      <c r="E2897" s="8"/>
      <c r="F2897" s="8"/>
      <c r="G2897" s="8"/>
      <c r="H2897" s="8"/>
      <c r="I2897" s="8"/>
      <c r="J2897" s="8"/>
      <c r="K2897" s="8"/>
      <c r="L2897" s="8"/>
      <c r="M2897" s="8"/>
      <c r="N2897" s="8"/>
      <c r="O2897" s="8"/>
      <c r="P2897" s="8"/>
      <c r="Q2897" s="8"/>
      <c r="R2897" s="8"/>
      <c r="S2897" s="8"/>
      <c r="T2897" s="8"/>
      <c r="U2897" s="8"/>
      <c r="V2897" s="8"/>
      <c r="W2897" s="8"/>
    </row>
    <row r="2898" spans="1:23" ht="15.75" customHeight="1" x14ac:dyDescent="0.25">
      <c r="A2898" s="8" t="s">
        <v>3437</v>
      </c>
      <c r="B2898" s="8"/>
      <c r="C2898" s="8"/>
      <c r="D2898" s="8"/>
      <c r="E2898" s="8"/>
      <c r="F2898" s="8"/>
      <c r="G2898" s="8"/>
      <c r="H2898" s="8"/>
      <c r="I2898" s="8"/>
      <c r="J2898" s="8"/>
      <c r="K2898" s="8"/>
      <c r="L2898" s="8"/>
      <c r="M2898" s="8"/>
      <c r="N2898" s="8"/>
      <c r="O2898" s="8"/>
      <c r="P2898" s="8"/>
      <c r="Q2898" s="8"/>
      <c r="R2898" s="8"/>
      <c r="S2898" s="8"/>
      <c r="T2898" s="8"/>
      <c r="U2898" s="8"/>
      <c r="V2898" s="8"/>
      <c r="W2898" s="8"/>
    </row>
    <row r="2899" spans="1:23" ht="15.75" customHeight="1" x14ac:dyDescent="0.25">
      <c r="A2899" s="6" t="s">
        <v>3437</v>
      </c>
      <c r="B2899" s="8"/>
      <c r="C2899" s="8"/>
      <c r="D2899" s="8"/>
      <c r="E2899" s="8"/>
      <c r="F2899" s="8"/>
      <c r="G2899" s="8"/>
      <c r="H2899" s="8"/>
      <c r="I2899" s="8"/>
      <c r="J2899" s="8"/>
      <c r="K2899" s="8"/>
      <c r="L2899" s="8"/>
      <c r="M2899" s="8"/>
      <c r="N2899" s="8"/>
      <c r="O2899" s="8"/>
      <c r="P2899" s="8"/>
      <c r="Q2899" s="8"/>
      <c r="R2899" s="8"/>
      <c r="S2899" s="8"/>
      <c r="T2899" s="8"/>
      <c r="U2899" s="8"/>
      <c r="V2899" s="8"/>
      <c r="W2899" s="8"/>
    </row>
    <row r="2900" spans="1:23" ht="15.75" customHeight="1" x14ac:dyDescent="0.25">
      <c r="A2900" s="6" t="s">
        <v>3437</v>
      </c>
      <c r="B2900" s="8"/>
      <c r="C2900" s="8"/>
      <c r="D2900" s="8"/>
      <c r="E2900" s="8"/>
      <c r="F2900" s="8"/>
      <c r="G2900" s="8"/>
      <c r="H2900" s="8"/>
      <c r="I2900" s="8"/>
      <c r="J2900" s="8"/>
      <c r="K2900" s="8"/>
      <c r="L2900" s="8"/>
      <c r="M2900" s="8"/>
      <c r="N2900" s="8"/>
      <c r="O2900" s="8"/>
      <c r="P2900" s="8"/>
      <c r="Q2900" s="8"/>
      <c r="R2900" s="8"/>
      <c r="S2900" s="8"/>
      <c r="T2900" s="8"/>
      <c r="U2900" s="8"/>
      <c r="V2900" s="8"/>
      <c r="W2900" s="8"/>
    </row>
    <row r="2901" spans="1:23" ht="15.75" customHeight="1" x14ac:dyDescent="0.25">
      <c r="A2901" s="6" t="s">
        <v>3437</v>
      </c>
      <c r="B2901" s="8"/>
      <c r="C2901" s="8"/>
      <c r="D2901" s="8"/>
      <c r="E2901" s="8"/>
      <c r="F2901" s="8"/>
      <c r="G2901" s="8"/>
      <c r="H2901" s="8"/>
      <c r="I2901" s="8"/>
      <c r="J2901" s="8"/>
      <c r="K2901" s="8"/>
      <c r="L2901" s="8"/>
      <c r="M2901" s="8"/>
      <c r="N2901" s="8"/>
      <c r="O2901" s="8"/>
      <c r="P2901" s="8"/>
      <c r="Q2901" s="8"/>
      <c r="R2901" s="8"/>
      <c r="S2901" s="8"/>
      <c r="T2901" s="8"/>
      <c r="U2901" s="8"/>
      <c r="V2901" s="8"/>
      <c r="W2901" s="8"/>
    </row>
    <row r="2902" spans="1:23" ht="15.75" customHeight="1" x14ac:dyDescent="0.25">
      <c r="A2902" s="6" t="s">
        <v>3437</v>
      </c>
      <c r="B2902" s="8"/>
      <c r="C2902" s="8"/>
      <c r="D2902" s="8"/>
      <c r="E2902" s="8"/>
      <c r="F2902" s="8"/>
      <c r="G2902" s="8"/>
      <c r="H2902" s="8"/>
      <c r="I2902" s="8"/>
      <c r="J2902" s="8"/>
      <c r="K2902" s="8"/>
      <c r="L2902" s="8"/>
      <c r="M2902" s="8"/>
      <c r="N2902" s="8"/>
      <c r="O2902" s="8"/>
      <c r="P2902" s="8"/>
      <c r="Q2902" s="8"/>
      <c r="R2902" s="8"/>
      <c r="S2902" s="8"/>
      <c r="T2902" s="8"/>
      <c r="U2902" s="8"/>
      <c r="V2902" s="8"/>
      <c r="W2902" s="8"/>
    </row>
    <row r="2903" spans="1:23" ht="15.75" customHeight="1" x14ac:dyDescent="0.25">
      <c r="A2903" s="6" t="s">
        <v>3761</v>
      </c>
      <c r="B2903" s="8"/>
      <c r="C2903" s="8"/>
      <c r="D2903" s="8"/>
      <c r="E2903" s="8"/>
      <c r="F2903" s="8"/>
      <c r="G2903" s="8"/>
      <c r="H2903" s="8"/>
      <c r="I2903" s="8"/>
      <c r="J2903" s="8"/>
      <c r="K2903" s="8"/>
      <c r="L2903" s="8"/>
      <c r="M2903" s="8"/>
      <c r="N2903" s="8"/>
      <c r="O2903" s="8"/>
      <c r="P2903" s="8"/>
      <c r="Q2903" s="8"/>
      <c r="R2903" s="8"/>
      <c r="S2903" s="8"/>
      <c r="T2903" s="8"/>
      <c r="U2903" s="8"/>
      <c r="V2903" s="8"/>
      <c r="W2903" s="8"/>
    </row>
    <row r="2904" spans="1:23" ht="15.75" customHeight="1" x14ac:dyDescent="0.25">
      <c r="A2904" s="6" t="s">
        <v>3761</v>
      </c>
      <c r="B2904" s="8"/>
      <c r="C2904" s="8"/>
      <c r="D2904" s="8"/>
      <c r="E2904" s="8"/>
      <c r="F2904" s="8"/>
      <c r="G2904" s="8"/>
      <c r="H2904" s="8"/>
      <c r="I2904" s="8"/>
      <c r="J2904" s="8"/>
      <c r="K2904" s="8"/>
      <c r="L2904" s="8"/>
      <c r="M2904" s="8"/>
      <c r="N2904" s="8"/>
      <c r="O2904" s="8"/>
      <c r="P2904" s="8"/>
      <c r="Q2904" s="8"/>
      <c r="R2904" s="8"/>
      <c r="S2904" s="8"/>
      <c r="T2904" s="8"/>
      <c r="U2904" s="8"/>
      <c r="V2904" s="8"/>
      <c r="W2904" s="8"/>
    </row>
    <row r="2905" spans="1:23" ht="15.75" customHeight="1" x14ac:dyDescent="0.25">
      <c r="A2905" s="6" t="s">
        <v>3761</v>
      </c>
      <c r="B2905" s="8"/>
      <c r="C2905" s="8"/>
      <c r="D2905" s="8"/>
      <c r="E2905" s="8"/>
      <c r="F2905" s="8"/>
      <c r="G2905" s="8"/>
      <c r="H2905" s="8"/>
      <c r="I2905" s="8"/>
      <c r="J2905" s="8"/>
      <c r="K2905" s="8"/>
      <c r="L2905" s="8"/>
      <c r="M2905" s="8"/>
      <c r="N2905" s="8"/>
      <c r="O2905" s="8"/>
      <c r="P2905" s="8"/>
      <c r="Q2905" s="8"/>
      <c r="R2905" s="8"/>
      <c r="S2905" s="8"/>
      <c r="T2905" s="8"/>
      <c r="U2905" s="8"/>
      <c r="V2905" s="8"/>
      <c r="W2905" s="8"/>
    </row>
    <row r="2906" spans="1:23" ht="15.75" customHeight="1" x14ac:dyDescent="0.25">
      <c r="A2906" s="6" t="s">
        <v>3238</v>
      </c>
      <c r="B2906" s="8"/>
      <c r="C2906" s="8"/>
      <c r="D2906" s="8"/>
      <c r="E2906" s="8"/>
      <c r="F2906" s="8"/>
      <c r="G2906" s="8"/>
      <c r="H2906" s="8"/>
      <c r="I2906" s="8"/>
      <c r="J2906" s="8"/>
      <c r="K2906" s="8"/>
      <c r="L2906" s="8"/>
      <c r="M2906" s="8"/>
      <c r="N2906" s="8"/>
      <c r="O2906" s="8"/>
      <c r="P2906" s="8"/>
      <c r="Q2906" s="8"/>
      <c r="R2906" s="8"/>
      <c r="S2906" s="8"/>
      <c r="T2906" s="8"/>
      <c r="U2906" s="8"/>
      <c r="V2906" s="8"/>
      <c r="W2906" s="8"/>
    </row>
    <row r="2907" spans="1:23" ht="15.75" customHeight="1" x14ac:dyDescent="0.25">
      <c r="A2907" s="6" t="s">
        <v>3238</v>
      </c>
      <c r="B2907" s="8"/>
      <c r="C2907" s="8"/>
      <c r="D2907" s="8"/>
      <c r="E2907" s="8"/>
      <c r="F2907" s="8"/>
      <c r="G2907" s="8"/>
      <c r="H2907" s="8"/>
      <c r="I2907" s="8"/>
      <c r="J2907" s="8"/>
      <c r="K2907" s="8"/>
      <c r="L2907" s="8"/>
      <c r="M2907" s="8"/>
      <c r="N2907" s="8"/>
      <c r="O2907" s="8"/>
      <c r="P2907" s="8"/>
      <c r="Q2907" s="8"/>
      <c r="R2907" s="8"/>
      <c r="S2907" s="8"/>
      <c r="T2907" s="8"/>
      <c r="U2907" s="8"/>
      <c r="V2907" s="8"/>
      <c r="W2907" s="8"/>
    </row>
    <row r="2908" spans="1:23" ht="15.75" customHeight="1" x14ac:dyDescent="0.25">
      <c r="A2908" s="6" t="s">
        <v>3238</v>
      </c>
      <c r="B2908" s="8"/>
      <c r="C2908" s="8"/>
      <c r="D2908" s="8"/>
      <c r="E2908" s="8"/>
      <c r="F2908" s="8"/>
      <c r="G2908" s="8"/>
      <c r="H2908" s="8"/>
      <c r="I2908" s="8"/>
      <c r="J2908" s="8"/>
      <c r="K2908" s="8"/>
      <c r="L2908" s="8"/>
      <c r="M2908" s="8"/>
      <c r="N2908" s="8"/>
      <c r="O2908" s="8"/>
      <c r="P2908" s="8"/>
      <c r="Q2908" s="8"/>
      <c r="R2908" s="8"/>
      <c r="S2908" s="8"/>
      <c r="T2908" s="8"/>
      <c r="U2908" s="8"/>
      <c r="V2908" s="8"/>
      <c r="W2908" s="8"/>
    </row>
    <row r="2909" spans="1:23" ht="15.75" customHeight="1" x14ac:dyDescent="0.25">
      <c r="A2909" s="6" t="s">
        <v>3238</v>
      </c>
      <c r="B2909" s="8"/>
      <c r="C2909" s="8"/>
      <c r="D2909" s="8"/>
      <c r="E2909" s="8"/>
      <c r="F2909" s="8"/>
      <c r="G2909" s="8"/>
      <c r="H2909" s="8"/>
      <c r="I2909" s="8"/>
      <c r="J2909" s="8"/>
      <c r="K2909" s="8"/>
      <c r="L2909" s="8"/>
      <c r="M2909" s="8"/>
      <c r="N2909" s="8"/>
      <c r="O2909" s="8"/>
      <c r="P2909" s="8"/>
      <c r="Q2909" s="8"/>
      <c r="R2909" s="8"/>
      <c r="S2909" s="8"/>
      <c r="T2909" s="8"/>
      <c r="U2909" s="8"/>
      <c r="V2909" s="8"/>
      <c r="W2909" s="8"/>
    </row>
    <row r="2910" spans="1:23" ht="15.75" customHeight="1" x14ac:dyDescent="0.25">
      <c r="A2910" s="6" t="s">
        <v>3238</v>
      </c>
      <c r="B2910" s="8"/>
      <c r="C2910" s="8"/>
      <c r="D2910" s="8"/>
      <c r="E2910" s="8"/>
      <c r="F2910" s="8"/>
      <c r="G2910" s="8"/>
      <c r="H2910" s="8"/>
      <c r="I2910" s="8"/>
      <c r="J2910" s="8"/>
      <c r="K2910" s="8"/>
      <c r="L2910" s="8"/>
      <c r="M2910" s="8"/>
      <c r="N2910" s="8"/>
      <c r="O2910" s="8"/>
      <c r="P2910" s="8"/>
      <c r="Q2910" s="8"/>
      <c r="R2910" s="8"/>
      <c r="S2910" s="8"/>
      <c r="T2910" s="8"/>
      <c r="U2910" s="8"/>
      <c r="V2910" s="8"/>
      <c r="W2910" s="8"/>
    </row>
    <row r="2911" spans="1:23" ht="15.75" customHeight="1" x14ac:dyDescent="0.25">
      <c r="A2911" s="6" t="s">
        <v>3238</v>
      </c>
      <c r="B2911" s="8"/>
      <c r="C2911" s="8"/>
      <c r="D2911" s="8"/>
      <c r="E2911" s="8"/>
      <c r="F2911" s="8"/>
      <c r="G2911" s="8"/>
      <c r="H2911" s="8"/>
      <c r="I2911" s="8"/>
      <c r="J2911" s="8"/>
      <c r="K2911" s="8"/>
      <c r="L2911" s="8"/>
      <c r="M2911" s="8"/>
      <c r="N2911" s="8"/>
      <c r="O2911" s="8"/>
      <c r="P2911" s="8"/>
      <c r="Q2911" s="8"/>
      <c r="R2911" s="8"/>
      <c r="S2911" s="8"/>
      <c r="T2911" s="8"/>
      <c r="U2911" s="8"/>
      <c r="V2911" s="8"/>
      <c r="W2911" s="8"/>
    </row>
    <row r="2912" spans="1:23" ht="15.75" customHeight="1" x14ac:dyDescent="0.25">
      <c r="A2912" s="6" t="s">
        <v>3238</v>
      </c>
      <c r="B2912" s="8"/>
      <c r="C2912" s="8"/>
      <c r="D2912" s="8"/>
      <c r="E2912" s="8"/>
      <c r="F2912" s="8"/>
      <c r="G2912" s="8"/>
      <c r="H2912" s="8"/>
      <c r="I2912" s="8"/>
      <c r="J2912" s="8"/>
      <c r="K2912" s="8"/>
      <c r="L2912" s="8"/>
      <c r="M2912" s="8"/>
      <c r="N2912" s="8"/>
      <c r="O2912" s="8"/>
      <c r="P2912" s="8"/>
      <c r="Q2912" s="8"/>
      <c r="R2912" s="8"/>
      <c r="S2912" s="8"/>
      <c r="T2912" s="8"/>
      <c r="U2912" s="8"/>
      <c r="V2912" s="8"/>
      <c r="W2912" s="8"/>
    </row>
    <row r="2913" spans="1:23" ht="15.75" customHeight="1" x14ac:dyDescent="0.25">
      <c r="A2913" s="6" t="s">
        <v>3238</v>
      </c>
      <c r="B2913" s="8"/>
      <c r="C2913" s="8"/>
      <c r="D2913" s="8"/>
      <c r="E2913" s="8"/>
      <c r="F2913" s="8"/>
      <c r="G2913" s="8"/>
      <c r="H2913" s="8"/>
      <c r="I2913" s="8"/>
      <c r="J2913" s="8"/>
      <c r="K2913" s="8"/>
      <c r="L2913" s="8"/>
      <c r="M2913" s="8"/>
      <c r="N2913" s="8"/>
      <c r="O2913" s="8"/>
      <c r="P2913" s="8"/>
      <c r="Q2913" s="8"/>
      <c r="R2913" s="8"/>
      <c r="S2913" s="8"/>
      <c r="T2913" s="8"/>
      <c r="U2913" s="8"/>
      <c r="V2913" s="8"/>
      <c r="W2913" s="8"/>
    </row>
    <row r="2914" spans="1:23" ht="15.75" customHeight="1" x14ac:dyDescent="0.25">
      <c r="A2914" s="6" t="s">
        <v>3238</v>
      </c>
      <c r="B2914" s="8"/>
      <c r="C2914" s="8"/>
      <c r="D2914" s="8"/>
      <c r="E2914" s="8"/>
      <c r="F2914" s="8"/>
      <c r="G2914" s="8"/>
      <c r="H2914" s="8"/>
      <c r="I2914" s="8"/>
      <c r="J2914" s="8"/>
      <c r="K2914" s="8"/>
      <c r="L2914" s="8"/>
      <c r="M2914" s="8"/>
      <c r="N2914" s="8"/>
      <c r="O2914" s="8"/>
      <c r="P2914" s="8"/>
      <c r="Q2914" s="8"/>
      <c r="R2914" s="8"/>
      <c r="S2914" s="8"/>
      <c r="T2914" s="8"/>
      <c r="U2914" s="8"/>
      <c r="V2914" s="8"/>
      <c r="W2914" s="8"/>
    </row>
    <row r="2915" spans="1:23" ht="15.75" customHeight="1" x14ac:dyDescent="0.25">
      <c r="A2915" s="6" t="s">
        <v>3238</v>
      </c>
      <c r="B2915" s="8"/>
      <c r="C2915" s="8"/>
      <c r="D2915" s="8"/>
      <c r="E2915" s="8"/>
      <c r="F2915" s="8"/>
      <c r="G2915" s="8"/>
      <c r="H2915" s="8"/>
      <c r="I2915" s="8"/>
      <c r="J2915" s="8"/>
      <c r="K2915" s="8"/>
      <c r="L2915" s="8"/>
      <c r="M2915" s="8"/>
      <c r="N2915" s="8"/>
      <c r="O2915" s="8"/>
      <c r="P2915" s="8"/>
      <c r="Q2915" s="8"/>
      <c r="R2915" s="8"/>
      <c r="S2915" s="8"/>
      <c r="T2915" s="8"/>
      <c r="U2915" s="8"/>
      <c r="V2915" s="8"/>
      <c r="W2915" s="8"/>
    </row>
    <row r="2916" spans="1:23" ht="15.75" customHeight="1" x14ac:dyDescent="0.25">
      <c r="A2916" s="6" t="s">
        <v>3238</v>
      </c>
      <c r="B2916" s="8"/>
      <c r="C2916" s="8"/>
      <c r="D2916" s="8"/>
      <c r="E2916" s="8"/>
      <c r="F2916" s="8"/>
      <c r="G2916" s="8"/>
      <c r="H2916" s="8"/>
      <c r="I2916" s="8"/>
      <c r="J2916" s="8"/>
      <c r="K2916" s="8"/>
      <c r="L2916" s="8"/>
      <c r="M2916" s="8"/>
      <c r="N2916" s="8"/>
      <c r="O2916" s="8"/>
      <c r="P2916" s="8"/>
      <c r="Q2916" s="8"/>
      <c r="R2916" s="8"/>
      <c r="S2916" s="8"/>
      <c r="T2916" s="8"/>
      <c r="U2916" s="8"/>
      <c r="V2916" s="8"/>
      <c r="W2916" s="8"/>
    </row>
    <row r="2917" spans="1:23" ht="15.75" customHeight="1" x14ac:dyDescent="0.25">
      <c r="A2917" s="6" t="s">
        <v>3238</v>
      </c>
      <c r="B2917" s="8"/>
      <c r="C2917" s="8"/>
      <c r="D2917" s="8"/>
      <c r="E2917" s="8"/>
      <c r="F2917" s="8"/>
      <c r="G2917" s="8"/>
      <c r="H2917" s="8"/>
      <c r="I2917" s="8"/>
      <c r="J2917" s="8"/>
      <c r="K2917" s="8"/>
      <c r="L2917" s="8"/>
      <c r="M2917" s="8"/>
      <c r="N2917" s="8"/>
      <c r="O2917" s="8"/>
      <c r="P2917" s="8"/>
      <c r="Q2917" s="8"/>
      <c r="R2917" s="8"/>
      <c r="S2917" s="8"/>
      <c r="T2917" s="8"/>
      <c r="U2917" s="8"/>
      <c r="V2917" s="8"/>
      <c r="W2917" s="8"/>
    </row>
    <row r="2918" spans="1:23" ht="15.75" customHeight="1" x14ac:dyDescent="0.25">
      <c r="A2918" s="6" t="s">
        <v>3238</v>
      </c>
      <c r="B2918" s="8"/>
      <c r="C2918" s="8"/>
      <c r="D2918" s="8"/>
      <c r="E2918" s="8"/>
      <c r="F2918" s="8"/>
      <c r="G2918" s="8"/>
      <c r="H2918" s="8"/>
      <c r="I2918" s="8"/>
      <c r="J2918" s="8"/>
      <c r="K2918" s="8"/>
      <c r="L2918" s="8"/>
      <c r="M2918" s="8"/>
      <c r="N2918" s="8"/>
      <c r="O2918" s="8"/>
      <c r="P2918" s="8"/>
      <c r="Q2918" s="8"/>
      <c r="R2918" s="8"/>
      <c r="S2918" s="8"/>
      <c r="T2918" s="8"/>
      <c r="U2918" s="8"/>
      <c r="V2918" s="8"/>
      <c r="W2918" s="8"/>
    </row>
    <row r="2919" spans="1:23" ht="15.75" customHeight="1" x14ac:dyDescent="0.25">
      <c r="A2919" s="6" t="s">
        <v>3238</v>
      </c>
      <c r="B2919" s="8"/>
      <c r="C2919" s="8"/>
      <c r="D2919" s="8"/>
      <c r="E2919" s="8"/>
      <c r="F2919" s="8"/>
      <c r="G2919" s="8"/>
      <c r="H2919" s="8"/>
      <c r="I2919" s="8"/>
      <c r="J2919" s="8"/>
      <c r="K2919" s="8"/>
      <c r="L2919" s="8"/>
      <c r="M2919" s="8"/>
      <c r="N2919" s="8"/>
      <c r="O2919" s="8"/>
      <c r="P2919" s="8"/>
      <c r="Q2919" s="8"/>
      <c r="R2919" s="8"/>
      <c r="S2919" s="8"/>
      <c r="T2919" s="8"/>
      <c r="U2919" s="8"/>
      <c r="V2919" s="8"/>
      <c r="W2919" s="8"/>
    </row>
    <row r="2920" spans="1:23" ht="15.75" customHeight="1" x14ac:dyDescent="0.25">
      <c r="A2920" s="6" t="s">
        <v>3238</v>
      </c>
      <c r="B2920" s="8"/>
      <c r="C2920" s="8"/>
      <c r="D2920" s="8"/>
      <c r="E2920" s="8"/>
      <c r="F2920" s="8"/>
      <c r="G2920" s="8"/>
      <c r="H2920" s="8"/>
      <c r="I2920" s="8"/>
      <c r="J2920" s="8"/>
      <c r="K2920" s="8"/>
      <c r="L2920" s="8"/>
      <c r="M2920" s="8"/>
      <c r="N2920" s="8"/>
      <c r="O2920" s="8"/>
      <c r="P2920" s="8"/>
      <c r="Q2920" s="8"/>
      <c r="R2920" s="8"/>
      <c r="S2920" s="8"/>
      <c r="T2920" s="8"/>
      <c r="U2920" s="8"/>
      <c r="V2920" s="8"/>
      <c r="W2920" s="8"/>
    </row>
    <row r="2921" spans="1:23" ht="15.75" customHeight="1" x14ac:dyDescent="0.25">
      <c r="A2921" s="6" t="s">
        <v>3238</v>
      </c>
      <c r="B2921" s="8"/>
      <c r="C2921" s="8"/>
      <c r="D2921" s="8"/>
      <c r="E2921" s="8"/>
      <c r="F2921" s="8"/>
      <c r="G2921" s="8"/>
      <c r="H2921" s="8"/>
      <c r="I2921" s="8"/>
      <c r="J2921" s="8"/>
      <c r="K2921" s="8"/>
      <c r="L2921" s="8"/>
      <c r="M2921" s="8"/>
      <c r="N2921" s="8"/>
      <c r="O2921" s="8"/>
      <c r="P2921" s="8"/>
      <c r="Q2921" s="8"/>
      <c r="R2921" s="8"/>
      <c r="S2921" s="8"/>
      <c r="T2921" s="8"/>
      <c r="U2921" s="8"/>
      <c r="V2921" s="8"/>
      <c r="W2921" s="8"/>
    </row>
    <row r="2922" spans="1:23" ht="15.75" customHeight="1" x14ac:dyDescent="0.25">
      <c r="A2922" s="6" t="s">
        <v>3238</v>
      </c>
      <c r="B2922" s="8"/>
      <c r="C2922" s="8"/>
      <c r="D2922" s="8"/>
      <c r="E2922" s="8"/>
      <c r="F2922" s="8"/>
      <c r="G2922" s="8"/>
      <c r="H2922" s="8"/>
      <c r="I2922" s="8"/>
      <c r="J2922" s="8"/>
      <c r="K2922" s="8"/>
      <c r="L2922" s="8"/>
      <c r="M2922" s="8"/>
      <c r="N2922" s="8"/>
      <c r="O2922" s="8"/>
      <c r="P2922" s="8"/>
      <c r="Q2922" s="8"/>
      <c r="R2922" s="8"/>
      <c r="S2922" s="8"/>
      <c r="T2922" s="8"/>
      <c r="U2922" s="8"/>
      <c r="V2922" s="8"/>
      <c r="W2922" s="8"/>
    </row>
    <row r="2923" spans="1:23" ht="15.75" customHeight="1" x14ac:dyDescent="0.25">
      <c r="A2923" s="6" t="s">
        <v>3238</v>
      </c>
      <c r="B2923" s="8"/>
      <c r="C2923" s="8"/>
      <c r="D2923" s="8"/>
      <c r="E2923" s="8"/>
      <c r="F2923" s="8"/>
      <c r="G2923" s="8"/>
      <c r="H2923" s="8"/>
      <c r="I2923" s="8"/>
      <c r="J2923" s="8"/>
      <c r="K2923" s="8"/>
      <c r="L2923" s="8"/>
      <c r="M2923" s="8"/>
      <c r="N2923" s="8"/>
      <c r="O2923" s="8"/>
      <c r="P2923" s="8"/>
      <c r="Q2923" s="8"/>
      <c r="R2923" s="8"/>
      <c r="S2923" s="8"/>
      <c r="T2923" s="8"/>
      <c r="U2923" s="8"/>
      <c r="V2923" s="8"/>
      <c r="W2923" s="8"/>
    </row>
    <row r="2924" spans="1:23" ht="15.75" customHeight="1" x14ac:dyDescent="0.25">
      <c r="A2924" s="6" t="s">
        <v>3238</v>
      </c>
      <c r="B2924" s="8"/>
      <c r="C2924" s="8"/>
      <c r="D2924" s="8"/>
      <c r="E2924" s="8"/>
      <c r="F2924" s="8"/>
      <c r="G2924" s="8"/>
      <c r="H2924" s="8"/>
      <c r="I2924" s="8"/>
      <c r="J2924" s="8"/>
      <c r="K2924" s="8"/>
      <c r="L2924" s="8"/>
      <c r="M2924" s="8"/>
      <c r="N2924" s="8"/>
      <c r="O2924" s="8"/>
      <c r="P2924" s="8"/>
      <c r="Q2924" s="8"/>
      <c r="R2924" s="8"/>
      <c r="S2924" s="8"/>
      <c r="T2924" s="8"/>
      <c r="U2924" s="8"/>
      <c r="V2924" s="8"/>
      <c r="W2924" s="8"/>
    </row>
    <row r="2925" spans="1:23" ht="15.75" customHeight="1" x14ac:dyDescent="0.25">
      <c r="A2925" s="6" t="s">
        <v>3238</v>
      </c>
      <c r="B2925" s="8"/>
      <c r="C2925" s="8"/>
      <c r="D2925" s="8"/>
      <c r="E2925" s="8"/>
      <c r="F2925" s="8"/>
      <c r="G2925" s="8"/>
      <c r="H2925" s="8"/>
      <c r="I2925" s="8"/>
      <c r="J2925" s="8"/>
      <c r="K2925" s="8"/>
      <c r="L2925" s="8"/>
      <c r="M2925" s="8"/>
      <c r="N2925" s="8"/>
      <c r="O2925" s="8"/>
      <c r="P2925" s="8"/>
      <c r="Q2925" s="8"/>
      <c r="R2925" s="8"/>
      <c r="S2925" s="8"/>
      <c r="T2925" s="8"/>
      <c r="U2925" s="8"/>
      <c r="V2925" s="8"/>
      <c r="W2925" s="8"/>
    </row>
    <row r="2926" spans="1:23" ht="15.75" customHeight="1" x14ac:dyDescent="0.25">
      <c r="A2926" s="6" t="s">
        <v>3238</v>
      </c>
      <c r="B2926" s="8"/>
      <c r="C2926" s="8"/>
      <c r="D2926" s="8"/>
      <c r="E2926" s="8"/>
      <c r="F2926" s="8"/>
      <c r="G2926" s="8"/>
      <c r="H2926" s="8"/>
      <c r="I2926" s="8"/>
      <c r="J2926" s="8"/>
      <c r="K2926" s="8"/>
      <c r="L2926" s="8"/>
      <c r="M2926" s="8"/>
      <c r="N2926" s="8"/>
      <c r="O2926" s="8"/>
      <c r="P2926" s="8"/>
      <c r="Q2926" s="8"/>
      <c r="R2926" s="8"/>
      <c r="S2926" s="8"/>
      <c r="T2926" s="8"/>
      <c r="U2926" s="8"/>
      <c r="V2926" s="8"/>
      <c r="W2926" s="8"/>
    </row>
    <row r="2927" spans="1:23" ht="15.75" customHeight="1" x14ac:dyDescent="0.25">
      <c r="A2927" s="6" t="s">
        <v>3238</v>
      </c>
      <c r="B2927" s="8"/>
      <c r="C2927" s="8"/>
      <c r="D2927" s="8"/>
      <c r="E2927" s="8"/>
      <c r="F2927" s="8"/>
      <c r="G2927" s="8"/>
      <c r="H2927" s="8"/>
      <c r="I2927" s="8"/>
      <c r="J2927" s="8"/>
      <c r="K2927" s="8"/>
      <c r="L2927" s="8"/>
      <c r="M2927" s="8"/>
      <c r="N2927" s="8"/>
      <c r="O2927" s="8"/>
      <c r="P2927" s="8"/>
      <c r="Q2927" s="8"/>
      <c r="R2927" s="8"/>
      <c r="S2927" s="8"/>
      <c r="T2927" s="8"/>
      <c r="U2927" s="8"/>
      <c r="V2927" s="8"/>
      <c r="W2927" s="8"/>
    </row>
    <row r="2928" spans="1:23" ht="15.75" customHeight="1" x14ac:dyDescent="0.25">
      <c r="A2928" s="6" t="s">
        <v>3238</v>
      </c>
      <c r="B2928" s="8"/>
      <c r="C2928" s="8"/>
      <c r="D2928" s="8"/>
      <c r="E2928" s="8"/>
      <c r="F2928" s="8"/>
      <c r="G2928" s="8"/>
      <c r="H2928" s="8"/>
      <c r="I2928" s="8"/>
      <c r="J2928" s="8"/>
      <c r="K2928" s="8"/>
      <c r="L2928" s="8"/>
      <c r="M2928" s="8"/>
      <c r="N2928" s="8"/>
      <c r="O2928" s="8"/>
      <c r="P2928" s="8"/>
      <c r="Q2928" s="8"/>
      <c r="R2928" s="8"/>
      <c r="S2928" s="8"/>
      <c r="T2928" s="8"/>
      <c r="U2928" s="8"/>
      <c r="V2928" s="8"/>
      <c r="W2928" s="8"/>
    </row>
    <row r="2929" spans="1:23" ht="15.75" customHeight="1" x14ac:dyDescent="0.25">
      <c r="A2929" s="6" t="s">
        <v>3238</v>
      </c>
      <c r="B2929" s="8"/>
      <c r="C2929" s="8"/>
      <c r="D2929" s="8"/>
      <c r="E2929" s="8"/>
      <c r="F2929" s="8"/>
      <c r="G2929" s="8"/>
      <c r="H2929" s="8"/>
      <c r="I2929" s="8"/>
      <c r="J2929" s="8"/>
      <c r="K2929" s="8"/>
      <c r="L2929" s="8"/>
      <c r="M2929" s="8"/>
      <c r="N2929" s="8"/>
      <c r="O2929" s="8"/>
      <c r="P2929" s="8"/>
      <c r="Q2929" s="8"/>
      <c r="R2929" s="8"/>
      <c r="S2929" s="8"/>
      <c r="T2929" s="8"/>
      <c r="U2929" s="8"/>
      <c r="V2929" s="8"/>
      <c r="W2929" s="8"/>
    </row>
    <row r="2930" spans="1:23" ht="15.75" customHeight="1" x14ac:dyDescent="0.25">
      <c r="A2930" s="6" t="s">
        <v>3238</v>
      </c>
      <c r="B2930" s="8"/>
      <c r="C2930" s="8"/>
      <c r="D2930" s="8"/>
      <c r="E2930" s="8"/>
      <c r="F2930" s="8"/>
      <c r="G2930" s="8"/>
      <c r="H2930" s="8"/>
      <c r="I2930" s="8"/>
      <c r="J2930" s="8"/>
      <c r="K2930" s="8"/>
      <c r="L2930" s="8"/>
      <c r="M2930" s="8"/>
      <c r="N2930" s="8"/>
      <c r="O2930" s="8"/>
      <c r="P2930" s="8"/>
      <c r="Q2930" s="8"/>
      <c r="R2930" s="8"/>
      <c r="S2930" s="8"/>
      <c r="T2930" s="8"/>
      <c r="U2930" s="8"/>
      <c r="V2930" s="8"/>
      <c r="W2930" s="8"/>
    </row>
    <row r="2931" spans="1:23" ht="15.75" customHeight="1" x14ac:dyDescent="0.25">
      <c r="A2931" s="6" t="s">
        <v>3238</v>
      </c>
      <c r="B2931" s="8"/>
      <c r="C2931" s="8"/>
      <c r="D2931" s="8"/>
      <c r="E2931" s="8"/>
      <c r="F2931" s="8"/>
      <c r="G2931" s="8"/>
      <c r="H2931" s="8"/>
      <c r="I2931" s="8"/>
      <c r="J2931" s="8"/>
      <c r="K2931" s="8"/>
      <c r="L2931" s="8"/>
      <c r="M2931" s="8"/>
      <c r="N2931" s="8"/>
      <c r="O2931" s="8"/>
      <c r="P2931" s="8"/>
      <c r="Q2931" s="8"/>
      <c r="R2931" s="8"/>
      <c r="S2931" s="8"/>
      <c r="T2931" s="8"/>
      <c r="U2931" s="8"/>
      <c r="V2931" s="8"/>
      <c r="W2931" s="8"/>
    </row>
    <row r="2932" spans="1:23" ht="15.75" customHeight="1" x14ac:dyDescent="0.25">
      <c r="A2932" s="6" t="s">
        <v>3238</v>
      </c>
      <c r="B2932" s="8"/>
      <c r="C2932" s="8"/>
      <c r="D2932" s="8"/>
      <c r="E2932" s="8"/>
      <c r="F2932" s="8"/>
      <c r="G2932" s="8"/>
      <c r="H2932" s="8"/>
      <c r="I2932" s="8"/>
      <c r="J2932" s="8"/>
      <c r="K2932" s="8"/>
      <c r="L2932" s="8"/>
      <c r="M2932" s="8"/>
      <c r="N2932" s="8"/>
      <c r="O2932" s="8"/>
      <c r="P2932" s="8"/>
      <c r="Q2932" s="8"/>
      <c r="R2932" s="8"/>
      <c r="S2932" s="8"/>
      <c r="T2932" s="8"/>
      <c r="U2932" s="8"/>
      <c r="V2932" s="8"/>
      <c r="W2932" s="8"/>
    </row>
    <row r="2933" spans="1:23" ht="15.75" customHeight="1" x14ac:dyDescent="0.25">
      <c r="A2933" s="6" t="s">
        <v>3238</v>
      </c>
      <c r="B2933" s="8"/>
      <c r="C2933" s="8"/>
      <c r="D2933" s="8"/>
      <c r="E2933" s="8"/>
      <c r="F2933" s="8"/>
      <c r="G2933" s="8"/>
      <c r="H2933" s="8"/>
      <c r="I2933" s="8"/>
      <c r="J2933" s="8"/>
      <c r="K2933" s="8"/>
      <c r="L2933" s="8"/>
      <c r="M2933" s="8"/>
      <c r="N2933" s="8"/>
      <c r="O2933" s="8"/>
      <c r="P2933" s="8"/>
      <c r="Q2933" s="8"/>
      <c r="R2933" s="8"/>
      <c r="S2933" s="8"/>
      <c r="T2933" s="8"/>
      <c r="U2933" s="8"/>
      <c r="V2933" s="8"/>
      <c r="W2933" s="8"/>
    </row>
    <row r="2934" spans="1:23" ht="15.75" customHeight="1" x14ac:dyDescent="0.25">
      <c r="A2934" s="8" t="s">
        <v>3238</v>
      </c>
      <c r="B2934" s="8"/>
      <c r="C2934" s="8"/>
      <c r="D2934" s="8"/>
      <c r="E2934" s="8"/>
      <c r="F2934" s="8"/>
      <c r="G2934" s="8"/>
      <c r="H2934" s="8"/>
      <c r="I2934" s="8"/>
      <c r="J2934" s="8"/>
      <c r="K2934" s="8"/>
      <c r="L2934" s="8"/>
      <c r="M2934" s="8"/>
      <c r="N2934" s="8"/>
      <c r="O2934" s="8"/>
      <c r="P2934" s="8"/>
      <c r="Q2934" s="8"/>
      <c r="R2934" s="8"/>
      <c r="S2934" s="8"/>
      <c r="T2934" s="8"/>
      <c r="U2934" s="8"/>
      <c r="V2934" s="8"/>
      <c r="W2934" s="8"/>
    </row>
    <row r="2935" spans="1:23" ht="15.75" customHeight="1" x14ac:dyDescent="0.25">
      <c r="A2935" s="6" t="s">
        <v>3238</v>
      </c>
      <c r="B2935" s="8"/>
      <c r="C2935" s="8"/>
      <c r="D2935" s="8"/>
      <c r="E2935" s="8"/>
      <c r="F2935" s="8"/>
      <c r="G2935" s="8"/>
      <c r="H2935" s="8"/>
      <c r="I2935" s="8"/>
      <c r="J2935" s="8"/>
      <c r="K2935" s="8"/>
      <c r="L2935" s="8"/>
      <c r="M2935" s="8"/>
      <c r="N2935" s="8"/>
      <c r="O2935" s="8"/>
      <c r="P2935" s="8"/>
      <c r="Q2935" s="8"/>
      <c r="R2935" s="8"/>
      <c r="S2935" s="8"/>
      <c r="T2935" s="8"/>
      <c r="U2935" s="8"/>
      <c r="V2935" s="8"/>
      <c r="W2935" s="8"/>
    </row>
    <row r="2936" spans="1:23" ht="15.75" customHeight="1" x14ac:dyDescent="0.25">
      <c r="A2936" s="6" t="s">
        <v>3238</v>
      </c>
      <c r="B2936" s="8"/>
      <c r="C2936" s="8"/>
      <c r="D2936" s="8"/>
      <c r="E2936" s="8"/>
      <c r="F2936" s="8"/>
      <c r="G2936" s="8"/>
      <c r="H2936" s="8"/>
      <c r="I2936" s="8"/>
      <c r="J2936" s="8"/>
      <c r="K2936" s="8"/>
      <c r="L2936" s="8"/>
      <c r="M2936" s="8"/>
      <c r="N2936" s="8"/>
      <c r="O2936" s="8"/>
      <c r="P2936" s="8"/>
      <c r="Q2936" s="8"/>
      <c r="R2936" s="8"/>
      <c r="S2936" s="8"/>
      <c r="T2936" s="8"/>
      <c r="U2936" s="8"/>
      <c r="V2936" s="8"/>
      <c r="W2936" s="8"/>
    </row>
    <row r="2937" spans="1:23" ht="15.75" customHeight="1" x14ac:dyDescent="0.25">
      <c r="A2937" s="6" t="s">
        <v>3238</v>
      </c>
      <c r="B2937" s="8"/>
      <c r="C2937" s="8"/>
      <c r="D2937" s="8"/>
      <c r="E2937" s="8"/>
      <c r="F2937" s="8"/>
      <c r="G2937" s="8"/>
      <c r="H2937" s="8"/>
      <c r="I2937" s="8"/>
      <c r="J2937" s="8"/>
      <c r="K2937" s="8"/>
      <c r="L2937" s="8"/>
      <c r="M2937" s="8"/>
      <c r="N2937" s="8"/>
      <c r="O2937" s="8"/>
      <c r="P2937" s="8"/>
      <c r="Q2937" s="8"/>
      <c r="R2937" s="8"/>
      <c r="S2937" s="8"/>
      <c r="T2937" s="8"/>
      <c r="U2937" s="8"/>
      <c r="V2937" s="8"/>
      <c r="W2937" s="8"/>
    </row>
    <row r="2938" spans="1:23" ht="15.75" customHeight="1" x14ac:dyDescent="0.25">
      <c r="A2938" s="6" t="s">
        <v>3238</v>
      </c>
      <c r="B2938" s="8"/>
      <c r="C2938" s="8"/>
      <c r="D2938" s="8"/>
      <c r="E2938" s="8"/>
      <c r="F2938" s="8"/>
      <c r="G2938" s="8"/>
      <c r="H2938" s="8"/>
      <c r="I2938" s="8"/>
      <c r="J2938" s="8"/>
      <c r="K2938" s="8"/>
      <c r="L2938" s="8"/>
      <c r="M2938" s="8"/>
      <c r="N2938" s="8"/>
      <c r="O2938" s="8"/>
      <c r="P2938" s="8"/>
      <c r="Q2938" s="8"/>
      <c r="R2938" s="8"/>
      <c r="S2938" s="8"/>
      <c r="T2938" s="8"/>
      <c r="U2938" s="8"/>
      <c r="V2938" s="8"/>
      <c r="W2938" s="8"/>
    </row>
    <row r="2939" spans="1:23" ht="15.75" customHeight="1" x14ac:dyDescent="0.25">
      <c r="A2939" s="6" t="s">
        <v>3238</v>
      </c>
      <c r="B2939" s="8"/>
      <c r="C2939" s="8"/>
      <c r="D2939" s="8"/>
      <c r="E2939" s="8"/>
      <c r="F2939" s="8"/>
      <c r="G2939" s="8"/>
      <c r="H2939" s="8"/>
      <c r="I2939" s="8"/>
      <c r="J2939" s="8"/>
      <c r="K2939" s="8"/>
      <c r="L2939" s="8"/>
      <c r="M2939" s="8"/>
      <c r="N2939" s="8"/>
      <c r="O2939" s="8"/>
      <c r="P2939" s="8"/>
      <c r="Q2939" s="8"/>
      <c r="R2939" s="8"/>
      <c r="S2939" s="8"/>
      <c r="T2939" s="8"/>
      <c r="U2939" s="8"/>
      <c r="V2939" s="8"/>
      <c r="W2939" s="8"/>
    </row>
    <row r="2940" spans="1:23" ht="15.75" customHeight="1" x14ac:dyDescent="0.25">
      <c r="A2940" s="6" t="s">
        <v>3238</v>
      </c>
      <c r="B2940" s="8"/>
      <c r="C2940" s="8"/>
      <c r="D2940" s="8"/>
      <c r="E2940" s="8"/>
      <c r="F2940" s="8"/>
      <c r="G2940" s="8"/>
      <c r="H2940" s="8"/>
      <c r="I2940" s="8"/>
      <c r="J2940" s="8"/>
      <c r="K2940" s="8"/>
      <c r="L2940" s="8"/>
      <c r="M2940" s="8"/>
      <c r="N2940" s="8"/>
      <c r="O2940" s="8"/>
      <c r="P2940" s="8"/>
      <c r="Q2940" s="8"/>
      <c r="R2940" s="8"/>
      <c r="S2940" s="8"/>
      <c r="T2940" s="8"/>
      <c r="U2940" s="8"/>
      <c r="V2940" s="8"/>
      <c r="W2940" s="8"/>
    </row>
    <row r="2941" spans="1:23" ht="15.75" customHeight="1" x14ac:dyDescent="0.25">
      <c r="A2941" s="6" t="s">
        <v>3238</v>
      </c>
      <c r="B2941" s="8"/>
      <c r="C2941" s="8"/>
      <c r="D2941" s="8"/>
      <c r="E2941" s="8"/>
      <c r="F2941" s="8"/>
      <c r="G2941" s="8"/>
      <c r="H2941" s="8"/>
      <c r="I2941" s="8"/>
      <c r="J2941" s="8"/>
      <c r="K2941" s="8"/>
      <c r="L2941" s="8"/>
      <c r="M2941" s="8"/>
      <c r="N2941" s="8"/>
      <c r="O2941" s="8"/>
      <c r="P2941" s="8"/>
      <c r="Q2941" s="8"/>
      <c r="R2941" s="8"/>
      <c r="S2941" s="8"/>
      <c r="T2941" s="8"/>
      <c r="U2941" s="8"/>
      <c r="V2941" s="8"/>
      <c r="W2941" s="8"/>
    </row>
    <row r="2942" spans="1:23" ht="15.75" customHeight="1" x14ac:dyDescent="0.25">
      <c r="A2942" s="6" t="s">
        <v>3238</v>
      </c>
      <c r="B2942" s="8"/>
      <c r="C2942" s="8"/>
      <c r="D2942" s="8"/>
      <c r="E2942" s="8"/>
      <c r="F2942" s="8"/>
      <c r="G2942" s="8"/>
      <c r="H2942" s="8"/>
      <c r="I2942" s="8"/>
      <c r="J2942" s="8"/>
      <c r="K2942" s="8"/>
      <c r="L2942" s="8"/>
      <c r="M2942" s="8"/>
      <c r="N2942" s="8"/>
      <c r="O2942" s="8"/>
      <c r="P2942" s="8"/>
      <c r="Q2942" s="8"/>
      <c r="R2942" s="8"/>
      <c r="S2942" s="8"/>
      <c r="T2942" s="8"/>
      <c r="U2942" s="8"/>
      <c r="V2942" s="8"/>
      <c r="W2942" s="8"/>
    </row>
    <row r="2943" spans="1:23" ht="15.75" customHeight="1" x14ac:dyDescent="0.25">
      <c r="A2943" s="6" t="s">
        <v>3238</v>
      </c>
      <c r="B2943" s="8"/>
      <c r="C2943" s="8"/>
      <c r="D2943" s="8"/>
      <c r="E2943" s="8"/>
      <c r="F2943" s="8"/>
      <c r="G2943" s="8"/>
      <c r="H2943" s="8"/>
      <c r="I2943" s="8"/>
      <c r="J2943" s="8"/>
      <c r="K2943" s="8"/>
      <c r="L2943" s="8"/>
      <c r="M2943" s="8"/>
      <c r="N2943" s="8"/>
      <c r="O2943" s="8"/>
      <c r="P2943" s="8"/>
      <c r="Q2943" s="8"/>
      <c r="R2943" s="8"/>
      <c r="S2943" s="8"/>
      <c r="T2943" s="8"/>
      <c r="U2943" s="8"/>
      <c r="V2943" s="8"/>
      <c r="W2943" s="8"/>
    </row>
    <row r="2944" spans="1:23" ht="15.75" customHeight="1" x14ac:dyDescent="0.25">
      <c r="A2944" s="6" t="s">
        <v>3330</v>
      </c>
      <c r="B2944" s="8"/>
      <c r="C2944" s="8"/>
      <c r="D2944" s="8"/>
      <c r="E2944" s="8"/>
      <c r="F2944" s="8"/>
      <c r="G2944" s="8"/>
      <c r="H2944" s="8"/>
      <c r="I2944" s="8"/>
      <c r="J2944" s="8"/>
      <c r="K2944" s="8"/>
      <c r="L2944" s="8"/>
      <c r="M2944" s="8"/>
      <c r="N2944" s="8"/>
      <c r="O2944" s="8"/>
      <c r="P2944" s="8"/>
      <c r="Q2944" s="8"/>
      <c r="R2944" s="8"/>
      <c r="S2944" s="8"/>
      <c r="T2944" s="8"/>
      <c r="U2944" s="8"/>
      <c r="V2944" s="8"/>
      <c r="W2944" s="8"/>
    </row>
    <row r="2945" spans="1:23" ht="15.75" customHeight="1" x14ac:dyDescent="0.25">
      <c r="A2945" s="6" t="s">
        <v>3330</v>
      </c>
      <c r="B2945" s="8"/>
      <c r="C2945" s="8"/>
      <c r="D2945" s="8"/>
      <c r="E2945" s="8"/>
      <c r="F2945" s="8"/>
      <c r="G2945" s="8"/>
      <c r="H2945" s="8"/>
      <c r="I2945" s="8"/>
      <c r="J2945" s="8"/>
      <c r="K2945" s="8"/>
      <c r="L2945" s="8"/>
      <c r="M2945" s="8"/>
      <c r="N2945" s="8"/>
      <c r="O2945" s="8"/>
      <c r="P2945" s="8"/>
      <c r="Q2945" s="8"/>
      <c r="R2945" s="8"/>
      <c r="S2945" s="8"/>
      <c r="T2945" s="8"/>
      <c r="U2945" s="8"/>
      <c r="V2945" s="8"/>
      <c r="W2945" s="8"/>
    </row>
    <row r="2946" spans="1:23" ht="15.75" customHeight="1" x14ac:dyDescent="0.25">
      <c r="A2946" s="6" t="s">
        <v>3330</v>
      </c>
      <c r="B2946" s="8"/>
      <c r="C2946" s="8"/>
      <c r="D2946" s="8"/>
      <c r="E2946" s="8"/>
      <c r="F2946" s="8"/>
      <c r="G2946" s="8"/>
      <c r="H2946" s="8"/>
      <c r="I2946" s="8"/>
      <c r="J2946" s="8"/>
      <c r="K2946" s="8"/>
      <c r="L2946" s="8"/>
      <c r="M2946" s="8"/>
      <c r="N2946" s="8"/>
      <c r="O2946" s="8"/>
      <c r="P2946" s="8"/>
      <c r="Q2946" s="8"/>
      <c r="R2946" s="8"/>
      <c r="S2946" s="8"/>
      <c r="T2946" s="8"/>
      <c r="U2946" s="8"/>
      <c r="V2946" s="8"/>
      <c r="W2946" s="8"/>
    </row>
    <row r="2947" spans="1:23" ht="15.75" customHeight="1" x14ac:dyDescent="0.25">
      <c r="A2947" s="6" t="s">
        <v>3330</v>
      </c>
      <c r="B2947" s="8"/>
      <c r="C2947" s="8"/>
      <c r="D2947" s="8"/>
      <c r="E2947" s="8"/>
      <c r="F2947" s="8"/>
      <c r="G2947" s="8"/>
      <c r="H2947" s="8"/>
      <c r="I2947" s="8"/>
      <c r="J2947" s="8"/>
      <c r="K2947" s="8"/>
      <c r="L2947" s="8"/>
      <c r="M2947" s="8"/>
      <c r="N2947" s="8"/>
      <c r="O2947" s="8"/>
      <c r="P2947" s="8"/>
      <c r="Q2947" s="8"/>
      <c r="R2947" s="8"/>
      <c r="S2947" s="8"/>
      <c r="T2947" s="8"/>
      <c r="U2947" s="8"/>
      <c r="V2947" s="8"/>
      <c r="W2947" s="8"/>
    </row>
    <row r="2948" spans="1:23" ht="15.75" customHeight="1" x14ac:dyDescent="0.25">
      <c r="A2948" s="6" t="s">
        <v>3330</v>
      </c>
      <c r="B2948" s="8"/>
      <c r="C2948" s="8"/>
      <c r="D2948" s="8"/>
      <c r="E2948" s="8"/>
      <c r="F2948" s="8"/>
      <c r="G2948" s="8"/>
      <c r="H2948" s="8"/>
      <c r="I2948" s="8"/>
      <c r="J2948" s="8"/>
      <c r="K2948" s="8"/>
      <c r="L2948" s="8"/>
      <c r="M2948" s="8"/>
      <c r="N2948" s="8"/>
      <c r="O2948" s="8"/>
      <c r="P2948" s="8"/>
      <c r="Q2948" s="8"/>
      <c r="R2948" s="8"/>
      <c r="S2948" s="8"/>
      <c r="T2948" s="8"/>
      <c r="U2948" s="8"/>
      <c r="V2948" s="8"/>
      <c r="W2948" s="8"/>
    </row>
    <row r="2949" spans="1:23" ht="15.75" customHeight="1" x14ac:dyDescent="0.25">
      <c r="A2949" s="6" t="s">
        <v>3330</v>
      </c>
      <c r="B2949" s="8"/>
      <c r="C2949" s="8"/>
      <c r="D2949" s="8"/>
      <c r="E2949" s="8"/>
      <c r="F2949" s="8"/>
      <c r="G2949" s="8"/>
      <c r="H2949" s="8"/>
      <c r="I2949" s="8"/>
      <c r="J2949" s="8"/>
      <c r="K2949" s="8"/>
      <c r="L2949" s="8"/>
      <c r="M2949" s="8"/>
      <c r="N2949" s="8"/>
      <c r="O2949" s="8"/>
      <c r="P2949" s="8"/>
      <c r="Q2949" s="8"/>
      <c r="R2949" s="8"/>
      <c r="S2949" s="8"/>
      <c r="T2949" s="8"/>
      <c r="U2949" s="8"/>
      <c r="V2949" s="8"/>
      <c r="W2949" s="8"/>
    </row>
    <row r="2950" spans="1:23" ht="15.75" customHeight="1" x14ac:dyDescent="0.25">
      <c r="A2950" s="6" t="s">
        <v>3330</v>
      </c>
      <c r="B2950" s="8"/>
      <c r="C2950" s="8"/>
      <c r="D2950" s="8"/>
      <c r="E2950" s="8"/>
      <c r="F2950" s="8"/>
      <c r="G2950" s="8"/>
      <c r="H2950" s="8"/>
      <c r="I2950" s="8"/>
      <c r="J2950" s="8"/>
      <c r="K2950" s="8"/>
      <c r="L2950" s="8"/>
      <c r="M2950" s="8"/>
      <c r="N2950" s="8"/>
      <c r="O2950" s="8"/>
      <c r="P2950" s="8"/>
      <c r="Q2950" s="8"/>
      <c r="R2950" s="8"/>
      <c r="S2950" s="8"/>
      <c r="T2950" s="8"/>
      <c r="U2950" s="8"/>
      <c r="V2950" s="8"/>
      <c r="W2950" s="8"/>
    </row>
    <row r="2951" spans="1:23" ht="15.75" customHeight="1" x14ac:dyDescent="0.25">
      <c r="A2951" s="6" t="s">
        <v>3330</v>
      </c>
      <c r="B2951" s="8"/>
      <c r="C2951" s="8"/>
      <c r="D2951" s="8"/>
      <c r="E2951" s="8"/>
      <c r="F2951" s="8"/>
      <c r="G2951" s="8"/>
      <c r="H2951" s="8"/>
      <c r="I2951" s="8"/>
      <c r="J2951" s="8"/>
      <c r="K2951" s="8"/>
      <c r="L2951" s="8"/>
      <c r="M2951" s="8"/>
      <c r="N2951" s="8"/>
      <c r="O2951" s="8"/>
      <c r="P2951" s="8"/>
      <c r="Q2951" s="8"/>
      <c r="R2951" s="8"/>
      <c r="S2951" s="8"/>
      <c r="T2951" s="8"/>
      <c r="U2951" s="8"/>
      <c r="V2951" s="8"/>
      <c r="W2951" s="8"/>
    </row>
    <row r="2952" spans="1:23" ht="15.75" customHeight="1" x14ac:dyDescent="0.25">
      <c r="A2952" s="6" t="s">
        <v>3330</v>
      </c>
      <c r="B2952" s="8"/>
      <c r="C2952" s="8"/>
      <c r="D2952" s="8"/>
      <c r="E2952" s="8"/>
      <c r="F2952" s="8"/>
      <c r="G2952" s="8"/>
      <c r="H2952" s="8"/>
      <c r="I2952" s="8"/>
      <c r="J2952" s="8"/>
      <c r="K2952" s="8"/>
      <c r="L2952" s="8"/>
      <c r="M2952" s="8"/>
      <c r="N2952" s="8"/>
      <c r="O2952" s="8"/>
      <c r="P2952" s="8"/>
      <c r="Q2952" s="8"/>
      <c r="R2952" s="8"/>
      <c r="S2952" s="8"/>
      <c r="T2952" s="8"/>
      <c r="U2952" s="8"/>
      <c r="V2952" s="8"/>
      <c r="W2952" s="8"/>
    </row>
    <row r="2953" spans="1:23" ht="15.75" customHeight="1" x14ac:dyDescent="0.25">
      <c r="A2953" s="6" t="s">
        <v>3330</v>
      </c>
      <c r="B2953" s="8"/>
      <c r="C2953" s="8"/>
      <c r="D2953" s="8"/>
      <c r="E2953" s="8"/>
      <c r="F2953" s="8"/>
      <c r="G2953" s="8"/>
      <c r="H2953" s="8"/>
      <c r="I2953" s="8"/>
      <c r="J2953" s="8"/>
      <c r="K2953" s="8"/>
      <c r="L2953" s="8"/>
      <c r="M2953" s="8"/>
      <c r="N2953" s="8"/>
      <c r="O2953" s="8"/>
      <c r="P2953" s="8"/>
      <c r="Q2953" s="8"/>
      <c r="R2953" s="8"/>
      <c r="S2953" s="8"/>
      <c r="T2953" s="8"/>
      <c r="U2953" s="8"/>
      <c r="V2953" s="8"/>
      <c r="W2953" s="8"/>
    </row>
    <row r="2954" spans="1:23" ht="15.75" customHeight="1" x14ac:dyDescent="0.25">
      <c r="A2954" s="6" t="s">
        <v>3330</v>
      </c>
      <c r="B2954" s="8"/>
      <c r="C2954" s="8"/>
      <c r="D2954" s="8"/>
      <c r="E2954" s="8"/>
      <c r="F2954" s="8"/>
      <c r="G2954" s="8"/>
      <c r="H2954" s="8"/>
      <c r="I2954" s="8"/>
      <c r="J2954" s="8"/>
      <c r="K2954" s="8"/>
      <c r="L2954" s="8"/>
      <c r="M2954" s="8"/>
      <c r="N2954" s="8"/>
      <c r="O2954" s="8"/>
      <c r="P2954" s="8"/>
      <c r="Q2954" s="8"/>
      <c r="R2954" s="8"/>
      <c r="S2954" s="8"/>
      <c r="T2954" s="8"/>
      <c r="U2954" s="8"/>
      <c r="V2954" s="8"/>
      <c r="W2954" s="8"/>
    </row>
    <row r="2955" spans="1:23" ht="15.75" customHeight="1" x14ac:dyDescent="0.25">
      <c r="A2955" s="6" t="s">
        <v>3330</v>
      </c>
      <c r="B2955" s="8"/>
      <c r="C2955" s="8"/>
      <c r="D2955" s="8"/>
      <c r="E2955" s="8"/>
      <c r="F2955" s="8"/>
      <c r="G2955" s="8"/>
      <c r="H2955" s="8"/>
      <c r="I2955" s="8"/>
      <c r="J2955" s="8"/>
      <c r="K2955" s="8"/>
      <c r="L2955" s="8"/>
      <c r="M2955" s="8"/>
      <c r="N2955" s="8"/>
      <c r="O2955" s="8"/>
      <c r="P2955" s="8"/>
      <c r="Q2955" s="8"/>
      <c r="R2955" s="8"/>
      <c r="S2955" s="8"/>
      <c r="T2955" s="8"/>
      <c r="U2955" s="8"/>
      <c r="V2955" s="8"/>
      <c r="W2955" s="8"/>
    </row>
    <row r="2956" spans="1:23" ht="15.75" customHeight="1" x14ac:dyDescent="0.25">
      <c r="A2956" s="6" t="s">
        <v>3330</v>
      </c>
      <c r="B2956" s="8"/>
      <c r="C2956" s="8"/>
      <c r="D2956" s="8"/>
      <c r="E2956" s="8"/>
      <c r="F2956" s="8"/>
      <c r="G2956" s="8"/>
      <c r="H2956" s="8"/>
      <c r="I2956" s="8"/>
      <c r="J2956" s="8"/>
      <c r="K2956" s="8"/>
      <c r="L2956" s="8"/>
      <c r="M2956" s="8"/>
      <c r="N2956" s="8"/>
      <c r="O2956" s="8"/>
      <c r="P2956" s="8"/>
      <c r="Q2956" s="8"/>
      <c r="R2956" s="8"/>
      <c r="S2956" s="8"/>
      <c r="T2956" s="8"/>
      <c r="U2956" s="8"/>
      <c r="V2956" s="8"/>
      <c r="W2956" s="8"/>
    </row>
    <row r="2957" spans="1:23" ht="15.75" customHeight="1" x14ac:dyDescent="0.25">
      <c r="A2957" s="6" t="s">
        <v>3330</v>
      </c>
      <c r="B2957" s="8"/>
      <c r="C2957" s="8"/>
      <c r="D2957" s="8"/>
      <c r="E2957" s="8"/>
      <c r="F2957" s="8"/>
      <c r="G2957" s="8"/>
      <c r="H2957" s="8"/>
      <c r="I2957" s="8"/>
      <c r="J2957" s="8"/>
      <c r="K2957" s="8"/>
      <c r="L2957" s="8"/>
      <c r="M2957" s="8"/>
      <c r="N2957" s="8"/>
      <c r="O2957" s="8"/>
      <c r="P2957" s="8"/>
      <c r="Q2957" s="8"/>
      <c r="R2957" s="8"/>
      <c r="S2957" s="8"/>
      <c r="T2957" s="8"/>
      <c r="U2957" s="8"/>
      <c r="V2957" s="8"/>
      <c r="W2957" s="8"/>
    </row>
    <row r="2958" spans="1:23" ht="15.75" customHeight="1" x14ac:dyDescent="0.25">
      <c r="A2958" s="6" t="s">
        <v>4329</v>
      </c>
      <c r="B2958" s="8"/>
      <c r="C2958" s="8"/>
      <c r="D2958" s="8"/>
      <c r="E2958" s="8"/>
      <c r="F2958" s="8"/>
      <c r="G2958" s="8"/>
      <c r="H2958" s="8"/>
      <c r="I2958" s="8"/>
      <c r="J2958" s="8"/>
      <c r="K2958" s="8"/>
      <c r="L2958" s="8"/>
      <c r="M2958" s="8"/>
      <c r="N2958" s="8"/>
      <c r="O2958" s="8"/>
      <c r="P2958" s="8"/>
      <c r="Q2958" s="8"/>
      <c r="R2958" s="8"/>
      <c r="S2958" s="8"/>
      <c r="T2958" s="8"/>
      <c r="U2958" s="8"/>
      <c r="V2958" s="8"/>
      <c r="W2958" s="8"/>
    </row>
    <row r="2959" spans="1:23" ht="15.75" customHeight="1" x14ac:dyDescent="0.25">
      <c r="A2959" s="6" t="s">
        <v>3763</v>
      </c>
      <c r="B2959" s="8"/>
      <c r="C2959" s="8"/>
      <c r="D2959" s="8"/>
      <c r="E2959" s="8"/>
      <c r="F2959" s="8"/>
      <c r="G2959" s="8"/>
      <c r="H2959" s="8"/>
      <c r="I2959" s="8"/>
      <c r="J2959" s="8"/>
      <c r="K2959" s="8"/>
      <c r="L2959" s="8"/>
      <c r="M2959" s="8"/>
      <c r="N2959" s="8"/>
      <c r="O2959" s="8"/>
      <c r="P2959" s="8"/>
      <c r="Q2959" s="8"/>
      <c r="R2959" s="8"/>
      <c r="S2959" s="8"/>
      <c r="T2959" s="8"/>
      <c r="U2959" s="8"/>
      <c r="V2959" s="8"/>
      <c r="W2959" s="8"/>
    </row>
    <row r="2960" spans="1:23" ht="15.75" customHeight="1" x14ac:dyDescent="0.25">
      <c r="A2960" s="6" t="s">
        <v>3763</v>
      </c>
      <c r="B2960" s="8"/>
      <c r="C2960" s="8"/>
      <c r="D2960" s="8"/>
      <c r="E2960" s="8"/>
      <c r="F2960" s="8"/>
      <c r="G2960" s="8"/>
      <c r="H2960" s="8"/>
      <c r="I2960" s="8"/>
      <c r="J2960" s="8"/>
      <c r="K2960" s="8"/>
      <c r="L2960" s="8"/>
      <c r="M2960" s="8"/>
      <c r="N2960" s="8"/>
      <c r="O2960" s="8"/>
      <c r="P2960" s="8"/>
      <c r="Q2960" s="8"/>
      <c r="R2960" s="8"/>
      <c r="S2960" s="8"/>
      <c r="T2960" s="8"/>
      <c r="U2960" s="8"/>
      <c r="V2960" s="8"/>
      <c r="W2960" s="8"/>
    </row>
    <row r="2961" spans="1:23" ht="15.75" customHeight="1" x14ac:dyDescent="0.25">
      <c r="A2961" s="6" t="s">
        <v>3763</v>
      </c>
      <c r="B2961" s="8"/>
      <c r="C2961" s="8"/>
      <c r="D2961" s="8"/>
      <c r="E2961" s="8"/>
      <c r="F2961" s="8"/>
      <c r="G2961" s="8"/>
      <c r="H2961" s="8"/>
      <c r="I2961" s="8"/>
      <c r="J2961" s="8"/>
      <c r="K2961" s="8"/>
      <c r="L2961" s="8"/>
      <c r="M2961" s="8"/>
      <c r="N2961" s="8"/>
      <c r="O2961" s="8"/>
      <c r="P2961" s="8"/>
      <c r="Q2961" s="8"/>
      <c r="R2961" s="8"/>
      <c r="S2961" s="8"/>
      <c r="T2961" s="8"/>
      <c r="U2961" s="8"/>
      <c r="V2961" s="8"/>
      <c r="W2961" s="8"/>
    </row>
    <row r="2962" spans="1:23" ht="15.75" customHeight="1" x14ac:dyDescent="0.25">
      <c r="A2962" s="6" t="s">
        <v>4330</v>
      </c>
      <c r="B2962" s="8"/>
      <c r="C2962" s="8"/>
      <c r="D2962" s="8"/>
      <c r="E2962" s="8"/>
      <c r="F2962" s="8"/>
      <c r="G2962" s="8"/>
      <c r="H2962" s="8"/>
      <c r="I2962" s="8"/>
      <c r="J2962" s="8"/>
      <c r="K2962" s="8"/>
      <c r="L2962" s="8"/>
      <c r="M2962" s="8"/>
      <c r="N2962" s="8"/>
      <c r="O2962" s="8"/>
      <c r="P2962" s="8"/>
      <c r="Q2962" s="8"/>
      <c r="R2962" s="8"/>
      <c r="S2962" s="8"/>
      <c r="T2962" s="8"/>
      <c r="U2962" s="8"/>
      <c r="V2962" s="8"/>
      <c r="W2962" s="8"/>
    </row>
    <row r="2963" spans="1:23" ht="15.75" customHeight="1" x14ac:dyDescent="0.25">
      <c r="A2963" s="6" t="s">
        <v>3645</v>
      </c>
      <c r="B2963" s="8"/>
      <c r="C2963" s="8"/>
      <c r="D2963" s="8"/>
      <c r="E2963" s="8"/>
      <c r="F2963" s="8"/>
      <c r="G2963" s="8"/>
      <c r="H2963" s="8"/>
      <c r="I2963" s="8"/>
      <c r="J2963" s="8"/>
      <c r="K2963" s="8"/>
      <c r="L2963" s="8"/>
      <c r="M2963" s="8"/>
      <c r="N2963" s="8"/>
      <c r="O2963" s="8"/>
      <c r="P2963" s="8"/>
      <c r="Q2963" s="8"/>
      <c r="R2963" s="8"/>
      <c r="S2963" s="8"/>
      <c r="T2963" s="8"/>
      <c r="U2963" s="8"/>
      <c r="V2963" s="8"/>
      <c r="W2963" s="8"/>
    </row>
    <row r="2964" spans="1:23" ht="15.75" customHeight="1" x14ac:dyDescent="0.25">
      <c r="A2964" s="6" t="s">
        <v>3645</v>
      </c>
      <c r="B2964" s="8"/>
      <c r="C2964" s="8"/>
      <c r="D2964" s="8"/>
      <c r="E2964" s="8"/>
      <c r="F2964" s="8"/>
      <c r="G2964" s="8"/>
      <c r="H2964" s="8"/>
      <c r="I2964" s="8"/>
      <c r="J2964" s="8"/>
      <c r="K2964" s="8"/>
      <c r="L2964" s="8"/>
      <c r="M2964" s="8"/>
      <c r="N2964" s="8"/>
      <c r="O2964" s="8"/>
      <c r="P2964" s="8"/>
      <c r="Q2964" s="8"/>
      <c r="R2964" s="8"/>
      <c r="S2964" s="8"/>
      <c r="T2964" s="8"/>
      <c r="U2964" s="8"/>
      <c r="V2964" s="8"/>
      <c r="W2964" s="8"/>
    </row>
    <row r="2965" spans="1:23" ht="15.75" customHeight="1" x14ac:dyDescent="0.25">
      <c r="A2965" s="6" t="s">
        <v>3645</v>
      </c>
      <c r="B2965" s="8"/>
      <c r="C2965" s="8"/>
      <c r="D2965" s="8"/>
      <c r="E2965" s="8"/>
      <c r="F2965" s="8"/>
      <c r="G2965" s="8"/>
      <c r="H2965" s="8"/>
      <c r="I2965" s="8"/>
      <c r="J2965" s="8"/>
      <c r="K2965" s="8"/>
      <c r="L2965" s="8"/>
      <c r="M2965" s="8"/>
      <c r="N2965" s="8"/>
      <c r="O2965" s="8"/>
      <c r="P2965" s="8"/>
      <c r="Q2965" s="8"/>
      <c r="R2965" s="8"/>
      <c r="S2965" s="8"/>
      <c r="T2965" s="8"/>
      <c r="U2965" s="8"/>
      <c r="V2965" s="8"/>
      <c r="W2965" s="8"/>
    </row>
    <row r="2966" spans="1:23" ht="15.75" customHeight="1" x14ac:dyDescent="0.25">
      <c r="A2966" s="6" t="s">
        <v>3645</v>
      </c>
      <c r="B2966" s="8"/>
      <c r="C2966" s="8"/>
      <c r="D2966" s="8"/>
      <c r="E2966" s="8"/>
      <c r="F2966" s="8"/>
      <c r="G2966" s="8"/>
      <c r="H2966" s="8"/>
      <c r="I2966" s="8"/>
      <c r="J2966" s="8"/>
      <c r="K2966" s="8"/>
      <c r="L2966" s="8"/>
      <c r="M2966" s="8"/>
      <c r="N2966" s="8"/>
      <c r="O2966" s="8"/>
      <c r="P2966" s="8"/>
      <c r="Q2966" s="8"/>
      <c r="R2966" s="8"/>
      <c r="S2966" s="8"/>
      <c r="T2966" s="8"/>
      <c r="U2966" s="8"/>
      <c r="V2966" s="8"/>
      <c r="W2966" s="8"/>
    </row>
    <row r="2967" spans="1:23" ht="15.75" customHeight="1" x14ac:dyDescent="0.25">
      <c r="A2967" s="8" t="s">
        <v>4331</v>
      </c>
      <c r="B2967" s="8"/>
      <c r="C2967" s="8"/>
      <c r="D2967" s="8"/>
      <c r="E2967" s="8"/>
      <c r="F2967" s="8"/>
      <c r="G2967" s="8"/>
      <c r="H2967" s="8"/>
      <c r="I2967" s="8"/>
      <c r="J2967" s="8"/>
      <c r="K2967" s="8"/>
      <c r="L2967" s="8"/>
      <c r="M2967" s="8"/>
      <c r="N2967" s="8"/>
      <c r="O2967" s="8"/>
      <c r="P2967" s="8"/>
      <c r="Q2967" s="8"/>
      <c r="R2967" s="8"/>
      <c r="S2967" s="8"/>
      <c r="T2967" s="8"/>
      <c r="U2967" s="8"/>
      <c r="V2967" s="8"/>
      <c r="W2967" s="8"/>
    </row>
    <row r="2968" spans="1:23" ht="15.75" customHeight="1" x14ac:dyDescent="0.25">
      <c r="A2968" s="8" t="s">
        <v>4332</v>
      </c>
      <c r="B2968" s="8"/>
      <c r="C2968" s="8"/>
      <c r="D2968" s="8"/>
      <c r="E2968" s="8"/>
      <c r="F2968" s="8"/>
      <c r="G2968" s="8"/>
      <c r="H2968" s="8"/>
      <c r="I2968" s="8"/>
      <c r="J2968" s="8"/>
      <c r="K2968" s="8"/>
      <c r="L2968" s="8"/>
      <c r="M2968" s="8"/>
      <c r="N2968" s="8"/>
      <c r="O2968" s="8"/>
      <c r="P2968" s="8"/>
      <c r="Q2968" s="8"/>
      <c r="R2968" s="8"/>
      <c r="S2968" s="8"/>
      <c r="T2968" s="8"/>
      <c r="U2968" s="8"/>
      <c r="V2968" s="8"/>
      <c r="W2968" s="8"/>
    </row>
    <row r="2969" spans="1:23" ht="15.75" customHeight="1" x14ac:dyDescent="0.25">
      <c r="A2969" s="6" t="s">
        <v>4333</v>
      </c>
      <c r="B2969" s="8"/>
      <c r="C2969" s="8"/>
      <c r="D2969" s="8"/>
      <c r="E2969" s="8"/>
      <c r="F2969" s="8"/>
      <c r="G2969" s="8"/>
      <c r="H2969" s="8"/>
      <c r="I2969" s="8"/>
      <c r="J2969" s="8"/>
      <c r="K2969" s="8"/>
      <c r="L2969" s="8"/>
      <c r="M2969" s="8"/>
      <c r="N2969" s="8"/>
      <c r="O2969" s="8"/>
      <c r="P2969" s="8"/>
      <c r="Q2969" s="8"/>
      <c r="R2969" s="8"/>
      <c r="S2969" s="8"/>
      <c r="T2969" s="8"/>
      <c r="U2969" s="8"/>
      <c r="V2969" s="8"/>
      <c r="W2969" s="8"/>
    </row>
    <row r="2970" spans="1:23" ht="15.75" customHeight="1" x14ac:dyDescent="0.25">
      <c r="A2970" s="6" t="s">
        <v>4334</v>
      </c>
      <c r="B2970" s="8"/>
      <c r="C2970" s="8"/>
      <c r="D2970" s="8"/>
      <c r="E2970" s="8"/>
      <c r="F2970" s="8"/>
      <c r="G2970" s="8"/>
      <c r="H2970" s="8"/>
      <c r="I2970" s="8"/>
      <c r="J2970" s="8"/>
      <c r="K2970" s="8"/>
      <c r="L2970" s="8"/>
      <c r="M2970" s="8"/>
      <c r="N2970" s="8"/>
      <c r="O2970" s="8"/>
      <c r="P2970" s="8"/>
      <c r="Q2970" s="8"/>
      <c r="R2970" s="8"/>
      <c r="S2970" s="8"/>
      <c r="T2970" s="8"/>
      <c r="U2970" s="8"/>
      <c r="V2970" s="8"/>
      <c r="W2970" s="8"/>
    </row>
    <row r="2971" spans="1:23" ht="15.75" customHeight="1" x14ac:dyDescent="0.25">
      <c r="A2971" s="6" t="s">
        <v>4006</v>
      </c>
      <c r="B2971" s="8"/>
      <c r="C2971" s="8"/>
      <c r="D2971" s="8"/>
      <c r="E2971" s="8"/>
      <c r="F2971" s="8"/>
      <c r="G2971" s="8"/>
      <c r="H2971" s="8"/>
      <c r="I2971" s="8"/>
      <c r="J2971" s="8"/>
      <c r="K2971" s="8"/>
      <c r="L2971" s="8"/>
      <c r="M2971" s="8"/>
      <c r="N2971" s="8"/>
      <c r="O2971" s="8"/>
      <c r="P2971" s="8"/>
      <c r="Q2971" s="8"/>
      <c r="R2971" s="8"/>
      <c r="S2971" s="8"/>
      <c r="T2971" s="8"/>
      <c r="U2971" s="8"/>
      <c r="V2971" s="8"/>
      <c r="W2971" s="8"/>
    </row>
    <row r="2972" spans="1:23" ht="15.75" customHeight="1" x14ac:dyDescent="0.25">
      <c r="A2972" s="6" t="s">
        <v>4006</v>
      </c>
      <c r="B2972" s="8"/>
      <c r="C2972" s="8"/>
      <c r="D2972" s="8"/>
      <c r="E2972" s="8"/>
      <c r="F2972" s="8"/>
      <c r="G2972" s="8"/>
      <c r="H2972" s="8"/>
      <c r="I2972" s="8"/>
      <c r="J2972" s="8"/>
      <c r="K2972" s="8"/>
      <c r="L2972" s="8"/>
      <c r="M2972" s="8"/>
      <c r="N2972" s="8"/>
      <c r="O2972" s="8"/>
      <c r="P2972" s="8"/>
      <c r="Q2972" s="8"/>
      <c r="R2972" s="8"/>
      <c r="S2972" s="8"/>
      <c r="T2972" s="8"/>
      <c r="U2972" s="8"/>
      <c r="V2972" s="8"/>
      <c r="W2972" s="8"/>
    </row>
    <row r="2973" spans="1:23" ht="15.75" customHeight="1" x14ac:dyDescent="0.25">
      <c r="A2973" s="6" t="s">
        <v>3272</v>
      </c>
      <c r="B2973" s="8"/>
      <c r="C2973" s="8"/>
      <c r="D2973" s="8"/>
      <c r="E2973" s="8"/>
      <c r="F2973" s="8"/>
      <c r="G2973" s="8"/>
      <c r="H2973" s="8"/>
      <c r="I2973" s="8"/>
      <c r="J2973" s="8"/>
      <c r="K2973" s="8"/>
      <c r="L2973" s="8"/>
      <c r="M2973" s="8"/>
      <c r="N2973" s="8"/>
      <c r="O2973" s="8"/>
      <c r="P2973" s="8"/>
      <c r="Q2973" s="8"/>
      <c r="R2973" s="8"/>
      <c r="S2973" s="8"/>
      <c r="T2973" s="8"/>
      <c r="U2973" s="8"/>
      <c r="V2973" s="8"/>
      <c r="W2973" s="8"/>
    </row>
    <row r="2974" spans="1:23" ht="15.75" customHeight="1" x14ac:dyDescent="0.25">
      <c r="A2974" s="6" t="s">
        <v>3272</v>
      </c>
      <c r="B2974" s="8"/>
      <c r="C2974" s="8"/>
      <c r="D2974" s="8"/>
      <c r="E2974" s="8"/>
      <c r="F2974" s="8"/>
      <c r="G2974" s="8"/>
      <c r="H2974" s="8"/>
      <c r="I2974" s="8"/>
      <c r="J2974" s="8"/>
      <c r="K2974" s="8"/>
      <c r="L2974" s="8"/>
      <c r="M2974" s="8"/>
      <c r="N2974" s="8"/>
      <c r="O2974" s="8"/>
      <c r="P2974" s="8"/>
      <c r="Q2974" s="8"/>
      <c r="R2974" s="8"/>
      <c r="S2974" s="8"/>
      <c r="T2974" s="8"/>
      <c r="U2974" s="8"/>
      <c r="V2974" s="8"/>
      <c r="W2974" s="8"/>
    </row>
    <row r="2975" spans="1:23" ht="15.75" customHeight="1" x14ac:dyDescent="0.25">
      <c r="A2975" s="6" t="s">
        <v>3272</v>
      </c>
      <c r="B2975" s="8"/>
      <c r="C2975" s="8"/>
      <c r="D2975" s="8"/>
      <c r="E2975" s="8"/>
      <c r="F2975" s="8"/>
      <c r="G2975" s="8"/>
      <c r="H2975" s="8"/>
      <c r="I2975" s="8"/>
      <c r="J2975" s="8"/>
      <c r="K2975" s="8"/>
      <c r="L2975" s="8"/>
      <c r="M2975" s="8"/>
      <c r="N2975" s="8"/>
      <c r="O2975" s="8"/>
      <c r="P2975" s="8"/>
      <c r="Q2975" s="8"/>
      <c r="R2975" s="8"/>
      <c r="S2975" s="8"/>
      <c r="T2975" s="8"/>
      <c r="U2975" s="8"/>
      <c r="V2975" s="8"/>
      <c r="W2975" s="8"/>
    </row>
    <row r="2976" spans="1:23" ht="15.75" customHeight="1" x14ac:dyDescent="0.25">
      <c r="A2976" s="6" t="s">
        <v>3272</v>
      </c>
      <c r="B2976" s="8"/>
      <c r="C2976" s="8"/>
      <c r="D2976" s="8"/>
      <c r="E2976" s="8"/>
      <c r="F2976" s="8"/>
      <c r="G2976" s="8"/>
      <c r="H2976" s="8"/>
      <c r="I2976" s="8"/>
      <c r="J2976" s="8"/>
      <c r="K2976" s="8"/>
      <c r="L2976" s="8"/>
      <c r="M2976" s="8"/>
      <c r="N2976" s="8"/>
      <c r="O2976" s="8"/>
      <c r="P2976" s="8"/>
      <c r="Q2976" s="8"/>
      <c r="R2976" s="8"/>
      <c r="S2976" s="8"/>
      <c r="T2976" s="8"/>
      <c r="U2976" s="8"/>
      <c r="V2976" s="8"/>
      <c r="W2976" s="8"/>
    </row>
    <row r="2977" spans="1:23" ht="15.75" customHeight="1" x14ac:dyDescent="0.25">
      <c r="A2977" s="6" t="s">
        <v>3272</v>
      </c>
      <c r="B2977" s="8"/>
      <c r="C2977" s="8"/>
      <c r="D2977" s="8"/>
      <c r="E2977" s="8"/>
      <c r="F2977" s="8"/>
      <c r="G2977" s="8"/>
      <c r="H2977" s="8"/>
      <c r="I2977" s="8"/>
      <c r="J2977" s="8"/>
      <c r="K2977" s="8"/>
      <c r="L2977" s="8"/>
      <c r="M2977" s="8"/>
      <c r="N2977" s="8"/>
      <c r="O2977" s="8"/>
      <c r="P2977" s="8"/>
      <c r="Q2977" s="8"/>
      <c r="R2977" s="8"/>
      <c r="S2977" s="8"/>
      <c r="T2977" s="8"/>
      <c r="U2977" s="8"/>
      <c r="V2977" s="8"/>
      <c r="W2977" s="8"/>
    </row>
    <row r="2978" spans="1:23" ht="15.75" customHeight="1" x14ac:dyDescent="0.25">
      <c r="A2978" s="6" t="s">
        <v>3272</v>
      </c>
      <c r="B2978" s="8"/>
      <c r="C2978" s="8"/>
      <c r="D2978" s="8"/>
      <c r="E2978" s="8"/>
      <c r="F2978" s="8"/>
      <c r="G2978" s="8"/>
      <c r="H2978" s="8"/>
      <c r="I2978" s="8"/>
      <c r="J2978" s="8"/>
      <c r="K2978" s="8"/>
      <c r="L2978" s="8"/>
      <c r="M2978" s="8"/>
      <c r="N2978" s="8"/>
      <c r="O2978" s="8"/>
      <c r="P2978" s="8"/>
      <c r="Q2978" s="8"/>
      <c r="R2978" s="8"/>
      <c r="S2978" s="8"/>
      <c r="T2978" s="8"/>
      <c r="U2978" s="8"/>
      <c r="V2978" s="8"/>
      <c r="W2978" s="8"/>
    </row>
    <row r="2979" spans="1:23" ht="15.75" customHeight="1" x14ac:dyDescent="0.25">
      <c r="A2979" s="6" t="s">
        <v>3272</v>
      </c>
      <c r="B2979" s="8"/>
      <c r="C2979" s="8"/>
      <c r="D2979" s="8"/>
      <c r="E2979" s="8"/>
      <c r="F2979" s="8"/>
      <c r="G2979" s="8"/>
      <c r="H2979" s="8"/>
      <c r="I2979" s="8"/>
      <c r="J2979" s="8"/>
      <c r="K2979" s="8"/>
      <c r="L2979" s="8"/>
      <c r="M2979" s="8"/>
      <c r="N2979" s="8"/>
      <c r="O2979" s="8"/>
      <c r="P2979" s="8"/>
      <c r="Q2979" s="8"/>
      <c r="R2979" s="8"/>
      <c r="S2979" s="8"/>
      <c r="T2979" s="8"/>
      <c r="U2979" s="8"/>
      <c r="V2979" s="8"/>
      <c r="W2979" s="8"/>
    </row>
    <row r="2980" spans="1:23" ht="15.75" customHeight="1" x14ac:dyDescent="0.25">
      <c r="A2980" s="6" t="s">
        <v>3272</v>
      </c>
      <c r="B2980" s="8"/>
      <c r="C2980" s="8"/>
      <c r="D2980" s="8"/>
      <c r="E2980" s="8"/>
      <c r="F2980" s="8"/>
      <c r="G2980" s="8"/>
      <c r="H2980" s="8"/>
      <c r="I2980" s="8"/>
      <c r="J2980" s="8"/>
      <c r="K2980" s="8"/>
      <c r="L2980" s="8"/>
      <c r="M2980" s="8"/>
      <c r="N2980" s="8"/>
      <c r="O2980" s="8"/>
      <c r="P2980" s="8"/>
      <c r="Q2980" s="8"/>
      <c r="R2980" s="8"/>
      <c r="S2980" s="8"/>
      <c r="T2980" s="8"/>
      <c r="U2980" s="8"/>
      <c r="V2980" s="8"/>
      <c r="W2980" s="8"/>
    </row>
    <row r="2981" spans="1:23" ht="15.75" customHeight="1" x14ac:dyDescent="0.25">
      <c r="A2981" s="6" t="s">
        <v>3272</v>
      </c>
      <c r="B2981" s="8"/>
      <c r="C2981" s="8"/>
      <c r="D2981" s="8"/>
      <c r="E2981" s="8"/>
      <c r="F2981" s="8"/>
      <c r="G2981" s="8"/>
      <c r="H2981" s="8"/>
      <c r="I2981" s="8"/>
      <c r="J2981" s="8"/>
      <c r="K2981" s="8"/>
      <c r="L2981" s="8"/>
      <c r="M2981" s="8"/>
      <c r="N2981" s="8"/>
      <c r="O2981" s="8"/>
      <c r="P2981" s="8"/>
      <c r="Q2981" s="8"/>
      <c r="R2981" s="8"/>
      <c r="S2981" s="8"/>
      <c r="T2981" s="8"/>
      <c r="U2981" s="8"/>
      <c r="V2981" s="8"/>
      <c r="W2981" s="8"/>
    </row>
    <row r="2982" spans="1:23" ht="15.75" customHeight="1" x14ac:dyDescent="0.25">
      <c r="A2982" s="6" t="s">
        <v>3272</v>
      </c>
      <c r="B2982" s="8"/>
      <c r="C2982" s="8"/>
      <c r="D2982" s="8"/>
      <c r="E2982" s="8"/>
      <c r="F2982" s="8"/>
      <c r="G2982" s="8"/>
      <c r="H2982" s="8"/>
      <c r="I2982" s="8"/>
      <c r="J2982" s="8"/>
      <c r="K2982" s="8"/>
      <c r="L2982" s="8"/>
      <c r="M2982" s="8"/>
      <c r="N2982" s="8"/>
      <c r="O2982" s="8"/>
      <c r="P2982" s="8"/>
      <c r="Q2982" s="8"/>
      <c r="R2982" s="8"/>
      <c r="S2982" s="8"/>
      <c r="T2982" s="8"/>
      <c r="U2982" s="8"/>
      <c r="V2982" s="8"/>
      <c r="W2982" s="8"/>
    </row>
    <row r="2983" spans="1:23" ht="15.75" customHeight="1" x14ac:dyDescent="0.25">
      <c r="A2983" s="6" t="s">
        <v>3272</v>
      </c>
      <c r="B2983" s="8"/>
      <c r="C2983" s="8"/>
      <c r="D2983" s="8"/>
      <c r="E2983" s="8"/>
      <c r="F2983" s="8"/>
      <c r="G2983" s="8"/>
      <c r="H2983" s="8"/>
      <c r="I2983" s="8"/>
      <c r="J2983" s="8"/>
      <c r="K2983" s="8"/>
      <c r="L2983" s="8"/>
      <c r="M2983" s="8"/>
      <c r="N2983" s="8"/>
      <c r="O2983" s="8"/>
      <c r="P2983" s="8"/>
      <c r="Q2983" s="8"/>
      <c r="R2983" s="8"/>
      <c r="S2983" s="8"/>
      <c r="T2983" s="8"/>
      <c r="U2983" s="8"/>
      <c r="V2983" s="8"/>
      <c r="W2983" s="8"/>
    </row>
    <row r="2984" spans="1:23" ht="15.75" customHeight="1" x14ac:dyDescent="0.25">
      <c r="A2984" s="6" t="s">
        <v>3272</v>
      </c>
      <c r="B2984" s="8"/>
      <c r="C2984" s="8"/>
      <c r="D2984" s="8"/>
      <c r="E2984" s="8"/>
      <c r="F2984" s="8"/>
      <c r="G2984" s="8"/>
      <c r="H2984" s="8"/>
      <c r="I2984" s="8"/>
      <c r="J2984" s="8"/>
      <c r="K2984" s="8"/>
      <c r="L2984" s="8"/>
      <c r="M2984" s="8"/>
      <c r="N2984" s="8"/>
      <c r="O2984" s="8"/>
      <c r="P2984" s="8"/>
      <c r="Q2984" s="8"/>
      <c r="R2984" s="8"/>
      <c r="S2984" s="8"/>
      <c r="T2984" s="8"/>
      <c r="U2984" s="8"/>
      <c r="V2984" s="8"/>
      <c r="W2984" s="8"/>
    </row>
    <row r="2985" spans="1:23" ht="15.75" customHeight="1" x14ac:dyDescent="0.25">
      <c r="A2985" s="6" t="s">
        <v>3272</v>
      </c>
      <c r="B2985" s="8"/>
      <c r="C2985" s="8"/>
      <c r="D2985" s="8"/>
      <c r="E2985" s="8"/>
      <c r="F2985" s="8"/>
      <c r="G2985" s="8"/>
      <c r="H2985" s="8"/>
      <c r="I2985" s="8"/>
      <c r="J2985" s="8"/>
      <c r="K2985" s="8"/>
      <c r="L2985" s="8"/>
      <c r="M2985" s="8"/>
      <c r="N2985" s="8"/>
      <c r="O2985" s="8"/>
      <c r="P2985" s="8"/>
      <c r="Q2985" s="8"/>
      <c r="R2985" s="8"/>
      <c r="S2985" s="8"/>
      <c r="T2985" s="8"/>
      <c r="U2985" s="8"/>
      <c r="V2985" s="8"/>
      <c r="W2985" s="8"/>
    </row>
    <row r="2986" spans="1:23" ht="15.75" customHeight="1" x14ac:dyDescent="0.25">
      <c r="A2986" s="6" t="s">
        <v>3272</v>
      </c>
      <c r="B2986" s="8"/>
      <c r="C2986" s="8"/>
      <c r="D2986" s="8"/>
      <c r="E2986" s="8"/>
      <c r="F2986" s="8"/>
      <c r="G2986" s="8"/>
      <c r="H2986" s="8"/>
      <c r="I2986" s="8"/>
      <c r="J2986" s="8"/>
      <c r="K2986" s="8"/>
      <c r="L2986" s="8"/>
      <c r="M2986" s="8"/>
      <c r="N2986" s="8"/>
      <c r="O2986" s="8"/>
      <c r="P2986" s="8"/>
      <c r="Q2986" s="8"/>
      <c r="R2986" s="8"/>
      <c r="S2986" s="8"/>
      <c r="T2986" s="8"/>
      <c r="U2986" s="8"/>
      <c r="V2986" s="8"/>
      <c r="W2986" s="8"/>
    </row>
    <row r="2987" spans="1:23" ht="15.75" customHeight="1" x14ac:dyDescent="0.25">
      <c r="A2987" s="6" t="s">
        <v>3272</v>
      </c>
      <c r="B2987" s="8"/>
      <c r="C2987" s="8"/>
      <c r="D2987" s="8"/>
      <c r="E2987" s="8"/>
      <c r="F2987" s="8"/>
      <c r="G2987" s="8"/>
      <c r="H2987" s="8"/>
      <c r="I2987" s="8"/>
      <c r="J2987" s="8"/>
      <c r="K2987" s="8"/>
      <c r="L2987" s="8"/>
      <c r="M2987" s="8"/>
      <c r="N2987" s="8"/>
      <c r="O2987" s="8"/>
      <c r="P2987" s="8"/>
      <c r="Q2987" s="8"/>
      <c r="R2987" s="8"/>
      <c r="S2987" s="8"/>
      <c r="T2987" s="8"/>
      <c r="U2987" s="8"/>
      <c r="V2987" s="8"/>
      <c r="W2987" s="8"/>
    </row>
    <row r="2988" spans="1:23" ht="15.75" customHeight="1" x14ac:dyDescent="0.25">
      <c r="A2988" s="6" t="s">
        <v>3272</v>
      </c>
      <c r="B2988" s="8"/>
      <c r="C2988" s="8"/>
      <c r="D2988" s="8"/>
      <c r="E2988" s="8"/>
      <c r="F2988" s="8"/>
      <c r="G2988" s="8"/>
      <c r="H2988" s="8"/>
      <c r="I2988" s="8"/>
      <c r="J2988" s="8"/>
      <c r="K2988" s="8"/>
      <c r="L2988" s="8"/>
      <c r="M2988" s="8"/>
      <c r="N2988" s="8"/>
      <c r="O2988" s="8"/>
      <c r="P2988" s="8"/>
      <c r="Q2988" s="8"/>
      <c r="R2988" s="8"/>
      <c r="S2988" s="8"/>
      <c r="T2988" s="8"/>
      <c r="U2988" s="8"/>
      <c r="V2988" s="8"/>
      <c r="W2988" s="8"/>
    </row>
    <row r="2989" spans="1:23" ht="15.75" customHeight="1" x14ac:dyDescent="0.25">
      <c r="A2989" s="6" t="s">
        <v>3272</v>
      </c>
      <c r="B2989" s="8"/>
      <c r="C2989" s="8"/>
      <c r="D2989" s="8"/>
      <c r="E2989" s="8"/>
      <c r="F2989" s="8"/>
      <c r="G2989" s="8"/>
      <c r="H2989" s="8"/>
      <c r="I2989" s="8"/>
      <c r="J2989" s="8"/>
      <c r="K2989" s="8"/>
      <c r="L2989" s="8"/>
      <c r="M2989" s="8"/>
      <c r="N2989" s="8"/>
      <c r="O2989" s="8"/>
      <c r="P2989" s="8"/>
      <c r="Q2989" s="8"/>
      <c r="R2989" s="8"/>
      <c r="S2989" s="8"/>
      <c r="T2989" s="8"/>
      <c r="U2989" s="8"/>
      <c r="V2989" s="8"/>
      <c r="W2989" s="8"/>
    </row>
    <row r="2990" spans="1:23" ht="15.75" customHeight="1" x14ac:dyDescent="0.25">
      <c r="A2990" s="6" t="s">
        <v>3272</v>
      </c>
      <c r="B2990" s="8"/>
      <c r="C2990" s="8"/>
      <c r="D2990" s="8"/>
      <c r="E2990" s="8"/>
      <c r="F2990" s="8"/>
      <c r="G2990" s="8"/>
      <c r="H2990" s="8"/>
      <c r="I2990" s="8"/>
      <c r="J2990" s="8"/>
      <c r="K2990" s="8"/>
      <c r="L2990" s="8"/>
      <c r="M2990" s="8"/>
      <c r="N2990" s="8"/>
      <c r="O2990" s="8"/>
      <c r="P2990" s="8"/>
      <c r="Q2990" s="8"/>
      <c r="R2990" s="8"/>
      <c r="S2990" s="8"/>
      <c r="T2990" s="8"/>
      <c r="U2990" s="8"/>
      <c r="V2990" s="8"/>
      <c r="W2990" s="8"/>
    </row>
    <row r="2991" spans="1:23" ht="15.75" customHeight="1" x14ac:dyDescent="0.25">
      <c r="A2991" s="6" t="s">
        <v>3272</v>
      </c>
      <c r="B2991" s="8"/>
      <c r="C2991" s="8"/>
      <c r="D2991" s="8"/>
      <c r="E2991" s="8"/>
      <c r="F2991" s="8"/>
      <c r="G2991" s="8"/>
      <c r="H2991" s="8"/>
      <c r="I2991" s="8"/>
      <c r="J2991" s="8"/>
      <c r="K2991" s="8"/>
      <c r="L2991" s="8"/>
      <c r="M2991" s="8"/>
      <c r="N2991" s="8"/>
      <c r="O2991" s="8"/>
      <c r="P2991" s="8"/>
      <c r="Q2991" s="8"/>
      <c r="R2991" s="8"/>
      <c r="S2991" s="8"/>
      <c r="T2991" s="8"/>
      <c r="U2991" s="8"/>
      <c r="V2991" s="8"/>
      <c r="W2991" s="8"/>
    </row>
    <row r="2992" spans="1:23" ht="15.75" customHeight="1" x14ac:dyDescent="0.25">
      <c r="A2992" s="6" t="s">
        <v>3272</v>
      </c>
      <c r="B2992" s="8"/>
      <c r="C2992" s="8"/>
      <c r="D2992" s="8"/>
      <c r="E2992" s="8"/>
      <c r="F2992" s="8"/>
      <c r="G2992" s="8"/>
      <c r="H2992" s="8"/>
      <c r="I2992" s="8"/>
      <c r="J2992" s="8"/>
      <c r="K2992" s="8"/>
      <c r="L2992" s="8"/>
      <c r="M2992" s="8"/>
      <c r="N2992" s="8"/>
      <c r="O2992" s="8"/>
      <c r="P2992" s="8"/>
      <c r="Q2992" s="8"/>
      <c r="R2992" s="8"/>
      <c r="S2992" s="8"/>
      <c r="T2992" s="8"/>
      <c r="U2992" s="8"/>
      <c r="V2992" s="8"/>
      <c r="W2992" s="8"/>
    </row>
    <row r="2993" spans="1:23" ht="15.75" customHeight="1" x14ac:dyDescent="0.25">
      <c r="A2993" s="6" t="s">
        <v>4335</v>
      </c>
      <c r="B2993" s="8"/>
      <c r="C2993" s="8"/>
      <c r="D2993" s="8"/>
      <c r="E2993" s="8"/>
      <c r="F2993" s="8"/>
      <c r="G2993" s="8"/>
      <c r="H2993" s="8"/>
      <c r="I2993" s="8"/>
      <c r="J2993" s="8"/>
      <c r="K2993" s="8"/>
      <c r="L2993" s="8"/>
      <c r="M2993" s="8"/>
      <c r="N2993" s="8"/>
      <c r="O2993" s="8"/>
      <c r="P2993" s="8"/>
      <c r="Q2993" s="8"/>
      <c r="R2993" s="8"/>
      <c r="S2993" s="8"/>
      <c r="T2993" s="8"/>
      <c r="U2993" s="8"/>
      <c r="V2993" s="8"/>
      <c r="W2993" s="8"/>
    </row>
    <row r="2994" spans="1:23" ht="15.75" customHeight="1" x14ac:dyDescent="0.25">
      <c r="A2994" s="6" t="s">
        <v>4336</v>
      </c>
      <c r="B2994" s="8"/>
      <c r="C2994" s="8"/>
      <c r="D2994" s="8"/>
      <c r="E2994" s="8"/>
      <c r="F2994" s="8"/>
      <c r="G2994" s="8"/>
      <c r="H2994" s="8"/>
      <c r="I2994" s="8"/>
      <c r="J2994" s="8"/>
      <c r="K2994" s="8"/>
      <c r="L2994" s="8"/>
      <c r="M2994" s="8"/>
      <c r="N2994" s="8"/>
      <c r="O2994" s="8"/>
      <c r="P2994" s="8"/>
      <c r="Q2994" s="8"/>
      <c r="R2994" s="8"/>
      <c r="S2994" s="8"/>
      <c r="T2994" s="8"/>
      <c r="U2994" s="8"/>
      <c r="V2994" s="8"/>
      <c r="W2994" s="8"/>
    </row>
    <row r="2995" spans="1:23" ht="15.75" customHeight="1" x14ac:dyDescent="0.25">
      <c r="A2995" s="6" t="s">
        <v>4011</v>
      </c>
      <c r="B2995" s="8"/>
      <c r="C2995" s="8"/>
      <c r="D2995" s="8"/>
      <c r="E2995" s="8"/>
      <c r="F2995" s="8"/>
      <c r="G2995" s="8"/>
      <c r="H2995" s="8"/>
      <c r="I2995" s="8"/>
      <c r="J2995" s="8"/>
      <c r="K2995" s="8"/>
      <c r="L2995" s="8"/>
      <c r="M2995" s="8"/>
      <c r="N2995" s="8"/>
      <c r="O2995" s="8"/>
      <c r="P2995" s="8"/>
      <c r="Q2995" s="8"/>
      <c r="R2995" s="8"/>
      <c r="S2995" s="8"/>
      <c r="T2995" s="8"/>
      <c r="U2995" s="8"/>
      <c r="V2995" s="8"/>
      <c r="W2995" s="8"/>
    </row>
    <row r="2996" spans="1:23" ht="15.75" customHeight="1" x14ac:dyDescent="0.25">
      <c r="A2996" s="6" t="s">
        <v>4011</v>
      </c>
      <c r="B2996" s="8"/>
      <c r="C2996" s="8"/>
      <c r="D2996" s="8"/>
      <c r="E2996" s="8"/>
      <c r="F2996" s="8"/>
      <c r="G2996" s="8"/>
      <c r="H2996" s="8"/>
      <c r="I2996" s="8"/>
      <c r="J2996" s="8"/>
      <c r="K2996" s="8"/>
      <c r="L2996" s="8"/>
      <c r="M2996" s="8"/>
      <c r="N2996" s="8"/>
      <c r="O2996" s="8"/>
      <c r="P2996" s="8"/>
      <c r="Q2996" s="8"/>
      <c r="R2996" s="8"/>
      <c r="S2996" s="8"/>
      <c r="T2996" s="8"/>
      <c r="U2996" s="8"/>
      <c r="V2996" s="8"/>
      <c r="W2996" s="8"/>
    </row>
    <row r="2997" spans="1:23" ht="15.75" customHeight="1" x14ac:dyDescent="0.25">
      <c r="A2997" s="6" t="s">
        <v>4015</v>
      </c>
      <c r="B2997" s="8"/>
      <c r="C2997" s="8"/>
      <c r="D2997" s="8"/>
      <c r="E2997" s="8"/>
      <c r="F2997" s="8"/>
      <c r="G2997" s="8"/>
      <c r="H2997" s="8"/>
      <c r="I2997" s="8"/>
      <c r="J2997" s="8"/>
      <c r="K2997" s="8"/>
      <c r="L2997" s="8"/>
      <c r="M2997" s="8"/>
      <c r="N2997" s="8"/>
      <c r="O2997" s="8"/>
      <c r="P2997" s="8"/>
      <c r="Q2997" s="8"/>
      <c r="R2997" s="8"/>
      <c r="S2997" s="8"/>
      <c r="T2997" s="8"/>
      <c r="U2997" s="8"/>
      <c r="V2997" s="8"/>
      <c r="W2997" s="8"/>
    </row>
    <row r="2998" spans="1:23" ht="15.75" customHeight="1" x14ac:dyDescent="0.25">
      <c r="A2998" s="6" t="s">
        <v>4015</v>
      </c>
      <c r="B2998" s="8"/>
      <c r="C2998" s="8"/>
      <c r="D2998" s="8"/>
      <c r="E2998" s="8"/>
      <c r="F2998" s="8"/>
      <c r="G2998" s="8"/>
      <c r="H2998" s="8"/>
      <c r="I2998" s="8"/>
      <c r="J2998" s="8"/>
      <c r="K2998" s="8"/>
      <c r="L2998" s="8"/>
      <c r="M2998" s="8"/>
      <c r="N2998" s="8"/>
      <c r="O2998" s="8"/>
      <c r="P2998" s="8"/>
      <c r="Q2998" s="8"/>
      <c r="R2998" s="8"/>
      <c r="S2998" s="8"/>
      <c r="T2998" s="8"/>
      <c r="U2998" s="8"/>
      <c r="V2998" s="8"/>
      <c r="W2998" s="8"/>
    </row>
    <row r="2999" spans="1:23" ht="15.75" customHeight="1" x14ac:dyDescent="0.25">
      <c r="A2999" s="8" t="s">
        <v>4337</v>
      </c>
      <c r="B2999" s="8"/>
      <c r="C2999" s="8"/>
      <c r="D2999" s="8"/>
      <c r="E2999" s="8"/>
      <c r="F2999" s="8"/>
      <c r="G2999" s="8"/>
      <c r="H2999" s="8"/>
      <c r="I2999" s="8"/>
      <c r="J2999" s="8"/>
      <c r="K2999" s="8"/>
      <c r="L2999" s="8"/>
      <c r="M2999" s="8"/>
      <c r="N2999" s="8"/>
      <c r="O2999" s="8"/>
      <c r="P2999" s="8"/>
      <c r="Q2999" s="8"/>
      <c r="R2999" s="8"/>
      <c r="S2999" s="8"/>
      <c r="T2999" s="8"/>
      <c r="U2999" s="8"/>
      <c r="V2999" s="8"/>
      <c r="W2999" s="8"/>
    </row>
    <row r="3000" spans="1:23" ht="15.75" customHeight="1" x14ac:dyDescent="0.25">
      <c r="A3000" s="8" t="s">
        <v>4338</v>
      </c>
      <c r="B3000" s="8"/>
      <c r="C3000" s="8"/>
      <c r="D3000" s="8"/>
      <c r="E3000" s="8"/>
      <c r="F3000" s="8"/>
      <c r="G3000" s="8"/>
      <c r="H3000" s="8"/>
      <c r="I3000" s="8"/>
      <c r="J3000" s="8"/>
      <c r="K3000" s="8"/>
      <c r="L3000" s="8"/>
      <c r="M3000" s="8"/>
      <c r="N3000" s="8"/>
      <c r="O3000" s="8"/>
      <c r="P3000" s="8"/>
      <c r="Q3000" s="8"/>
      <c r="R3000" s="8"/>
      <c r="S3000" s="8"/>
      <c r="T3000" s="8"/>
      <c r="U3000" s="8"/>
      <c r="V3000" s="8"/>
      <c r="W3000" s="8"/>
    </row>
    <row r="3001" spans="1:23" ht="15.75" customHeight="1" x14ac:dyDescent="0.25">
      <c r="A3001" s="6" t="s">
        <v>708</v>
      </c>
      <c r="B3001" s="8"/>
      <c r="C3001" s="8"/>
      <c r="D3001" s="8"/>
      <c r="E3001" s="8"/>
      <c r="F3001" s="8"/>
      <c r="G3001" s="8"/>
      <c r="H3001" s="8"/>
      <c r="I3001" s="8"/>
      <c r="J3001" s="8"/>
      <c r="K3001" s="8"/>
      <c r="L3001" s="8"/>
      <c r="M3001" s="8"/>
      <c r="N3001" s="8"/>
      <c r="O3001" s="8"/>
      <c r="P3001" s="8"/>
      <c r="Q3001" s="8"/>
      <c r="R3001" s="8"/>
      <c r="S3001" s="8"/>
      <c r="T3001" s="8"/>
      <c r="U3001" s="8"/>
      <c r="V3001" s="8"/>
      <c r="W3001" s="8"/>
    </row>
    <row r="3002" spans="1:23" ht="15.75" customHeight="1" x14ac:dyDescent="0.25">
      <c r="A3002" s="8" t="s">
        <v>708</v>
      </c>
      <c r="B3002" s="8"/>
      <c r="C3002" s="8"/>
      <c r="D3002" s="8"/>
      <c r="E3002" s="8"/>
      <c r="F3002" s="8"/>
      <c r="G3002" s="8"/>
      <c r="H3002" s="8"/>
      <c r="I3002" s="8"/>
      <c r="J3002" s="8"/>
      <c r="K3002" s="8"/>
      <c r="L3002" s="8"/>
      <c r="M3002" s="8"/>
      <c r="N3002" s="8"/>
      <c r="O3002" s="8"/>
      <c r="P3002" s="8"/>
      <c r="Q3002" s="8"/>
      <c r="R3002" s="8"/>
      <c r="S3002" s="8"/>
      <c r="T3002" s="8"/>
      <c r="U3002" s="8"/>
      <c r="V3002" s="8"/>
      <c r="W3002" s="8"/>
    </row>
    <row r="3003" spans="1:23" ht="15.75" customHeight="1" x14ac:dyDescent="0.25">
      <c r="A3003" s="8" t="s">
        <v>708</v>
      </c>
      <c r="B3003" s="8"/>
      <c r="C3003" s="8"/>
      <c r="D3003" s="8"/>
      <c r="E3003" s="8"/>
      <c r="F3003" s="8"/>
      <c r="G3003" s="8"/>
      <c r="H3003" s="8"/>
      <c r="I3003" s="8"/>
      <c r="J3003" s="8"/>
      <c r="K3003" s="8"/>
      <c r="L3003" s="8"/>
      <c r="M3003" s="8"/>
      <c r="N3003" s="8"/>
      <c r="O3003" s="8"/>
      <c r="P3003" s="8"/>
      <c r="Q3003" s="8"/>
      <c r="R3003" s="8"/>
      <c r="S3003" s="8"/>
      <c r="T3003" s="8"/>
      <c r="U3003" s="8"/>
      <c r="V3003" s="8"/>
      <c r="W3003" s="8"/>
    </row>
    <row r="3004" spans="1:23" ht="15.75" customHeight="1" x14ac:dyDescent="0.25">
      <c r="A3004" s="6" t="s">
        <v>4339</v>
      </c>
      <c r="B3004" s="8"/>
      <c r="C3004" s="8"/>
      <c r="D3004" s="8"/>
      <c r="E3004" s="8"/>
      <c r="F3004" s="8"/>
      <c r="G3004" s="8"/>
      <c r="H3004" s="8"/>
      <c r="I3004" s="8"/>
      <c r="J3004" s="8"/>
      <c r="K3004" s="8"/>
      <c r="L3004" s="8"/>
      <c r="M3004" s="8"/>
      <c r="N3004" s="8"/>
      <c r="O3004" s="8"/>
      <c r="P3004" s="8"/>
      <c r="Q3004" s="8"/>
      <c r="R3004" s="8"/>
      <c r="S3004" s="8"/>
      <c r="T3004" s="8"/>
      <c r="U3004" s="8"/>
      <c r="V3004" s="8"/>
      <c r="W3004" s="8"/>
    </row>
    <row r="3005" spans="1:23" ht="15.75" customHeight="1" x14ac:dyDescent="0.25">
      <c r="A3005" s="11" t="s">
        <v>3485</v>
      </c>
      <c r="B3005" s="8"/>
      <c r="C3005" s="8"/>
      <c r="D3005" s="8"/>
      <c r="E3005" s="8"/>
      <c r="F3005" s="8"/>
      <c r="G3005" s="8"/>
      <c r="H3005" s="8"/>
      <c r="I3005" s="8"/>
      <c r="J3005" s="8"/>
      <c r="K3005" s="8"/>
      <c r="L3005" s="8"/>
      <c r="M3005" s="8"/>
      <c r="N3005" s="8"/>
      <c r="O3005" s="8"/>
      <c r="P3005" s="8"/>
      <c r="Q3005" s="8"/>
      <c r="R3005" s="8"/>
      <c r="S3005" s="8"/>
      <c r="T3005" s="8"/>
      <c r="U3005" s="8"/>
      <c r="V3005" s="8"/>
      <c r="W3005" s="8"/>
    </row>
    <row r="3006" spans="1:23" ht="15.75" customHeight="1" x14ac:dyDescent="0.25">
      <c r="A3006" s="11" t="s">
        <v>3485</v>
      </c>
      <c r="B3006" s="8"/>
      <c r="C3006" s="8"/>
      <c r="D3006" s="8"/>
      <c r="E3006" s="8"/>
      <c r="F3006" s="8"/>
      <c r="G3006" s="8"/>
      <c r="H3006" s="8"/>
      <c r="I3006" s="8"/>
      <c r="J3006" s="8"/>
      <c r="K3006" s="8"/>
      <c r="L3006" s="8"/>
      <c r="M3006" s="8"/>
      <c r="N3006" s="8"/>
      <c r="O3006" s="8"/>
      <c r="P3006" s="8"/>
      <c r="Q3006" s="8"/>
      <c r="R3006" s="8"/>
      <c r="S3006" s="8"/>
      <c r="T3006" s="8"/>
      <c r="U3006" s="8"/>
      <c r="V3006" s="8"/>
      <c r="W3006" s="8"/>
    </row>
    <row r="3007" spans="1:23" ht="15.75" customHeight="1" x14ac:dyDescent="0.25">
      <c r="A3007" s="6" t="s">
        <v>3485</v>
      </c>
      <c r="B3007" s="8"/>
      <c r="C3007" s="8"/>
      <c r="D3007" s="8"/>
      <c r="E3007" s="8"/>
      <c r="F3007" s="8"/>
      <c r="G3007" s="8"/>
      <c r="H3007" s="8"/>
      <c r="I3007" s="8"/>
      <c r="J3007" s="8"/>
      <c r="K3007" s="8"/>
      <c r="L3007" s="8"/>
      <c r="M3007" s="8"/>
      <c r="N3007" s="8"/>
      <c r="O3007" s="8"/>
      <c r="P3007" s="8"/>
      <c r="Q3007" s="8"/>
      <c r="R3007" s="8"/>
      <c r="S3007" s="8"/>
      <c r="T3007" s="8"/>
      <c r="U3007" s="8"/>
      <c r="V3007" s="8"/>
      <c r="W3007" s="8"/>
    </row>
    <row r="3008" spans="1:23" ht="15.75" customHeight="1" x14ac:dyDescent="0.25">
      <c r="A3008" s="6" t="s">
        <v>3485</v>
      </c>
      <c r="B3008" s="8"/>
      <c r="C3008" s="8"/>
      <c r="D3008" s="8"/>
      <c r="E3008" s="8"/>
      <c r="F3008" s="8"/>
      <c r="G3008" s="8"/>
      <c r="H3008" s="8"/>
      <c r="I3008" s="8"/>
      <c r="J3008" s="8"/>
      <c r="K3008" s="8"/>
      <c r="L3008" s="8"/>
      <c r="M3008" s="8"/>
      <c r="N3008" s="8"/>
      <c r="O3008" s="8"/>
      <c r="P3008" s="8"/>
      <c r="Q3008" s="8"/>
      <c r="R3008" s="8"/>
      <c r="S3008" s="8"/>
      <c r="T3008" s="8"/>
      <c r="U3008" s="8"/>
      <c r="V3008" s="8"/>
      <c r="W3008" s="8"/>
    </row>
    <row r="3009" spans="1:23" ht="15.75" customHeight="1" x14ac:dyDescent="0.25">
      <c r="A3009" s="6" t="s">
        <v>3485</v>
      </c>
      <c r="B3009" s="8"/>
      <c r="C3009" s="8"/>
      <c r="D3009" s="8"/>
      <c r="E3009" s="8"/>
      <c r="F3009" s="8"/>
      <c r="G3009" s="8"/>
      <c r="H3009" s="8"/>
      <c r="I3009" s="8"/>
      <c r="J3009" s="8"/>
      <c r="K3009" s="8"/>
      <c r="L3009" s="8"/>
      <c r="M3009" s="8"/>
      <c r="N3009" s="8"/>
      <c r="O3009" s="8"/>
      <c r="P3009" s="8"/>
      <c r="Q3009" s="8"/>
      <c r="R3009" s="8"/>
      <c r="S3009" s="8"/>
      <c r="T3009" s="8"/>
      <c r="U3009" s="8"/>
      <c r="V3009" s="8"/>
      <c r="W3009" s="8"/>
    </row>
    <row r="3010" spans="1:23" ht="15.75" customHeight="1" x14ac:dyDescent="0.25">
      <c r="A3010" s="6" t="s">
        <v>3485</v>
      </c>
      <c r="B3010" s="8"/>
      <c r="C3010" s="8"/>
      <c r="D3010" s="8"/>
      <c r="E3010" s="8"/>
      <c r="F3010" s="8"/>
      <c r="G3010" s="8"/>
      <c r="H3010" s="8"/>
      <c r="I3010" s="8"/>
      <c r="J3010" s="8"/>
      <c r="K3010" s="8"/>
      <c r="L3010" s="8"/>
      <c r="M3010" s="8"/>
      <c r="N3010" s="8"/>
      <c r="O3010" s="8"/>
      <c r="P3010" s="8"/>
      <c r="Q3010" s="8"/>
      <c r="R3010" s="8"/>
      <c r="S3010" s="8"/>
      <c r="T3010" s="8"/>
      <c r="U3010" s="8"/>
      <c r="V3010" s="8"/>
      <c r="W3010" s="8"/>
    </row>
    <row r="3011" spans="1:23" ht="15.75" customHeight="1" x14ac:dyDescent="0.25">
      <c r="A3011" s="6" t="s">
        <v>3485</v>
      </c>
      <c r="B3011" s="8"/>
      <c r="C3011" s="8"/>
      <c r="D3011" s="8"/>
      <c r="E3011" s="8"/>
      <c r="F3011" s="8"/>
      <c r="G3011" s="8"/>
      <c r="H3011" s="8"/>
      <c r="I3011" s="8"/>
      <c r="J3011" s="8"/>
      <c r="K3011" s="8"/>
      <c r="L3011" s="8"/>
      <c r="M3011" s="8"/>
      <c r="N3011" s="8"/>
      <c r="O3011" s="8"/>
      <c r="P3011" s="8"/>
      <c r="Q3011" s="8"/>
      <c r="R3011" s="8"/>
      <c r="S3011" s="8"/>
      <c r="T3011" s="8"/>
      <c r="U3011" s="8"/>
      <c r="V3011" s="8"/>
      <c r="W3011" s="8"/>
    </row>
    <row r="3012" spans="1:23" ht="15.75" customHeight="1" x14ac:dyDescent="0.25">
      <c r="A3012" s="6" t="s">
        <v>3767</v>
      </c>
      <c r="B3012" s="8"/>
      <c r="C3012" s="8"/>
      <c r="D3012" s="8"/>
      <c r="E3012" s="8"/>
      <c r="F3012" s="8"/>
      <c r="G3012" s="8"/>
      <c r="H3012" s="8"/>
      <c r="I3012" s="8"/>
      <c r="J3012" s="8"/>
      <c r="K3012" s="8"/>
      <c r="L3012" s="8"/>
      <c r="M3012" s="8"/>
      <c r="N3012" s="8"/>
      <c r="O3012" s="8"/>
      <c r="P3012" s="8"/>
      <c r="Q3012" s="8"/>
      <c r="R3012" s="8"/>
      <c r="S3012" s="8"/>
      <c r="T3012" s="8"/>
      <c r="U3012" s="8"/>
      <c r="V3012" s="8"/>
      <c r="W3012" s="8"/>
    </row>
    <row r="3013" spans="1:23" ht="15.75" customHeight="1" x14ac:dyDescent="0.25">
      <c r="A3013" s="6" t="s">
        <v>3767</v>
      </c>
      <c r="B3013" s="8"/>
      <c r="C3013" s="8"/>
      <c r="D3013" s="8"/>
      <c r="E3013" s="8"/>
      <c r="F3013" s="8"/>
      <c r="G3013" s="8"/>
      <c r="H3013" s="8"/>
      <c r="I3013" s="8"/>
      <c r="J3013" s="8"/>
      <c r="K3013" s="8"/>
      <c r="L3013" s="8"/>
      <c r="M3013" s="8"/>
      <c r="N3013" s="8"/>
      <c r="O3013" s="8"/>
      <c r="P3013" s="8"/>
      <c r="Q3013" s="8"/>
      <c r="R3013" s="8"/>
      <c r="S3013" s="8"/>
      <c r="T3013" s="8"/>
      <c r="U3013" s="8"/>
      <c r="V3013" s="8"/>
      <c r="W3013" s="8"/>
    </row>
    <row r="3014" spans="1:23" ht="15.75" customHeight="1" x14ac:dyDescent="0.25">
      <c r="A3014" s="6" t="s">
        <v>3767</v>
      </c>
      <c r="B3014" s="8"/>
      <c r="C3014" s="8"/>
      <c r="D3014" s="8"/>
      <c r="E3014" s="8"/>
      <c r="F3014" s="8"/>
      <c r="G3014" s="8"/>
      <c r="H3014" s="8"/>
      <c r="I3014" s="8"/>
      <c r="J3014" s="8"/>
      <c r="K3014" s="8"/>
      <c r="L3014" s="8"/>
      <c r="M3014" s="8"/>
      <c r="N3014" s="8"/>
      <c r="O3014" s="8"/>
      <c r="P3014" s="8"/>
      <c r="Q3014" s="8"/>
      <c r="R3014" s="8"/>
      <c r="S3014" s="8"/>
      <c r="T3014" s="8"/>
      <c r="U3014" s="8"/>
      <c r="V3014" s="8"/>
      <c r="W3014" s="8"/>
    </row>
    <row r="3015" spans="1:23" ht="15.75" customHeight="1" x14ac:dyDescent="0.25">
      <c r="A3015" s="6" t="s">
        <v>4340</v>
      </c>
      <c r="B3015" s="8"/>
      <c r="C3015" s="8"/>
      <c r="D3015" s="8"/>
      <c r="E3015" s="8"/>
      <c r="F3015" s="8"/>
      <c r="G3015" s="8"/>
      <c r="H3015" s="8"/>
      <c r="I3015" s="8"/>
      <c r="J3015" s="8"/>
      <c r="K3015" s="8"/>
      <c r="L3015" s="8"/>
      <c r="M3015" s="8"/>
      <c r="N3015" s="8"/>
      <c r="O3015" s="8"/>
      <c r="P3015" s="8"/>
      <c r="Q3015" s="8"/>
      <c r="R3015" s="8"/>
      <c r="S3015" s="8"/>
      <c r="T3015" s="8"/>
      <c r="U3015" s="8"/>
      <c r="V3015" s="8"/>
      <c r="W3015" s="8"/>
    </row>
    <row r="3016" spans="1:23" ht="15.75" customHeight="1" x14ac:dyDescent="0.25">
      <c r="A3016" s="6" t="s">
        <v>4341</v>
      </c>
      <c r="B3016" s="8"/>
      <c r="C3016" s="8"/>
      <c r="D3016" s="8"/>
      <c r="E3016" s="8"/>
      <c r="F3016" s="8"/>
      <c r="G3016" s="8"/>
      <c r="H3016" s="8"/>
      <c r="I3016" s="8"/>
      <c r="J3016" s="8"/>
      <c r="K3016" s="8"/>
      <c r="L3016" s="8"/>
      <c r="M3016" s="8"/>
      <c r="N3016" s="8"/>
      <c r="O3016" s="8"/>
      <c r="P3016" s="8"/>
      <c r="Q3016" s="8"/>
      <c r="R3016" s="8"/>
      <c r="S3016" s="8"/>
      <c r="T3016" s="8"/>
      <c r="U3016" s="8"/>
      <c r="V3016" s="8"/>
      <c r="W3016" s="8"/>
    </row>
    <row r="3017" spans="1:23" ht="15.75" customHeight="1" x14ac:dyDescent="0.25">
      <c r="A3017" s="6" t="s">
        <v>3652</v>
      </c>
      <c r="B3017" s="8"/>
      <c r="C3017" s="8"/>
      <c r="D3017" s="8"/>
      <c r="E3017" s="8"/>
      <c r="F3017" s="8"/>
      <c r="G3017" s="8"/>
      <c r="H3017" s="8"/>
      <c r="I3017" s="8"/>
      <c r="J3017" s="8"/>
      <c r="K3017" s="8"/>
      <c r="L3017" s="8"/>
      <c r="M3017" s="8"/>
      <c r="N3017" s="8"/>
      <c r="O3017" s="8"/>
      <c r="P3017" s="8"/>
      <c r="Q3017" s="8"/>
      <c r="R3017" s="8"/>
      <c r="S3017" s="8"/>
      <c r="T3017" s="8"/>
      <c r="U3017" s="8"/>
      <c r="V3017" s="8"/>
      <c r="W3017" s="8"/>
    </row>
    <row r="3018" spans="1:23" ht="15.75" customHeight="1" x14ac:dyDescent="0.25">
      <c r="A3018" s="6" t="s">
        <v>3652</v>
      </c>
      <c r="B3018" s="8"/>
      <c r="C3018" s="8"/>
      <c r="D3018" s="8"/>
      <c r="E3018" s="8"/>
      <c r="F3018" s="8"/>
      <c r="G3018" s="8"/>
      <c r="H3018" s="8"/>
      <c r="I3018" s="8"/>
      <c r="J3018" s="8"/>
      <c r="K3018" s="8"/>
      <c r="L3018" s="8"/>
      <c r="M3018" s="8"/>
      <c r="N3018" s="8"/>
      <c r="O3018" s="8"/>
      <c r="P3018" s="8"/>
      <c r="Q3018" s="8"/>
      <c r="R3018" s="8"/>
      <c r="S3018" s="8"/>
      <c r="T3018" s="8"/>
      <c r="U3018" s="8"/>
      <c r="V3018" s="8"/>
      <c r="W3018" s="8"/>
    </row>
    <row r="3019" spans="1:23" ht="15.75" customHeight="1" x14ac:dyDescent="0.25">
      <c r="A3019" s="8" t="s">
        <v>3652</v>
      </c>
      <c r="B3019" s="8"/>
      <c r="C3019" s="8"/>
      <c r="D3019" s="8"/>
      <c r="E3019" s="8"/>
      <c r="F3019" s="8"/>
      <c r="G3019" s="8"/>
      <c r="H3019" s="8"/>
      <c r="I3019" s="8"/>
      <c r="J3019" s="8"/>
      <c r="K3019" s="8"/>
      <c r="L3019" s="8"/>
      <c r="M3019" s="8"/>
      <c r="N3019" s="8"/>
      <c r="O3019" s="8"/>
      <c r="P3019" s="8"/>
      <c r="Q3019" s="8"/>
      <c r="R3019" s="8"/>
      <c r="S3019" s="8"/>
      <c r="T3019" s="8"/>
      <c r="U3019" s="8"/>
      <c r="V3019" s="8"/>
      <c r="W3019" s="8"/>
    </row>
    <row r="3020" spans="1:23" ht="15.75" customHeight="1" x14ac:dyDescent="0.25">
      <c r="A3020" s="6" t="s">
        <v>3652</v>
      </c>
      <c r="B3020" s="8"/>
      <c r="C3020" s="8"/>
      <c r="D3020" s="8"/>
      <c r="E3020" s="8"/>
      <c r="F3020" s="8"/>
      <c r="G3020" s="8"/>
      <c r="H3020" s="8"/>
      <c r="I3020" s="8"/>
      <c r="J3020" s="8"/>
      <c r="K3020" s="8"/>
      <c r="L3020" s="8"/>
      <c r="M3020" s="8"/>
      <c r="N3020" s="8"/>
      <c r="O3020" s="8"/>
      <c r="P3020" s="8"/>
      <c r="Q3020" s="8"/>
      <c r="R3020" s="8"/>
      <c r="S3020" s="8"/>
      <c r="T3020" s="8"/>
      <c r="U3020" s="8"/>
      <c r="V3020" s="8"/>
      <c r="W3020" s="8"/>
    </row>
    <row r="3021" spans="1:23" ht="15.75" customHeight="1" x14ac:dyDescent="0.25">
      <c r="A3021" s="6" t="s">
        <v>3572</v>
      </c>
      <c r="B3021" s="8"/>
      <c r="C3021" s="8"/>
      <c r="D3021" s="8"/>
      <c r="E3021" s="8"/>
      <c r="F3021" s="8"/>
      <c r="G3021" s="8"/>
      <c r="H3021" s="8"/>
      <c r="I3021" s="8"/>
      <c r="J3021" s="8"/>
      <c r="K3021" s="8"/>
      <c r="L3021" s="8"/>
      <c r="M3021" s="8"/>
      <c r="N3021" s="8"/>
      <c r="O3021" s="8"/>
      <c r="P3021" s="8"/>
      <c r="Q3021" s="8"/>
      <c r="R3021" s="8"/>
      <c r="S3021" s="8"/>
      <c r="T3021" s="8"/>
      <c r="U3021" s="8"/>
      <c r="V3021" s="8"/>
      <c r="W3021" s="8"/>
    </row>
    <row r="3022" spans="1:23" ht="15.75" customHeight="1" x14ac:dyDescent="0.25">
      <c r="A3022" s="6" t="s">
        <v>3572</v>
      </c>
      <c r="B3022" s="8"/>
      <c r="C3022" s="8"/>
      <c r="D3022" s="8"/>
      <c r="E3022" s="8"/>
      <c r="F3022" s="8"/>
      <c r="G3022" s="8"/>
      <c r="H3022" s="8"/>
      <c r="I3022" s="8"/>
      <c r="J3022" s="8"/>
      <c r="K3022" s="8"/>
      <c r="L3022" s="8"/>
      <c r="M3022" s="8"/>
      <c r="N3022" s="8"/>
      <c r="O3022" s="8"/>
      <c r="P3022" s="8"/>
      <c r="Q3022" s="8"/>
      <c r="R3022" s="8"/>
      <c r="S3022" s="8"/>
      <c r="T3022" s="8"/>
      <c r="U3022" s="8"/>
      <c r="V3022" s="8"/>
      <c r="W3022" s="8"/>
    </row>
    <row r="3023" spans="1:23" ht="15.75" customHeight="1" x14ac:dyDescent="0.25">
      <c r="A3023" s="6" t="s">
        <v>3572</v>
      </c>
      <c r="B3023" s="8"/>
      <c r="C3023" s="8"/>
      <c r="D3023" s="8"/>
      <c r="E3023" s="8"/>
      <c r="F3023" s="8"/>
      <c r="G3023" s="8"/>
      <c r="H3023" s="8"/>
      <c r="I3023" s="8"/>
      <c r="J3023" s="8"/>
      <c r="K3023" s="8"/>
      <c r="L3023" s="8"/>
      <c r="M3023" s="8"/>
      <c r="N3023" s="8"/>
      <c r="O3023" s="8"/>
      <c r="P3023" s="8"/>
      <c r="Q3023" s="8"/>
      <c r="R3023" s="8"/>
      <c r="S3023" s="8"/>
      <c r="T3023" s="8"/>
      <c r="U3023" s="8"/>
      <c r="V3023" s="8"/>
      <c r="W3023" s="8"/>
    </row>
    <row r="3024" spans="1:23" ht="15.75" customHeight="1" x14ac:dyDescent="0.25">
      <c r="A3024" s="6" t="s">
        <v>3572</v>
      </c>
      <c r="B3024" s="8"/>
      <c r="C3024" s="8"/>
      <c r="D3024" s="8"/>
      <c r="E3024" s="8"/>
      <c r="F3024" s="8"/>
      <c r="G3024" s="8"/>
      <c r="H3024" s="8"/>
      <c r="I3024" s="8"/>
      <c r="J3024" s="8"/>
      <c r="K3024" s="8"/>
      <c r="L3024" s="8"/>
      <c r="M3024" s="8"/>
      <c r="N3024" s="8"/>
      <c r="O3024" s="8"/>
      <c r="P3024" s="8"/>
      <c r="Q3024" s="8"/>
      <c r="R3024" s="8"/>
      <c r="S3024" s="8"/>
      <c r="T3024" s="8"/>
      <c r="U3024" s="8"/>
      <c r="V3024" s="8"/>
      <c r="W3024" s="8"/>
    </row>
    <row r="3025" spans="1:23" ht="15.75" customHeight="1" x14ac:dyDescent="0.25">
      <c r="A3025" s="6" t="s">
        <v>3572</v>
      </c>
      <c r="B3025" s="8"/>
      <c r="C3025" s="8"/>
      <c r="D3025" s="8"/>
      <c r="E3025" s="8"/>
      <c r="F3025" s="8"/>
      <c r="G3025" s="8"/>
      <c r="H3025" s="8"/>
      <c r="I3025" s="8"/>
      <c r="J3025" s="8"/>
      <c r="K3025" s="8"/>
      <c r="L3025" s="8"/>
      <c r="M3025" s="8"/>
      <c r="N3025" s="8"/>
      <c r="O3025" s="8"/>
      <c r="P3025" s="8"/>
      <c r="Q3025" s="8"/>
      <c r="R3025" s="8"/>
      <c r="S3025" s="8"/>
      <c r="T3025" s="8"/>
      <c r="U3025" s="8"/>
      <c r="V3025" s="8"/>
      <c r="W3025" s="8"/>
    </row>
    <row r="3026" spans="1:23" ht="15.75" customHeight="1" x14ac:dyDescent="0.25">
      <c r="A3026" s="6" t="s">
        <v>3771</v>
      </c>
      <c r="B3026" s="8"/>
      <c r="C3026" s="8"/>
      <c r="D3026" s="8"/>
      <c r="E3026" s="8"/>
      <c r="F3026" s="8"/>
      <c r="G3026" s="8"/>
      <c r="H3026" s="8"/>
      <c r="I3026" s="8"/>
      <c r="J3026" s="8"/>
      <c r="K3026" s="8"/>
      <c r="L3026" s="8"/>
      <c r="M3026" s="8"/>
      <c r="N3026" s="8"/>
      <c r="O3026" s="8"/>
      <c r="P3026" s="8"/>
      <c r="Q3026" s="8"/>
      <c r="R3026" s="8"/>
      <c r="S3026" s="8"/>
      <c r="T3026" s="8"/>
      <c r="U3026" s="8"/>
      <c r="V3026" s="8"/>
      <c r="W3026" s="8"/>
    </row>
    <row r="3027" spans="1:23" ht="15.75" customHeight="1" x14ac:dyDescent="0.25">
      <c r="A3027" s="6" t="s">
        <v>3771</v>
      </c>
      <c r="B3027" s="8"/>
      <c r="C3027" s="8"/>
      <c r="D3027" s="8"/>
      <c r="E3027" s="8"/>
      <c r="F3027" s="8"/>
      <c r="G3027" s="8"/>
      <c r="H3027" s="8"/>
      <c r="I3027" s="8"/>
      <c r="J3027" s="8"/>
      <c r="K3027" s="8"/>
      <c r="L3027" s="8"/>
      <c r="M3027" s="8"/>
      <c r="N3027" s="8"/>
      <c r="O3027" s="8"/>
      <c r="P3027" s="8"/>
      <c r="Q3027" s="8"/>
      <c r="R3027" s="8"/>
      <c r="S3027" s="8"/>
      <c r="T3027" s="8"/>
      <c r="U3027" s="8"/>
      <c r="V3027" s="8"/>
      <c r="W3027" s="8"/>
    </row>
    <row r="3028" spans="1:23" ht="15.75" customHeight="1" x14ac:dyDescent="0.25">
      <c r="A3028" s="6" t="s">
        <v>3771</v>
      </c>
      <c r="B3028" s="8"/>
      <c r="C3028" s="8"/>
      <c r="D3028" s="8"/>
      <c r="E3028" s="8"/>
      <c r="F3028" s="8"/>
      <c r="G3028" s="8"/>
      <c r="H3028" s="8"/>
      <c r="I3028" s="8"/>
      <c r="J3028" s="8"/>
      <c r="K3028" s="8"/>
      <c r="L3028" s="8"/>
      <c r="M3028" s="8"/>
      <c r="N3028" s="8"/>
      <c r="O3028" s="8"/>
      <c r="P3028" s="8"/>
      <c r="Q3028" s="8"/>
      <c r="R3028" s="8"/>
      <c r="S3028" s="8"/>
      <c r="T3028" s="8"/>
      <c r="U3028" s="8"/>
      <c r="V3028" s="8"/>
      <c r="W3028" s="8"/>
    </row>
    <row r="3029" spans="1:23" ht="15.75" customHeight="1" x14ac:dyDescent="0.25">
      <c r="A3029" s="6" t="s">
        <v>4342</v>
      </c>
      <c r="B3029" s="8"/>
      <c r="C3029" s="8"/>
      <c r="D3029" s="8"/>
      <c r="E3029" s="8"/>
      <c r="F3029" s="8"/>
      <c r="G3029" s="8"/>
      <c r="H3029" s="8"/>
      <c r="I3029" s="8"/>
      <c r="J3029" s="8"/>
      <c r="K3029" s="8"/>
      <c r="L3029" s="8"/>
      <c r="M3029" s="8"/>
      <c r="N3029" s="8"/>
      <c r="O3029" s="8"/>
      <c r="P3029" s="8"/>
      <c r="Q3029" s="8"/>
      <c r="R3029" s="8"/>
      <c r="S3029" s="8"/>
      <c r="T3029" s="8"/>
      <c r="U3029" s="8"/>
      <c r="V3029" s="8"/>
      <c r="W3029" s="8"/>
    </row>
    <row r="3030" spans="1:23" ht="15.75" customHeight="1" x14ac:dyDescent="0.25">
      <c r="A3030" s="6" t="s">
        <v>3657</v>
      </c>
      <c r="B3030" s="8"/>
      <c r="C3030" s="8"/>
      <c r="D3030" s="8"/>
      <c r="E3030" s="8"/>
      <c r="F3030" s="8"/>
      <c r="G3030" s="8"/>
      <c r="H3030" s="8"/>
      <c r="I3030" s="8"/>
      <c r="J3030" s="8"/>
      <c r="K3030" s="8"/>
      <c r="L3030" s="8"/>
      <c r="M3030" s="8"/>
      <c r="N3030" s="8"/>
      <c r="O3030" s="8"/>
      <c r="P3030" s="8"/>
      <c r="Q3030" s="8"/>
      <c r="R3030" s="8"/>
      <c r="S3030" s="8"/>
      <c r="T3030" s="8"/>
      <c r="U3030" s="8"/>
      <c r="V3030" s="8"/>
      <c r="W3030" s="8"/>
    </row>
    <row r="3031" spans="1:23" ht="15.75" customHeight="1" x14ac:dyDescent="0.25">
      <c r="A3031" s="6" t="s">
        <v>3657</v>
      </c>
      <c r="B3031" s="8"/>
      <c r="C3031" s="8"/>
      <c r="D3031" s="8"/>
      <c r="E3031" s="8"/>
      <c r="F3031" s="8"/>
      <c r="G3031" s="8"/>
      <c r="H3031" s="8"/>
      <c r="I3031" s="8"/>
      <c r="J3031" s="8"/>
      <c r="K3031" s="8"/>
      <c r="L3031" s="8"/>
      <c r="M3031" s="8"/>
      <c r="N3031" s="8"/>
      <c r="O3031" s="8"/>
      <c r="P3031" s="8"/>
      <c r="Q3031" s="8"/>
      <c r="R3031" s="8"/>
      <c r="S3031" s="8"/>
      <c r="T3031" s="8"/>
      <c r="U3031" s="8"/>
      <c r="V3031" s="8"/>
      <c r="W3031" s="8"/>
    </row>
    <row r="3032" spans="1:23" ht="15.75" customHeight="1" x14ac:dyDescent="0.25">
      <c r="A3032" s="6" t="s">
        <v>3657</v>
      </c>
      <c r="B3032" s="8"/>
      <c r="C3032" s="8"/>
      <c r="D3032" s="8"/>
      <c r="E3032" s="8"/>
      <c r="F3032" s="8"/>
      <c r="G3032" s="8"/>
      <c r="H3032" s="8"/>
      <c r="I3032" s="8"/>
      <c r="J3032" s="8"/>
      <c r="K3032" s="8"/>
      <c r="L3032" s="8"/>
      <c r="M3032" s="8"/>
      <c r="N3032" s="8"/>
      <c r="O3032" s="8"/>
      <c r="P3032" s="8"/>
      <c r="Q3032" s="8"/>
      <c r="R3032" s="8"/>
      <c r="S3032" s="8"/>
      <c r="T3032" s="8"/>
      <c r="U3032" s="8"/>
      <c r="V3032" s="8"/>
      <c r="W3032" s="8"/>
    </row>
    <row r="3033" spans="1:23" ht="15.75" customHeight="1" x14ac:dyDescent="0.25">
      <c r="A3033" s="6" t="s">
        <v>3657</v>
      </c>
      <c r="B3033" s="8"/>
      <c r="C3033" s="8"/>
      <c r="D3033" s="8"/>
      <c r="E3033" s="8"/>
      <c r="F3033" s="8"/>
      <c r="G3033" s="8"/>
      <c r="H3033" s="8"/>
      <c r="I3033" s="8"/>
      <c r="J3033" s="8"/>
      <c r="K3033" s="8"/>
      <c r="L3033" s="8"/>
      <c r="M3033" s="8"/>
      <c r="N3033" s="8"/>
      <c r="O3033" s="8"/>
      <c r="P3033" s="8"/>
      <c r="Q3033" s="8"/>
      <c r="R3033" s="8"/>
      <c r="S3033" s="8"/>
      <c r="T3033" s="8"/>
      <c r="U3033" s="8"/>
      <c r="V3033" s="8"/>
      <c r="W3033" s="8"/>
    </row>
    <row r="3034" spans="1:23" ht="15.75" customHeight="1" x14ac:dyDescent="0.25">
      <c r="A3034" s="6" t="s">
        <v>3333</v>
      </c>
      <c r="B3034" s="8"/>
      <c r="C3034" s="8"/>
      <c r="D3034" s="8"/>
      <c r="E3034" s="8"/>
      <c r="F3034" s="8"/>
      <c r="G3034" s="8"/>
      <c r="H3034" s="8"/>
      <c r="I3034" s="8"/>
      <c r="J3034" s="8"/>
      <c r="K3034" s="8"/>
      <c r="L3034" s="8"/>
      <c r="M3034" s="8"/>
      <c r="N3034" s="8"/>
      <c r="O3034" s="8"/>
      <c r="P3034" s="8"/>
      <c r="Q3034" s="8"/>
      <c r="R3034" s="8"/>
      <c r="S3034" s="8"/>
      <c r="T3034" s="8"/>
      <c r="U3034" s="8"/>
      <c r="V3034" s="8"/>
      <c r="W3034" s="8"/>
    </row>
    <row r="3035" spans="1:23" ht="15.75" customHeight="1" x14ac:dyDescent="0.25">
      <c r="A3035" s="6" t="s">
        <v>3333</v>
      </c>
      <c r="B3035" s="8"/>
      <c r="C3035" s="8"/>
      <c r="D3035" s="8"/>
      <c r="E3035" s="8"/>
      <c r="F3035" s="8"/>
      <c r="G3035" s="8"/>
      <c r="H3035" s="8"/>
      <c r="I3035" s="8"/>
      <c r="J3035" s="8"/>
      <c r="K3035" s="8"/>
      <c r="L3035" s="8"/>
      <c r="M3035" s="8"/>
      <c r="N3035" s="8"/>
      <c r="O3035" s="8"/>
      <c r="P3035" s="8"/>
      <c r="Q3035" s="8"/>
      <c r="R3035" s="8"/>
      <c r="S3035" s="8"/>
      <c r="T3035" s="8"/>
      <c r="U3035" s="8"/>
      <c r="V3035" s="8"/>
      <c r="W3035" s="8"/>
    </row>
    <row r="3036" spans="1:23" ht="15.75" customHeight="1" x14ac:dyDescent="0.25">
      <c r="A3036" s="6" t="s">
        <v>3333</v>
      </c>
      <c r="B3036" s="8"/>
      <c r="C3036" s="8"/>
      <c r="D3036" s="8"/>
      <c r="E3036" s="8"/>
      <c r="F3036" s="8"/>
      <c r="G3036" s="8"/>
      <c r="H3036" s="8"/>
      <c r="I3036" s="8"/>
      <c r="J3036" s="8"/>
      <c r="K3036" s="8"/>
      <c r="L3036" s="8"/>
      <c r="M3036" s="8"/>
      <c r="N3036" s="8"/>
      <c r="O3036" s="8"/>
      <c r="P3036" s="8"/>
      <c r="Q3036" s="8"/>
      <c r="R3036" s="8"/>
      <c r="S3036" s="8"/>
      <c r="T3036" s="8"/>
      <c r="U3036" s="8"/>
      <c r="V3036" s="8"/>
      <c r="W3036" s="8"/>
    </row>
    <row r="3037" spans="1:23" ht="15.75" customHeight="1" x14ac:dyDescent="0.25">
      <c r="A3037" s="6" t="s">
        <v>3333</v>
      </c>
      <c r="B3037" s="8"/>
      <c r="C3037" s="8"/>
      <c r="D3037" s="8"/>
      <c r="E3037" s="8"/>
      <c r="F3037" s="8"/>
      <c r="G3037" s="8"/>
      <c r="H3037" s="8"/>
      <c r="I3037" s="8"/>
      <c r="J3037" s="8"/>
      <c r="K3037" s="8"/>
      <c r="L3037" s="8"/>
      <c r="M3037" s="8"/>
      <c r="N3037" s="8"/>
      <c r="O3037" s="8"/>
      <c r="P3037" s="8"/>
      <c r="Q3037" s="8"/>
      <c r="R3037" s="8"/>
      <c r="S3037" s="8"/>
      <c r="T3037" s="8"/>
      <c r="U3037" s="8"/>
      <c r="V3037" s="8"/>
      <c r="W3037" s="8"/>
    </row>
    <row r="3038" spans="1:23" ht="15.75" customHeight="1" x14ac:dyDescent="0.25">
      <c r="A3038" s="6" t="s">
        <v>3333</v>
      </c>
      <c r="B3038" s="8"/>
      <c r="C3038" s="8"/>
      <c r="D3038" s="8"/>
      <c r="E3038" s="8"/>
      <c r="F3038" s="8"/>
      <c r="G3038" s="8"/>
      <c r="H3038" s="8"/>
      <c r="I3038" s="8"/>
      <c r="J3038" s="8"/>
      <c r="K3038" s="8"/>
      <c r="L3038" s="8"/>
      <c r="M3038" s="8"/>
      <c r="N3038" s="8"/>
      <c r="O3038" s="8"/>
      <c r="P3038" s="8"/>
      <c r="Q3038" s="8"/>
      <c r="R3038" s="8"/>
      <c r="S3038" s="8"/>
      <c r="T3038" s="8"/>
      <c r="U3038" s="8"/>
      <c r="V3038" s="8"/>
      <c r="W3038" s="8"/>
    </row>
    <row r="3039" spans="1:23" ht="15.75" customHeight="1" x14ac:dyDescent="0.25">
      <c r="A3039" s="6" t="s">
        <v>3333</v>
      </c>
      <c r="B3039" s="8"/>
      <c r="C3039" s="8"/>
      <c r="D3039" s="8"/>
      <c r="E3039" s="8"/>
      <c r="F3039" s="8"/>
      <c r="G3039" s="8"/>
      <c r="H3039" s="8"/>
      <c r="I3039" s="8"/>
      <c r="J3039" s="8"/>
      <c r="K3039" s="8"/>
      <c r="L3039" s="8"/>
      <c r="M3039" s="8"/>
      <c r="N3039" s="8"/>
      <c r="O3039" s="8"/>
      <c r="P3039" s="8"/>
      <c r="Q3039" s="8"/>
      <c r="R3039" s="8"/>
      <c r="S3039" s="8"/>
      <c r="T3039" s="8"/>
      <c r="U3039" s="8"/>
      <c r="V3039" s="8"/>
      <c r="W3039" s="8"/>
    </row>
    <row r="3040" spans="1:23" ht="15.75" customHeight="1" x14ac:dyDescent="0.25">
      <c r="A3040" s="6" t="s">
        <v>3333</v>
      </c>
      <c r="B3040" s="8"/>
      <c r="C3040" s="8"/>
      <c r="D3040" s="8"/>
      <c r="E3040" s="8"/>
      <c r="F3040" s="8"/>
      <c r="G3040" s="8"/>
      <c r="H3040" s="8"/>
      <c r="I3040" s="8"/>
      <c r="J3040" s="8"/>
      <c r="K3040" s="8"/>
      <c r="L3040" s="8"/>
      <c r="M3040" s="8"/>
      <c r="N3040" s="8"/>
      <c r="O3040" s="8"/>
      <c r="P3040" s="8"/>
      <c r="Q3040" s="8"/>
      <c r="R3040" s="8"/>
      <c r="S3040" s="8"/>
      <c r="T3040" s="8"/>
      <c r="U3040" s="8"/>
      <c r="V3040" s="8"/>
      <c r="W3040" s="8"/>
    </row>
    <row r="3041" spans="1:23" ht="15.75" customHeight="1" x14ac:dyDescent="0.25">
      <c r="A3041" s="6" t="s">
        <v>3333</v>
      </c>
      <c r="B3041" s="8"/>
      <c r="C3041" s="8"/>
      <c r="D3041" s="8"/>
      <c r="E3041" s="8"/>
      <c r="F3041" s="8"/>
      <c r="G3041" s="8"/>
      <c r="H3041" s="8"/>
      <c r="I3041" s="8"/>
      <c r="J3041" s="8"/>
      <c r="K3041" s="8"/>
      <c r="L3041" s="8"/>
      <c r="M3041" s="8"/>
      <c r="N3041" s="8"/>
      <c r="O3041" s="8"/>
      <c r="P3041" s="8"/>
      <c r="Q3041" s="8"/>
      <c r="R3041" s="8"/>
      <c r="S3041" s="8"/>
      <c r="T3041" s="8"/>
      <c r="U3041" s="8"/>
      <c r="V3041" s="8"/>
      <c r="W3041" s="8"/>
    </row>
    <row r="3042" spans="1:23" ht="15.75" customHeight="1" x14ac:dyDescent="0.25">
      <c r="A3042" s="6" t="s">
        <v>3333</v>
      </c>
      <c r="B3042" s="8"/>
      <c r="C3042" s="8"/>
      <c r="D3042" s="8"/>
      <c r="E3042" s="8"/>
      <c r="F3042" s="8"/>
      <c r="G3042" s="8"/>
      <c r="H3042" s="8"/>
      <c r="I3042" s="8"/>
      <c r="J3042" s="8"/>
      <c r="K3042" s="8"/>
      <c r="L3042" s="8"/>
      <c r="M3042" s="8"/>
      <c r="N3042" s="8"/>
      <c r="O3042" s="8"/>
      <c r="P3042" s="8"/>
      <c r="Q3042" s="8"/>
      <c r="R3042" s="8"/>
      <c r="S3042" s="8"/>
      <c r="T3042" s="8"/>
      <c r="U3042" s="8"/>
      <c r="V3042" s="8"/>
      <c r="W3042" s="8"/>
    </row>
    <row r="3043" spans="1:23" ht="15.75" customHeight="1" x14ac:dyDescent="0.25">
      <c r="A3043" s="6" t="s">
        <v>3333</v>
      </c>
      <c r="B3043" s="8"/>
      <c r="C3043" s="8"/>
      <c r="D3043" s="8"/>
      <c r="E3043" s="8"/>
      <c r="F3043" s="8"/>
      <c r="G3043" s="8"/>
      <c r="H3043" s="8"/>
      <c r="I3043" s="8"/>
      <c r="J3043" s="8"/>
      <c r="K3043" s="8"/>
      <c r="L3043" s="8"/>
      <c r="M3043" s="8"/>
      <c r="N3043" s="8"/>
      <c r="O3043" s="8"/>
      <c r="P3043" s="8"/>
      <c r="Q3043" s="8"/>
      <c r="R3043" s="8"/>
      <c r="S3043" s="8"/>
      <c r="T3043" s="8"/>
      <c r="U3043" s="8"/>
      <c r="V3043" s="8"/>
      <c r="W3043" s="8"/>
    </row>
    <row r="3044" spans="1:23" ht="15.75" customHeight="1" x14ac:dyDescent="0.25">
      <c r="A3044" s="6" t="s">
        <v>3333</v>
      </c>
      <c r="B3044" s="8"/>
      <c r="C3044" s="8"/>
      <c r="D3044" s="8"/>
      <c r="E3044" s="8"/>
      <c r="F3044" s="8"/>
      <c r="G3044" s="8"/>
      <c r="H3044" s="8"/>
      <c r="I3044" s="8"/>
      <c r="J3044" s="8"/>
      <c r="K3044" s="8"/>
      <c r="L3044" s="8"/>
      <c r="M3044" s="8"/>
      <c r="N3044" s="8"/>
      <c r="O3044" s="8"/>
      <c r="P3044" s="8"/>
      <c r="Q3044" s="8"/>
      <c r="R3044" s="8"/>
      <c r="S3044" s="8"/>
      <c r="T3044" s="8"/>
      <c r="U3044" s="8"/>
      <c r="V3044" s="8"/>
      <c r="W3044" s="8"/>
    </row>
    <row r="3045" spans="1:23" ht="15.75" customHeight="1" x14ac:dyDescent="0.25">
      <c r="A3045" s="6" t="s">
        <v>3333</v>
      </c>
      <c r="B3045" s="8"/>
      <c r="C3045" s="8"/>
      <c r="D3045" s="8"/>
      <c r="E3045" s="8"/>
      <c r="F3045" s="8"/>
      <c r="G3045" s="8"/>
      <c r="H3045" s="8"/>
      <c r="I3045" s="8"/>
      <c r="J3045" s="8"/>
      <c r="K3045" s="8"/>
      <c r="L3045" s="8"/>
      <c r="M3045" s="8"/>
      <c r="N3045" s="8"/>
      <c r="O3045" s="8"/>
      <c r="P3045" s="8"/>
      <c r="Q3045" s="8"/>
      <c r="R3045" s="8"/>
      <c r="S3045" s="8"/>
      <c r="T3045" s="8"/>
      <c r="U3045" s="8"/>
      <c r="V3045" s="8"/>
      <c r="W3045" s="8"/>
    </row>
    <row r="3046" spans="1:23" ht="15.75" customHeight="1" x14ac:dyDescent="0.25">
      <c r="A3046" s="6" t="s">
        <v>3333</v>
      </c>
      <c r="B3046" s="8"/>
      <c r="C3046" s="8"/>
      <c r="D3046" s="8"/>
      <c r="E3046" s="8"/>
      <c r="F3046" s="8"/>
      <c r="G3046" s="8"/>
      <c r="H3046" s="8"/>
      <c r="I3046" s="8"/>
      <c r="J3046" s="8"/>
      <c r="K3046" s="8"/>
      <c r="L3046" s="8"/>
      <c r="M3046" s="8"/>
      <c r="N3046" s="8"/>
      <c r="O3046" s="8"/>
      <c r="P3046" s="8"/>
      <c r="Q3046" s="8"/>
      <c r="R3046" s="8"/>
      <c r="S3046" s="8"/>
      <c r="T3046" s="8"/>
      <c r="U3046" s="8"/>
      <c r="V3046" s="8"/>
      <c r="W3046" s="8"/>
    </row>
    <row r="3047" spans="1:23" ht="15.75" customHeight="1" x14ac:dyDescent="0.25">
      <c r="A3047" s="6" t="s">
        <v>3333</v>
      </c>
      <c r="B3047" s="8"/>
      <c r="C3047" s="8"/>
      <c r="D3047" s="8"/>
      <c r="E3047" s="8"/>
      <c r="F3047" s="8"/>
      <c r="G3047" s="8"/>
      <c r="H3047" s="8"/>
      <c r="I3047" s="8"/>
      <c r="J3047" s="8"/>
      <c r="K3047" s="8"/>
      <c r="L3047" s="8"/>
      <c r="M3047" s="8"/>
      <c r="N3047" s="8"/>
      <c r="O3047" s="8"/>
      <c r="P3047" s="8"/>
      <c r="Q3047" s="8"/>
      <c r="R3047" s="8"/>
      <c r="S3047" s="8"/>
      <c r="T3047" s="8"/>
      <c r="U3047" s="8"/>
      <c r="V3047" s="8"/>
      <c r="W3047" s="8"/>
    </row>
    <row r="3048" spans="1:23" ht="15.75" customHeight="1" x14ac:dyDescent="0.25">
      <c r="A3048" s="6" t="s">
        <v>3578</v>
      </c>
      <c r="B3048" s="8"/>
      <c r="C3048" s="8"/>
      <c r="D3048" s="8"/>
      <c r="E3048" s="8"/>
      <c r="F3048" s="8"/>
      <c r="G3048" s="8"/>
      <c r="H3048" s="8"/>
      <c r="I3048" s="8"/>
      <c r="J3048" s="8"/>
      <c r="K3048" s="8"/>
      <c r="L3048" s="8"/>
      <c r="M3048" s="8"/>
      <c r="N3048" s="8"/>
      <c r="O3048" s="8"/>
      <c r="P3048" s="8"/>
      <c r="Q3048" s="8"/>
      <c r="R3048" s="8"/>
      <c r="S3048" s="8"/>
      <c r="T3048" s="8"/>
      <c r="U3048" s="8"/>
      <c r="V3048" s="8"/>
      <c r="W3048" s="8"/>
    </row>
    <row r="3049" spans="1:23" ht="15.75" customHeight="1" x14ac:dyDescent="0.25">
      <c r="A3049" s="6" t="s">
        <v>3578</v>
      </c>
      <c r="B3049" s="8"/>
      <c r="C3049" s="8"/>
      <c r="D3049" s="8"/>
      <c r="E3049" s="8"/>
      <c r="F3049" s="8"/>
      <c r="G3049" s="8"/>
      <c r="H3049" s="8"/>
      <c r="I3049" s="8"/>
      <c r="J3049" s="8"/>
      <c r="K3049" s="8"/>
      <c r="L3049" s="8"/>
      <c r="M3049" s="8"/>
      <c r="N3049" s="8"/>
      <c r="O3049" s="8"/>
      <c r="P3049" s="8"/>
      <c r="Q3049" s="8"/>
      <c r="R3049" s="8"/>
      <c r="S3049" s="8"/>
      <c r="T3049" s="8"/>
      <c r="U3049" s="8"/>
      <c r="V3049" s="8"/>
      <c r="W3049" s="8"/>
    </row>
    <row r="3050" spans="1:23" ht="15.75" customHeight="1" x14ac:dyDescent="0.25">
      <c r="A3050" s="6" t="s">
        <v>3578</v>
      </c>
      <c r="B3050" s="8"/>
      <c r="C3050" s="8"/>
      <c r="D3050" s="8"/>
      <c r="E3050" s="8"/>
      <c r="F3050" s="8"/>
      <c r="G3050" s="8"/>
      <c r="H3050" s="8"/>
      <c r="I3050" s="8"/>
      <c r="J3050" s="8"/>
      <c r="K3050" s="8"/>
      <c r="L3050" s="8"/>
      <c r="M3050" s="8"/>
      <c r="N3050" s="8"/>
      <c r="O3050" s="8"/>
      <c r="P3050" s="8"/>
      <c r="Q3050" s="8"/>
      <c r="R3050" s="8"/>
      <c r="S3050" s="8"/>
      <c r="T3050" s="8"/>
      <c r="U3050" s="8"/>
      <c r="V3050" s="8"/>
      <c r="W3050" s="8"/>
    </row>
    <row r="3051" spans="1:23" ht="15.75" customHeight="1" x14ac:dyDescent="0.25">
      <c r="A3051" s="6" t="s">
        <v>3578</v>
      </c>
      <c r="B3051" s="8"/>
      <c r="C3051" s="8"/>
      <c r="D3051" s="8"/>
      <c r="E3051" s="8"/>
      <c r="F3051" s="8"/>
      <c r="G3051" s="8"/>
      <c r="H3051" s="8"/>
      <c r="I3051" s="8"/>
      <c r="J3051" s="8"/>
      <c r="K3051" s="8"/>
      <c r="L3051" s="8"/>
      <c r="M3051" s="8"/>
      <c r="N3051" s="8"/>
      <c r="O3051" s="8"/>
      <c r="P3051" s="8"/>
      <c r="Q3051" s="8"/>
      <c r="R3051" s="8"/>
      <c r="S3051" s="8"/>
      <c r="T3051" s="8"/>
      <c r="U3051" s="8"/>
      <c r="V3051" s="8"/>
      <c r="W3051" s="8"/>
    </row>
    <row r="3052" spans="1:23" ht="15.75" customHeight="1" x14ac:dyDescent="0.25">
      <c r="A3052" s="6" t="s">
        <v>3578</v>
      </c>
      <c r="B3052" s="8"/>
      <c r="C3052" s="8"/>
      <c r="D3052" s="8"/>
      <c r="E3052" s="8"/>
      <c r="F3052" s="8"/>
      <c r="G3052" s="8"/>
      <c r="H3052" s="8"/>
      <c r="I3052" s="8"/>
      <c r="J3052" s="8"/>
      <c r="K3052" s="8"/>
      <c r="L3052" s="8"/>
      <c r="M3052" s="8"/>
      <c r="N3052" s="8"/>
      <c r="O3052" s="8"/>
      <c r="P3052" s="8"/>
      <c r="Q3052" s="8"/>
      <c r="R3052" s="8"/>
      <c r="S3052" s="8"/>
      <c r="T3052" s="8"/>
      <c r="U3052" s="8"/>
      <c r="V3052" s="8"/>
      <c r="W3052" s="8"/>
    </row>
    <row r="3053" spans="1:23" ht="15.75" customHeight="1" x14ac:dyDescent="0.25">
      <c r="A3053" s="6" t="s">
        <v>4343</v>
      </c>
      <c r="B3053" s="8"/>
      <c r="C3053" s="8"/>
      <c r="D3053" s="8"/>
      <c r="E3053" s="8"/>
      <c r="F3053" s="8"/>
      <c r="G3053" s="8"/>
      <c r="H3053" s="8"/>
      <c r="I3053" s="8"/>
      <c r="J3053" s="8"/>
      <c r="K3053" s="8"/>
      <c r="L3053" s="8"/>
      <c r="M3053" s="8"/>
      <c r="N3053" s="8"/>
      <c r="O3053" s="8"/>
      <c r="P3053" s="8"/>
      <c r="Q3053" s="8"/>
      <c r="R3053" s="8"/>
      <c r="S3053" s="8"/>
      <c r="T3053" s="8"/>
      <c r="U3053" s="8"/>
      <c r="V3053" s="8"/>
      <c r="W3053" s="8"/>
    </row>
    <row r="3054" spans="1:23" ht="15.75" customHeight="1" x14ac:dyDescent="0.25">
      <c r="A3054" s="6" t="s">
        <v>1173</v>
      </c>
      <c r="B3054" s="8"/>
      <c r="C3054" s="8"/>
      <c r="D3054" s="8"/>
      <c r="E3054" s="8"/>
      <c r="F3054" s="8"/>
      <c r="G3054" s="8"/>
      <c r="H3054" s="8"/>
      <c r="I3054" s="8"/>
      <c r="J3054" s="8"/>
      <c r="K3054" s="8"/>
      <c r="L3054" s="8"/>
      <c r="M3054" s="8"/>
      <c r="N3054" s="8"/>
      <c r="O3054" s="8"/>
      <c r="P3054" s="8"/>
      <c r="Q3054" s="8"/>
      <c r="R3054" s="8"/>
      <c r="S3054" s="8"/>
      <c r="T3054" s="8"/>
      <c r="U3054" s="8"/>
      <c r="V3054" s="8"/>
      <c r="W3054" s="8"/>
    </row>
    <row r="3055" spans="1:23" ht="15.75" customHeight="1" x14ac:dyDescent="0.25">
      <c r="A3055" s="6" t="s">
        <v>1173</v>
      </c>
      <c r="B3055" s="8"/>
      <c r="C3055" s="8"/>
      <c r="D3055" s="8"/>
      <c r="E3055" s="8"/>
      <c r="F3055" s="8"/>
      <c r="G3055" s="8"/>
      <c r="H3055" s="8"/>
      <c r="I3055" s="8"/>
      <c r="J3055" s="8"/>
      <c r="K3055" s="8"/>
      <c r="L3055" s="8"/>
      <c r="M3055" s="8"/>
      <c r="N3055" s="8"/>
      <c r="O3055" s="8"/>
      <c r="P3055" s="8"/>
      <c r="Q3055" s="8"/>
      <c r="R3055" s="8"/>
      <c r="S3055" s="8"/>
      <c r="T3055" s="8"/>
      <c r="U3055" s="8"/>
      <c r="V3055" s="8"/>
      <c r="W3055" s="8"/>
    </row>
    <row r="3056" spans="1:23" ht="15.75" customHeight="1" x14ac:dyDescent="0.25">
      <c r="A3056" s="6" t="s">
        <v>1173</v>
      </c>
      <c r="B3056" s="8"/>
      <c r="C3056" s="8"/>
      <c r="D3056" s="8"/>
      <c r="E3056" s="8"/>
      <c r="F3056" s="8"/>
      <c r="G3056" s="8"/>
      <c r="H3056" s="8"/>
      <c r="I3056" s="8"/>
      <c r="J3056" s="8"/>
      <c r="K3056" s="8"/>
      <c r="L3056" s="8"/>
      <c r="M3056" s="8"/>
      <c r="N3056" s="8"/>
      <c r="O3056" s="8"/>
      <c r="P3056" s="8"/>
      <c r="Q3056" s="8"/>
      <c r="R3056" s="8"/>
      <c r="S3056" s="8"/>
      <c r="T3056" s="8"/>
      <c r="U3056" s="8"/>
      <c r="V3056" s="8"/>
      <c r="W3056" s="8"/>
    </row>
    <row r="3057" spans="1:23" ht="15.75" customHeight="1" x14ac:dyDescent="0.25">
      <c r="A3057" s="6" t="s">
        <v>1173</v>
      </c>
      <c r="B3057" s="8"/>
      <c r="C3057" s="8"/>
      <c r="D3057" s="8"/>
      <c r="E3057" s="8"/>
      <c r="F3057" s="8"/>
      <c r="G3057" s="8"/>
      <c r="H3057" s="8"/>
      <c r="I3057" s="8"/>
      <c r="J3057" s="8"/>
      <c r="K3057" s="8"/>
      <c r="L3057" s="8"/>
      <c r="M3057" s="8"/>
      <c r="N3057" s="8"/>
      <c r="O3057" s="8"/>
      <c r="P3057" s="8"/>
      <c r="Q3057" s="8"/>
      <c r="R3057" s="8"/>
      <c r="S3057" s="8"/>
      <c r="T3057" s="8"/>
      <c r="U3057" s="8"/>
      <c r="V3057" s="8"/>
      <c r="W3057" s="8"/>
    </row>
    <row r="3058" spans="1:23" ht="15.75" customHeight="1" x14ac:dyDescent="0.25">
      <c r="A3058" s="6" t="s">
        <v>1173</v>
      </c>
      <c r="B3058" s="8"/>
      <c r="C3058" s="8"/>
      <c r="D3058" s="8"/>
      <c r="E3058" s="8"/>
      <c r="F3058" s="8"/>
      <c r="G3058" s="8"/>
      <c r="H3058" s="8"/>
      <c r="I3058" s="8"/>
      <c r="J3058" s="8"/>
      <c r="K3058" s="8"/>
      <c r="L3058" s="8"/>
      <c r="M3058" s="8"/>
      <c r="N3058" s="8"/>
      <c r="O3058" s="8"/>
      <c r="P3058" s="8"/>
      <c r="Q3058" s="8"/>
      <c r="R3058" s="8"/>
      <c r="S3058" s="8"/>
      <c r="T3058" s="8"/>
      <c r="U3058" s="8"/>
      <c r="V3058" s="8"/>
      <c r="W3058" s="8"/>
    </row>
    <row r="3059" spans="1:23" ht="15.75" customHeight="1" x14ac:dyDescent="0.25">
      <c r="A3059" s="6" t="s">
        <v>1173</v>
      </c>
      <c r="B3059" s="8"/>
      <c r="C3059" s="8"/>
      <c r="D3059" s="8"/>
      <c r="E3059" s="8"/>
      <c r="F3059" s="8"/>
      <c r="G3059" s="8"/>
      <c r="H3059" s="8"/>
      <c r="I3059" s="8"/>
      <c r="J3059" s="8"/>
      <c r="K3059" s="8"/>
      <c r="L3059" s="8"/>
      <c r="M3059" s="8"/>
      <c r="N3059" s="8"/>
      <c r="O3059" s="8"/>
      <c r="P3059" s="8"/>
      <c r="Q3059" s="8"/>
      <c r="R3059" s="8"/>
      <c r="S3059" s="8"/>
      <c r="T3059" s="8"/>
      <c r="U3059" s="8"/>
      <c r="V3059" s="8"/>
      <c r="W3059" s="8"/>
    </row>
    <row r="3060" spans="1:23" ht="15.75" customHeight="1" x14ac:dyDescent="0.25">
      <c r="A3060" s="6" t="s">
        <v>1173</v>
      </c>
      <c r="B3060" s="8"/>
      <c r="C3060" s="8"/>
      <c r="D3060" s="8"/>
      <c r="E3060" s="8"/>
      <c r="F3060" s="8"/>
      <c r="G3060" s="8"/>
      <c r="H3060" s="8"/>
      <c r="I3060" s="8"/>
      <c r="J3060" s="8"/>
      <c r="K3060" s="8"/>
      <c r="L3060" s="8"/>
      <c r="M3060" s="8"/>
      <c r="N3060" s="8"/>
      <c r="O3060" s="8"/>
      <c r="P3060" s="8"/>
      <c r="Q3060" s="8"/>
      <c r="R3060" s="8"/>
      <c r="S3060" s="8"/>
      <c r="T3060" s="8"/>
      <c r="U3060" s="8"/>
      <c r="V3060" s="8"/>
      <c r="W3060" s="8"/>
    </row>
    <row r="3061" spans="1:23" ht="15.75" customHeight="1" x14ac:dyDescent="0.25">
      <c r="A3061" s="6" t="s">
        <v>1173</v>
      </c>
      <c r="B3061" s="8"/>
      <c r="C3061" s="8"/>
      <c r="D3061" s="8"/>
      <c r="E3061" s="8"/>
      <c r="F3061" s="8"/>
      <c r="G3061" s="8"/>
      <c r="H3061" s="8"/>
      <c r="I3061" s="8"/>
      <c r="J3061" s="8"/>
      <c r="K3061" s="8"/>
      <c r="L3061" s="8"/>
      <c r="M3061" s="8"/>
      <c r="N3061" s="8"/>
      <c r="O3061" s="8"/>
      <c r="P3061" s="8"/>
      <c r="Q3061" s="8"/>
      <c r="R3061" s="8"/>
      <c r="S3061" s="8"/>
      <c r="T3061" s="8"/>
      <c r="U3061" s="8"/>
      <c r="V3061" s="8"/>
      <c r="W3061" s="8"/>
    </row>
    <row r="3062" spans="1:23" ht="15.75" customHeight="1" x14ac:dyDescent="0.25">
      <c r="A3062" s="6" t="s">
        <v>1173</v>
      </c>
      <c r="B3062" s="8"/>
      <c r="C3062" s="8"/>
      <c r="D3062" s="8"/>
      <c r="E3062" s="8"/>
      <c r="F3062" s="8"/>
      <c r="G3062" s="8"/>
      <c r="H3062" s="8"/>
      <c r="I3062" s="8"/>
      <c r="J3062" s="8"/>
      <c r="K3062" s="8"/>
      <c r="L3062" s="8"/>
      <c r="M3062" s="8"/>
      <c r="N3062" s="8"/>
      <c r="O3062" s="8"/>
      <c r="P3062" s="8"/>
      <c r="Q3062" s="8"/>
      <c r="R3062" s="8"/>
      <c r="S3062" s="8"/>
      <c r="T3062" s="8"/>
      <c r="U3062" s="8"/>
      <c r="V3062" s="8"/>
      <c r="W3062" s="8"/>
    </row>
    <row r="3063" spans="1:23" ht="15.75" customHeight="1" x14ac:dyDescent="0.25">
      <c r="A3063" s="6" t="s">
        <v>1173</v>
      </c>
      <c r="B3063" s="8"/>
      <c r="C3063" s="8"/>
      <c r="D3063" s="8"/>
      <c r="E3063" s="8"/>
      <c r="F3063" s="8"/>
      <c r="G3063" s="8"/>
      <c r="H3063" s="8"/>
      <c r="I3063" s="8"/>
      <c r="J3063" s="8"/>
      <c r="K3063" s="8"/>
      <c r="L3063" s="8"/>
      <c r="M3063" s="8"/>
      <c r="N3063" s="8"/>
      <c r="O3063" s="8"/>
      <c r="P3063" s="8"/>
      <c r="Q3063" s="8"/>
      <c r="R3063" s="8"/>
      <c r="S3063" s="8"/>
      <c r="T3063" s="8"/>
      <c r="U3063" s="8"/>
      <c r="V3063" s="8"/>
      <c r="W3063" s="8"/>
    </row>
    <row r="3064" spans="1:23" ht="15.75" customHeight="1" x14ac:dyDescent="0.25">
      <c r="A3064" s="6" t="s">
        <v>1173</v>
      </c>
      <c r="B3064" s="8"/>
      <c r="C3064" s="8"/>
      <c r="D3064" s="8"/>
      <c r="E3064" s="8"/>
      <c r="F3064" s="8"/>
      <c r="G3064" s="8"/>
      <c r="H3064" s="8"/>
      <c r="I3064" s="8"/>
      <c r="J3064" s="8"/>
      <c r="K3064" s="8"/>
      <c r="L3064" s="8"/>
      <c r="M3064" s="8"/>
      <c r="N3064" s="8"/>
      <c r="O3064" s="8"/>
      <c r="P3064" s="8"/>
      <c r="Q3064" s="8"/>
      <c r="R3064" s="8"/>
      <c r="S3064" s="8"/>
      <c r="T3064" s="8"/>
      <c r="U3064" s="8"/>
      <c r="V3064" s="8"/>
      <c r="W3064" s="8"/>
    </row>
    <row r="3065" spans="1:23" ht="15.75" customHeight="1" x14ac:dyDescent="0.25">
      <c r="A3065" s="6" t="s">
        <v>1173</v>
      </c>
      <c r="B3065" s="8"/>
      <c r="C3065" s="8"/>
      <c r="D3065" s="8"/>
      <c r="E3065" s="8"/>
      <c r="F3065" s="8"/>
      <c r="G3065" s="8"/>
      <c r="H3065" s="8"/>
      <c r="I3065" s="8"/>
      <c r="J3065" s="8"/>
      <c r="K3065" s="8"/>
      <c r="L3065" s="8"/>
      <c r="M3065" s="8"/>
      <c r="N3065" s="8"/>
      <c r="O3065" s="8"/>
      <c r="P3065" s="8"/>
      <c r="Q3065" s="8"/>
      <c r="R3065" s="8"/>
      <c r="S3065" s="8"/>
      <c r="T3065" s="8"/>
      <c r="U3065" s="8"/>
      <c r="V3065" s="8"/>
      <c r="W3065" s="8"/>
    </row>
    <row r="3066" spans="1:23" ht="15.75" customHeight="1" x14ac:dyDescent="0.25">
      <c r="A3066" s="6" t="s">
        <v>1173</v>
      </c>
      <c r="B3066" s="8"/>
      <c r="C3066" s="8"/>
      <c r="D3066" s="8"/>
      <c r="E3066" s="8"/>
      <c r="F3066" s="8"/>
      <c r="G3066" s="8"/>
      <c r="H3066" s="8"/>
      <c r="I3066" s="8"/>
      <c r="J3066" s="8"/>
      <c r="K3066" s="8"/>
      <c r="L3066" s="8"/>
      <c r="M3066" s="8"/>
      <c r="N3066" s="8"/>
      <c r="O3066" s="8"/>
      <c r="P3066" s="8"/>
      <c r="Q3066" s="8"/>
      <c r="R3066" s="8"/>
      <c r="S3066" s="8"/>
      <c r="T3066" s="8"/>
      <c r="U3066" s="8"/>
      <c r="V3066" s="8"/>
      <c r="W3066" s="8"/>
    </row>
    <row r="3067" spans="1:23" ht="15.75" customHeight="1" x14ac:dyDescent="0.25">
      <c r="A3067" s="6" t="s">
        <v>1173</v>
      </c>
      <c r="B3067" s="8"/>
      <c r="C3067" s="8"/>
      <c r="D3067" s="8"/>
      <c r="E3067" s="8"/>
      <c r="F3067" s="8"/>
      <c r="G3067" s="8"/>
      <c r="H3067" s="8"/>
      <c r="I3067" s="8"/>
      <c r="J3067" s="8"/>
      <c r="K3067" s="8"/>
      <c r="L3067" s="8"/>
      <c r="M3067" s="8"/>
      <c r="N3067" s="8"/>
      <c r="O3067" s="8"/>
      <c r="P3067" s="8"/>
      <c r="Q3067" s="8"/>
      <c r="R3067" s="8"/>
      <c r="S3067" s="8"/>
      <c r="T3067" s="8"/>
      <c r="U3067" s="8"/>
      <c r="V3067" s="8"/>
      <c r="W3067" s="8"/>
    </row>
    <row r="3068" spans="1:23" ht="15.75" customHeight="1" x14ac:dyDescent="0.25">
      <c r="A3068" s="6" t="s">
        <v>1173</v>
      </c>
      <c r="B3068" s="8"/>
      <c r="C3068" s="8"/>
      <c r="D3068" s="8"/>
      <c r="E3068" s="8"/>
      <c r="F3068" s="8"/>
      <c r="G3068" s="8"/>
      <c r="H3068" s="8"/>
      <c r="I3068" s="8"/>
      <c r="J3068" s="8"/>
      <c r="K3068" s="8"/>
      <c r="L3068" s="8"/>
      <c r="M3068" s="8"/>
      <c r="N3068" s="8"/>
      <c r="O3068" s="8"/>
      <c r="P3068" s="8"/>
      <c r="Q3068" s="8"/>
      <c r="R3068" s="8"/>
      <c r="S3068" s="8"/>
      <c r="T3068" s="8"/>
      <c r="U3068" s="8"/>
      <c r="V3068" s="8"/>
      <c r="W3068" s="8"/>
    </row>
    <row r="3069" spans="1:23" ht="15.75" customHeight="1" x14ac:dyDescent="0.25">
      <c r="A3069" s="6" t="s">
        <v>1173</v>
      </c>
      <c r="B3069" s="8"/>
      <c r="C3069" s="8"/>
      <c r="D3069" s="8"/>
      <c r="E3069" s="8"/>
      <c r="F3069" s="8"/>
      <c r="G3069" s="8"/>
      <c r="H3069" s="8"/>
      <c r="I3069" s="8"/>
      <c r="J3069" s="8"/>
      <c r="K3069" s="8"/>
      <c r="L3069" s="8"/>
      <c r="M3069" s="8"/>
      <c r="N3069" s="8"/>
      <c r="O3069" s="8"/>
      <c r="P3069" s="8"/>
      <c r="Q3069" s="8"/>
      <c r="R3069" s="8"/>
      <c r="S3069" s="8"/>
      <c r="T3069" s="8"/>
      <c r="U3069" s="8"/>
      <c r="V3069" s="8"/>
      <c r="W3069" s="8"/>
    </row>
    <row r="3070" spans="1:23" ht="15.75" customHeight="1" x14ac:dyDescent="0.25">
      <c r="A3070" s="6" t="s">
        <v>1173</v>
      </c>
      <c r="B3070" s="8"/>
      <c r="C3070" s="8"/>
      <c r="D3070" s="8"/>
      <c r="E3070" s="8"/>
      <c r="F3070" s="8"/>
      <c r="G3070" s="8"/>
      <c r="H3070" s="8"/>
      <c r="I3070" s="8"/>
      <c r="J3070" s="8"/>
      <c r="K3070" s="8"/>
      <c r="L3070" s="8"/>
      <c r="M3070" s="8"/>
      <c r="N3070" s="8"/>
      <c r="O3070" s="8"/>
      <c r="P3070" s="8"/>
      <c r="Q3070" s="8"/>
      <c r="R3070" s="8"/>
      <c r="S3070" s="8"/>
      <c r="T3070" s="8"/>
      <c r="U3070" s="8"/>
      <c r="V3070" s="8"/>
      <c r="W3070" s="8"/>
    </row>
    <row r="3071" spans="1:23" ht="15.75" customHeight="1" x14ac:dyDescent="0.25">
      <c r="A3071" s="6" t="s">
        <v>1173</v>
      </c>
      <c r="B3071" s="8"/>
      <c r="C3071" s="8"/>
      <c r="D3071" s="8"/>
      <c r="E3071" s="8"/>
      <c r="F3071" s="8"/>
      <c r="G3071" s="8"/>
      <c r="H3071" s="8"/>
      <c r="I3071" s="8"/>
      <c r="J3071" s="8"/>
      <c r="K3071" s="8"/>
      <c r="L3071" s="8"/>
      <c r="M3071" s="8"/>
      <c r="N3071" s="8"/>
      <c r="O3071" s="8"/>
      <c r="P3071" s="8"/>
      <c r="Q3071" s="8"/>
      <c r="R3071" s="8"/>
      <c r="S3071" s="8"/>
      <c r="T3071" s="8"/>
      <c r="U3071" s="8"/>
      <c r="V3071" s="8"/>
      <c r="W3071" s="8"/>
    </row>
    <row r="3072" spans="1:23" ht="15.75" customHeight="1" x14ac:dyDescent="0.25">
      <c r="A3072" s="6" t="s">
        <v>1173</v>
      </c>
      <c r="B3072" s="8"/>
      <c r="C3072" s="8"/>
      <c r="D3072" s="8"/>
      <c r="E3072" s="8"/>
      <c r="F3072" s="8"/>
      <c r="G3072" s="8"/>
      <c r="H3072" s="8"/>
      <c r="I3072" s="8"/>
      <c r="J3072" s="8"/>
      <c r="K3072" s="8"/>
      <c r="L3072" s="8"/>
      <c r="M3072" s="8"/>
      <c r="N3072" s="8"/>
      <c r="O3072" s="8"/>
      <c r="P3072" s="8"/>
      <c r="Q3072" s="8"/>
      <c r="R3072" s="8"/>
      <c r="S3072" s="8"/>
      <c r="T3072" s="8"/>
      <c r="U3072" s="8"/>
      <c r="V3072" s="8"/>
      <c r="W3072" s="8"/>
    </row>
    <row r="3073" spans="1:23" ht="15.75" customHeight="1" x14ac:dyDescent="0.25">
      <c r="A3073" s="6" t="s">
        <v>1173</v>
      </c>
      <c r="B3073" s="8"/>
      <c r="C3073" s="8"/>
      <c r="D3073" s="8"/>
      <c r="E3073" s="8"/>
      <c r="F3073" s="8"/>
      <c r="G3073" s="8"/>
      <c r="H3073" s="8"/>
      <c r="I3073" s="8"/>
      <c r="J3073" s="8"/>
      <c r="K3073" s="8"/>
      <c r="L3073" s="8"/>
      <c r="M3073" s="8"/>
      <c r="N3073" s="8"/>
      <c r="O3073" s="8"/>
      <c r="P3073" s="8"/>
      <c r="Q3073" s="8"/>
      <c r="R3073" s="8"/>
      <c r="S3073" s="8"/>
      <c r="T3073" s="8"/>
      <c r="U3073" s="8"/>
      <c r="V3073" s="8"/>
      <c r="W3073" s="8"/>
    </row>
    <row r="3074" spans="1:23" ht="15.75" customHeight="1" x14ac:dyDescent="0.25">
      <c r="A3074" s="6" t="s">
        <v>4020</v>
      </c>
      <c r="B3074" s="8"/>
      <c r="C3074" s="8"/>
      <c r="D3074" s="8"/>
      <c r="E3074" s="8"/>
      <c r="F3074" s="8"/>
      <c r="G3074" s="8"/>
      <c r="H3074" s="8"/>
      <c r="I3074" s="8"/>
      <c r="J3074" s="8"/>
      <c r="K3074" s="8"/>
      <c r="L3074" s="8"/>
      <c r="M3074" s="8"/>
      <c r="N3074" s="8"/>
      <c r="O3074" s="8"/>
      <c r="P3074" s="8"/>
      <c r="Q3074" s="8"/>
      <c r="R3074" s="8"/>
      <c r="S3074" s="8"/>
      <c r="T3074" s="8"/>
      <c r="U3074" s="8"/>
      <c r="V3074" s="8"/>
      <c r="W3074" s="8"/>
    </row>
    <row r="3075" spans="1:23" ht="15.75" customHeight="1" x14ac:dyDescent="0.25">
      <c r="A3075" s="6" t="s">
        <v>4020</v>
      </c>
      <c r="B3075" s="8"/>
      <c r="C3075" s="8"/>
      <c r="D3075" s="8"/>
      <c r="E3075" s="8"/>
      <c r="F3075" s="8"/>
      <c r="G3075" s="8"/>
      <c r="H3075" s="8"/>
      <c r="I3075" s="8"/>
      <c r="J3075" s="8"/>
      <c r="K3075" s="8"/>
      <c r="L3075" s="8"/>
      <c r="M3075" s="8"/>
      <c r="N3075" s="8"/>
      <c r="O3075" s="8"/>
      <c r="P3075" s="8"/>
      <c r="Q3075" s="8"/>
      <c r="R3075" s="8"/>
      <c r="S3075" s="8"/>
      <c r="T3075" s="8"/>
      <c r="U3075" s="8"/>
      <c r="V3075" s="8"/>
      <c r="W3075" s="8"/>
    </row>
    <row r="3076" spans="1:23" ht="15.75" customHeight="1" x14ac:dyDescent="0.25">
      <c r="A3076" s="6" t="s">
        <v>4344</v>
      </c>
      <c r="B3076" s="8"/>
      <c r="C3076" s="8"/>
      <c r="D3076" s="8"/>
      <c r="E3076" s="8"/>
      <c r="F3076" s="8"/>
      <c r="G3076" s="8"/>
      <c r="H3076" s="8"/>
      <c r="I3076" s="8"/>
      <c r="J3076" s="8"/>
      <c r="K3076" s="8"/>
      <c r="L3076" s="8"/>
      <c r="M3076" s="8"/>
      <c r="N3076" s="8"/>
      <c r="O3076" s="8"/>
      <c r="P3076" s="8"/>
      <c r="Q3076" s="8"/>
      <c r="R3076" s="8"/>
      <c r="S3076" s="8"/>
      <c r="T3076" s="8"/>
      <c r="U3076" s="8"/>
      <c r="V3076" s="8"/>
      <c r="W3076" s="8"/>
    </row>
    <row r="3077" spans="1:23" ht="15.75" customHeight="1" x14ac:dyDescent="0.25">
      <c r="A3077" s="6" t="s">
        <v>4345</v>
      </c>
      <c r="B3077" s="8"/>
      <c r="C3077" s="8"/>
      <c r="D3077" s="8"/>
      <c r="E3077" s="8"/>
      <c r="F3077" s="8"/>
      <c r="G3077" s="8"/>
      <c r="H3077" s="8"/>
      <c r="I3077" s="8"/>
      <c r="J3077" s="8"/>
      <c r="K3077" s="8"/>
      <c r="L3077" s="8"/>
      <c r="M3077" s="8"/>
      <c r="N3077" s="8"/>
      <c r="O3077" s="8"/>
      <c r="P3077" s="8"/>
      <c r="Q3077" s="8"/>
      <c r="R3077" s="8"/>
      <c r="S3077" s="8"/>
      <c r="T3077" s="8"/>
      <c r="U3077" s="8"/>
      <c r="V3077" s="8"/>
      <c r="W3077" s="8"/>
    </row>
    <row r="3078" spans="1:23" ht="15.75" customHeight="1" x14ac:dyDescent="0.25">
      <c r="A3078" s="6" t="s">
        <v>4346</v>
      </c>
      <c r="B3078" s="8"/>
      <c r="C3078" s="8"/>
      <c r="D3078" s="8"/>
      <c r="E3078" s="8"/>
      <c r="F3078" s="8"/>
      <c r="G3078" s="8"/>
      <c r="H3078" s="8"/>
      <c r="I3078" s="8"/>
      <c r="J3078" s="8"/>
      <c r="K3078" s="8"/>
      <c r="L3078" s="8"/>
      <c r="M3078" s="8"/>
      <c r="N3078" s="8"/>
      <c r="O3078" s="8"/>
      <c r="P3078" s="8"/>
      <c r="Q3078" s="8"/>
      <c r="R3078" s="8"/>
      <c r="S3078" s="8"/>
      <c r="T3078" s="8"/>
      <c r="U3078" s="8"/>
      <c r="V3078" s="8"/>
      <c r="W3078" s="8"/>
    </row>
    <row r="3079" spans="1:23" ht="15.75" customHeight="1" x14ac:dyDescent="0.25">
      <c r="A3079" s="6" t="s">
        <v>3662</v>
      </c>
      <c r="B3079" s="8"/>
      <c r="C3079" s="8"/>
      <c r="D3079" s="8"/>
      <c r="E3079" s="8"/>
      <c r="F3079" s="8"/>
      <c r="G3079" s="8"/>
      <c r="H3079" s="8"/>
      <c r="I3079" s="8"/>
      <c r="J3079" s="8"/>
      <c r="K3079" s="8"/>
      <c r="L3079" s="8"/>
      <c r="M3079" s="8"/>
      <c r="N3079" s="8"/>
      <c r="O3079" s="8"/>
      <c r="P3079" s="8"/>
      <c r="Q3079" s="8"/>
      <c r="R3079" s="8"/>
      <c r="S3079" s="8"/>
      <c r="T3079" s="8"/>
      <c r="U3079" s="8"/>
      <c r="V3079" s="8"/>
      <c r="W3079" s="8"/>
    </row>
    <row r="3080" spans="1:23" ht="15.75" customHeight="1" x14ac:dyDescent="0.25">
      <c r="A3080" s="6" t="s">
        <v>3662</v>
      </c>
      <c r="B3080" s="8"/>
      <c r="C3080" s="8"/>
      <c r="D3080" s="8"/>
      <c r="E3080" s="8"/>
      <c r="F3080" s="8"/>
      <c r="G3080" s="8"/>
      <c r="H3080" s="8"/>
      <c r="I3080" s="8"/>
      <c r="J3080" s="8"/>
      <c r="K3080" s="8"/>
      <c r="L3080" s="8"/>
      <c r="M3080" s="8"/>
      <c r="N3080" s="8"/>
      <c r="O3080" s="8"/>
      <c r="P3080" s="8"/>
      <c r="Q3080" s="8"/>
      <c r="R3080" s="8"/>
      <c r="S3080" s="8"/>
      <c r="T3080" s="8"/>
      <c r="U3080" s="8"/>
      <c r="V3080" s="8"/>
      <c r="W3080" s="8"/>
    </row>
    <row r="3081" spans="1:23" ht="15.75" customHeight="1" x14ac:dyDescent="0.25">
      <c r="A3081" s="6" t="s">
        <v>3662</v>
      </c>
      <c r="B3081" s="8"/>
      <c r="C3081" s="8"/>
      <c r="D3081" s="8"/>
      <c r="E3081" s="8"/>
      <c r="F3081" s="8"/>
      <c r="G3081" s="8"/>
      <c r="H3081" s="8"/>
      <c r="I3081" s="8"/>
      <c r="J3081" s="8"/>
      <c r="K3081" s="8"/>
      <c r="L3081" s="8"/>
      <c r="M3081" s="8"/>
      <c r="N3081" s="8"/>
      <c r="O3081" s="8"/>
      <c r="P3081" s="8"/>
      <c r="Q3081" s="8"/>
      <c r="R3081" s="8"/>
      <c r="S3081" s="8"/>
      <c r="T3081" s="8"/>
      <c r="U3081" s="8"/>
      <c r="V3081" s="8"/>
      <c r="W3081" s="8"/>
    </row>
    <row r="3082" spans="1:23" ht="15.75" customHeight="1" x14ac:dyDescent="0.25">
      <c r="A3082" s="6" t="s">
        <v>3662</v>
      </c>
      <c r="B3082" s="8"/>
      <c r="C3082" s="8"/>
      <c r="D3082" s="8"/>
      <c r="E3082" s="8"/>
      <c r="F3082" s="8"/>
      <c r="G3082" s="8"/>
      <c r="H3082" s="8"/>
      <c r="I3082" s="8"/>
      <c r="J3082" s="8"/>
      <c r="K3082" s="8"/>
      <c r="L3082" s="8"/>
      <c r="M3082" s="8"/>
      <c r="N3082" s="8"/>
      <c r="O3082" s="8"/>
      <c r="P3082" s="8"/>
      <c r="Q3082" s="8"/>
      <c r="R3082" s="8"/>
      <c r="S3082" s="8"/>
      <c r="T3082" s="8"/>
      <c r="U3082" s="8"/>
      <c r="V3082" s="8"/>
      <c r="W3082" s="8"/>
    </row>
    <row r="3083" spans="1:23" ht="15.75" customHeight="1" x14ac:dyDescent="0.25">
      <c r="A3083" s="6" t="s">
        <v>3363</v>
      </c>
      <c r="B3083" s="8"/>
      <c r="C3083" s="8"/>
      <c r="D3083" s="8"/>
      <c r="E3083" s="8"/>
      <c r="F3083" s="8"/>
      <c r="G3083" s="8"/>
      <c r="H3083" s="8"/>
      <c r="I3083" s="8"/>
      <c r="J3083" s="8"/>
      <c r="K3083" s="8"/>
      <c r="L3083" s="8"/>
      <c r="M3083" s="8"/>
      <c r="N3083" s="8"/>
      <c r="O3083" s="8"/>
      <c r="P3083" s="8"/>
      <c r="Q3083" s="8"/>
      <c r="R3083" s="8"/>
      <c r="S3083" s="8"/>
      <c r="T3083" s="8"/>
      <c r="U3083" s="8"/>
      <c r="V3083" s="8"/>
      <c r="W3083" s="8"/>
    </row>
    <row r="3084" spans="1:23" ht="15.75" customHeight="1" x14ac:dyDescent="0.25">
      <c r="A3084" s="6" t="s">
        <v>3363</v>
      </c>
      <c r="B3084" s="8"/>
      <c r="C3084" s="8"/>
      <c r="D3084" s="8"/>
      <c r="E3084" s="8"/>
      <c r="F3084" s="8"/>
      <c r="G3084" s="8"/>
      <c r="H3084" s="8"/>
      <c r="I3084" s="8"/>
      <c r="J3084" s="8"/>
      <c r="K3084" s="8"/>
      <c r="L3084" s="8"/>
      <c r="M3084" s="8"/>
      <c r="N3084" s="8"/>
      <c r="O3084" s="8"/>
      <c r="P3084" s="8"/>
      <c r="Q3084" s="8"/>
      <c r="R3084" s="8"/>
      <c r="S3084" s="8"/>
      <c r="T3084" s="8"/>
      <c r="U3084" s="8"/>
      <c r="V3084" s="8"/>
      <c r="W3084" s="8"/>
    </row>
    <row r="3085" spans="1:23" ht="15.75" customHeight="1" x14ac:dyDescent="0.25">
      <c r="A3085" s="6" t="s">
        <v>3363</v>
      </c>
      <c r="B3085" s="8"/>
      <c r="C3085" s="8"/>
      <c r="D3085" s="8"/>
      <c r="E3085" s="8"/>
      <c r="F3085" s="8"/>
      <c r="G3085" s="8"/>
      <c r="H3085" s="8"/>
      <c r="I3085" s="8"/>
      <c r="J3085" s="8"/>
      <c r="K3085" s="8"/>
      <c r="L3085" s="8"/>
      <c r="M3085" s="8"/>
      <c r="N3085" s="8"/>
      <c r="O3085" s="8"/>
      <c r="P3085" s="8"/>
      <c r="Q3085" s="8"/>
      <c r="R3085" s="8"/>
      <c r="S3085" s="8"/>
      <c r="T3085" s="8"/>
      <c r="U3085" s="8"/>
      <c r="V3085" s="8"/>
      <c r="W3085" s="8"/>
    </row>
    <row r="3086" spans="1:23" ht="15.75" customHeight="1" x14ac:dyDescent="0.25">
      <c r="A3086" s="6" t="s">
        <v>3363</v>
      </c>
      <c r="B3086" s="8"/>
      <c r="C3086" s="8"/>
      <c r="D3086" s="8"/>
      <c r="E3086" s="8"/>
      <c r="F3086" s="8"/>
      <c r="G3086" s="8"/>
      <c r="H3086" s="8"/>
      <c r="I3086" s="8"/>
      <c r="J3086" s="8"/>
      <c r="K3086" s="8"/>
      <c r="L3086" s="8"/>
      <c r="M3086" s="8"/>
      <c r="N3086" s="8"/>
      <c r="O3086" s="8"/>
      <c r="P3086" s="8"/>
      <c r="Q3086" s="8"/>
      <c r="R3086" s="8"/>
      <c r="S3086" s="8"/>
      <c r="T3086" s="8"/>
      <c r="U3086" s="8"/>
      <c r="V3086" s="8"/>
      <c r="W3086" s="8"/>
    </row>
    <row r="3087" spans="1:23" ht="15.75" customHeight="1" x14ac:dyDescent="0.25">
      <c r="A3087" s="6" t="s">
        <v>3363</v>
      </c>
      <c r="B3087" s="8"/>
      <c r="C3087" s="8"/>
      <c r="D3087" s="8"/>
      <c r="E3087" s="8"/>
      <c r="F3087" s="8"/>
      <c r="G3087" s="8"/>
      <c r="H3087" s="8"/>
      <c r="I3087" s="8"/>
      <c r="J3087" s="8"/>
      <c r="K3087" s="8"/>
      <c r="L3087" s="8"/>
      <c r="M3087" s="8"/>
      <c r="N3087" s="8"/>
      <c r="O3087" s="8"/>
      <c r="P3087" s="8"/>
      <c r="Q3087" s="8"/>
      <c r="R3087" s="8"/>
      <c r="S3087" s="8"/>
      <c r="T3087" s="8"/>
      <c r="U3087" s="8"/>
      <c r="V3087" s="8"/>
      <c r="W3087" s="8"/>
    </row>
    <row r="3088" spans="1:23" ht="15.75" customHeight="1" x14ac:dyDescent="0.25">
      <c r="A3088" s="6" t="s">
        <v>3363</v>
      </c>
      <c r="B3088" s="8"/>
      <c r="C3088" s="8"/>
      <c r="D3088" s="8"/>
      <c r="E3088" s="8"/>
      <c r="F3088" s="8"/>
      <c r="G3088" s="8"/>
      <c r="H3088" s="8"/>
      <c r="I3088" s="8"/>
      <c r="J3088" s="8"/>
      <c r="K3088" s="8"/>
      <c r="L3088" s="8"/>
      <c r="M3088" s="8"/>
      <c r="N3088" s="8"/>
      <c r="O3088" s="8"/>
      <c r="P3088" s="8"/>
      <c r="Q3088" s="8"/>
      <c r="R3088" s="8"/>
      <c r="S3088" s="8"/>
      <c r="T3088" s="8"/>
      <c r="U3088" s="8"/>
      <c r="V3088" s="8"/>
      <c r="W3088" s="8"/>
    </row>
    <row r="3089" spans="1:23" ht="15.75" customHeight="1" x14ac:dyDescent="0.25">
      <c r="A3089" s="6" t="s">
        <v>3363</v>
      </c>
      <c r="B3089" s="8"/>
      <c r="C3089" s="8"/>
      <c r="D3089" s="8"/>
      <c r="E3089" s="8"/>
      <c r="F3089" s="8"/>
      <c r="G3089" s="8"/>
      <c r="H3089" s="8"/>
      <c r="I3089" s="8"/>
      <c r="J3089" s="8"/>
      <c r="K3089" s="8"/>
      <c r="L3089" s="8"/>
      <c r="M3089" s="8"/>
      <c r="N3089" s="8"/>
      <c r="O3089" s="8"/>
      <c r="P3089" s="8"/>
      <c r="Q3089" s="8"/>
      <c r="R3089" s="8"/>
      <c r="S3089" s="8"/>
      <c r="T3089" s="8"/>
      <c r="U3089" s="8"/>
      <c r="V3089" s="8"/>
      <c r="W3089" s="8"/>
    </row>
    <row r="3090" spans="1:23" ht="15.75" customHeight="1" x14ac:dyDescent="0.25">
      <c r="A3090" s="6" t="s">
        <v>3363</v>
      </c>
      <c r="B3090" s="8"/>
      <c r="C3090" s="8"/>
      <c r="D3090" s="8"/>
      <c r="E3090" s="8"/>
      <c r="F3090" s="8"/>
      <c r="G3090" s="8"/>
      <c r="H3090" s="8"/>
      <c r="I3090" s="8"/>
      <c r="J3090" s="8"/>
      <c r="K3090" s="8"/>
      <c r="L3090" s="8"/>
      <c r="M3090" s="8"/>
      <c r="N3090" s="8"/>
      <c r="O3090" s="8"/>
      <c r="P3090" s="8"/>
      <c r="Q3090" s="8"/>
      <c r="R3090" s="8"/>
      <c r="S3090" s="8"/>
      <c r="T3090" s="8"/>
      <c r="U3090" s="8"/>
      <c r="V3090" s="8"/>
      <c r="W3090" s="8"/>
    </row>
    <row r="3091" spans="1:23" ht="15.75" customHeight="1" x14ac:dyDescent="0.25">
      <c r="A3091" s="6" t="s">
        <v>3363</v>
      </c>
      <c r="B3091" s="8"/>
      <c r="C3091" s="8"/>
      <c r="D3091" s="8"/>
      <c r="E3091" s="8"/>
      <c r="F3091" s="8"/>
      <c r="G3091" s="8"/>
      <c r="H3091" s="8"/>
      <c r="I3091" s="8"/>
      <c r="J3091" s="8"/>
      <c r="K3091" s="8"/>
      <c r="L3091" s="8"/>
      <c r="M3091" s="8"/>
      <c r="N3091" s="8"/>
      <c r="O3091" s="8"/>
      <c r="P3091" s="8"/>
      <c r="Q3091" s="8"/>
      <c r="R3091" s="8"/>
      <c r="S3091" s="8"/>
      <c r="T3091" s="8"/>
      <c r="U3091" s="8"/>
      <c r="V3091" s="8"/>
      <c r="W3091" s="8"/>
    </row>
    <row r="3092" spans="1:23" ht="15.75" customHeight="1" x14ac:dyDescent="0.25">
      <c r="A3092" s="6" t="s">
        <v>3363</v>
      </c>
      <c r="B3092" s="8"/>
      <c r="C3092" s="8"/>
      <c r="D3092" s="8"/>
      <c r="E3092" s="8"/>
      <c r="F3092" s="8"/>
      <c r="G3092" s="8"/>
      <c r="H3092" s="8"/>
      <c r="I3092" s="8"/>
      <c r="J3092" s="8"/>
      <c r="K3092" s="8"/>
      <c r="L3092" s="8"/>
      <c r="M3092" s="8"/>
      <c r="N3092" s="8"/>
      <c r="O3092" s="8"/>
      <c r="P3092" s="8"/>
      <c r="Q3092" s="8"/>
      <c r="R3092" s="8"/>
      <c r="S3092" s="8"/>
      <c r="T3092" s="8"/>
      <c r="U3092" s="8"/>
      <c r="V3092" s="8"/>
      <c r="W3092" s="8"/>
    </row>
    <row r="3093" spans="1:23" ht="15.75" customHeight="1" x14ac:dyDescent="0.25">
      <c r="A3093" s="6" t="s">
        <v>3363</v>
      </c>
      <c r="B3093" s="8"/>
      <c r="C3093" s="8"/>
      <c r="D3093" s="8"/>
      <c r="E3093" s="8"/>
      <c r="F3093" s="8"/>
      <c r="G3093" s="8"/>
      <c r="H3093" s="8"/>
      <c r="I3093" s="8"/>
      <c r="J3093" s="8"/>
      <c r="K3093" s="8"/>
      <c r="L3093" s="8"/>
      <c r="M3093" s="8"/>
      <c r="N3093" s="8"/>
      <c r="O3093" s="8"/>
      <c r="P3093" s="8"/>
      <c r="Q3093" s="8"/>
      <c r="R3093" s="8"/>
      <c r="S3093" s="8"/>
      <c r="T3093" s="8"/>
      <c r="U3093" s="8"/>
      <c r="V3093" s="8"/>
      <c r="W3093" s="8"/>
    </row>
    <row r="3094" spans="1:23" ht="15.75" customHeight="1" x14ac:dyDescent="0.25">
      <c r="A3094" s="6" t="s">
        <v>3363</v>
      </c>
      <c r="B3094" s="8"/>
      <c r="C3094" s="8"/>
      <c r="D3094" s="8"/>
      <c r="E3094" s="8"/>
      <c r="F3094" s="8"/>
      <c r="G3094" s="8"/>
      <c r="H3094" s="8"/>
      <c r="I3094" s="8"/>
      <c r="J3094" s="8"/>
      <c r="K3094" s="8"/>
      <c r="L3094" s="8"/>
      <c r="M3094" s="8"/>
      <c r="N3094" s="8"/>
      <c r="O3094" s="8"/>
      <c r="P3094" s="8"/>
      <c r="Q3094" s="8"/>
      <c r="R3094" s="8"/>
      <c r="S3094" s="8"/>
      <c r="T3094" s="8"/>
      <c r="U3094" s="8"/>
      <c r="V3094" s="8"/>
      <c r="W3094" s="8"/>
    </row>
    <row r="3095" spans="1:23" ht="15.75" customHeight="1" x14ac:dyDescent="0.25">
      <c r="A3095" s="6" t="s">
        <v>3528</v>
      </c>
      <c r="B3095" s="8"/>
      <c r="C3095" s="8"/>
      <c r="D3095" s="8"/>
      <c r="E3095" s="8"/>
      <c r="F3095" s="8"/>
      <c r="G3095" s="8"/>
      <c r="H3095" s="8"/>
      <c r="I3095" s="8"/>
      <c r="J3095" s="8"/>
      <c r="K3095" s="8"/>
      <c r="L3095" s="8"/>
      <c r="M3095" s="8"/>
      <c r="N3095" s="8"/>
      <c r="O3095" s="8"/>
      <c r="P3095" s="8"/>
      <c r="Q3095" s="8"/>
      <c r="R3095" s="8"/>
      <c r="S3095" s="8"/>
      <c r="T3095" s="8"/>
      <c r="U3095" s="8"/>
      <c r="V3095" s="8"/>
      <c r="W3095" s="8"/>
    </row>
    <row r="3096" spans="1:23" ht="15.75" customHeight="1" x14ac:dyDescent="0.25">
      <c r="A3096" s="6" t="s">
        <v>3528</v>
      </c>
      <c r="B3096" s="8"/>
      <c r="C3096" s="8"/>
      <c r="D3096" s="8"/>
      <c r="E3096" s="8"/>
      <c r="F3096" s="8"/>
      <c r="G3096" s="8"/>
      <c r="H3096" s="8"/>
      <c r="I3096" s="8"/>
      <c r="J3096" s="8"/>
      <c r="K3096" s="8"/>
      <c r="L3096" s="8"/>
      <c r="M3096" s="8"/>
      <c r="N3096" s="8"/>
      <c r="O3096" s="8"/>
      <c r="P3096" s="8"/>
      <c r="Q3096" s="8"/>
      <c r="R3096" s="8"/>
      <c r="S3096" s="8"/>
      <c r="T3096" s="8"/>
      <c r="U3096" s="8"/>
      <c r="V3096" s="8"/>
      <c r="W3096" s="8"/>
    </row>
    <row r="3097" spans="1:23" ht="15.75" customHeight="1" x14ac:dyDescent="0.25">
      <c r="A3097" s="6" t="s">
        <v>3528</v>
      </c>
      <c r="B3097" s="8"/>
      <c r="C3097" s="8"/>
      <c r="D3097" s="8"/>
      <c r="E3097" s="8"/>
      <c r="F3097" s="8"/>
      <c r="G3097" s="8"/>
      <c r="H3097" s="8"/>
      <c r="I3097" s="8"/>
      <c r="J3097" s="8"/>
      <c r="K3097" s="8"/>
      <c r="L3097" s="8"/>
      <c r="M3097" s="8"/>
      <c r="N3097" s="8"/>
      <c r="O3097" s="8"/>
      <c r="P3097" s="8"/>
      <c r="Q3097" s="8"/>
      <c r="R3097" s="8"/>
      <c r="S3097" s="8"/>
      <c r="T3097" s="8"/>
      <c r="U3097" s="8"/>
      <c r="V3097" s="8"/>
      <c r="W3097" s="8"/>
    </row>
    <row r="3098" spans="1:23" ht="15.75" customHeight="1" x14ac:dyDescent="0.25">
      <c r="A3098" s="6" t="s">
        <v>3528</v>
      </c>
      <c r="B3098" s="8"/>
      <c r="C3098" s="8"/>
      <c r="D3098" s="8"/>
      <c r="E3098" s="8"/>
      <c r="F3098" s="8"/>
      <c r="G3098" s="8"/>
      <c r="H3098" s="8"/>
      <c r="I3098" s="8"/>
      <c r="J3098" s="8"/>
      <c r="K3098" s="8"/>
      <c r="L3098" s="8"/>
      <c r="M3098" s="8"/>
      <c r="N3098" s="8"/>
      <c r="O3098" s="8"/>
      <c r="P3098" s="8"/>
      <c r="Q3098" s="8"/>
      <c r="R3098" s="8"/>
      <c r="S3098" s="8"/>
      <c r="T3098" s="8"/>
      <c r="U3098" s="8"/>
      <c r="V3098" s="8"/>
      <c r="W3098" s="8"/>
    </row>
    <row r="3099" spans="1:23" ht="15.75" customHeight="1" x14ac:dyDescent="0.25">
      <c r="A3099" s="6" t="s">
        <v>3528</v>
      </c>
      <c r="B3099" s="8"/>
      <c r="C3099" s="8"/>
      <c r="D3099" s="8"/>
      <c r="E3099" s="8"/>
      <c r="F3099" s="8"/>
      <c r="G3099" s="8"/>
      <c r="H3099" s="8"/>
      <c r="I3099" s="8"/>
      <c r="J3099" s="8"/>
      <c r="K3099" s="8"/>
      <c r="L3099" s="8"/>
      <c r="M3099" s="8"/>
      <c r="N3099" s="8"/>
      <c r="O3099" s="8"/>
      <c r="P3099" s="8"/>
      <c r="Q3099" s="8"/>
      <c r="R3099" s="8"/>
      <c r="S3099" s="8"/>
      <c r="T3099" s="8"/>
      <c r="U3099" s="8"/>
      <c r="V3099" s="8"/>
      <c r="W3099" s="8"/>
    </row>
    <row r="3100" spans="1:23" ht="15.75" customHeight="1" x14ac:dyDescent="0.25">
      <c r="A3100" s="6" t="s">
        <v>3528</v>
      </c>
      <c r="B3100" s="8"/>
      <c r="C3100" s="8"/>
      <c r="D3100" s="8"/>
      <c r="E3100" s="8"/>
      <c r="F3100" s="8"/>
      <c r="G3100" s="8"/>
      <c r="H3100" s="8"/>
      <c r="I3100" s="8"/>
      <c r="J3100" s="8"/>
      <c r="K3100" s="8"/>
      <c r="L3100" s="8"/>
      <c r="M3100" s="8"/>
      <c r="N3100" s="8"/>
      <c r="O3100" s="8"/>
      <c r="P3100" s="8"/>
      <c r="Q3100" s="8"/>
      <c r="R3100" s="8"/>
      <c r="S3100" s="8"/>
      <c r="T3100" s="8"/>
      <c r="U3100" s="8"/>
      <c r="V3100" s="8"/>
      <c r="W3100" s="8"/>
    </row>
    <row r="3101" spans="1:23" ht="15.75" customHeight="1" x14ac:dyDescent="0.25">
      <c r="A3101" s="6" t="s">
        <v>4347</v>
      </c>
      <c r="B3101" s="8"/>
      <c r="C3101" s="8"/>
      <c r="D3101" s="8"/>
      <c r="E3101" s="8"/>
      <c r="F3101" s="8"/>
      <c r="G3101" s="8"/>
      <c r="H3101" s="8"/>
      <c r="I3101" s="8"/>
      <c r="J3101" s="8"/>
      <c r="K3101" s="8"/>
      <c r="L3101" s="8"/>
      <c r="M3101" s="8"/>
      <c r="N3101" s="8"/>
      <c r="O3101" s="8"/>
      <c r="P3101" s="8"/>
      <c r="Q3101" s="8"/>
      <c r="R3101" s="8"/>
      <c r="S3101" s="8"/>
      <c r="T3101" s="8"/>
      <c r="U3101" s="8"/>
      <c r="V3101" s="8"/>
      <c r="W3101" s="8"/>
    </row>
    <row r="3102" spans="1:23" ht="15.75" customHeight="1" x14ac:dyDescent="0.25">
      <c r="A3102" s="6" t="s">
        <v>4022</v>
      </c>
      <c r="B3102" s="8"/>
      <c r="C3102" s="8"/>
      <c r="D3102" s="8"/>
      <c r="E3102" s="8"/>
      <c r="F3102" s="8"/>
      <c r="G3102" s="8"/>
      <c r="H3102" s="8"/>
      <c r="I3102" s="8"/>
      <c r="J3102" s="8"/>
      <c r="K3102" s="8"/>
      <c r="L3102" s="8"/>
      <c r="M3102" s="8"/>
      <c r="N3102" s="8"/>
      <c r="O3102" s="8"/>
      <c r="P3102" s="8"/>
      <c r="Q3102" s="8"/>
      <c r="R3102" s="8"/>
      <c r="S3102" s="8"/>
      <c r="T3102" s="8"/>
      <c r="U3102" s="8"/>
      <c r="V3102" s="8"/>
      <c r="W3102" s="8"/>
    </row>
    <row r="3103" spans="1:23" ht="15.75" customHeight="1" x14ac:dyDescent="0.25">
      <c r="A3103" s="6" t="s">
        <v>4022</v>
      </c>
      <c r="B3103" s="8"/>
      <c r="C3103" s="8"/>
      <c r="D3103" s="8"/>
      <c r="E3103" s="8"/>
      <c r="F3103" s="8"/>
      <c r="G3103" s="8"/>
      <c r="H3103" s="8"/>
      <c r="I3103" s="8"/>
      <c r="J3103" s="8"/>
      <c r="K3103" s="8"/>
      <c r="L3103" s="8"/>
      <c r="M3103" s="8"/>
      <c r="N3103" s="8"/>
      <c r="O3103" s="8"/>
      <c r="P3103" s="8"/>
      <c r="Q3103" s="8"/>
      <c r="R3103" s="8"/>
      <c r="S3103" s="8"/>
      <c r="T3103" s="8"/>
      <c r="U3103" s="8"/>
      <c r="V3103" s="8"/>
      <c r="W3103" s="8"/>
    </row>
    <row r="3104" spans="1:23" ht="15.75" customHeight="1" x14ac:dyDescent="0.25">
      <c r="A3104" s="6" t="s">
        <v>4348</v>
      </c>
      <c r="B3104" s="8"/>
      <c r="C3104" s="8"/>
      <c r="D3104" s="8"/>
      <c r="E3104" s="8"/>
      <c r="F3104" s="8"/>
      <c r="G3104" s="8"/>
      <c r="H3104" s="8"/>
      <c r="I3104" s="8"/>
      <c r="J3104" s="8"/>
      <c r="K3104" s="8"/>
      <c r="L3104" s="8"/>
      <c r="M3104" s="8"/>
      <c r="N3104" s="8"/>
      <c r="O3104" s="8"/>
      <c r="P3104" s="8"/>
      <c r="Q3104" s="8"/>
      <c r="R3104" s="8"/>
      <c r="S3104" s="8"/>
      <c r="T3104" s="8"/>
      <c r="U3104" s="8"/>
      <c r="V3104" s="8"/>
      <c r="W3104" s="8"/>
    </row>
    <row r="3105" spans="1:23" ht="15.75" customHeight="1" x14ac:dyDescent="0.25">
      <c r="A3105" s="8" t="s">
        <v>4349</v>
      </c>
      <c r="B3105" s="8"/>
      <c r="C3105" s="8"/>
      <c r="D3105" s="8"/>
      <c r="E3105" s="8"/>
      <c r="F3105" s="8"/>
      <c r="G3105" s="8"/>
      <c r="H3105" s="8"/>
      <c r="I3105" s="8"/>
      <c r="J3105" s="8"/>
      <c r="K3105" s="8"/>
      <c r="L3105" s="8"/>
      <c r="M3105" s="8"/>
      <c r="N3105" s="8"/>
      <c r="O3105" s="8"/>
      <c r="P3105" s="8"/>
      <c r="Q3105" s="8"/>
      <c r="R3105" s="8"/>
      <c r="S3105" s="8"/>
      <c r="T3105" s="8"/>
      <c r="U3105" s="8"/>
      <c r="V3105" s="8"/>
      <c r="W3105" s="8"/>
    </row>
    <row r="3106" spans="1:23" ht="15.75" customHeight="1" x14ac:dyDescent="0.25">
      <c r="A3106" s="6" t="s">
        <v>4350</v>
      </c>
      <c r="B3106" s="8"/>
      <c r="C3106" s="8"/>
      <c r="D3106" s="8"/>
      <c r="E3106" s="8"/>
      <c r="F3106" s="8"/>
      <c r="G3106" s="8"/>
      <c r="H3106" s="8"/>
      <c r="I3106" s="8"/>
      <c r="J3106" s="8"/>
      <c r="K3106" s="8"/>
      <c r="L3106" s="8"/>
      <c r="M3106" s="8"/>
      <c r="N3106" s="8"/>
      <c r="O3106" s="8"/>
      <c r="P3106" s="8"/>
      <c r="Q3106" s="8"/>
      <c r="R3106" s="8"/>
      <c r="S3106" s="8"/>
      <c r="T3106" s="8"/>
      <c r="U3106" s="8"/>
      <c r="V3106" s="8"/>
      <c r="W3106" s="8"/>
    </row>
    <row r="3107" spans="1:23" ht="15.75" customHeight="1" x14ac:dyDescent="0.25">
      <c r="A3107" s="6" t="s">
        <v>4351</v>
      </c>
      <c r="B3107" s="8"/>
      <c r="C3107" s="8"/>
      <c r="D3107" s="8"/>
      <c r="E3107" s="8"/>
      <c r="F3107" s="8"/>
      <c r="G3107" s="8"/>
      <c r="H3107" s="8"/>
      <c r="I3107" s="8"/>
      <c r="J3107" s="8"/>
      <c r="K3107" s="8"/>
      <c r="L3107" s="8"/>
      <c r="M3107" s="8"/>
      <c r="N3107" s="8"/>
      <c r="O3107" s="8"/>
      <c r="P3107" s="8"/>
      <c r="Q3107" s="8"/>
      <c r="R3107" s="8"/>
      <c r="S3107" s="8"/>
      <c r="T3107" s="8"/>
      <c r="U3107" s="8"/>
      <c r="V3107" s="8"/>
      <c r="W3107" s="8"/>
    </row>
    <row r="3108" spans="1:23" ht="15.75" customHeight="1" x14ac:dyDescent="0.25">
      <c r="A3108" s="8" t="s">
        <v>4352</v>
      </c>
      <c r="B3108" s="8"/>
      <c r="C3108" s="8"/>
      <c r="D3108" s="8"/>
      <c r="E3108" s="8"/>
      <c r="F3108" s="8"/>
      <c r="G3108" s="8"/>
      <c r="H3108" s="8"/>
      <c r="I3108" s="8"/>
      <c r="J3108" s="8"/>
      <c r="K3108" s="8"/>
      <c r="L3108" s="8"/>
      <c r="M3108" s="8"/>
      <c r="N3108" s="8"/>
      <c r="O3108" s="8"/>
      <c r="P3108" s="8"/>
      <c r="Q3108" s="8"/>
      <c r="R3108" s="8"/>
      <c r="S3108" s="8"/>
      <c r="T3108" s="8"/>
      <c r="U3108" s="8"/>
      <c r="V3108" s="8"/>
      <c r="W3108" s="8"/>
    </row>
    <row r="3109" spans="1:23" ht="15.75" customHeight="1" x14ac:dyDescent="0.25">
      <c r="A3109" s="6" t="s">
        <v>3773</v>
      </c>
      <c r="B3109" s="8"/>
      <c r="C3109" s="8"/>
      <c r="D3109" s="8"/>
      <c r="E3109" s="8"/>
      <c r="F3109" s="8"/>
      <c r="G3109" s="8"/>
      <c r="H3109" s="8"/>
      <c r="I3109" s="8"/>
      <c r="J3109" s="8"/>
      <c r="K3109" s="8"/>
      <c r="L3109" s="8"/>
      <c r="M3109" s="8"/>
      <c r="N3109" s="8"/>
      <c r="O3109" s="8"/>
      <c r="P3109" s="8"/>
      <c r="Q3109" s="8"/>
      <c r="R3109" s="8"/>
      <c r="S3109" s="8"/>
      <c r="T3109" s="8"/>
      <c r="U3109" s="8"/>
      <c r="V3109" s="8"/>
      <c r="W3109" s="8"/>
    </row>
    <row r="3110" spans="1:23" ht="15.75" customHeight="1" x14ac:dyDescent="0.25">
      <c r="A3110" s="6" t="s">
        <v>3773</v>
      </c>
      <c r="B3110" s="8"/>
      <c r="C3110" s="8"/>
      <c r="D3110" s="8"/>
      <c r="E3110" s="8"/>
      <c r="F3110" s="8"/>
      <c r="G3110" s="8"/>
      <c r="H3110" s="8"/>
      <c r="I3110" s="8"/>
      <c r="J3110" s="8"/>
      <c r="K3110" s="8"/>
      <c r="L3110" s="8"/>
      <c r="M3110" s="8"/>
      <c r="N3110" s="8"/>
      <c r="O3110" s="8"/>
      <c r="P3110" s="8"/>
      <c r="Q3110" s="8"/>
      <c r="R3110" s="8"/>
      <c r="S3110" s="8"/>
      <c r="T3110" s="8"/>
      <c r="U3110" s="8"/>
      <c r="V3110" s="8"/>
      <c r="W3110" s="8"/>
    </row>
    <row r="3111" spans="1:23" ht="15.75" customHeight="1" x14ac:dyDescent="0.25">
      <c r="A3111" s="6" t="s">
        <v>3773</v>
      </c>
      <c r="B3111" s="8"/>
      <c r="C3111" s="8"/>
      <c r="D3111" s="8"/>
      <c r="E3111" s="8"/>
      <c r="F3111" s="8"/>
      <c r="G3111" s="8"/>
      <c r="H3111" s="8"/>
      <c r="I3111" s="8"/>
      <c r="J3111" s="8"/>
      <c r="K3111" s="8"/>
      <c r="L3111" s="8"/>
      <c r="M3111" s="8"/>
      <c r="N3111" s="8"/>
      <c r="O3111" s="8"/>
      <c r="P3111" s="8"/>
      <c r="Q3111" s="8"/>
      <c r="R3111" s="8"/>
      <c r="S3111" s="8"/>
      <c r="T3111" s="8"/>
      <c r="U3111" s="8"/>
      <c r="V3111" s="8"/>
      <c r="W3111" s="8"/>
    </row>
    <row r="3112" spans="1:23" ht="15.75" customHeight="1" x14ac:dyDescent="0.25">
      <c r="A3112" s="6" t="s">
        <v>3299</v>
      </c>
      <c r="B3112" s="8"/>
      <c r="C3112" s="8"/>
      <c r="D3112" s="8"/>
      <c r="E3112" s="8"/>
      <c r="F3112" s="8"/>
      <c r="G3112" s="8"/>
      <c r="H3112" s="8"/>
      <c r="I3112" s="8"/>
      <c r="J3112" s="8"/>
      <c r="K3112" s="8"/>
      <c r="L3112" s="8"/>
      <c r="M3112" s="8"/>
      <c r="N3112" s="8"/>
      <c r="O3112" s="8"/>
      <c r="P3112" s="8"/>
      <c r="Q3112" s="8"/>
      <c r="R3112" s="8"/>
      <c r="S3112" s="8"/>
      <c r="T3112" s="8"/>
      <c r="U3112" s="8"/>
      <c r="V3112" s="8"/>
      <c r="W3112" s="8"/>
    </row>
    <row r="3113" spans="1:23" ht="15.75" customHeight="1" x14ac:dyDescent="0.25">
      <c r="A3113" s="6" t="s">
        <v>3299</v>
      </c>
      <c r="B3113" s="8"/>
      <c r="C3113" s="8"/>
      <c r="D3113" s="8"/>
      <c r="E3113" s="8"/>
      <c r="F3113" s="8"/>
      <c r="G3113" s="8"/>
      <c r="H3113" s="8"/>
      <c r="I3113" s="8"/>
      <c r="J3113" s="8"/>
      <c r="K3113" s="8"/>
      <c r="L3113" s="8"/>
      <c r="M3113" s="8"/>
      <c r="N3113" s="8"/>
      <c r="O3113" s="8"/>
      <c r="P3113" s="8"/>
      <c r="Q3113" s="8"/>
      <c r="R3113" s="8"/>
      <c r="S3113" s="8"/>
      <c r="T3113" s="8"/>
      <c r="U3113" s="8"/>
      <c r="V3113" s="8"/>
      <c r="W3113" s="8"/>
    </row>
    <row r="3114" spans="1:23" ht="15.75" customHeight="1" x14ac:dyDescent="0.25">
      <c r="A3114" s="6" t="s">
        <v>3299</v>
      </c>
      <c r="B3114" s="8"/>
      <c r="C3114" s="8"/>
      <c r="D3114" s="8"/>
      <c r="E3114" s="8"/>
      <c r="F3114" s="8"/>
      <c r="G3114" s="8"/>
      <c r="H3114" s="8"/>
      <c r="I3114" s="8"/>
      <c r="J3114" s="8"/>
      <c r="K3114" s="8"/>
      <c r="L3114" s="8"/>
      <c r="M3114" s="8"/>
      <c r="N3114" s="8"/>
      <c r="O3114" s="8"/>
      <c r="P3114" s="8"/>
      <c r="Q3114" s="8"/>
      <c r="R3114" s="8"/>
      <c r="S3114" s="8"/>
      <c r="T3114" s="8"/>
      <c r="U3114" s="8"/>
      <c r="V3114" s="8"/>
      <c r="W3114" s="8"/>
    </row>
    <row r="3115" spans="1:23" ht="15.75" customHeight="1" x14ac:dyDescent="0.25">
      <c r="A3115" s="6" t="s">
        <v>3299</v>
      </c>
      <c r="B3115" s="8"/>
      <c r="C3115" s="8"/>
      <c r="D3115" s="8"/>
      <c r="E3115" s="8"/>
      <c r="F3115" s="8"/>
      <c r="G3115" s="8"/>
      <c r="H3115" s="8"/>
      <c r="I3115" s="8"/>
      <c r="J3115" s="8"/>
      <c r="K3115" s="8"/>
      <c r="L3115" s="8"/>
      <c r="M3115" s="8"/>
      <c r="N3115" s="8"/>
      <c r="O3115" s="8"/>
      <c r="P3115" s="8"/>
      <c r="Q3115" s="8"/>
      <c r="R3115" s="8"/>
      <c r="S3115" s="8"/>
      <c r="T3115" s="8"/>
      <c r="U3115" s="8"/>
      <c r="V3115" s="8"/>
      <c r="W3115" s="8"/>
    </row>
    <row r="3116" spans="1:23" ht="15.75" customHeight="1" x14ac:dyDescent="0.25">
      <c r="A3116" s="6" t="s">
        <v>3299</v>
      </c>
      <c r="B3116" s="8"/>
      <c r="C3116" s="8"/>
      <c r="D3116" s="8"/>
      <c r="E3116" s="8"/>
      <c r="F3116" s="8"/>
      <c r="G3116" s="8"/>
      <c r="H3116" s="8"/>
      <c r="I3116" s="8"/>
      <c r="J3116" s="8"/>
      <c r="K3116" s="8"/>
      <c r="L3116" s="8"/>
      <c r="M3116" s="8"/>
      <c r="N3116" s="8"/>
      <c r="O3116" s="8"/>
      <c r="P3116" s="8"/>
      <c r="Q3116" s="8"/>
      <c r="R3116" s="8"/>
      <c r="S3116" s="8"/>
      <c r="T3116" s="8"/>
      <c r="U3116" s="8"/>
      <c r="V3116" s="8"/>
      <c r="W3116" s="8"/>
    </row>
    <row r="3117" spans="1:23" ht="15.75" customHeight="1" x14ac:dyDescent="0.25">
      <c r="A3117" s="6" t="s">
        <v>3299</v>
      </c>
      <c r="B3117" s="8"/>
      <c r="C3117" s="8"/>
      <c r="D3117" s="8"/>
      <c r="E3117" s="8"/>
      <c r="F3117" s="8"/>
      <c r="G3117" s="8"/>
      <c r="H3117" s="8"/>
      <c r="I3117" s="8"/>
      <c r="J3117" s="8"/>
      <c r="K3117" s="8"/>
      <c r="L3117" s="8"/>
      <c r="M3117" s="8"/>
      <c r="N3117" s="8"/>
      <c r="O3117" s="8"/>
      <c r="P3117" s="8"/>
      <c r="Q3117" s="8"/>
      <c r="R3117" s="8"/>
      <c r="S3117" s="8"/>
      <c r="T3117" s="8"/>
      <c r="U3117" s="8"/>
      <c r="V3117" s="8"/>
      <c r="W3117" s="8"/>
    </row>
    <row r="3118" spans="1:23" ht="15.75" customHeight="1" x14ac:dyDescent="0.25">
      <c r="A3118" s="6" t="s">
        <v>3299</v>
      </c>
      <c r="B3118" s="8"/>
      <c r="C3118" s="8"/>
      <c r="D3118" s="8"/>
      <c r="E3118" s="8"/>
      <c r="F3118" s="8"/>
      <c r="G3118" s="8"/>
      <c r="H3118" s="8"/>
      <c r="I3118" s="8"/>
      <c r="J3118" s="8"/>
      <c r="K3118" s="8"/>
      <c r="L3118" s="8"/>
      <c r="M3118" s="8"/>
      <c r="N3118" s="8"/>
      <c r="O3118" s="8"/>
      <c r="P3118" s="8"/>
      <c r="Q3118" s="8"/>
      <c r="R3118" s="8"/>
      <c r="S3118" s="8"/>
      <c r="T3118" s="8"/>
      <c r="U3118" s="8"/>
      <c r="V3118" s="8"/>
      <c r="W3118" s="8"/>
    </row>
    <row r="3119" spans="1:23" ht="15.75" customHeight="1" x14ac:dyDescent="0.25">
      <c r="A3119" s="6" t="s">
        <v>3299</v>
      </c>
      <c r="B3119" s="8"/>
      <c r="C3119" s="8"/>
      <c r="D3119" s="8"/>
      <c r="E3119" s="8"/>
      <c r="F3119" s="8"/>
      <c r="G3119" s="8"/>
      <c r="H3119" s="8"/>
      <c r="I3119" s="8"/>
      <c r="J3119" s="8"/>
      <c r="K3119" s="8"/>
      <c r="L3119" s="8"/>
      <c r="M3119" s="8"/>
      <c r="N3119" s="8"/>
      <c r="O3119" s="8"/>
      <c r="P3119" s="8"/>
      <c r="Q3119" s="8"/>
      <c r="R3119" s="8"/>
      <c r="S3119" s="8"/>
      <c r="T3119" s="8"/>
      <c r="U3119" s="8"/>
      <c r="V3119" s="8"/>
      <c r="W3119" s="8"/>
    </row>
    <row r="3120" spans="1:23" ht="15.75" customHeight="1" x14ac:dyDescent="0.25">
      <c r="A3120" s="6" t="s">
        <v>3299</v>
      </c>
      <c r="B3120" s="8"/>
      <c r="C3120" s="8"/>
      <c r="D3120" s="8"/>
      <c r="E3120" s="8"/>
      <c r="F3120" s="8"/>
      <c r="G3120" s="8"/>
      <c r="H3120" s="8"/>
      <c r="I3120" s="8"/>
      <c r="J3120" s="8"/>
      <c r="K3120" s="8"/>
      <c r="L3120" s="8"/>
      <c r="M3120" s="8"/>
      <c r="N3120" s="8"/>
      <c r="O3120" s="8"/>
      <c r="P3120" s="8"/>
      <c r="Q3120" s="8"/>
      <c r="R3120" s="8"/>
      <c r="S3120" s="8"/>
      <c r="T3120" s="8"/>
      <c r="U3120" s="8"/>
      <c r="V3120" s="8"/>
      <c r="W3120" s="8"/>
    </row>
    <row r="3121" spans="1:23" ht="15.75" customHeight="1" x14ac:dyDescent="0.25">
      <c r="A3121" s="6" t="s">
        <v>3299</v>
      </c>
      <c r="B3121" s="8"/>
      <c r="C3121" s="8"/>
      <c r="D3121" s="8"/>
      <c r="E3121" s="8"/>
      <c r="F3121" s="8"/>
      <c r="G3121" s="8"/>
      <c r="H3121" s="8"/>
      <c r="I3121" s="8"/>
      <c r="J3121" s="8"/>
      <c r="K3121" s="8"/>
      <c r="L3121" s="8"/>
      <c r="M3121" s="8"/>
      <c r="N3121" s="8"/>
      <c r="O3121" s="8"/>
      <c r="P3121" s="8"/>
      <c r="Q3121" s="8"/>
      <c r="R3121" s="8"/>
      <c r="S3121" s="8"/>
      <c r="T3121" s="8"/>
      <c r="U3121" s="8"/>
      <c r="V3121" s="8"/>
      <c r="W3121" s="8"/>
    </row>
    <row r="3122" spans="1:23" ht="15.75" customHeight="1" x14ac:dyDescent="0.25">
      <c r="A3122" s="6" t="s">
        <v>3299</v>
      </c>
      <c r="B3122" s="8"/>
      <c r="C3122" s="8"/>
      <c r="D3122" s="8"/>
      <c r="E3122" s="8"/>
      <c r="F3122" s="8"/>
      <c r="G3122" s="8"/>
      <c r="H3122" s="8"/>
      <c r="I3122" s="8"/>
      <c r="J3122" s="8"/>
      <c r="K3122" s="8"/>
      <c r="L3122" s="8"/>
      <c r="M3122" s="8"/>
      <c r="N3122" s="8"/>
      <c r="O3122" s="8"/>
      <c r="P3122" s="8"/>
      <c r="Q3122" s="8"/>
      <c r="R3122" s="8"/>
      <c r="S3122" s="8"/>
      <c r="T3122" s="8"/>
      <c r="U3122" s="8"/>
      <c r="V3122" s="8"/>
      <c r="W3122" s="8"/>
    </row>
    <row r="3123" spans="1:23" ht="15.75" customHeight="1" x14ac:dyDescent="0.25">
      <c r="A3123" s="6" t="s">
        <v>3299</v>
      </c>
      <c r="B3123" s="8"/>
      <c r="C3123" s="8"/>
      <c r="D3123" s="8"/>
      <c r="E3123" s="8"/>
      <c r="F3123" s="8"/>
      <c r="G3123" s="8"/>
      <c r="H3123" s="8"/>
      <c r="I3123" s="8"/>
      <c r="J3123" s="8"/>
      <c r="K3123" s="8"/>
      <c r="L3123" s="8"/>
      <c r="M3123" s="8"/>
      <c r="N3123" s="8"/>
      <c r="O3123" s="8"/>
      <c r="P3123" s="8"/>
      <c r="Q3123" s="8"/>
      <c r="R3123" s="8"/>
      <c r="S3123" s="8"/>
      <c r="T3123" s="8"/>
      <c r="U3123" s="8"/>
      <c r="V3123" s="8"/>
      <c r="W3123" s="8"/>
    </row>
    <row r="3124" spans="1:23" ht="15.75" customHeight="1" x14ac:dyDescent="0.25">
      <c r="A3124" s="6" t="s">
        <v>3299</v>
      </c>
      <c r="B3124" s="8"/>
      <c r="C3124" s="8"/>
      <c r="D3124" s="8"/>
      <c r="E3124" s="8"/>
      <c r="F3124" s="8"/>
      <c r="G3124" s="8"/>
      <c r="H3124" s="8"/>
      <c r="I3124" s="8"/>
      <c r="J3124" s="8"/>
      <c r="K3124" s="8"/>
      <c r="L3124" s="8"/>
      <c r="M3124" s="8"/>
      <c r="N3124" s="8"/>
      <c r="O3124" s="8"/>
      <c r="P3124" s="8"/>
      <c r="Q3124" s="8"/>
      <c r="R3124" s="8"/>
      <c r="S3124" s="8"/>
      <c r="T3124" s="8"/>
      <c r="U3124" s="8"/>
      <c r="V3124" s="8"/>
      <c r="W3124" s="8"/>
    </row>
    <row r="3125" spans="1:23" ht="15.75" customHeight="1" x14ac:dyDescent="0.25">
      <c r="A3125" s="6" t="s">
        <v>3299</v>
      </c>
      <c r="B3125" s="8"/>
      <c r="C3125" s="8"/>
      <c r="D3125" s="8"/>
      <c r="E3125" s="8"/>
      <c r="F3125" s="8"/>
      <c r="G3125" s="8"/>
      <c r="H3125" s="8"/>
      <c r="I3125" s="8"/>
      <c r="J3125" s="8"/>
      <c r="K3125" s="8"/>
      <c r="L3125" s="8"/>
      <c r="M3125" s="8"/>
      <c r="N3125" s="8"/>
      <c r="O3125" s="8"/>
      <c r="P3125" s="8"/>
      <c r="Q3125" s="8"/>
      <c r="R3125" s="8"/>
      <c r="S3125" s="8"/>
      <c r="T3125" s="8"/>
      <c r="U3125" s="8"/>
      <c r="V3125" s="8"/>
      <c r="W3125" s="8"/>
    </row>
    <row r="3126" spans="1:23" ht="15.75" customHeight="1" x14ac:dyDescent="0.25">
      <c r="A3126" s="6" t="s">
        <v>3299</v>
      </c>
      <c r="B3126" s="8"/>
      <c r="C3126" s="8"/>
      <c r="D3126" s="8"/>
      <c r="E3126" s="8"/>
      <c r="F3126" s="8"/>
      <c r="G3126" s="8"/>
      <c r="H3126" s="8"/>
      <c r="I3126" s="8"/>
      <c r="J3126" s="8"/>
      <c r="K3126" s="8"/>
      <c r="L3126" s="8"/>
      <c r="M3126" s="8"/>
      <c r="N3126" s="8"/>
      <c r="O3126" s="8"/>
      <c r="P3126" s="8"/>
      <c r="Q3126" s="8"/>
      <c r="R3126" s="8"/>
      <c r="S3126" s="8"/>
      <c r="T3126" s="8"/>
      <c r="U3126" s="8"/>
      <c r="V3126" s="8"/>
      <c r="W3126" s="8"/>
    </row>
    <row r="3127" spans="1:23" ht="15.75" customHeight="1" x14ac:dyDescent="0.25">
      <c r="A3127" s="6" t="s">
        <v>3299</v>
      </c>
      <c r="B3127" s="8"/>
      <c r="C3127" s="8"/>
      <c r="D3127" s="8"/>
      <c r="E3127" s="8"/>
      <c r="F3127" s="8"/>
      <c r="G3127" s="8"/>
      <c r="H3127" s="8"/>
      <c r="I3127" s="8"/>
      <c r="J3127" s="8"/>
      <c r="K3127" s="8"/>
      <c r="L3127" s="8"/>
      <c r="M3127" s="8"/>
      <c r="N3127" s="8"/>
      <c r="O3127" s="8"/>
      <c r="P3127" s="8"/>
      <c r="Q3127" s="8"/>
      <c r="R3127" s="8"/>
      <c r="S3127" s="8"/>
      <c r="T3127" s="8"/>
      <c r="U3127" s="8"/>
      <c r="V3127" s="8"/>
      <c r="W3127" s="8"/>
    </row>
    <row r="3128" spans="1:23" ht="15.75" customHeight="1" x14ac:dyDescent="0.25">
      <c r="A3128" s="6" t="s">
        <v>3299</v>
      </c>
      <c r="B3128" s="8"/>
      <c r="C3128" s="8"/>
      <c r="D3128" s="8"/>
      <c r="E3128" s="8"/>
      <c r="F3128" s="8"/>
      <c r="G3128" s="8"/>
      <c r="H3128" s="8"/>
      <c r="I3128" s="8"/>
      <c r="J3128" s="8"/>
      <c r="K3128" s="8"/>
      <c r="L3128" s="8"/>
      <c r="M3128" s="8"/>
      <c r="N3128" s="8"/>
      <c r="O3128" s="8"/>
      <c r="P3128" s="8"/>
      <c r="Q3128" s="8"/>
      <c r="R3128" s="8"/>
      <c r="S3128" s="8"/>
      <c r="T3128" s="8"/>
      <c r="U3128" s="8"/>
      <c r="V3128" s="8"/>
      <c r="W3128" s="8"/>
    </row>
    <row r="3129" spans="1:23" ht="15.75" customHeight="1" x14ac:dyDescent="0.25">
      <c r="A3129" s="6" t="s">
        <v>4353</v>
      </c>
      <c r="B3129" s="8"/>
      <c r="C3129" s="8"/>
      <c r="D3129" s="8"/>
      <c r="E3129" s="8"/>
      <c r="F3129" s="8"/>
      <c r="G3129" s="8"/>
      <c r="H3129" s="8"/>
      <c r="I3129" s="8"/>
      <c r="J3129" s="8"/>
      <c r="K3129" s="8"/>
      <c r="L3129" s="8"/>
      <c r="M3129" s="8"/>
      <c r="N3129" s="8"/>
      <c r="O3129" s="8"/>
      <c r="P3129" s="8"/>
      <c r="Q3129" s="8"/>
      <c r="R3129" s="8"/>
      <c r="S3129" s="8"/>
      <c r="T3129" s="8"/>
      <c r="U3129" s="8"/>
      <c r="V3129" s="8"/>
      <c r="W3129" s="8"/>
    </row>
    <row r="3130" spans="1:23" ht="15.75" customHeight="1" x14ac:dyDescent="0.25">
      <c r="A3130" s="6" t="s">
        <v>4026</v>
      </c>
      <c r="B3130" s="8"/>
      <c r="C3130" s="8"/>
      <c r="D3130" s="8"/>
      <c r="E3130" s="8"/>
      <c r="F3130" s="8"/>
      <c r="G3130" s="8"/>
      <c r="H3130" s="8"/>
      <c r="I3130" s="8"/>
      <c r="J3130" s="8"/>
      <c r="K3130" s="8"/>
      <c r="L3130" s="8"/>
      <c r="M3130" s="8"/>
      <c r="N3130" s="8"/>
      <c r="O3130" s="8"/>
      <c r="P3130" s="8"/>
      <c r="Q3130" s="8"/>
      <c r="R3130" s="8"/>
      <c r="S3130" s="8"/>
      <c r="T3130" s="8"/>
      <c r="U3130" s="8"/>
      <c r="V3130" s="8"/>
      <c r="W3130" s="8"/>
    </row>
    <row r="3131" spans="1:23" ht="15.75" customHeight="1" x14ac:dyDescent="0.25">
      <c r="A3131" s="6" t="s">
        <v>4026</v>
      </c>
      <c r="B3131" s="8"/>
      <c r="C3131" s="8"/>
      <c r="D3131" s="8"/>
      <c r="E3131" s="8"/>
      <c r="F3131" s="8"/>
      <c r="G3131" s="8"/>
      <c r="H3131" s="8"/>
      <c r="I3131" s="8"/>
      <c r="J3131" s="8"/>
      <c r="K3131" s="8"/>
      <c r="L3131" s="8"/>
      <c r="M3131" s="8"/>
      <c r="N3131" s="8"/>
      <c r="O3131" s="8"/>
      <c r="P3131" s="8"/>
      <c r="Q3131" s="8"/>
      <c r="R3131" s="8"/>
      <c r="S3131" s="8"/>
      <c r="T3131" s="8"/>
      <c r="U3131" s="8"/>
      <c r="V3131" s="8"/>
      <c r="W3131" s="8"/>
    </row>
    <row r="3132" spans="1:23" ht="15.75" customHeight="1" x14ac:dyDescent="0.25">
      <c r="A3132" s="6" t="s">
        <v>3775</v>
      </c>
      <c r="B3132" s="8"/>
      <c r="C3132" s="8"/>
      <c r="D3132" s="8"/>
      <c r="E3132" s="8"/>
      <c r="F3132" s="8"/>
      <c r="G3132" s="8"/>
      <c r="H3132" s="8"/>
      <c r="I3132" s="8"/>
      <c r="J3132" s="8"/>
      <c r="K3132" s="8"/>
      <c r="L3132" s="8"/>
      <c r="M3132" s="8"/>
      <c r="N3132" s="8"/>
      <c r="O3132" s="8"/>
      <c r="P3132" s="8"/>
      <c r="Q3132" s="8"/>
      <c r="R3132" s="8"/>
      <c r="S3132" s="8"/>
      <c r="T3132" s="8"/>
      <c r="U3132" s="8"/>
      <c r="V3132" s="8"/>
      <c r="W3132" s="8"/>
    </row>
    <row r="3133" spans="1:23" ht="15.75" customHeight="1" x14ac:dyDescent="0.25">
      <c r="A3133" s="6" t="s">
        <v>3775</v>
      </c>
      <c r="B3133" s="8"/>
      <c r="C3133" s="8"/>
      <c r="D3133" s="8"/>
      <c r="E3133" s="8"/>
      <c r="F3133" s="8"/>
      <c r="G3133" s="8"/>
      <c r="H3133" s="8"/>
      <c r="I3133" s="8"/>
      <c r="J3133" s="8"/>
      <c r="K3133" s="8"/>
      <c r="L3133" s="8"/>
      <c r="M3133" s="8"/>
      <c r="N3133" s="8"/>
      <c r="O3133" s="8"/>
      <c r="P3133" s="8"/>
      <c r="Q3133" s="8"/>
      <c r="R3133" s="8"/>
      <c r="S3133" s="8"/>
      <c r="T3133" s="8"/>
      <c r="U3133" s="8"/>
      <c r="V3133" s="8"/>
      <c r="W3133" s="8"/>
    </row>
    <row r="3134" spans="1:23" ht="15.75" customHeight="1" x14ac:dyDescent="0.25">
      <c r="A3134" s="6" t="s">
        <v>3775</v>
      </c>
      <c r="B3134" s="8"/>
      <c r="C3134" s="8"/>
      <c r="D3134" s="8"/>
      <c r="E3134" s="8"/>
      <c r="F3134" s="8"/>
      <c r="G3134" s="8"/>
      <c r="H3134" s="8"/>
      <c r="I3134" s="8"/>
      <c r="J3134" s="8"/>
      <c r="K3134" s="8"/>
      <c r="L3134" s="8"/>
      <c r="M3134" s="8"/>
      <c r="N3134" s="8"/>
      <c r="O3134" s="8"/>
      <c r="P3134" s="8"/>
      <c r="Q3134" s="8"/>
      <c r="R3134" s="8"/>
      <c r="S3134" s="8"/>
      <c r="T3134" s="8"/>
      <c r="U3134" s="8"/>
      <c r="V3134" s="8"/>
      <c r="W3134" s="8"/>
    </row>
    <row r="3135" spans="1:23" ht="15.75" customHeight="1" x14ac:dyDescent="0.25">
      <c r="A3135" s="6" t="s">
        <v>4031</v>
      </c>
      <c r="B3135" s="8"/>
      <c r="C3135" s="8"/>
      <c r="D3135" s="8"/>
      <c r="E3135" s="8"/>
      <c r="F3135" s="8"/>
      <c r="G3135" s="8"/>
      <c r="H3135" s="8"/>
      <c r="I3135" s="8"/>
      <c r="J3135" s="8"/>
      <c r="K3135" s="8"/>
      <c r="L3135" s="8"/>
      <c r="M3135" s="8"/>
      <c r="N3135" s="8"/>
      <c r="O3135" s="8"/>
      <c r="P3135" s="8"/>
      <c r="Q3135" s="8"/>
      <c r="R3135" s="8"/>
      <c r="S3135" s="8"/>
      <c r="T3135" s="8"/>
      <c r="U3135" s="8"/>
      <c r="V3135" s="8"/>
      <c r="W3135" s="8"/>
    </row>
    <row r="3136" spans="1:23" ht="15.75" customHeight="1" x14ac:dyDescent="0.25">
      <c r="A3136" s="6" t="s">
        <v>4031</v>
      </c>
      <c r="B3136" s="8"/>
      <c r="C3136" s="8"/>
      <c r="D3136" s="8"/>
      <c r="E3136" s="8"/>
      <c r="F3136" s="8"/>
      <c r="G3136" s="8"/>
      <c r="H3136" s="8"/>
      <c r="I3136" s="8"/>
      <c r="J3136" s="8"/>
      <c r="K3136" s="8"/>
      <c r="L3136" s="8"/>
      <c r="M3136" s="8"/>
      <c r="N3136" s="8"/>
      <c r="O3136" s="8"/>
      <c r="P3136" s="8"/>
      <c r="Q3136" s="8"/>
      <c r="R3136" s="8"/>
      <c r="S3136" s="8"/>
      <c r="T3136" s="8"/>
      <c r="U3136" s="8"/>
      <c r="V3136" s="8"/>
      <c r="W3136" s="8"/>
    </row>
    <row r="3137" spans="1:23" ht="15.75" customHeight="1" x14ac:dyDescent="0.25">
      <c r="A3137" s="6" t="s">
        <v>4354</v>
      </c>
      <c r="B3137" s="8"/>
      <c r="C3137" s="8"/>
      <c r="D3137" s="8"/>
      <c r="E3137" s="8"/>
      <c r="F3137" s="8"/>
      <c r="G3137" s="8"/>
      <c r="H3137" s="8"/>
      <c r="I3137" s="8"/>
      <c r="J3137" s="8"/>
      <c r="K3137" s="8"/>
      <c r="L3137" s="8"/>
      <c r="M3137" s="8"/>
      <c r="N3137" s="8"/>
      <c r="O3137" s="8"/>
      <c r="P3137" s="8"/>
      <c r="Q3137" s="8"/>
      <c r="R3137" s="8"/>
      <c r="S3137" s="8"/>
      <c r="T3137" s="8"/>
      <c r="U3137" s="8"/>
      <c r="V3137" s="8"/>
      <c r="W3137" s="8"/>
    </row>
    <row r="3138" spans="1:23" ht="15.75" customHeight="1" x14ac:dyDescent="0.25">
      <c r="A3138" s="8" t="s">
        <v>4355</v>
      </c>
      <c r="B3138" s="8"/>
      <c r="C3138" s="8"/>
      <c r="D3138" s="8"/>
      <c r="E3138" s="8"/>
      <c r="F3138" s="8"/>
      <c r="G3138" s="8"/>
      <c r="H3138" s="8"/>
      <c r="I3138" s="8"/>
      <c r="J3138" s="8"/>
      <c r="K3138" s="8"/>
      <c r="L3138" s="8"/>
      <c r="M3138" s="8"/>
      <c r="N3138" s="8"/>
      <c r="O3138" s="8"/>
      <c r="P3138" s="8"/>
      <c r="Q3138" s="8"/>
      <c r="R3138" s="8"/>
      <c r="S3138" s="8"/>
      <c r="T3138" s="8"/>
      <c r="U3138" s="8"/>
      <c r="V3138" s="8"/>
      <c r="W3138" s="8"/>
    </row>
    <row r="3139" spans="1:23" ht="15.75" customHeight="1" x14ac:dyDescent="0.25">
      <c r="A3139" s="6" t="s">
        <v>4356</v>
      </c>
      <c r="B3139" s="8"/>
      <c r="C3139" s="8"/>
      <c r="D3139" s="8"/>
      <c r="E3139" s="8"/>
      <c r="F3139" s="8"/>
      <c r="G3139" s="8"/>
      <c r="H3139" s="8"/>
      <c r="I3139" s="8"/>
      <c r="J3139" s="8"/>
      <c r="K3139" s="8"/>
      <c r="L3139" s="8"/>
      <c r="M3139" s="8"/>
      <c r="N3139" s="8"/>
      <c r="O3139" s="8"/>
      <c r="P3139" s="8"/>
      <c r="Q3139" s="8"/>
      <c r="R3139" s="8"/>
      <c r="S3139" s="8"/>
      <c r="T3139" s="8"/>
      <c r="U3139" s="8"/>
      <c r="V3139" s="8"/>
      <c r="W3139" s="8"/>
    </row>
    <row r="3140" spans="1:23" ht="15.75" customHeight="1" x14ac:dyDescent="0.25">
      <c r="A3140" s="6" t="s">
        <v>4033</v>
      </c>
      <c r="B3140" s="8"/>
      <c r="C3140" s="8"/>
      <c r="D3140" s="8"/>
      <c r="E3140" s="8"/>
      <c r="F3140" s="8"/>
      <c r="G3140" s="8"/>
      <c r="H3140" s="8"/>
      <c r="I3140" s="8"/>
      <c r="J3140" s="8"/>
      <c r="K3140" s="8"/>
      <c r="L3140" s="8"/>
      <c r="M3140" s="8"/>
      <c r="N3140" s="8"/>
      <c r="O3140" s="8"/>
      <c r="P3140" s="8"/>
      <c r="Q3140" s="8"/>
      <c r="R3140" s="8"/>
      <c r="S3140" s="8"/>
      <c r="T3140" s="8"/>
      <c r="U3140" s="8"/>
      <c r="V3140" s="8"/>
      <c r="W3140" s="8"/>
    </row>
    <row r="3141" spans="1:23" ht="15.75" customHeight="1" x14ac:dyDescent="0.25">
      <c r="A3141" s="6" t="s">
        <v>4033</v>
      </c>
      <c r="B3141" s="8"/>
      <c r="C3141" s="8"/>
      <c r="D3141" s="8"/>
      <c r="E3141" s="8"/>
      <c r="F3141" s="8"/>
      <c r="G3141" s="8"/>
      <c r="H3141" s="8"/>
      <c r="I3141" s="8"/>
      <c r="J3141" s="8"/>
      <c r="K3141" s="8"/>
      <c r="L3141" s="8"/>
      <c r="M3141" s="8"/>
      <c r="N3141" s="8"/>
      <c r="O3141" s="8"/>
      <c r="P3141" s="8"/>
      <c r="Q3141" s="8"/>
      <c r="R3141" s="8"/>
      <c r="S3141" s="8"/>
      <c r="T3141" s="8"/>
      <c r="U3141" s="8"/>
      <c r="V3141" s="8"/>
      <c r="W3141" s="8"/>
    </row>
    <row r="3142" spans="1:23" ht="15.75" customHeight="1" x14ac:dyDescent="0.25">
      <c r="A3142" s="6" t="s">
        <v>3780</v>
      </c>
      <c r="B3142" s="8"/>
      <c r="C3142" s="8"/>
      <c r="D3142" s="8"/>
      <c r="E3142" s="8"/>
      <c r="F3142" s="8"/>
      <c r="G3142" s="8"/>
      <c r="H3142" s="8"/>
      <c r="I3142" s="8"/>
      <c r="J3142" s="8"/>
      <c r="K3142" s="8"/>
      <c r="L3142" s="8"/>
      <c r="M3142" s="8"/>
      <c r="N3142" s="8"/>
      <c r="O3142" s="8"/>
      <c r="P3142" s="8"/>
      <c r="Q3142" s="8"/>
      <c r="R3142" s="8"/>
      <c r="S3142" s="8"/>
      <c r="T3142" s="8"/>
      <c r="U3142" s="8"/>
      <c r="V3142" s="8"/>
      <c r="W3142" s="8"/>
    </row>
    <row r="3143" spans="1:23" ht="15.75" customHeight="1" x14ac:dyDescent="0.25">
      <c r="A3143" s="6" t="s">
        <v>3780</v>
      </c>
      <c r="B3143" s="8"/>
      <c r="C3143" s="8"/>
      <c r="D3143" s="8"/>
      <c r="E3143" s="8"/>
      <c r="F3143" s="8"/>
      <c r="G3143" s="8"/>
      <c r="H3143" s="8"/>
      <c r="I3143" s="8"/>
      <c r="J3143" s="8"/>
      <c r="K3143" s="8"/>
      <c r="L3143" s="8"/>
      <c r="M3143" s="8"/>
      <c r="N3143" s="8"/>
      <c r="O3143" s="8"/>
      <c r="P3143" s="8"/>
      <c r="Q3143" s="8"/>
      <c r="R3143" s="8"/>
      <c r="S3143" s="8"/>
      <c r="T3143" s="8"/>
      <c r="U3143" s="8"/>
      <c r="V3143" s="8"/>
      <c r="W3143" s="8"/>
    </row>
    <row r="3144" spans="1:23" ht="15.75" customHeight="1" x14ac:dyDescent="0.25">
      <c r="A3144" s="6" t="s">
        <v>3780</v>
      </c>
      <c r="B3144" s="8"/>
      <c r="C3144" s="8"/>
      <c r="D3144" s="8"/>
      <c r="E3144" s="8"/>
      <c r="F3144" s="8"/>
      <c r="G3144" s="8"/>
      <c r="H3144" s="8"/>
      <c r="I3144" s="8"/>
      <c r="J3144" s="8"/>
      <c r="K3144" s="8"/>
      <c r="L3144" s="8"/>
      <c r="M3144" s="8"/>
      <c r="N3144" s="8"/>
      <c r="O3144" s="8"/>
      <c r="P3144" s="8"/>
      <c r="Q3144" s="8"/>
      <c r="R3144" s="8"/>
      <c r="S3144" s="8"/>
      <c r="T3144" s="8"/>
      <c r="U3144" s="8"/>
      <c r="V3144" s="8"/>
      <c r="W3144" s="8"/>
    </row>
    <row r="3145" spans="1:23" ht="15.75" customHeight="1" x14ac:dyDescent="0.25">
      <c r="A3145" s="6" t="s">
        <v>4035</v>
      </c>
      <c r="B3145" s="8"/>
      <c r="C3145" s="8"/>
      <c r="D3145" s="8"/>
      <c r="E3145" s="8"/>
      <c r="F3145" s="8"/>
      <c r="G3145" s="8"/>
      <c r="H3145" s="8"/>
      <c r="I3145" s="8"/>
      <c r="J3145" s="8"/>
      <c r="K3145" s="8"/>
      <c r="L3145" s="8"/>
      <c r="M3145" s="8"/>
      <c r="N3145" s="8"/>
      <c r="O3145" s="8"/>
      <c r="P3145" s="8"/>
      <c r="Q3145" s="8"/>
      <c r="R3145" s="8"/>
      <c r="S3145" s="8"/>
      <c r="T3145" s="8"/>
      <c r="U3145" s="8"/>
      <c r="V3145" s="8"/>
      <c r="W3145" s="8"/>
    </row>
    <row r="3146" spans="1:23" ht="15.75" customHeight="1" x14ac:dyDescent="0.25">
      <c r="A3146" s="6" t="s">
        <v>4035</v>
      </c>
      <c r="B3146" s="8"/>
      <c r="C3146" s="8"/>
      <c r="D3146" s="8"/>
      <c r="E3146" s="8"/>
      <c r="F3146" s="8"/>
      <c r="G3146" s="8"/>
      <c r="H3146" s="8"/>
      <c r="I3146" s="8"/>
      <c r="J3146" s="8"/>
      <c r="K3146" s="8"/>
      <c r="L3146" s="8"/>
      <c r="M3146" s="8"/>
      <c r="N3146" s="8"/>
      <c r="O3146" s="8"/>
      <c r="P3146" s="8"/>
      <c r="Q3146" s="8"/>
      <c r="R3146" s="8"/>
      <c r="S3146" s="8"/>
      <c r="T3146" s="8"/>
      <c r="U3146" s="8"/>
      <c r="V3146" s="8"/>
      <c r="W3146" s="8"/>
    </row>
    <row r="3147" spans="1:23" ht="15.75" customHeight="1" x14ac:dyDescent="0.25">
      <c r="A3147" s="6" t="s">
        <v>4357</v>
      </c>
      <c r="B3147" s="8"/>
      <c r="C3147" s="8"/>
      <c r="D3147" s="8"/>
      <c r="E3147" s="8"/>
      <c r="F3147" s="8"/>
      <c r="G3147" s="8"/>
      <c r="H3147" s="8"/>
      <c r="I3147" s="8"/>
      <c r="J3147" s="8"/>
      <c r="K3147" s="8"/>
      <c r="L3147" s="8"/>
      <c r="M3147" s="8"/>
      <c r="N3147" s="8"/>
      <c r="O3147" s="8"/>
      <c r="P3147" s="8"/>
      <c r="Q3147" s="8"/>
      <c r="R3147" s="8"/>
      <c r="S3147" s="8"/>
      <c r="T3147" s="8"/>
      <c r="U3147" s="8"/>
      <c r="V3147" s="8"/>
      <c r="W3147" s="8"/>
    </row>
    <row r="3148" spans="1:23" ht="15.75" customHeight="1" x14ac:dyDescent="0.25">
      <c r="A3148" s="6" t="s">
        <v>4358</v>
      </c>
      <c r="B3148" s="8"/>
      <c r="C3148" s="8"/>
      <c r="D3148" s="8"/>
      <c r="E3148" s="8"/>
      <c r="F3148" s="8"/>
      <c r="G3148" s="8"/>
      <c r="H3148" s="8"/>
      <c r="I3148" s="8"/>
      <c r="J3148" s="8"/>
      <c r="K3148" s="8"/>
      <c r="L3148" s="8"/>
      <c r="M3148" s="8"/>
      <c r="N3148" s="8"/>
      <c r="O3148" s="8"/>
      <c r="P3148" s="8"/>
      <c r="Q3148" s="8"/>
      <c r="R3148" s="8"/>
      <c r="S3148" s="8"/>
      <c r="T3148" s="8"/>
      <c r="U3148" s="8"/>
      <c r="V3148" s="8"/>
      <c r="W3148" s="8"/>
    </row>
    <row r="3149" spans="1:23" ht="15.75" customHeight="1" x14ac:dyDescent="0.25">
      <c r="A3149" s="6" t="s">
        <v>3664</v>
      </c>
      <c r="B3149" s="8"/>
      <c r="C3149" s="8"/>
      <c r="D3149" s="8"/>
      <c r="E3149" s="8"/>
      <c r="F3149" s="8"/>
      <c r="G3149" s="8"/>
      <c r="H3149" s="8"/>
      <c r="I3149" s="8"/>
      <c r="J3149" s="8"/>
      <c r="K3149" s="8"/>
      <c r="L3149" s="8"/>
      <c r="M3149" s="8"/>
      <c r="N3149" s="8"/>
      <c r="O3149" s="8"/>
      <c r="P3149" s="8"/>
      <c r="Q3149" s="8"/>
      <c r="R3149" s="8"/>
      <c r="S3149" s="8"/>
      <c r="T3149" s="8"/>
      <c r="U3149" s="8"/>
      <c r="V3149" s="8"/>
      <c r="W3149" s="8"/>
    </row>
    <row r="3150" spans="1:23" ht="15.75" customHeight="1" x14ac:dyDescent="0.25">
      <c r="A3150" s="6" t="s">
        <v>3664</v>
      </c>
      <c r="B3150" s="8"/>
      <c r="C3150" s="8"/>
      <c r="D3150" s="8"/>
      <c r="E3150" s="8"/>
      <c r="F3150" s="8"/>
      <c r="G3150" s="8"/>
      <c r="H3150" s="8"/>
      <c r="I3150" s="8"/>
      <c r="J3150" s="8"/>
      <c r="K3150" s="8"/>
      <c r="L3150" s="8"/>
      <c r="M3150" s="8"/>
      <c r="N3150" s="8"/>
      <c r="O3150" s="8"/>
      <c r="P3150" s="8"/>
      <c r="Q3150" s="8"/>
      <c r="R3150" s="8"/>
      <c r="S3150" s="8"/>
      <c r="T3150" s="8"/>
      <c r="U3150" s="8"/>
      <c r="V3150" s="8"/>
      <c r="W3150" s="8"/>
    </row>
    <row r="3151" spans="1:23" ht="15.75" customHeight="1" x14ac:dyDescent="0.25">
      <c r="A3151" s="6" t="s">
        <v>3664</v>
      </c>
      <c r="B3151" s="8"/>
      <c r="C3151" s="8"/>
      <c r="D3151" s="8"/>
      <c r="E3151" s="8"/>
      <c r="F3151" s="8"/>
      <c r="G3151" s="8"/>
      <c r="H3151" s="8"/>
      <c r="I3151" s="8"/>
      <c r="J3151" s="8"/>
      <c r="K3151" s="8"/>
      <c r="L3151" s="8"/>
      <c r="M3151" s="8"/>
      <c r="N3151" s="8"/>
      <c r="O3151" s="8"/>
      <c r="P3151" s="8"/>
      <c r="Q3151" s="8"/>
      <c r="R3151" s="8"/>
      <c r="S3151" s="8"/>
      <c r="T3151" s="8"/>
      <c r="U3151" s="8"/>
      <c r="V3151" s="8"/>
      <c r="W3151" s="8"/>
    </row>
    <row r="3152" spans="1:23" ht="15.75" customHeight="1" x14ac:dyDescent="0.25">
      <c r="A3152" s="6" t="s">
        <v>3664</v>
      </c>
      <c r="B3152" s="8"/>
      <c r="C3152" s="8"/>
      <c r="D3152" s="8"/>
      <c r="E3152" s="8"/>
      <c r="F3152" s="8"/>
      <c r="G3152" s="8"/>
      <c r="H3152" s="8"/>
      <c r="I3152" s="8"/>
      <c r="J3152" s="8"/>
      <c r="K3152" s="8"/>
      <c r="L3152" s="8"/>
      <c r="M3152" s="8"/>
      <c r="N3152" s="8"/>
      <c r="O3152" s="8"/>
      <c r="P3152" s="8"/>
      <c r="Q3152" s="8"/>
      <c r="R3152" s="8"/>
      <c r="S3152" s="8"/>
      <c r="T3152" s="8"/>
      <c r="U3152" s="8"/>
      <c r="V3152" s="8"/>
      <c r="W3152" s="8"/>
    </row>
    <row r="3153" spans="1:23" ht="15.75" customHeight="1" x14ac:dyDescent="0.25">
      <c r="A3153" s="6" t="s">
        <v>3239</v>
      </c>
      <c r="B3153" s="8"/>
      <c r="C3153" s="8"/>
      <c r="D3153" s="8"/>
      <c r="E3153" s="8"/>
      <c r="F3153" s="8"/>
      <c r="G3153" s="8"/>
      <c r="H3153" s="8"/>
      <c r="I3153" s="8"/>
      <c r="J3153" s="8"/>
      <c r="K3153" s="8"/>
      <c r="L3153" s="8"/>
      <c r="M3153" s="8"/>
      <c r="N3153" s="8"/>
      <c r="O3153" s="8"/>
      <c r="P3153" s="8"/>
      <c r="Q3153" s="8"/>
      <c r="R3153" s="8"/>
      <c r="S3153" s="8"/>
      <c r="T3153" s="8"/>
      <c r="U3153" s="8"/>
      <c r="V3153" s="8"/>
      <c r="W3153" s="8"/>
    </row>
    <row r="3154" spans="1:23" ht="15.75" customHeight="1" x14ac:dyDescent="0.25">
      <c r="A3154" s="6" t="s">
        <v>3239</v>
      </c>
      <c r="B3154" s="8"/>
      <c r="C3154" s="8"/>
      <c r="D3154" s="8"/>
      <c r="E3154" s="8"/>
      <c r="F3154" s="8"/>
      <c r="G3154" s="8"/>
      <c r="H3154" s="8"/>
      <c r="I3154" s="8"/>
      <c r="J3154" s="8"/>
      <c r="K3154" s="8"/>
      <c r="L3154" s="8"/>
      <c r="M3154" s="8"/>
      <c r="N3154" s="8"/>
      <c r="O3154" s="8"/>
      <c r="P3154" s="8"/>
      <c r="Q3154" s="8"/>
      <c r="R3154" s="8"/>
      <c r="S3154" s="8"/>
      <c r="T3154" s="8"/>
      <c r="U3154" s="8"/>
      <c r="V3154" s="8"/>
      <c r="W3154" s="8"/>
    </row>
    <row r="3155" spans="1:23" ht="15.75" customHeight="1" x14ac:dyDescent="0.25">
      <c r="A3155" s="6" t="s">
        <v>3239</v>
      </c>
      <c r="B3155" s="8"/>
      <c r="C3155" s="8"/>
      <c r="D3155" s="8"/>
      <c r="E3155" s="8"/>
      <c r="F3155" s="8"/>
      <c r="G3155" s="8"/>
      <c r="H3155" s="8"/>
      <c r="I3155" s="8"/>
      <c r="J3155" s="8"/>
      <c r="K3155" s="8"/>
      <c r="L3155" s="8"/>
      <c r="M3155" s="8"/>
      <c r="N3155" s="8"/>
      <c r="O3155" s="8"/>
      <c r="P3155" s="8"/>
      <c r="Q3155" s="8"/>
      <c r="R3155" s="8"/>
      <c r="S3155" s="8"/>
      <c r="T3155" s="8"/>
      <c r="U3155" s="8"/>
      <c r="V3155" s="8"/>
      <c r="W3155" s="8"/>
    </row>
    <row r="3156" spans="1:23" ht="15.75" customHeight="1" x14ac:dyDescent="0.25">
      <c r="A3156" s="6" t="s">
        <v>3239</v>
      </c>
      <c r="B3156" s="8"/>
      <c r="C3156" s="8"/>
      <c r="D3156" s="8"/>
      <c r="E3156" s="8"/>
      <c r="F3156" s="8"/>
      <c r="G3156" s="8"/>
      <c r="H3156" s="8"/>
      <c r="I3156" s="8"/>
      <c r="J3156" s="8"/>
      <c r="K3156" s="8"/>
      <c r="L3156" s="8"/>
      <c r="M3156" s="8"/>
      <c r="N3156" s="8"/>
      <c r="O3156" s="8"/>
      <c r="P3156" s="8"/>
      <c r="Q3156" s="8"/>
      <c r="R3156" s="8"/>
      <c r="S3156" s="8"/>
      <c r="T3156" s="8"/>
      <c r="U3156" s="8"/>
      <c r="V3156" s="8"/>
      <c r="W3156" s="8"/>
    </row>
    <row r="3157" spans="1:23" ht="15.75" customHeight="1" x14ac:dyDescent="0.25">
      <c r="A3157" s="6" t="s">
        <v>3239</v>
      </c>
      <c r="B3157" s="8"/>
      <c r="C3157" s="8"/>
      <c r="D3157" s="8"/>
      <c r="E3157" s="8"/>
      <c r="F3157" s="8"/>
      <c r="G3157" s="8"/>
      <c r="H3157" s="8"/>
      <c r="I3157" s="8"/>
      <c r="J3157" s="8"/>
      <c r="K3157" s="8"/>
      <c r="L3157" s="8"/>
      <c r="M3157" s="8"/>
      <c r="N3157" s="8"/>
      <c r="O3157" s="8"/>
      <c r="P3157" s="8"/>
      <c r="Q3157" s="8"/>
      <c r="R3157" s="8"/>
      <c r="S3157" s="8"/>
      <c r="T3157" s="8"/>
      <c r="U3157" s="8"/>
      <c r="V3157" s="8"/>
      <c r="W3157" s="8"/>
    </row>
    <row r="3158" spans="1:23" ht="15.75" customHeight="1" x14ac:dyDescent="0.25">
      <c r="A3158" s="6" t="s">
        <v>3239</v>
      </c>
      <c r="B3158" s="8"/>
      <c r="C3158" s="8"/>
      <c r="D3158" s="8"/>
      <c r="E3158" s="8"/>
      <c r="F3158" s="8"/>
      <c r="G3158" s="8"/>
      <c r="H3158" s="8"/>
      <c r="I3158" s="8"/>
      <c r="J3158" s="8"/>
      <c r="K3158" s="8"/>
      <c r="L3158" s="8"/>
      <c r="M3158" s="8"/>
      <c r="N3158" s="8"/>
      <c r="O3158" s="8"/>
      <c r="P3158" s="8"/>
      <c r="Q3158" s="8"/>
      <c r="R3158" s="8"/>
      <c r="S3158" s="8"/>
      <c r="T3158" s="8"/>
      <c r="U3158" s="8"/>
      <c r="V3158" s="8"/>
      <c r="W3158" s="8"/>
    </row>
    <row r="3159" spans="1:23" ht="15.75" customHeight="1" x14ac:dyDescent="0.25">
      <c r="A3159" s="6" t="s">
        <v>3239</v>
      </c>
      <c r="B3159" s="8"/>
      <c r="C3159" s="8"/>
      <c r="D3159" s="8"/>
      <c r="E3159" s="8"/>
      <c r="F3159" s="8"/>
      <c r="G3159" s="8"/>
      <c r="H3159" s="8"/>
      <c r="I3159" s="8"/>
      <c r="J3159" s="8"/>
      <c r="K3159" s="8"/>
      <c r="L3159" s="8"/>
      <c r="M3159" s="8"/>
      <c r="N3159" s="8"/>
      <c r="O3159" s="8"/>
      <c r="P3159" s="8"/>
      <c r="Q3159" s="8"/>
      <c r="R3159" s="8"/>
      <c r="S3159" s="8"/>
      <c r="T3159" s="8"/>
      <c r="U3159" s="8"/>
      <c r="V3159" s="8"/>
      <c r="W3159" s="8"/>
    </row>
    <row r="3160" spans="1:23" ht="15.75" customHeight="1" x14ac:dyDescent="0.25">
      <c r="A3160" s="6" t="s">
        <v>3239</v>
      </c>
      <c r="B3160" s="8"/>
      <c r="C3160" s="8"/>
      <c r="D3160" s="8"/>
      <c r="E3160" s="8"/>
      <c r="F3160" s="8"/>
      <c r="G3160" s="8"/>
      <c r="H3160" s="8"/>
      <c r="I3160" s="8"/>
      <c r="J3160" s="8"/>
      <c r="K3160" s="8"/>
      <c r="L3160" s="8"/>
      <c r="M3160" s="8"/>
      <c r="N3160" s="8"/>
      <c r="O3160" s="8"/>
      <c r="P3160" s="8"/>
      <c r="Q3160" s="8"/>
      <c r="R3160" s="8"/>
      <c r="S3160" s="8"/>
      <c r="T3160" s="8"/>
      <c r="U3160" s="8"/>
      <c r="V3160" s="8"/>
      <c r="W3160" s="8"/>
    </row>
    <row r="3161" spans="1:23" ht="15.75" customHeight="1" x14ac:dyDescent="0.25">
      <c r="A3161" s="6" t="s">
        <v>3239</v>
      </c>
      <c r="B3161" s="8"/>
      <c r="C3161" s="8"/>
      <c r="D3161" s="8"/>
      <c r="E3161" s="8"/>
      <c r="F3161" s="8"/>
      <c r="G3161" s="8"/>
      <c r="H3161" s="8"/>
      <c r="I3161" s="8"/>
      <c r="J3161" s="8"/>
      <c r="K3161" s="8"/>
      <c r="L3161" s="8"/>
      <c r="M3161" s="8"/>
      <c r="N3161" s="8"/>
      <c r="O3161" s="8"/>
      <c r="P3161" s="8"/>
      <c r="Q3161" s="8"/>
      <c r="R3161" s="8"/>
      <c r="S3161" s="8"/>
      <c r="T3161" s="8"/>
      <c r="U3161" s="8"/>
      <c r="V3161" s="8"/>
      <c r="W3161" s="8"/>
    </row>
    <row r="3162" spans="1:23" ht="15.75" customHeight="1" x14ac:dyDescent="0.25">
      <c r="A3162" s="6" t="s">
        <v>3239</v>
      </c>
      <c r="B3162" s="8"/>
      <c r="C3162" s="8"/>
      <c r="D3162" s="8"/>
      <c r="E3162" s="8"/>
      <c r="F3162" s="8"/>
      <c r="G3162" s="8"/>
      <c r="H3162" s="8"/>
      <c r="I3162" s="8"/>
      <c r="J3162" s="8"/>
      <c r="K3162" s="8"/>
      <c r="L3162" s="8"/>
      <c r="M3162" s="8"/>
      <c r="N3162" s="8"/>
      <c r="O3162" s="8"/>
      <c r="P3162" s="8"/>
      <c r="Q3162" s="8"/>
      <c r="R3162" s="8"/>
      <c r="S3162" s="8"/>
      <c r="T3162" s="8"/>
      <c r="U3162" s="8"/>
      <c r="V3162" s="8"/>
      <c r="W3162" s="8"/>
    </row>
    <row r="3163" spans="1:23" ht="15.75" customHeight="1" x14ac:dyDescent="0.25">
      <c r="A3163" s="6" t="s">
        <v>3239</v>
      </c>
      <c r="B3163" s="8"/>
      <c r="C3163" s="8"/>
      <c r="D3163" s="8"/>
      <c r="E3163" s="8"/>
      <c r="F3163" s="8"/>
      <c r="G3163" s="8"/>
      <c r="H3163" s="8"/>
      <c r="I3163" s="8"/>
      <c r="J3163" s="8"/>
      <c r="K3163" s="8"/>
      <c r="L3163" s="8"/>
      <c r="M3163" s="8"/>
      <c r="N3163" s="8"/>
      <c r="O3163" s="8"/>
      <c r="P3163" s="8"/>
      <c r="Q3163" s="8"/>
      <c r="R3163" s="8"/>
      <c r="S3163" s="8"/>
      <c r="T3163" s="8"/>
      <c r="U3163" s="8"/>
      <c r="V3163" s="8"/>
      <c r="W3163" s="8"/>
    </row>
    <row r="3164" spans="1:23" ht="15.75" customHeight="1" x14ac:dyDescent="0.25">
      <c r="A3164" s="6" t="s">
        <v>3239</v>
      </c>
      <c r="B3164" s="8"/>
      <c r="C3164" s="8"/>
      <c r="D3164" s="8"/>
      <c r="E3164" s="8"/>
      <c r="F3164" s="8"/>
      <c r="G3164" s="8"/>
      <c r="H3164" s="8"/>
      <c r="I3164" s="8"/>
      <c r="J3164" s="8"/>
      <c r="K3164" s="8"/>
      <c r="L3164" s="8"/>
      <c r="M3164" s="8"/>
      <c r="N3164" s="8"/>
      <c r="O3164" s="8"/>
      <c r="P3164" s="8"/>
      <c r="Q3164" s="8"/>
      <c r="R3164" s="8"/>
      <c r="S3164" s="8"/>
      <c r="T3164" s="8"/>
      <c r="U3164" s="8"/>
      <c r="V3164" s="8"/>
      <c r="W3164" s="8"/>
    </row>
    <row r="3165" spans="1:23" ht="15.75" customHeight="1" x14ac:dyDescent="0.25">
      <c r="A3165" s="6" t="s">
        <v>3239</v>
      </c>
      <c r="B3165" s="8"/>
      <c r="C3165" s="8"/>
      <c r="D3165" s="8"/>
      <c r="E3165" s="8"/>
      <c r="F3165" s="8"/>
      <c r="G3165" s="8"/>
      <c r="H3165" s="8"/>
      <c r="I3165" s="8"/>
      <c r="J3165" s="8"/>
      <c r="K3165" s="8"/>
      <c r="L3165" s="8"/>
      <c r="M3165" s="8"/>
      <c r="N3165" s="8"/>
      <c r="O3165" s="8"/>
      <c r="P3165" s="8"/>
      <c r="Q3165" s="8"/>
      <c r="R3165" s="8"/>
      <c r="S3165" s="8"/>
      <c r="T3165" s="8"/>
      <c r="U3165" s="8"/>
      <c r="V3165" s="8"/>
      <c r="W3165" s="8"/>
    </row>
    <row r="3166" spans="1:23" ht="15.75" customHeight="1" x14ac:dyDescent="0.25">
      <c r="A3166" s="6" t="s">
        <v>3239</v>
      </c>
      <c r="B3166" s="8"/>
      <c r="C3166" s="8"/>
      <c r="D3166" s="8"/>
      <c r="E3166" s="8"/>
      <c r="F3166" s="8"/>
      <c r="G3166" s="8"/>
      <c r="H3166" s="8"/>
      <c r="I3166" s="8"/>
      <c r="J3166" s="8"/>
      <c r="K3166" s="8"/>
      <c r="L3166" s="8"/>
      <c r="M3166" s="8"/>
      <c r="N3166" s="8"/>
      <c r="O3166" s="8"/>
      <c r="P3166" s="8"/>
      <c r="Q3166" s="8"/>
      <c r="R3166" s="8"/>
      <c r="S3166" s="8"/>
      <c r="T3166" s="8"/>
      <c r="U3166" s="8"/>
      <c r="V3166" s="8"/>
      <c r="W3166" s="8"/>
    </row>
    <row r="3167" spans="1:23" ht="15.75" customHeight="1" x14ac:dyDescent="0.25">
      <c r="A3167" s="6" t="s">
        <v>3239</v>
      </c>
      <c r="B3167" s="8"/>
      <c r="C3167" s="8"/>
      <c r="D3167" s="8"/>
      <c r="E3167" s="8"/>
      <c r="F3167" s="8"/>
      <c r="G3167" s="8"/>
      <c r="H3167" s="8"/>
      <c r="I3167" s="8"/>
      <c r="J3167" s="8"/>
      <c r="K3167" s="8"/>
      <c r="L3167" s="8"/>
      <c r="M3167" s="8"/>
      <c r="N3167" s="8"/>
      <c r="O3167" s="8"/>
      <c r="P3167" s="8"/>
      <c r="Q3167" s="8"/>
      <c r="R3167" s="8"/>
      <c r="S3167" s="8"/>
      <c r="T3167" s="8"/>
      <c r="U3167" s="8"/>
      <c r="V3167" s="8"/>
      <c r="W3167" s="8"/>
    </row>
    <row r="3168" spans="1:23" ht="15.75" customHeight="1" x14ac:dyDescent="0.25">
      <c r="A3168" s="6" t="s">
        <v>3239</v>
      </c>
      <c r="B3168" s="8"/>
      <c r="C3168" s="8"/>
      <c r="D3168" s="8"/>
      <c r="E3168" s="8"/>
      <c r="F3168" s="8"/>
      <c r="G3168" s="8"/>
      <c r="H3168" s="8"/>
      <c r="I3168" s="8"/>
      <c r="J3168" s="8"/>
      <c r="K3168" s="8"/>
      <c r="L3168" s="8"/>
      <c r="M3168" s="8"/>
      <c r="N3168" s="8"/>
      <c r="O3168" s="8"/>
      <c r="P3168" s="8"/>
      <c r="Q3168" s="8"/>
      <c r="R3168" s="8"/>
      <c r="S3168" s="8"/>
      <c r="T3168" s="8"/>
      <c r="U3168" s="8"/>
      <c r="V3168" s="8"/>
      <c r="W3168" s="8"/>
    </row>
    <row r="3169" spans="1:23" ht="15.75" customHeight="1" x14ac:dyDescent="0.25">
      <c r="A3169" s="6" t="s">
        <v>3239</v>
      </c>
      <c r="B3169" s="8"/>
      <c r="C3169" s="8"/>
      <c r="D3169" s="8"/>
      <c r="E3169" s="8"/>
      <c r="F3169" s="8"/>
      <c r="G3169" s="8"/>
      <c r="H3169" s="8"/>
      <c r="I3169" s="8"/>
      <c r="J3169" s="8"/>
      <c r="K3169" s="8"/>
      <c r="L3169" s="8"/>
      <c r="M3169" s="8"/>
      <c r="N3169" s="8"/>
      <c r="O3169" s="8"/>
      <c r="P3169" s="8"/>
      <c r="Q3169" s="8"/>
      <c r="R3169" s="8"/>
      <c r="S3169" s="8"/>
      <c r="T3169" s="8"/>
      <c r="U3169" s="8"/>
      <c r="V3169" s="8"/>
      <c r="W3169" s="8"/>
    </row>
    <row r="3170" spans="1:23" ht="15.75" customHeight="1" x14ac:dyDescent="0.25">
      <c r="A3170" s="6" t="s">
        <v>3239</v>
      </c>
      <c r="B3170" s="8"/>
      <c r="C3170" s="8"/>
      <c r="D3170" s="8"/>
      <c r="E3170" s="8"/>
      <c r="F3170" s="8"/>
      <c r="G3170" s="8"/>
      <c r="H3170" s="8"/>
      <c r="I3170" s="8"/>
      <c r="J3170" s="8"/>
      <c r="K3170" s="8"/>
      <c r="L3170" s="8"/>
      <c r="M3170" s="8"/>
      <c r="N3170" s="8"/>
      <c r="O3170" s="8"/>
      <c r="P3170" s="8"/>
      <c r="Q3170" s="8"/>
      <c r="R3170" s="8"/>
      <c r="S3170" s="8"/>
      <c r="T3170" s="8"/>
      <c r="U3170" s="8"/>
      <c r="V3170" s="8"/>
      <c r="W3170" s="8"/>
    </row>
    <row r="3171" spans="1:23" ht="15.75" customHeight="1" x14ac:dyDescent="0.25">
      <c r="A3171" s="6" t="s">
        <v>3239</v>
      </c>
      <c r="B3171" s="8"/>
      <c r="C3171" s="8"/>
      <c r="D3171" s="8"/>
      <c r="E3171" s="8"/>
      <c r="F3171" s="8"/>
      <c r="G3171" s="8"/>
      <c r="H3171" s="8"/>
      <c r="I3171" s="8"/>
      <c r="J3171" s="8"/>
      <c r="K3171" s="8"/>
      <c r="L3171" s="8"/>
      <c r="M3171" s="8"/>
      <c r="N3171" s="8"/>
      <c r="O3171" s="8"/>
      <c r="P3171" s="8"/>
      <c r="Q3171" s="8"/>
      <c r="R3171" s="8"/>
      <c r="S3171" s="8"/>
      <c r="T3171" s="8"/>
      <c r="U3171" s="8"/>
      <c r="V3171" s="8"/>
      <c r="W3171" s="8"/>
    </row>
    <row r="3172" spans="1:23" ht="15.75" customHeight="1" x14ac:dyDescent="0.25">
      <c r="A3172" s="6" t="s">
        <v>3239</v>
      </c>
      <c r="B3172" s="8"/>
      <c r="C3172" s="8"/>
      <c r="D3172" s="8"/>
      <c r="E3172" s="8"/>
      <c r="F3172" s="8"/>
      <c r="G3172" s="8"/>
      <c r="H3172" s="8"/>
      <c r="I3172" s="8"/>
      <c r="J3172" s="8"/>
      <c r="K3172" s="8"/>
      <c r="L3172" s="8"/>
      <c r="M3172" s="8"/>
      <c r="N3172" s="8"/>
      <c r="O3172" s="8"/>
      <c r="P3172" s="8"/>
      <c r="Q3172" s="8"/>
      <c r="R3172" s="8"/>
      <c r="S3172" s="8"/>
      <c r="T3172" s="8"/>
      <c r="U3172" s="8"/>
      <c r="V3172" s="8"/>
      <c r="W3172" s="8"/>
    </row>
    <row r="3173" spans="1:23" ht="15.75" customHeight="1" x14ac:dyDescent="0.25">
      <c r="A3173" s="6" t="s">
        <v>3239</v>
      </c>
      <c r="B3173" s="8"/>
      <c r="C3173" s="8"/>
      <c r="D3173" s="8"/>
      <c r="E3173" s="8"/>
      <c r="F3173" s="8"/>
      <c r="G3173" s="8"/>
      <c r="H3173" s="8"/>
      <c r="I3173" s="8"/>
      <c r="J3173" s="8"/>
      <c r="K3173" s="8"/>
      <c r="L3173" s="8"/>
      <c r="M3173" s="8"/>
      <c r="N3173" s="8"/>
      <c r="O3173" s="8"/>
      <c r="P3173" s="8"/>
      <c r="Q3173" s="8"/>
      <c r="R3173" s="8"/>
      <c r="S3173" s="8"/>
      <c r="T3173" s="8"/>
      <c r="U3173" s="8"/>
      <c r="V3173" s="8"/>
      <c r="W3173" s="8"/>
    </row>
    <row r="3174" spans="1:23" ht="15.75" customHeight="1" x14ac:dyDescent="0.25">
      <c r="A3174" s="6" t="s">
        <v>3239</v>
      </c>
      <c r="B3174" s="8"/>
      <c r="C3174" s="8"/>
      <c r="D3174" s="8"/>
      <c r="E3174" s="8"/>
      <c r="F3174" s="8"/>
      <c r="G3174" s="8"/>
      <c r="H3174" s="8"/>
      <c r="I3174" s="8"/>
      <c r="J3174" s="8"/>
      <c r="K3174" s="8"/>
      <c r="L3174" s="8"/>
      <c r="M3174" s="8"/>
      <c r="N3174" s="8"/>
      <c r="O3174" s="8"/>
      <c r="P3174" s="8"/>
      <c r="Q3174" s="8"/>
      <c r="R3174" s="8"/>
      <c r="S3174" s="8"/>
      <c r="T3174" s="8"/>
      <c r="U3174" s="8"/>
      <c r="V3174" s="8"/>
      <c r="W3174" s="8"/>
    </row>
    <row r="3175" spans="1:23" ht="15.75" customHeight="1" x14ac:dyDescent="0.25">
      <c r="A3175" s="6" t="s">
        <v>3239</v>
      </c>
      <c r="B3175" s="8"/>
      <c r="C3175" s="8"/>
      <c r="D3175" s="8"/>
      <c r="E3175" s="8"/>
      <c r="F3175" s="8"/>
      <c r="G3175" s="8"/>
      <c r="H3175" s="8"/>
      <c r="I3175" s="8"/>
      <c r="J3175" s="8"/>
      <c r="K3175" s="8"/>
      <c r="L3175" s="8"/>
      <c r="M3175" s="8"/>
      <c r="N3175" s="8"/>
      <c r="O3175" s="8"/>
      <c r="P3175" s="8"/>
      <c r="Q3175" s="8"/>
      <c r="R3175" s="8"/>
      <c r="S3175" s="8"/>
      <c r="T3175" s="8"/>
      <c r="U3175" s="8"/>
      <c r="V3175" s="8"/>
      <c r="W3175" s="8"/>
    </row>
    <row r="3176" spans="1:23" ht="15.75" customHeight="1" x14ac:dyDescent="0.25">
      <c r="A3176" s="6" t="s">
        <v>3239</v>
      </c>
      <c r="B3176" s="8"/>
      <c r="C3176" s="8"/>
      <c r="D3176" s="8"/>
      <c r="E3176" s="8"/>
      <c r="F3176" s="8"/>
      <c r="G3176" s="8"/>
      <c r="H3176" s="8"/>
      <c r="I3176" s="8"/>
      <c r="J3176" s="8"/>
      <c r="K3176" s="8"/>
      <c r="L3176" s="8"/>
      <c r="M3176" s="8"/>
      <c r="N3176" s="8"/>
      <c r="O3176" s="8"/>
      <c r="P3176" s="8"/>
      <c r="Q3176" s="8"/>
      <c r="R3176" s="8"/>
      <c r="S3176" s="8"/>
      <c r="T3176" s="8"/>
      <c r="U3176" s="8"/>
      <c r="V3176" s="8"/>
      <c r="W3176" s="8"/>
    </row>
    <row r="3177" spans="1:23" ht="15.75" customHeight="1" x14ac:dyDescent="0.25">
      <c r="A3177" s="6" t="s">
        <v>3239</v>
      </c>
      <c r="B3177" s="8"/>
      <c r="C3177" s="8"/>
      <c r="D3177" s="8"/>
      <c r="E3177" s="8"/>
      <c r="F3177" s="8"/>
      <c r="G3177" s="8"/>
      <c r="H3177" s="8"/>
      <c r="I3177" s="8"/>
      <c r="J3177" s="8"/>
      <c r="K3177" s="8"/>
      <c r="L3177" s="8"/>
      <c r="M3177" s="8"/>
      <c r="N3177" s="8"/>
      <c r="O3177" s="8"/>
      <c r="P3177" s="8"/>
      <c r="Q3177" s="8"/>
      <c r="R3177" s="8"/>
      <c r="S3177" s="8"/>
      <c r="T3177" s="8"/>
      <c r="U3177" s="8"/>
      <c r="V3177" s="8"/>
      <c r="W3177" s="8"/>
    </row>
    <row r="3178" spans="1:23" ht="15.75" customHeight="1" x14ac:dyDescent="0.25">
      <c r="A3178" s="6" t="s">
        <v>3239</v>
      </c>
      <c r="B3178" s="8"/>
      <c r="C3178" s="8"/>
      <c r="D3178" s="8"/>
      <c r="E3178" s="8"/>
      <c r="F3178" s="8"/>
      <c r="G3178" s="8"/>
      <c r="H3178" s="8"/>
      <c r="I3178" s="8"/>
      <c r="J3178" s="8"/>
      <c r="K3178" s="8"/>
      <c r="L3178" s="8"/>
      <c r="M3178" s="8"/>
      <c r="N3178" s="8"/>
      <c r="O3178" s="8"/>
      <c r="P3178" s="8"/>
      <c r="Q3178" s="8"/>
      <c r="R3178" s="8"/>
      <c r="S3178" s="8"/>
      <c r="T3178" s="8"/>
      <c r="U3178" s="8"/>
      <c r="V3178" s="8"/>
      <c r="W3178" s="8"/>
    </row>
    <row r="3179" spans="1:23" ht="15.75" customHeight="1" x14ac:dyDescent="0.25">
      <c r="A3179" s="6" t="s">
        <v>3239</v>
      </c>
      <c r="B3179" s="8"/>
      <c r="C3179" s="8"/>
      <c r="D3179" s="8"/>
      <c r="E3179" s="8"/>
      <c r="F3179" s="8"/>
      <c r="G3179" s="8"/>
      <c r="H3179" s="8"/>
      <c r="I3179" s="8"/>
      <c r="J3179" s="8"/>
      <c r="K3179" s="8"/>
      <c r="L3179" s="8"/>
      <c r="M3179" s="8"/>
      <c r="N3179" s="8"/>
      <c r="O3179" s="8"/>
      <c r="P3179" s="8"/>
      <c r="Q3179" s="8"/>
      <c r="R3179" s="8"/>
      <c r="S3179" s="8"/>
      <c r="T3179" s="8"/>
      <c r="U3179" s="8"/>
      <c r="V3179" s="8"/>
      <c r="W3179" s="8"/>
    </row>
    <row r="3180" spans="1:23" ht="15.75" customHeight="1" x14ac:dyDescent="0.25">
      <c r="A3180" s="6" t="s">
        <v>3239</v>
      </c>
      <c r="B3180" s="8"/>
      <c r="C3180" s="8"/>
      <c r="D3180" s="8"/>
      <c r="E3180" s="8"/>
      <c r="F3180" s="8"/>
      <c r="G3180" s="8"/>
      <c r="H3180" s="8"/>
      <c r="I3180" s="8"/>
      <c r="J3180" s="8"/>
      <c r="K3180" s="8"/>
      <c r="L3180" s="8"/>
      <c r="M3180" s="8"/>
      <c r="N3180" s="8"/>
      <c r="O3180" s="8"/>
      <c r="P3180" s="8"/>
      <c r="Q3180" s="8"/>
      <c r="R3180" s="8"/>
      <c r="S3180" s="8"/>
      <c r="T3180" s="8"/>
      <c r="U3180" s="8"/>
      <c r="V3180" s="8"/>
      <c r="W3180" s="8"/>
    </row>
    <row r="3181" spans="1:23" ht="15.75" customHeight="1" x14ac:dyDescent="0.25">
      <c r="A3181" s="6" t="s">
        <v>3239</v>
      </c>
      <c r="B3181" s="8"/>
      <c r="C3181" s="8"/>
      <c r="D3181" s="8"/>
      <c r="E3181" s="8"/>
      <c r="F3181" s="8"/>
      <c r="G3181" s="8"/>
      <c r="H3181" s="8"/>
      <c r="I3181" s="8"/>
      <c r="J3181" s="8"/>
      <c r="K3181" s="8"/>
      <c r="L3181" s="8"/>
      <c r="M3181" s="8"/>
      <c r="N3181" s="8"/>
      <c r="O3181" s="8"/>
      <c r="P3181" s="8"/>
      <c r="Q3181" s="8"/>
      <c r="R3181" s="8"/>
      <c r="S3181" s="8"/>
      <c r="T3181" s="8"/>
      <c r="U3181" s="8"/>
      <c r="V3181" s="8"/>
      <c r="W3181" s="8"/>
    </row>
    <row r="3182" spans="1:23" ht="15.75" customHeight="1" x14ac:dyDescent="0.25">
      <c r="A3182" s="6" t="s">
        <v>3239</v>
      </c>
      <c r="B3182" s="8"/>
      <c r="C3182" s="8"/>
      <c r="D3182" s="8"/>
      <c r="E3182" s="8"/>
      <c r="F3182" s="8"/>
      <c r="G3182" s="8"/>
      <c r="H3182" s="8"/>
      <c r="I3182" s="8"/>
      <c r="J3182" s="8"/>
      <c r="K3182" s="8"/>
      <c r="L3182" s="8"/>
      <c r="M3182" s="8"/>
      <c r="N3182" s="8"/>
      <c r="O3182" s="8"/>
      <c r="P3182" s="8"/>
      <c r="Q3182" s="8"/>
      <c r="R3182" s="8"/>
      <c r="S3182" s="8"/>
      <c r="T3182" s="8"/>
      <c r="U3182" s="8"/>
      <c r="V3182" s="8"/>
      <c r="W3182" s="8"/>
    </row>
    <row r="3183" spans="1:23" ht="15.75" customHeight="1" x14ac:dyDescent="0.25">
      <c r="A3183" s="6" t="s">
        <v>3239</v>
      </c>
      <c r="B3183" s="8"/>
      <c r="C3183" s="8"/>
      <c r="D3183" s="8"/>
      <c r="E3183" s="8"/>
      <c r="F3183" s="8"/>
      <c r="G3183" s="8"/>
      <c r="H3183" s="8"/>
      <c r="I3183" s="8"/>
      <c r="J3183" s="8"/>
      <c r="K3183" s="8"/>
      <c r="L3183" s="8"/>
      <c r="M3183" s="8"/>
      <c r="N3183" s="8"/>
      <c r="O3183" s="8"/>
      <c r="P3183" s="8"/>
      <c r="Q3183" s="8"/>
      <c r="R3183" s="8"/>
      <c r="S3183" s="8"/>
      <c r="T3183" s="8"/>
      <c r="U3183" s="8"/>
      <c r="V3183" s="8"/>
      <c r="W3183" s="8"/>
    </row>
    <row r="3184" spans="1:23" ht="15.75" customHeight="1" x14ac:dyDescent="0.25">
      <c r="A3184" s="6" t="s">
        <v>3532</v>
      </c>
      <c r="B3184" s="8"/>
      <c r="C3184" s="8"/>
      <c r="D3184" s="8"/>
      <c r="E3184" s="8"/>
      <c r="F3184" s="8"/>
      <c r="G3184" s="8"/>
      <c r="H3184" s="8"/>
      <c r="I3184" s="8"/>
      <c r="J3184" s="8"/>
      <c r="K3184" s="8"/>
      <c r="L3184" s="8"/>
      <c r="M3184" s="8"/>
      <c r="N3184" s="8"/>
      <c r="O3184" s="8"/>
      <c r="P3184" s="8"/>
      <c r="Q3184" s="8"/>
      <c r="R3184" s="8"/>
      <c r="S3184" s="8"/>
      <c r="T3184" s="8"/>
      <c r="U3184" s="8"/>
      <c r="V3184" s="8"/>
      <c r="W3184" s="8"/>
    </row>
    <row r="3185" spans="1:23" ht="15.75" customHeight="1" x14ac:dyDescent="0.25">
      <c r="A3185" s="6" t="s">
        <v>3532</v>
      </c>
      <c r="B3185" s="8"/>
      <c r="C3185" s="8"/>
      <c r="D3185" s="8"/>
      <c r="E3185" s="8"/>
      <c r="F3185" s="8"/>
      <c r="G3185" s="8"/>
      <c r="H3185" s="8"/>
      <c r="I3185" s="8"/>
      <c r="J3185" s="8"/>
      <c r="K3185" s="8"/>
      <c r="L3185" s="8"/>
      <c r="M3185" s="8"/>
      <c r="N3185" s="8"/>
      <c r="O3185" s="8"/>
      <c r="P3185" s="8"/>
      <c r="Q3185" s="8"/>
      <c r="R3185" s="8"/>
      <c r="S3185" s="8"/>
      <c r="T3185" s="8"/>
      <c r="U3185" s="8"/>
      <c r="V3185" s="8"/>
      <c r="W3185" s="8"/>
    </row>
    <row r="3186" spans="1:23" ht="15.75" customHeight="1" x14ac:dyDescent="0.25">
      <c r="A3186" s="6" t="s">
        <v>3532</v>
      </c>
      <c r="B3186" s="8"/>
      <c r="C3186" s="8"/>
      <c r="D3186" s="8"/>
      <c r="E3186" s="8"/>
      <c r="F3186" s="8"/>
      <c r="G3186" s="8"/>
      <c r="H3186" s="8"/>
      <c r="I3186" s="8"/>
      <c r="J3186" s="8"/>
      <c r="K3186" s="8"/>
      <c r="L3186" s="8"/>
      <c r="M3186" s="8"/>
      <c r="N3186" s="8"/>
      <c r="O3186" s="8"/>
      <c r="P3186" s="8"/>
      <c r="Q3186" s="8"/>
      <c r="R3186" s="8"/>
      <c r="S3186" s="8"/>
      <c r="T3186" s="8"/>
      <c r="U3186" s="8"/>
      <c r="V3186" s="8"/>
      <c r="W3186" s="8"/>
    </row>
    <row r="3187" spans="1:23" ht="15.75" customHeight="1" x14ac:dyDescent="0.25">
      <c r="A3187" s="6" t="s">
        <v>3532</v>
      </c>
      <c r="B3187" s="8"/>
      <c r="C3187" s="8"/>
      <c r="D3187" s="8"/>
      <c r="E3187" s="8"/>
      <c r="F3187" s="8"/>
      <c r="G3187" s="8"/>
      <c r="H3187" s="8"/>
      <c r="I3187" s="8"/>
      <c r="J3187" s="8"/>
      <c r="K3187" s="8"/>
      <c r="L3187" s="8"/>
      <c r="M3187" s="8"/>
      <c r="N3187" s="8"/>
      <c r="O3187" s="8"/>
      <c r="P3187" s="8"/>
      <c r="Q3187" s="8"/>
      <c r="R3187" s="8"/>
      <c r="S3187" s="8"/>
      <c r="T3187" s="8"/>
      <c r="U3187" s="8"/>
      <c r="V3187" s="8"/>
      <c r="W3187" s="8"/>
    </row>
    <row r="3188" spans="1:23" ht="15.75" customHeight="1" x14ac:dyDescent="0.25">
      <c r="A3188" s="6" t="s">
        <v>3532</v>
      </c>
      <c r="B3188" s="8"/>
      <c r="C3188" s="8"/>
      <c r="D3188" s="8"/>
      <c r="E3188" s="8"/>
      <c r="F3188" s="8"/>
      <c r="G3188" s="8"/>
      <c r="H3188" s="8"/>
      <c r="I3188" s="8"/>
      <c r="J3188" s="8"/>
      <c r="K3188" s="8"/>
      <c r="L3188" s="8"/>
      <c r="M3188" s="8"/>
      <c r="N3188" s="8"/>
      <c r="O3188" s="8"/>
      <c r="P3188" s="8"/>
      <c r="Q3188" s="8"/>
      <c r="R3188" s="8"/>
      <c r="S3188" s="8"/>
      <c r="T3188" s="8"/>
      <c r="U3188" s="8"/>
      <c r="V3188" s="8"/>
      <c r="W3188" s="8"/>
    </row>
    <row r="3189" spans="1:23" ht="15.75" customHeight="1" x14ac:dyDescent="0.25">
      <c r="A3189" s="6" t="s">
        <v>3532</v>
      </c>
      <c r="B3189" s="8"/>
      <c r="C3189" s="8"/>
      <c r="D3189" s="8"/>
      <c r="E3189" s="8"/>
      <c r="F3189" s="8"/>
      <c r="G3189" s="8"/>
      <c r="H3189" s="8"/>
      <c r="I3189" s="8"/>
      <c r="J3189" s="8"/>
      <c r="K3189" s="8"/>
      <c r="L3189" s="8"/>
      <c r="M3189" s="8"/>
      <c r="N3189" s="8"/>
      <c r="O3189" s="8"/>
      <c r="P3189" s="8"/>
      <c r="Q3189" s="8"/>
      <c r="R3189" s="8"/>
      <c r="S3189" s="8"/>
      <c r="T3189" s="8"/>
      <c r="U3189" s="8"/>
      <c r="V3189" s="8"/>
      <c r="W3189" s="8"/>
    </row>
    <row r="3190" spans="1:23" ht="15.75" customHeight="1" x14ac:dyDescent="0.25">
      <c r="A3190" s="6" t="s">
        <v>4359</v>
      </c>
      <c r="B3190" s="8"/>
      <c r="C3190" s="8"/>
      <c r="D3190" s="8"/>
      <c r="E3190" s="8"/>
      <c r="F3190" s="8"/>
      <c r="G3190" s="8"/>
      <c r="H3190" s="8"/>
      <c r="I3190" s="8"/>
      <c r="J3190" s="8"/>
      <c r="K3190" s="8"/>
      <c r="L3190" s="8"/>
      <c r="M3190" s="8"/>
      <c r="N3190" s="8"/>
      <c r="O3190" s="8"/>
      <c r="P3190" s="8"/>
      <c r="Q3190" s="8"/>
      <c r="R3190" s="8"/>
      <c r="S3190" s="8"/>
      <c r="T3190" s="8"/>
      <c r="U3190" s="8"/>
      <c r="V3190" s="8"/>
      <c r="W3190" s="8"/>
    </row>
    <row r="3191" spans="1:23" ht="15.75" customHeight="1" x14ac:dyDescent="0.25">
      <c r="A3191" s="6" t="s">
        <v>4360</v>
      </c>
      <c r="B3191" s="8"/>
      <c r="C3191" s="8"/>
      <c r="D3191" s="8"/>
      <c r="E3191" s="8"/>
      <c r="F3191" s="8"/>
      <c r="G3191" s="8"/>
      <c r="H3191" s="8"/>
      <c r="I3191" s="8"/>
      <c r="J3191" s="8"/>
      <c r="K3191" s="8"/>
      <c r="L3191" s="8"/>
      <c r="M3191" s="8"/>
      <c r="N3191" s="8"/>
      <c r="O3191" s="8"/>
      <c r="P3191" s="8"/>
      <c r="Q3191" s="8"/>
      <c r="R3191" s="8"/>
      <c r="S3191" s="8"/>
      <c r="T3191" s="8"/>
      <c r="U3191" s="8"/>
      <c r="V3191" s="8"/>
      <c r="W3191" s="8"/>
    </row>
    <row r="3192" spans="1:23" ht="15.75" customHeight="1" x14ac:dyDescent="0.25">
      <c r="A3192" s="6" t="s">
        <v>4361</v>
      </c>
      <c r="B3192" s="8"/>
      <c r="C3192" s="8"/>
      <c r="D3192" s="8"/>
      <c r="E3192" s="8"/>
      <c r="F3192" s="8"/>
      <c r="G3192" s="8"/>
      <c r="H3192" s="8"/>
      <c r="I3192" s="8"/>
      <c r="J3192" s="8"/>
      <c r="K3192" s="8"/>
      <c r="L3192" s="8"/>
      <c r="M3192" s="8"/>
      <c r="N3192" s="8"/>
      <c r="O3192" s="8"/>
      <c r="P3192" s="8"/>
      <c r="Q3192" s="8"/>
      <c r="R3192" s="8"/>
      <c r="S3192" s="8"/>
      <c r="T3192" s="8"/>
      <c r="U3192" s="8"/>
      <c r="V3192" s="8"/>
      <c r="W3192" s="8"/>
    </row>
    <row r="3193" spans="1:23" ht="15.75" customHeight="1" x14ac:dyDescent="0.25">
      <c r="A3193" s="6" t="s">
        <v>4362</v>
      </c>
      <c r="B3193" s="8"/>
      <c r="C3193" s="8"/>
      <c r="D3193" s="8"/>
      <c r="E3193" s="8"/>
      <c r="F3193" s="8"/>
      <c r="G3193" s="8"/>
      <c r="H3193" s="8"/>
      <c r="I3193" s="8"/>
      <c r="J3193" s="8"/>
      <c r="K3193" s="8"/>
      <c r="L3193" s="8"/>
      <c r="M3193" s="8"/>
      <c r="N3193" s="8"/>
      <c r="O3193" s="8"/>
      <c r="P3193" s="8"/>
      <c r="Q3193" s="8"/>
      <c r="R3193" s="8"/>
      <c r="S3193" s="8"/>
      <c r="T3193" s="8"/>
      <c r="U3193" s="8"/>
      <c r="V3193" s="8"/>
      <c r="W3193" s="8"/>
    </row>
    <row r="3194" spans="1:23" ht="15.75" customHeight="1" x14ac:dyDescent="0.25">
      <c r="A3194" s="6" t="s">
        <v>4363</v>
      </c>
      <c r="B3194" s="8"/>
      <c r="C3194" s="8"/>
      <c r="D3194" s="8"/>
      <c r="E3194" s="8"/>
      <c r="F3194" s="8"/>
      <c r="G3194" s="8"/>
      <c r="H3194" s="8"/>
      <c r="I3194" s="8"/>
      <c r="J3194" s="8"/>
      <c r="K3194" s="8"/>
      <c r="L3194" s="8"/>
      <c r="M3194" s="8"/>
      <c r="N3194" s="8"/>
      <c r="O3194" s="8"/>
      <c r="P3194" s="8"/>
      <c r="Q3194" s="8"/>
      <c r="R3194" s="8"/>
      <c r="S3194" s="8"/>
      <c r="T3194" s="8"/>
      <c r="U3194" s="8"/>
      <c r="V3194" s="8"/>
      <c r="W3194" s="8"/>
    </row>
    <row r="3195" spans="1:23" ht="15.75" customHeight="1" x14ac:dyDescent="0.25">
      <c r="A3195" s="6" t="s">
        <v>4364</v>
      </c>
      <c r="B3195" s="8"/>
      <c r="C3195" s="8"/>
      <c r="D3195" s="8"/>
      <c r="E3195" s="8"/>
      <c r="F3195" s="8"/>
      <c r="G3195" s="8"/>
      <c r="H3195" s="8"/>
      <c r="I3195" s="8"/>
      <c r="J3195" s="8"/>
      <c r="K3195" s="8"/>
      <c r="L3195" s="8"/>
      <c r="M3195" s="8"/>
      <c r="N3195" s="8"/>
      <c r="O3195" s="8"/>
      <c r="P3195" s="8"/>
      <c r="Q3195" s="8"/>
      <c r="R3195" s="8"/>
      <c r="S3195" s="8"/>
      <c r="T3195" s="8"/>
      <c r="U3195" s="8"/>
      <c r="V3195" s="8"/>
      <c r="W3195" s="8"/>
    </row>
    <row r="3196" spans="1:23" ht="15.75" customHeight="1" x14ac:dyDescent="0.25">
      <c r="A3196" s="6" t="s">
        <v>4365</v>
      </c>
      <c r="B3196" s="8"/>
      <c r="C3196" s="8"/>
      <c r="D3196" s="8"/>
      <c r="E3196" s="8"/>
      <c r="F3196" s="8"/>
      <c r="G3196" s="8"/>
      <c r="H3196" s="8"/>
      <c r="I3196" s="8"/>
      <c r="J3196" s="8"/>
      <c r="K3196" s="8"/>
      <c r="L3196" s="8"/>
      <c r="M3196" s="8"/>
      <c r="N3196" s="8"/>
      <c r="O3196" s="8"/>
      <c r="P3196" s="8"/>
      <c r="Q3196" s="8"/>
      <c r="R3196" s="8"/>
      <c r="S3196" s="8"/>
      <c r="T3196" s="8"/>
      <c r="U3196" s="8"/>
      <c r="V3196" s="8"/>
      <c r="W3196" s="8"/>
    </row>
    <row r="3197" spans="1:23" ht="15.75" customHeight="1" x14ac:dyDescent="0.25">
      <c r="A3197" s="6" t="s">
        <v>3668</v>
      </c>
      <c r="B3197" s="8"/>
      <c r="C3197" s="8"/>
      <c r="D3197" s="8"/>
      <c r="E3197" s="8"/>
      <c r="F3197" s="8"/>
      <c r="G3197" s="8"/>
      <c r="H3197" s="8"/>
      <c r="I3197" s="8"/>
      <c r="J3197" s="8"/>
      <c r="K3197" s="8"/>
      <c r="L3197" s="8"/>
      <c r="M3197" s="8"/>
      <c r="N3197" s="8"/>
      <c r="O3197" s="8"/>
      <c r="P3197" s="8"/>
      <c r="Q3197" s="8"/>
      <c r="R3197" s="8"/>
      <c r="S3197" s="8"/>
      <c r="T3197" s="8"/>
      <c r="U3197" s="8"/>
      <c r="V3197" s="8"/>
      <c r="W3197" s="8"/>
    </row>
    <row r="3198" spans="1:23" ht="15.75" customHeight="1" x14ac:dyDescent="0.25">
      <c r="A3198" s="6" t="s">
        <v>3668</v>
      </c>
      <c r="B3198" s="8"/>
      <c r="C3198" s="8"/>
      <c r="D3198" s="8"/>
      <c r="E3198" s="8"/>
      <c r="F3198" s="8"/>
      <c r="G3198" s="8"/>
      <c r="H3198" s="8"/>
      <c r="I3198" s="8"/>
      <c r="J3198" s="8"/>
      <c r="K3198" s="8"/>
      <c r="L3198" s="8"/>
      <c r="M3198" s="8"/>
      <c r="N3198" s="8"/>
      <c r="O3198" s="8"/>
      <c r="P3198" s="8"/>
      <c r="Q3198" s="8"/>
      <c r="R3198" s="8"/>
      <c r="S3198" s="8"/>
      <c r="T3198" s="8"/>
      <c r="U3198" s="8"/>
      <c r="V3198" s="8"/>
      <c r="W3198" s="8"/>
    </row>
    <row r="3199" spans="1:23" ht="15.75" customHeight="1" x14ac:dyDescent="0.25">
      <c r="A3199" s="6" t="s">
        <v>3668</v>
      </c>
      <c r="B3199" s="8"/>
      <c r="C3199" s="8"/>
      <c r="D3199" s="8"/>
      <c r="E3199" s="8"/>
      <c r="F3199" s="8"/>
      <c r="G3199" s="8"/>
      <c r="H3199" s="8"/>
      <c r="I3199" s="8"/>
      <c r="J3199" s="8"/>
      <c r="K3199" s="8"/>
      <c r="L3199" s="8"/>
      <c r="M3199" s="8"/>
      <c r="N3199" s="8"/>
      <c r="O3199" s="8"/>
      <c r="P3199" s="8"/>
      <c r="Q3199" s="8"/>
      <c r="R3199" s="8"/>
      <c r="S3199" s="8"/>
      <c r="T3199" s="8"/>
      <c r="U3199" s="8"/>
      <c r="V3199" s="8"/>
      <c r="W3199" s="8"/>
    </row>
    <row r="3200" spans="1:23" ht="15.75" customHeight="1" x14ac:dyDescent="0.25">
      <c r="A3200" s="6" t="s">
        <v>3668</v>
      </c>
      <c r="B3200" s="8"/>
      <c r="C3200" s="8"/>
      <c r="D3200" s="8"/>
      <c r="E3200" s="8"/>
      <c r="F3200" s="8"/>
      <c r="G3200" s="8"/>
      <c r="H3200" s="8"/>
      <c r="I3200" s="8"/>
      <c r="J3200" s="8"/>
      <c r="K3200" s="8"/>
      <c r="L3200" s="8"/>
      <c r="M3200" s="8"/>
      <c r="N3200" s="8"/>
      <c r="O3200" s="8"/>
      <c r="P3200" s="8"/>
      <c r="Q3200" s="8"/>
      <c r="R3200" s="8"/>
      <c r="S3200" s="8"/>
      <c r="T3200" s="8"/>
      <c r="U3200" s="8"/>
      <c r="V3200" s="8"/>
      <c r="W3200" s="8"/>
    </row>
    <row r="3201" spans="1:23" ht="15.75" customHeight="1" x14ac:dyDescent="0.25">
      <c r="A3201" s="6" t="s">
        <v>2251</v>
      </c>
      <c r="B3201" s="8"/>
      <c r="C3201" s="8"/>
      <c r="D3201" s="8"/>
      <c r="E3201" s="8"/>
      <c r="F3201" s="8"/>
      <c r="G3201" s="8"/>
      <c r="H3201" s="8"/>
      <c r="I3201" s="8"/>
      <c r="J3201" s="8"/>
      <c r="K3201" s="8"/>
      <c r="L3201" s="8"/>
      <c r="M3201" s="8"/>
      <c r="N3201" s="8"/>
      <c r="O3201" s="8"/>
      <c r="P3201" s="8"/>
      <c r="Q3201" s="8"/>
      <c r="R3201" s="8"/>
      <c r="S3201" s="8"/>
      <c r="T3201" s="8"/>
      <c r="U3201" s="8"/>
      <c r="V3201" s="8"/>
      <c r="W3201" s="8"/>
    </row>
    <row r="3202" spans="1:23" ht="15.75" customHeight="1" x14ac:dyDescent="0.25">
      <c r="A3202" s="6" t="s">
        <v>4366</v>
      </c>
      <c r="B3202" s="8"/>
      <c r="C3202" s="8"/>
      <c r="D3202" s="8"/>
      <c r="E3202" s="8"/>
      <c r="F3202" s="8"/>
      <c r="G3202" s="8"/>
      <c r="H3202" s="8"/>
      <c r="I3202" s="8"/>
      <c r="J3202" s="8"/>
      <c r="K3202" s="8"/>
      <c r="L3202" s="8"/>
      <c r="M3202" s="8"/>
      <c r="N3202" s="8"/>
      <c r="O3202" s="8"/>
      <c r="P3202" s="8"/>
      <c r="Q3202" s="8"/>
      <c r="R3202" s="8"/>
      <c r="S3202" s="8"/>
      <c r="T3202" s="8"/>
      <c r="U3202" s="8"/>
      <c r="V3202" s="8"/>
      <c r="W3202" s="8"/>
    </row>
    <row r="3203" spans="1:23" ht="15.75" customHeight="1" x14ac:dyDescent="0.25">
      <c r="A3203" s="6" t="s">
        <v>4367</v>
      </c>
      <c r="B3203" s="8"/>
      <c r="C3203" s="8"/>
      <c r="D3203" s="8"/>
      <c r="E3203" s="8"/>
      <c r="F3203" s="8"/>
      <c r="G3203" s="8"/>
      <c r="H3203" s="8"/>
      <c r="I3203" s="8"/>
      <c r="J3203" s="8"/>
      <c r="K3203" s="8"/>
      <c r="L3203" s="8"/>
      <c r="M3203" s="8"/>
      <c r="N3203" s="8"/>
      <c r="O3203" s="8"/>
      <c r="P3203" s="8"/>
      <c r="Q3203" s="8"/>
      <c r="R3203" s="8"/>
      <c r="S3203" s="8"/>
      <c r="T3203" s="8"/>
      <c r="U3203" s="8"/>
      <c r="V3203" s="8"/>
      <c r="W3203" s="8"/>
    </row>
    <row r="3204" spans="1:23" ht="15.75" customHeight="1" x14ac:dyDescent="0.25">
      <c r="A3204" s="6" t="s">
        <v>4368</v>
      </c>
      <c r="B3204" s="8"/>
      <c r="C3204" s="8"/>
      <c r="D3204" s="8"/>
      <c r="E3204" s="8"/>
      <c r="F3204" s="8"/>
      <c r="G3204" s="8"/>
      <c r="H3204" s="8"/>
      <c r="I3204" s="8"/>
      <c r="J3204" s="8"/>
      <c r="K3204" s="8"/>
      <c r="L3204" s="8"/>
      <c r="M3204" s="8"/>
      <c r="N3204" s="8"/>
      <c r="O3204" s="8"/>
      <c r="P3204" s="8"/>
      <c r="Q3204" s="8"/>
      <c r="R3204" s="8"/>
      <c r="S3204" s="8"/>
      <c r="T3204" s="8"/>
      <c r="U3204" s="8"/>
      <c r="V3204" s="8"/>
      <c r="W3204" s="8"/>
    </row>
    <row r="3205" spans="1:23" ht="15.75" customHeight="1" x14ac:dyDescent="0.25">
      <c r="A3205" s="8" t="s">
        <v>4369</v>
      </c>
      <c r="B3205" s="8"/>
      <c r="C3205" s="8"/>
      <c r="D3205" s="8"/>
      <c r="E3205" s="8"/>
      <c r="F3205" s="8"/>
      <c r="G3205" s="8"/>
      <c r="H3205" s="8"/>
      <c r="I3205" s="8"/>
      <c r="J3205" s="8"/>
      <c r="K3205" s="8"/>
      <c r="L3205" s="8"/>
      <c r="M3205" s="8"/>
      <c r="N3205" s="8"/>
      <c r="O3205" s="8"/>
      <c r="P3205" s="8"/>
      <c r="Q3205" s="8"/>
      <c r="R3205" s="8"/>
      <c r="S3205" s="8"/>
      <c r="T3205" s="8"/>
      <c r="U3205" s="8"/>
      <c r="V3205" s="8"/>
      <c r="W3205" s="8"/>
    </row>
    <row r="3206" spans="1:23" ht="15.75" customHeight="1" x14ac:dyDescent="0.25">
      <c r="A3206" s="6" t="s">
        <v>3784</v>
      </c>
      <c r="B3206" s="8"/>
      <c r="C3206" s="8"/>
      <c r="D3206" s="8"/>
      <c r="E3206" s="8"/>
      <c r="F3206" s="8"/>
      <c r="G3206" s="8"/>
      <c r="H3206" s="8"/>
      <c r="I3206" s="8"/>
      <c r="J3206" s="8"/>
      <c r="K3206" s="8"/>
      <c r="L3206" s="8"/>
      <c r="M3206" s="8"/>
      <c r="N3206" s="8"/>
      <c r="O3206" s="8"/>
      <c r="P3206" s="8"/>
      <c r="Q3206" s="8"/>
      <c r="R3206" s="8"/>
      <c r="S3206" s="8"/>
      <c r="T3206" s="8"/>
      <c r="U3206" s="8"/>
      <c r="V3206" s="8"/>
      <c r="W3206" s="8"/>
    </row>
    <row r="3207" spans="1:23" ht="15.75" customHeight="1" x14ac:dyDescent="0.25">
      <c r="A3207" s="6" t="s">
        <v>3784</v>
      </c>
      <c r="B3207" s="8"/>
      <c r="C3207" s="8"/>
      <c r="D3207" s="8"/>
      <c r="E3207" s="8"/>
      <c r="F3207" s="8"/>
      <c r="G3207" s="8"/>
      <c r="H3207" s="8"/>
      <c r="I3207" s="8"/>
      <c r="J3207" s="8"/>
      <c r="K3207" s="8"/>
      <c r="L3207" s="8"/>
      <c r="M3207" s="8"/>
      <c r="N3207" s="8"/>
      <c r="O3207" s="8"/>
      <c r="P3207" s="8"/>
      <c r="Q3207" s="8"/>
      <c r="R3207" s="8"/>
      <c r="S3207" s="8"/>
      <c r="T3207" s="8"/>
      <c r="U3207" s="8"/>
      <c r="V3207" s="8"/>
      <c r="W3207" s="8"/>
    </row>
    <row r="3208" spans="1:23" ht="15.75" customHeight="1" x14ac:dyDescent="0.25">
      <c r="A3208" s="6" t="s">
        <v>3784</v>
      </c>
      <c r="B3208" s="8"/>
      <c r="C3208" s="8"/>
      <c r="D3208" s="8"/>
      <c r="E3208" s="8"/>
      <c r="F3208" s="8"/>
      <c r="G3208" s="8"/>
      <c r="H3208" s="8"/>
      <c r="I3208" s="8"/>
      <c r="J3208" s="8"/>
      <c r="K3208" s="8"/>
      <c r="L3208" s="8"/>
      <c r="M3208" s="8"/>
      <c r="N3208" s="8"/>
      <c r="O3208" s="8"/>
      <c r="P3208" s="8"/>
      <c r="Q3208" s="8"/>
      <c r="R3208" s="8"/>
      <c r="S3208" s="8"/>
      <c r="T3208" s="8"/>
      <c r="U3208" s="8"/>
      <c r="V3208" s="8"/>
      <c r="W3208" s="8"/>
    </row>
    <row r="3209" spans="1:23" ht="15.75" customHeight="1" x14ac:dyDescent="0.25">
      <c r="A3209" s="6" t="s">
        <v>4370</v>
      </c>
      <c r="B3209" s="8"/>
      <c r="C3209" s="8"/>
      <c r="D3209" s="8"/>
      <c r="E3209" s="8"/>
      <c r="F3209" s="8"/>
      <c r="G3209" s="8"/>
      <c r="H3209" s="8"/>
      <c r="I3209" s="8"/>
      <c r="J3209" s="8"/>
      <c r="K3209" s="8"/>
      <c r="L3209" s="8"/>
      <c r="M3209" s="8"/>
      <c r="N3209" s="8"/>
      <c r="O3209" s="8"/>
      <c r="P3209" s="8"/>
      <c r="Q3209" s="8"/>
      <c r="R3209" s="8"/>
      <c r="S3209" s="8"/>
      <c r="T3209" s="8"/>
      <c r="U3209" s="8"/>
      <c r="V3209" s="8"/>
      <c r="W3209" s="8"/>
    </row>
    <row r="3210" spans="1:23" ht="15.75" customHeight="1" x14ac:dyDescent="0.25">
      <c r="A3210" s="6" t="s">
        <v>4371</v>
      </c>
      <c r="B3210" s="8"/>
      <c r="C3210" s="8"/>
      <c r="D3210" s="8"/>
      <c r="E3210" s="8"/>
      <c r="F3210" s="8"/>
      <c r="G3210" s="8"/>
      <c r="H3210" s="8"/>
      <c r="I3210" s="8"/>
      <c r="J3210" s="8"/>
      <c r="K3210" s="8"/>
      <c r="L3210" s="8"/>
      <c r="M3210" s="8"/>
      <c r="N3210" s="8"/>
      <c r="O3210" s="8"/>
      <c r="P3210" s="8"/>
      <c r="Q3210" s="8"/>
      <c r="R3210" s="8"/>
      <c r="S3210" s="8"/>
      <c r="T3210" s="8"/>
      <c r="U3210" s="8"/>
      <c r="V3210" s="8"/>
      <c r="W3210" s="8"/>
    </row>
    <row r="3211" spans="1:23" ht="15.75" customHeight="1" x14ac:dyDescent="0.25">
      <c r="A3211" s="8" t="s">
        <v>4039</v>
      </c>
      <c r="B3211" s="8"/>
      <c r="C3211" s="8"/>
      <c r="D3211" s="8"/>
      <c r="E3211" s="8"/>
      <c r="F3211" s="8"/>
      <c r="G3211" s="8"/>
      <c r="H3211" s="8"/>
      <c r="I3211" s="8"/>
      <c r="J3211" s="8"/>
      <c r="K3211" s="8"/>
      <c r="L3211" s="8"/>
      <c r="M3211" s="8"/>
      <c r="N3211" s="8"/>
      <c r="O3211" s="8"/>
      <c r="P3211" s="8"/>
      <c r="Q3211" s="8"/>
      <c r="R3211" s="8"/>
      <c r="S3211" s="8"/>
      <c r="T3211" s="8"/>
      <c r="U3211" s="8"/>
      <c r="V3211" s="8"/>
      <c r="W3211" s="8"/>
    </row>
    <row r="3212" spans="1:23" ht="15.75" customHeight="1" x14ac:dyDescent="0.25">
      <c r="A3212" s="6" t="s">
        <v>4039</v>
      </c>
      <c r="B3212" s="8"/>
      <c r="C3212" s="8"/>
      <c r="D3212" s="8"/>
      <c r="E3212" s="8"/>
      <c r="F3212" s="8"/>
      <c r="G3212" s="8"/>
      <c r="H3212" s="8"/>
      <c r="I3212" s="8"/>
      <c r="J3212" s="8"/>
      <c r="K3212" s="8"/>
      <c r="L3212" s="8"/>
      <c r="M3212" s="8"/>
      <c r="N3212" s="8"/>
      <c r="O3212" s="8"/>
      <c r="P3212" s="8"/>
      <c r="Q3212" s="8"/>
      <c r="R3212" s="8"/>
      <c r="S3212" s="8"/>
      <c r="T3212" s="8"/>
      <c r="U3212" s="8"/>
      <c r="V3212" s="8"/>
      <c r="W3212" s="8"/>
    </row>
    <row r="3213" spans="1:23" ht="15.75" customHeight="1" x14ac:dyDescent="0.25">
      <c r="A3213" s="6" t="s">
        <v>4372</v>
      </c>
      <c r="B3213" s="8"/>
      <c r="C3213" s="8"/>
      <c r="D3213" s="8"/>
      <c r="E3213" s="8"/>
      <c r="F3213" s="8"/>
      <c r="G3213" s="8"/>
      <c r="H3213" s="8"/>
      <c r="I3213" s="8"/>
      <c r="J3213" s="8"/>
      <c r="K3213" s="8"/>
      <c r="L3213" s="8"/>
      <c r="M3213" s="8"/>
      <c r="N3213" s="8"/>
      <c r="O3213" s="8"/>
      <c r="P3213" s="8"/>
      <c r="Q3213" s="8"/>
      <c r="R3213" s="8"/>
      <c r="S3213" s="8"/>
      <c r="T3213" s="8"/>
      <c r="U3213" s="8"/>
      <c r="V3213" s="8"/>
      <c r="W3213" s="8"/>
    </row>
    <row r="3214" spans="1:23" ht="15.75" customHeight="1" x14ac:dyDescent="0.25">
      <c r="A3214" s="6" t="s">
        <v>4044</v>
      </c>
      <c r="B3214" s="8"/>
      <c r="C3214" s="8"/>
      <c r="D3214" s="8"/>
      <c r="E3214" s="8"/>
      <c r="F3214" s="8"/>
      <c r="G3214" s="8"/>
      <c r="H3214" s="8"/>
      <c r="I3214" s="8"/>
      <c r="J3214" s="8"/>
      <c r="K3214" s="8"/>
      <c r="L3214" s="8"/>
      <c r="M3214" s="8"/>
      <c r="N3214" s="8"/>
      <c r="O3214" s="8"/>
      <c r="P3214" s="8"/>
      <c r="Q3214" s="8"/>
      <c r="R3214" s="8"/>
      <c r="S3214" s="8"/>
      <c r="T3214" s="8"/>
      <c r="U3214" s="8"/>
      <c r="V3214" s="8"/>
      <c r="W3214" s="8"/>
    </row>
    <row r="3215" spans="1:23" ht="15.75" customHeight="1" x14ac:dyDescent="0.25">
      <c r="A3215" s="6" t="s">
        <v>4044</v>
      </c>
      <c r="B3215" s="8"/>
      <c r="C3215" s="8"/>
      <c r="D3215" s="8"/>
      <c r="E3215" s="8"/>
      <c r="F3215" s="8"/>
      <c r="G3215" s="8"/>
      <c r="H3215" s="8"/>
      <c r="I3215" s="8"/>
      <c r="J3215" s="8"/>
      <c r="K3215" s="8"/>
      <c r="L3215" s="8"/>
      <c r="M3215" s="8"/>
      <c r="N3215" s="8"/>
      <c r="O3215" s="8"/>
      <c r="P3215" s="8"/>
      <c r="Q3215" s="8"/>
      <c r="R3215" s="8"/>
      <c r="S3215" s="8"/>
      <c r="T3215" s="8"/>
      <c r="U3215" s="8"/>
      <c r="V3215" s="8"/>
      <c r="W3215" s="8"/>
    </row>
    <row r="3216" spans="1:23" ht="15.75" customHeight="1" x14ac:dyDescent="0.25">
      <c r="A3216" s="6" t="s">
        <v>4373</v>
      </c>
      <c r="B3216" s="8"/>
      <c r="C3216" s="8"/>
      <c r="D3216" s="8"/>
      <c r="E3216" s="8"/>
      <c r="F3216" s="8"/>
      <c r="G3216" s="8"/>
      <c r="H3216" s="8"/>
      <c r="I3216" s="8"/>
      <c r="J3216" s="8"/>
      <c r="K3216" s="8"/>
      <c r="L3216" s="8"/>
      <c r="M3216" s="8"/>
      <c r="N3216" s="8"/>
      <c r="O3216" s="8"/>
      <c r="P3216" s="8"/>
      <c r="Q3216" s="8"/>
      <c r="R3216" s="8"/>
      <c r="S3216" s="8"/>
      <c r="T3216" s="8"/>
      <c r="U3216" s="8"/>
      <c r="V3216" s="8"/>
      <c r="W3216" s="8"/>
    </row>
    <row r="3217" spans="1:23" ht="15.75" customHeight="1" x14ac:dyDescent="0.25">
      <c r="A3217" s="6" t="s">
        <v>3301</v>
      </c>
      <c r="B3217" s="8"/>
      <c r="C3217" s="8"/>
      <c r="D3217" s="8"/>
      <c r="E3217" s="8"/>
      <c r="F3217" s="8"/>
      <c r="G3217" s="8"/>
      <c r="H3217" s="8"/>
      <c r="I3217" s="8"/>
      <c r="J3217" s="8"/>
      <c r="K3217" s="8"/>
      <c r="L3217" s="8"/>
      <c r="M3217" s="8"/>
      <c r="N3217" s="8"/>
      <c r="O3217" s="8"/>
      <c r="P3217" s="8"/>
      <c r="Q3217" s="8"/>
      <c r="R3217" s="8"/>
      <c r="S3217" s="8"/>
      <c r="T3217" s="8"/>
      <c r="U3217" s="8"/>
      <c r="V3217" s="8"/>
      <c r="W3217" s="8"/>
    </row>
    <row r="3218" spans="1:23" ht="15.75" customHeight="1" x14ac:dyDescent="0.25">
      <c r="A3218" s="6" t="s">
        <v>3301</v>
      </c>
      <c r="B3218" s="8"/>
      <c r="C3218" s="8"/>
      <c r="D3218" s="8"/>
      <c r="E3218" s="8"/>
      <c r="F3218" s="8"/>
      <c r="G3218" s="8"/>
      <c r="H3218" s="8"/>
      <c r="I3218" s="8"/>
      <c r="J3218" s="8"/>
      <c r="K3218" s="8"/>
      <c r="L3218" s="8"/>
      <c r="M3218" s="8"/>
      <c r="N3218" s="8"/>
      <c r="O3218" s="8"/>
      <c r="P3218" s="8"/>
      <c r="Q3218" s="8"/>
      <c r="R3218" s="8"/>
      <c r="S3218" s="8"/>
      <c r="T3218" s="8"/>
      <c r="U3218" s="8"/>
      <c r="V3218" s="8"/>
      <c r="W3218" s="8"/>
    </row>
    <row r="3219" spans="1:23" ht="15.75" customHeight="1" x14ac:dyDescent="0.25">
      <c r="A3219" s="6" t="s">
        <v>3301</v>
      </c>
      <c r="B3219" s="8"/>
      <c r="C3219" s="8"/>
      <c r="D3219" s="8"/>
      <c r="E3219" s="8"/>
      <c r="F3219" s="8"/>
      <c r="G3219" s="8"/>
      <c r="H3219" s="8"/>
      <c r="I3219" s="8"/>
      <c r="J3219" s="8"/>
      <c r="K3219" s="8"/>
      <c r="L3219" s="8"/>
      <c r="M3219" s="8"/>
      <c r="N3219" s="8"/>
      <c r="O3219" s="8"/>
      <c r="P3219" s="8"/>
      <c r="Q3219" s="8"/>
      <c r="R3219" s="8"/>
      <c r="S3219" s="8"/>
      <c r="T3219" s="8"/>
      <c r="U3219" s="8"/>
      <c r="V3219" s="8"/>
      <c r="W3219" s="8"/>
    </row>
    <row r="3220" spans="1:23" ht="15.75" customHeight="1" x14ac:dyDescent="0.25">
      <c r="A3220" s="6" t="s">
        <v>3301</v>
      </c>
      <c r="B3220" s="8"/>
      <c r="C3220" s="8"/>
      <c r="D3220" s="8"/>
      <c r="E3220" s="8"/>
      <c r="F3220" s="8"/>
      <c r="G3220" s="8"/>
      <c r="H3220" s="8"/>
      <c r="I3220" s="8"/>
      <c r="J3220" s="8"/>
      <c r="K3220" s="8"/>
      <c r="L3220" s="8"/>
      <c r="M3220" s="8"/>
      <c r="N3220" s="8"/>
      <c r="O3220" s="8"/>
      <c r="P3220" s="8"/>
      <c r="Q3220" s="8"/>
      <c r="R3220" s="8"/>
      <c r="S3220" s="8"/>
      <c r="T3220" s="8"/>
      <c r="U3220" s="8"/>
      <c r="V3220" s="8"/>
      <c r="W3220" s="8"/>
    </row>
    <row r="3221" spans="1:23" ht="15.75" customHeight="1" x14ac:dyDescent="0.25">
      <c r="A3221" s="6" t="s">
        <v>3301</v>
      </c>
      <c r="B3221" s="8"/>
      <c r="C3221" s="8"/>
      <c r="D3221" s="8"/>
      <c r="E3221" s="8"/>
      <c r="F3221" s="8"/>
      <c r="G3221" s="8"/>
      <c r="H3221" s="8"/>
      <c r="I3221" s="8"/>
      <c r="J3221" s="8"/>
      <c r="K3221" s="8"/>
      <c r="L3221" s="8"/>
      <c r="M3221" s="8"/>
      <c r="N3221" s="8"/>
      <c r="O3221" s="8"/>
      <c r="P3221" s="8"/>
      <c r="Q3221" s="8"/>
      <c r="R3221" s="8"/>
      <c r="S3221" s="8"/>
      <c r="T3221" s="8"/>
      <c r="U3221" s="8"/>
      <c r="V3221" s="8"/>
      <c r="W3221" s="8"/>
    </row>
    <row r="3222" spans="1:23" ht="15.75" customHeight="1" x14ac:dyDescent="0.25">
      <c r="A3222" s="6" t="s">
        <v>3301</v>
      </c>
      <c r="B3222" s="8"/>
      <c r="C3222" s="8"/>
      <c r="D3222" s="8"/>
      <c r="E3222" s="8"/>
      <c r="F3222" s="8"/>
      <c r="G3222" s="8"/>
      <c r="H3222" s="8"/>
      <c r="I3222" s="8"/>
      <c r="J3222" s="8"/>
      <c r="K3222" s="8"/>
      <c r="L3222" s="8"/>
      <c r="M3222" s="8"/>
      <c r="N3222" s="8"/>
      <c r="O3222" s="8"/>
      <c r="P3222" s="8"/>
      <c r="Q3222" s="8"/>
      <c r="R3222" s="8"/>
      <c r="S3222" s="8"/>
      <c r="T3222" s="8"/>
      <c r="U3222" s="8"/>
      <c r="V3222" s="8"/>
      <c r="W3222" s="8"/>
    </row>
    <row r="3223" spans="1:23" ht="15.75" customHeight="1" x14ac:dyDescent="0.25">
      <c r="A3223" s="6" t="s">
        <v>3301</v>
      </c>
      <c r="B3223" s="8"/>
      <c r="C3223" s="8"/>
      <c r="D3223" s="8"/>
      <c r="E3223" s="8"/>
      <c r="F3223" s="8"/>
      <c r="G3223" s="8"/>
      <c r="H3223" s="8"/>
      <c r="I3223" s="8"/>
      <c r="J3223" s="8"/>
      <c r="K3223" s="8"/>
      <c r="L3223" s="8"/>
      <c r="M3223" s="8"/>
      <c r="N3223" s="8"/>
      <c r="O3223" s="8"/>
      <c r="P3223" s="8"/>
      <c r="Q3223" s="8"/>
      <c r="R3223" s="8"/>
      <c r="S3223" s="8"/>
      <c r="T3223" s="8"/>
      <c r="U3223" s="8"/>
      <c r="V3223" s="8"/>
      <c r="W3223" s="8"/>
    </row>
    <row r="3224" spans="1:23" ht="15.75" customHeight="1" x14ac:dyDescent="0.25">
      <c r="A3224" s="6" t="s">
        <v>3301</v>
      </c>
      <c r="B3224" s="8"/>
      <c r="C3224" s="8"/>
      <c r="D3224" s="8"/>
      <c r="E3224" s="8"/>
      <c r="F3224" s="8"/>
      <c r="G3224" s="8"/>
      <c r="H3224" s="8"/>
      <c r="I3224" s="8"/>
      <c r="J3224" s="8"/>
      <c r="K3224" s="8"/>
      <c r="L3224" s="8"/>
      <c r="M3224" s="8"/>
      <c r="N3224" s="8"/>
      <c r="O3224" s="8"/>
      <c r="P3224" s="8"/>
      <c r="Q3224" s="8"/>
      <c r="R3224" s="8"/>
      <c r="S3224" s="8"/>
      <c r="T3224" s="8"/>
      <c r="U3224" s="8"/>
      <c r="V3224" s="8"/>
      <c r="W3224" s="8"/>
    </row>
    <row r="3225" spans="1:23" ht="15.75" customHeight="1" x14ac:dyDescent="0.25">
      <c r="A3225" s="6" t="s">
        <v>3301</v>
      </c>
      <c r="B3225" s="8"/>
      <c r="C3225" s="8"/>
      <c r="D3225" s="8"/>
      <c r="E3225" s="8"/>
      <c r="F3225" s="8"/>
      <c r="G3225" s="8"/>
      <c r="H3225" s="8"/>
      <c r="I3225" s="8"/>
      <c r="J3225" s="8"/>
      <c r="K3225" s="8"/>
      <c r="L3225" s="8"/>
      <c r="M3225" s="8"/>
      <c r="N3225" s="8"/>
      <c r="O3225" s="8"/>
      <c r="P3225" s="8"/>
      <c r="Q3225" s="8"/>
      <c r="R3225" s="8"/>
      <c r="S3225" s="8"/>
      <c r="T3225" s="8"/>
      <c r="U3225" s="8"/>
      <c r="V3225" s="8"/>
      <c r="W3225" s="8"/>
    </row>
    <row r="3226" spans="1:23" ht="15.75" customHeight="1" x14ac:dyDescent="0.25">
      <c r="A3226" s="6" t="s">
        <v>3301</v>
      </c>
      <c r="B3226" s="8"/>
      <c r="C3226" s="8"/>
      <c r="D3226" s="8"/>
      <c r="E3226" s="8"/>
      <c r="F3226" s="8"/>
      <c r="G3226" s="8"/>
      <c r="H3226" s="8"/>
      <c r="I3226" s="8"/>
      <c r="J3226" s="8"/>
      <c r="K3226" s="8"/>
      <c r="L3226" s="8"/>
      <c r="M3226" s="8"/>
      <c r="N3226" s="8"/>
      <c r="O3226" s="8"/>
      <c r="P3226" s="8"/>
      <c r="Q3226" s="8"/>
      <c r="R3226" s="8"/>
      <c r="S3226" s="8"/>
      <c r="T3226" s="8"/>
      <c r="U3226" s="8"/>
      <c r="V3226" s="8"/>
      <c r="W3226" s="8"/>
    </row>
    <row r="3227" spans="1:23" ht="15.75" customHeight="1" x14ac:dyDescent="0.25">
      <c r="A3227" s="6" t="s">
        <v>3301</v>
      </c>
      <c r="B3227" s="8"/>
      <c r="C3227" s="8"/>
      <c r="D3227" s="8"/>
      <c r="E3227" s="8"/>
      <c r="F3227" s="8"/>
      <c r="G3227" s="8"/>
      <c r="H3227" s="8"/>
      <c r="I3227" s="8"/>
      <c r="J3227" s="8"/>
      <c r="K3227" s="8"/>
      <c r="L3227" s="8"/>
      <c r="M3227" s="8"/>
      <c r="N3227" s="8"/>
      <c r="O3227" s="8"/>
      <c r="P3227" s="8"/>
      <c r="Q3227" s="8"/>
      <c r="R3227" s="8"/>
      <c r="S3227" s="8"/>
      <c r="T3227" s="8"/>
      <c r="U3227" s="8"/>
      <c r="V3227" s="8"/>
      <c r="W3227" s="8"/>
    </row>
    <row r="3228" spans="1:23" ht="15.75" customHeight="1" x14ac:dyDescent="0.25">
      <c r="A3228" s="6" t="s">
        <v>3301</v>
      </c>
      <c r="B3228" s="8"/>
      <c r="C3228" s="8"/>
      <c r="D3228" s="8"/>
      <c r="E3228" s="8"/>
      <c r="F3228" s="8"/>
      <c r="G3228" s="8"/>
      <c r="H3228" s="8"/>
      <c r="I3228" s="8"/>
      <c r="J3228" s="8"/>
      <c r="K3228" s="8"/>
      <c r="L3228" s="8"/>
      <c r="M3228" s="8"/>
      <c r="N3228" s="8"/>
      <c r="O3228" s="8"/>
      <c r="P3228" s="8"/>
      <c r="Q3228" s="8"/>
      <c r="R3228" s="8"/>
      <c r="S3228" s="8"/>
      <c r="T3228" s="8"/>
      <c r="U3228" s="8"/>
      <c r="V3228" s="8"/>
      <c r="W3228" s="8"/>
    </row>
    <row r="3229" spans="1:23" ht="15.75" customHeight="1" x14ac:dyDescent="0.25">
      <c r="A3229" s="6" t="s">
        <v>3301</v>
      </c>
      <c r="B3229" s="8"/>
      <c r="C3229" s="8"/>
      <c r="D3229" s="8"/>
      <c r="E3229" s="8"/>
      <c r="F3229" s="8"/>
      <c r="G3229" s="8"/>
      <c r="H3229" s="8"/>
      <c r="I3229" s="8"/>
      <c r="J3229" s="8"/>
      <c r="K3229" s="8"/>
      <c r="L3229" s="8"/>
      <c r="M3229" s="8"/>
      <c r="N3229" s="8"/>
      <c r="O3229" s="8"/>
      <c r="P3229" s="8"/>
      <c r="Q3229" s="8"/>
      <c r="R3229" s="8"/>
      <c r="S3229" s="8"/>
      <c r="T3229" s="8"/>
      <c r="U3229" s="8"/>
      <c r="V3229" s="8"/>
      <c r="W3229" s="8"/>
    </row>
    <row r="3230" spans="1:23" ht="15.75" customHeight="1" x14ac:dyDescent="0.25">
      <c r="A3230" s="6" t="s">
        <v>3301</v>
      </c>
      <c r="B3230" s="8"/>
      <c r="C3230" s="8"/>
      <c r="D3230" s="8"/>
      <c r="E3230" s="8"/>
      <c r="F3230" s="8"/>
      <c r="G3230" s="8"/>
      <c r="H3230" s="8"/>
      <c r="I3230" s="8"/>
      <c r="J3230" s="8"/>
      <c r="K3230" s="8"/>
      <c r="L3230" s="8"/>
      <c r="M3230" s="8"/>
      <c r="N3230" s="8"/>
      <c r="O3230" s="8"/>
      <c r="P3230" s="8"/>
      <c r="Q3230" s="8"/>
      <c r="R3230" s="8"/>
      <c r="S3230" s="8"/>
      <c r="T3230" s="8"/>
      <c r="U3230" s="8"/>
      <c r="V3230" s="8"/>
      <c r="W3230" s="8"/>
    </row>
    <row r="3231" spans="1:23" ht="15.75" customHeight="1" x14ac:dyDescent="0.25">
      <c r="A3231" s="6" t="s">
        <v>3301</v>
      </c>
      <c r="B3231" s="8"/>
      <c r="C3231" s="8"/>
      <c r="D3231" s="8"/>
      <c r="E3231" s="8"/>
      <c r="F3231" s="8"/>
      <c r="G3231" s="8"/>
      <c r="H3231" s="8"/>
      <c r="I3231" s="8"/>
      <c r="J3231" s="8"/>
      <c r="K3231" s="8"/>
      <c r="L3231" s="8"/>
      <c r="M3231" s="8"/>
      <c r="N3231" s="8"/>
      <c r="O3231" s="8"/>
      <c r="P3231" s="8"/>
      <c r="Q3231" s="8"/>
      <c r="R3231" s="8"/>
      <c r="S3231" s="8"/>
      <c r="T3231" s="8"/>
      <c r="U3231" s="8"/>
      <c r="V3231" s="8"/>
      <c r="W3231" s="8"/>
    </row>
    <row r="3232" spans="1:23" ht="15.75" customHeight="1" x14ac:dyDescent="0.25">
      <c r="A3232" s="6" t="s">
        <v>3301</v>
      </c>
      <c r="B3232" s="8"/>
      <c r="C3232" s="8"/>
      <c r="D3232" s="8"/>
      <c r="E3232" s="8"/>
      <c r="F3232" s="8"/>
      <c r="G3232" s="8"/>
      <c r="H3232" s="8"/>
      <c r="I3232" s="8"/>
      <c r="J3232" s="8"/>
      <c r="K3232" s="8"/>
      <c r="L3232" s="8"/>
      <c r="M3232" s="8"/>
      <c r="N3232" s="8"/>
      <c r="O3232" s="8"/>
      <c r="P3232" s="8"/>
      <c r="Q3232" s="8"/>
      <c r="R3232" s="8"/>
      <c r="S3232" s="8"/>
      <c r="T3232" s="8"/>
      <c r="U3232" s="8"/>
      <c r="V3232" s="8"/>
      <c r="W3232" s="8"/>
    </row>
    <row r="3233" spans="1:23" ht="15.75" customHeight="1" x14ac:dyDescent="0.25">
      <c r="A3233" s="6" t="s">
        <v>3301</v>
      </c>
      <c r="B3233" s="8"/>
      <c r="C3233" s="8"/>
      <c r="D3233" s="8"/>
      <c r="E3233" s="8"/>
      <c r="F3233" s="8"/>
      <c r="G3233" s="8"/>
      <c r="H3233" s="8"/>
      <c r="I3233" s="8"/>
      <c r="J3233" s="8"/>
      <c r="K3233" s="8"/>
      <c r="L3233" s="8"/>
      <c r="M3233" s="8"/>
      <c r="N3233" s="8"/>
      <c r="O3233" s="8"/>
      <c r="P3233" s="8"/>
      <c r="Q3233" s="8"/>
      <c r="R3233" s="8"/>
      <c r="S3233" s="8"/>
      <c r="T3233" s="8"/>
      <c r="U3233" s="8"/>
      <c r="V3233" s="8"/>
      <c r="W3233" s="8"/>
    </row>
    <row r="3234" spans="1:23" ht="15.75" customHeight="1" x14ac:dyDescent="0.25">
      <c r="A3234" s="6" t="s">
        <v>242</v>
      </c>
      <c r="B3234" s="8"/>
      <c r="C3234" s="8"/>
      <c r="D3234" s="8"/>
      <c r="E3234" s="8"/>
      <c r="F3234" s="8"/>
      <c r="G3234" s="8"/>
      <c r="H3234" s="8"/>
      <c r="I3234" s="8"/>
      <c r="J3234" s="8"/>
      <c r="K3234" s="8"/>
      <c r="L3234" s="8"/>
      <c r="M3234" s="8"/>
      <c r="N3234" s="8"/>
      <c r="O3234" s="8"/>
      <c r="P3234" s="8"/>
      <c r="Q3234" s="8"/>
      <c r="R3234" s="8"/>
      <c r="S3234" s="8"/>
      <c r="T3234" s="8"/>
      <c r="U3234" s="8"/>
      <c r="V3234" s="8"/>
      <c r="W3234" s="8"/>
    </row>
    <row r="3235" spans="1:23" ht="15.75" customHeight="1" x14ac:dyDescent="0.25">
      <c r="A3235" s="6" t="s">
        <v>242</v>
      </c>
      <c r="B3235" s="8"/>
      <c r="C3235" s="8"/>
      <c r="D3235" s="8"/>
      <c r="E3235" s="8"/>
      <c r="F3235" s="8"/>
      <c r="G3235" s="8"/>
      <c r="H3235" s="8"/>
      <c r="I3235" s="8"/>
      <c r="J3235" s="8"/>
      <c r="K3235" s="8"/>
      <c r="L3235" s="8"/>
      <c r="M3235" s="8"/>
      <c r="N3235" s="8"/>
      <c r="O3235" s="8"/>
      <c r="P3235" s="8"/>
      <c r="Q3235" s="8"/>
      <c r="R3235" s="8"/>
      <c r="S3235" s="8"/>
      <c r="T3235" s="8"/>
      <c r="U3235" s="8"/>
      <c r="V3235" s="8"/>
      <c r="W3235" s="8"/>
    </row>
    <row r="3236" spans="1:23" ht="15.75" customHeight="1" x14ac:dyDescent="0.25">
      <c r="A3236" s="6" t="s">
        <v>242</v>
      </c>
      <c r="B3236" s="8"/>
      <c r="C3236" s="8"/>
      <c r="D3236" s="8"/>
      <c r="E3236" s="8"/>
      <c r="F3236" s="8"/>
      <c r="G3236" s="8"/>
      <c r="H3236" s="8"/>
      <c r="I3236" s="8"/>
      <c r="J3236" s="8"/>
      <c r="K3236" s="8"/>
      <c r="L3236" s="8"/>
      <c r="M3236" s="8"/>
      <c r="N3236" s="8"/>
      <c r="O3236" s="8"/>
      <c r="P3236" s="8"/>
      <c r="Q3236" s="8"/>
      <c r="R3236" s="8"/>
      <c r="S3236" s="8"/>
      <c r="T3236" s="8"/>
      <c r="U3236" s="8"/>
      <c r="V3236" s="8"/>
      <c r="W3236" s="8"/>
    </row>
    <row r="3237" spans="1:23" ht="15.75" customHeight="1" x14ac:dyDescent="0.25">
      <c r="A3237" s="6" t="s">
        <v>242</v>
      </c>
      <c r="B3237" s="8"/>
      <c r="C3237" s="8"/>
      <c r="D3237" s="8"/>
      <c r="E3237" s="8"/>
      <c r="F3237" s="8"/>
      <c r="G3237" s="8"/>
      <c r="H3237" s="8"/>
      <c r="I3237" s="8"/>
      <c r="J3237" s="8"/>
      <c r="K3237" s="8"/>
      <c r="L3237" s="8"/>
      <c r="M3237" s="8"/>
      <c r="N3237" s="8"/>
      <c r="O3237" s="8"/>
      <c r="P3237" s="8"/>
      <c r="Q3237" s="8"/>
      <c r="R3237" s="8"/>
      <c r="S3237" s="8"/>
      <c r="T3237" s="8"/>
      <c r="U3237" s="8"/>
      <c r="V3237" s="8"/>
      <c r="W3237" s="8"/>
    </row>
    <row r="3238" spans="1:23" ht="15.75" customHeight="1" x14ac:dyDescent="0.25">
      <c r="A3238" s="6" t="s">
        <v>242</v>
      </c>
      <c r="B3238" s="8"/>
      <c r="C3238" s="8"/>
      <c r="D3238" s="8"/>
      <c r="E3238" s="8"/>
      <c r="F3238" s="8"/>
      <c r="G3238" s="8"/>
      <c r="H3238" s="8"/>
      <c r="I3238" s="8"/>
      <c r="J3238" s="8"/>
      <c r="K3238" s="8"/>
      <c r="L3238" s="8"/>
      <c r="M3238" s="8"/>
      <c r="N3238" s="8"/>
      <c r="O3238" s="8"/>
      <c r="P3238" s="8"/>
      <c r="Q3238" s="8"/>
      <c r="R3238" s="8"/>
      <c r="S3238" s="8"/>
      <c r="T3238" s="8"/>
      <c r="U3238" s="8"/>
      <c r="V3238" s="8"/>
      <c r="W3238" s="8"/>
    </row>
    <row r="3239" spans="1:23" ht="15.75" customHeight="1" x14ac:dyDescent="0.25">
      <c r="A3239" s="6" t="s">
        <v>242</v>
      </c>
      <c r="B3239" s="8"/>
      <c r="C3239" s="8"/>
      <c r="D3239" s="8"/>
      <c r="E3239" s="8"/>
      <c r="F3239" s="8"/>
      <c r="G3239" s="8"/>
      <c r="H3239" s="8"/>
      <c r="I3239" s="8"/>
      <c r="J3239" s="8"/>
      <c r="K3239" s="8"/>
      <c r="L3239" s="8"/>
      <c r="M3239" s="8"/>
      <c r="N3239" s="8"/>
      <c r="O3239" s="8"/>
      <c r="P3239" s="8"/>
      <c r="Q3239" s="8"/>
      <c r="R3239" s="8"/>
      <c r="S3239" s="8"/>
      <c r="T3239" s="8"/>
      <c r="U3239" s="8"/>
      <c r="V3239" s="8"/>
      <c r="W3239" s="8"/>
    </row>
    <row r="3240" spans="1:23" ht="15.75" customHeight="1" x14ac:dyDescent="0.25">
      <c r="A3240" s="6" t="s">
        <v>242</v>
      </c>
      <c r="B3240" s="8"/>
      <c r="C3240" s="8"/>
      <c r="D3240" s="8"/>
      <c r="E3240" s="8"/>
      <c r="F3240" s="8"/>
      <c r="G3240" s="8"/>
      <c r="H3240" s="8"/>
      <c r="I3240" s="8"/>
      <c r="J3240" s="8"/>
      <c r="K3240" s="8"/>
      <c r="L3240" s="8"/>
      <c r="M3240" s="8"/>
      <c r="N3240" s="8"/>
      <c r="O3240" s="8"/>
      <c r="P3240" s="8"/>
      <c r="Q3240" s="8"/>
      <c r="R3240" s="8"/>
      <c r="S3240" s="8"/>
      <c r="T3240" s="8"/>
      <c r="U3240" s="8"/>
      <c r="V3240" s="8"/>
      <c r="W3240" s="8"/>
    </row>
    <row r="3241" spans="1:23" ht="15.75" customHeight="1" x14ac:dyDescent="0.25">
      <c r="A3241" s="6" t="s">
        <v>242</v>
      </c>
      <c r="B3241" s="8"/>
      <c r="C3241" s="8"/>
      <c r="D3241" s="8"/>
      <c r="E3241" s="8"/>
      <c r="F3241" s="8"/>
      <c r="G3241" s="8"/>
      <c r="H3241" s="8"/>
      <c r="I3241" s="8"/>
      <c r="J3241" s="8"/>
      <c r="K3241" s="8"/>
      <c r="L3241" s="8"/>
      <c r="M3241" s="8"/>
      <c r="N3241" s="8"/>
      <c r="O3241" s="8"/>
      <c r="P3241" s="8"/>
      <c r="Q3241" s="8"/>
      <c r="R3241" s="8"/>
      <c r="S3241" s="8"/>
      <c r="T3241" s="8"/>
      <c r="U3241" s="8"/>
      <c r="V3241" s="8"/>
      <c r="W3241" s="8"/>
    </row>
    <row r="3242" spans="1:23" ht="15.75" customHeight="1" x14ac:dyDescent="0.25">
      <c r="A3242" s="6" t="s">
        <v>242</v>
      </c>
      <c r="B3242" s="8"/>
      <c r="C3242" s="8"/>
      <c r="D3242" s="8"/>
      <c r="E3242" s="8"/>
      <c r="F3242" s="8"/>
      <c r="G3242" s="8"/>
      <c r="H3242" s="8"/>
      <c r="I3242" s="8"/>
      <c r="J3242" s="8"/>
      <c r="K3242" s="8"/>
      <c r="L3242" s="8"/>
      <c r="M3242" s="8"/>
      <c r="N3242" s="8"/>
      <c r="O3242" s="8"/>
      <c r="P3242" s="8"/>
      <c r="Q3242" s="8"/>
      <c r="R3242" s="8"/>
      <c r="S3242" s="8"/>
      <c r="T3242" s="8"/>
      <c r="U3242" s="8"/>
      <c r="V3242" s="8"/>
      <c r="W3242" s="8"/>
    </row>
    <row r="3243" spans="1:23" ht="15.75" customHeight="1" x14ac:dyDescent="0.25">
      <c r="A3243" s="6" t="s">
        <v>242</v>
      </c>
      <c r="B3243" s="8"/>
      <c r="C3243" s="8"/>
      <c r="D3243" s="8"/>
      <c r="E3243" s="8"/>
      <c r="F3243" s="8"/>
      <c r="G3243" s="8"/>
      <c r="H3243" s="8"/>
      <c r="I3243" s="8"/>
      <c r="J3243" s="8"/>
      <c r="K3243" s="8"/>
      <c r="L3243" s="8"/>
      <c r="M3243" s="8"/>
      <c r="N3243" s="8"/>
      <c r="O3243" s="8"/>
      <c r="P3243" s="8"/>
      <c r="Q3243" s="8"/>
      <c r="R3243" s="8"/>
      <c r="S3243" s="8"/>
      <c r="T3243" s="8"/>
      <c r="U3243" s="8"/>
      <c r="V3243" s="8"/>
      <c r="W3243" s="8"/>
    </row>
    <row r="3244" spans="1:23" ht="15.75" customHeight="1" x14ac:dyDescent="0.25">
      <c r="A3244" s="6" t="s">
        <v>242</v>
      </c>
      <c r="B3244" s="8"/>
      <c r="C3244" s="8"/>
      <c r="D3244" s="8"/>
      <c r="E3244" s="8"/>
      <c r="F3244" s="8"/>
      <c r="G3244" s="8"/>
      <c r="H3244" s="8"/>
      <c r="I3244" s="8"/>
      <c r="J3244" s="8"/>
      <c r="K3244" s="8"/>
      <c r="L3244" s="8"/>
      <c r="M3244" s="8"/>
      <c r="N3244" s="8"/>
      <c r="O3244" s="8"/>
      <c r="P3244" s="8"/>
      <c r="Q3244" s="8"/>
      <c r="R3244" s="8"/>
      <c r="S3244" s="8"/>
      <c r="T3244" s="8"/>
      <c r="U3244" s="8"/>
      <c r="V3244" s="8"/>
      <c r="W3244" s="8"/>
    </row>
    <row r="3245" spans="1:23" ht="15.75" customHeight="1" x14ac:dyDescent="0.25">
      <c r="A3245" s="6" t="s">
        <v>242</v>
      </c>
      <c r="B3245" s="8"/>
      <c r="C3245" s="8"/>
      <c r="D3245" s="8"/>
      <c r="E3245" s="8"/>
      <c r="F3245" s="8"/>
      <c r="G3245" s="8"/>
      <c r="H3245" s="8"/>
      <c r="I3245" s="8"/>
      <c r="J3245" s="8"/>
      <c r="K3245" s="8"/>
      <c r="L3245" s="8"/>
      <c r="M3245" s="8"/>
      <c r="N3245" s="8"/>
      <c r="O3245" s="8"/>
      <c r="P3245" s="8"/>
      <c r="Q3245" s="8"/>
      <c r="R3245" s="8"/>
      <c r="S3245" s="8"/>
      <c r="T3245" s="8"/>
      <c r="U3245" s="8"/>
      <c r="V3245" s="8"/>
      <c r="W3245" s="8"/>
    </row>
    <row r="3246" spans="1:23" ht="15.75" customHeight="1" x14ac:dyDescent="0.25">
      <c r="A3246" s="6" t="s">
        <v>242</v>
      </c>
      <c r="B3246" s="8"/>
      <c r="C3246" s="8"/>
      <c r="D3246" s="8"/>
      <c r="E3246" s="8"/>
      <c r="F3246" s="8"/>
      <c r="G3246" s="8"/>
      <c r="H3246" s="8"/>
      <c r="I3246" s="8"/>
      <c r="J3246" s="8"/>
      <c r="K3246" s="8"/>
      <c r="L3246" s="8"/>
      <c r="M3246" s="8"/>
      <c r="N3246" s="8"/>
      <c r="O3246" s="8"/>
      <c r="P3246" s="8"/>
      <c r="Q3246" s="8"/>
      <c r="R3246" s="8"/>
      <c r="S3246" s="8"/>
      <c r="T3246" s="8"/>
      <c r="U3246" s="8"/>
      <c r="V3246" s="8"/>
      <c r="W3246" s="8"/>
    </row>
    <row r="3247" spans="1:23" ht="15.75" customHeight="1" x14ac:dyDescent="0.25">
      <c r="A3247" s="6" t="s">
        <v>242</v>
      </c>
      <c r="B3247" s="8"/>
      <c r="C3247" s="8"/>
      <c r="D3247" s="8"/>
      <c r="E3247" s="8"/>
      <c r="F3247" s="8"/>
      <c r="G3247" s="8"/>
      <c r="H3247" s="8"/>
      <c r="I3247" s="8"/>
      <c r="J3247" s="8"/>
      <c r="K3247" s="8"/>
      <c r="L3247" s="8"/>
      <c r="M3247" s="8"/>
      <c r="N3247" s="8"/>
      <c r="O3247" s="8"/>
      <c r="P3247" s="8"/>
      <c r="Q3247" s="8"/>
      <c r="R3247" s="8"/>
      <c r="S3247" s="8"/>
      <c r="T3247" s="8"/>
      <c r="U3247" s="8"/>
      <c r="V3247" s="8"/>
      <c r="W3247" s="8"/>
    </row>
    <row r="3248" spans="1:23" ht="15.75" customHeight="1" x14ac:dyDescent="0.25">
      <c r="A3248" s="6" t="s">
        <v>242</v>
      </c>
      <c r="B3248" s="8"/>
      <c r="C3248" s="8"/>
      <c r="D3248" s="8"/>
      <c r="E3248" s="8"/>
      <c r="F3248" s="8"/>
      <c r="G3248" s="8"/>
      <c r="H3248" s="8"/>
      <c r="I3248" s="8"/>
      <c r="J3248" s="8"/>
      <c r="K3248" s="8"/>
      <c r="L3248" s="8"/>
      <c r="M3248" s="8"/>
      <c r="N3248" s="8"/>
      <c r="O3248" s="8"/>
      <c r="P3248" s="8"/>
      <c r="Q3248" s="8"/>
      <c r="R3248" s="8"/>
      <c r="S3248" s="8"/>
      <c r="T3248" s="8"/>
      <c r="U3248" s="8"/>
      <c r="V3248" s="8"/>
      <c r="W3248" s="8"/>
    </row>
    <row r="3249" spans="1:23" ht="15.75" customHeight="1" x14ac:dyDescent="0.25">
      <c r="A3249" s="6" t="s">
        <v>242</v>
      </c>
      <c r="B3249" s="8"/>
      <c r="C3249" s="8"/>
      <c r="D3249" s="8"/>
      <c r="E3249" s="8"/>
      <c r="F3249" s="8"/>
      <c r="G3249" s="8"/>
      <c r="H3249" s="8"/>
      <c r="I3249" s="8"/>
      <c r="J3249" s="8"/>
      <c r="K3249" s="8"/>
      <c r="L3249" s="8"/>
      <c r="M3249" s="8"/>
      <c r="N3249" s="8"/>
      <c r="O3249" s="8"/>
      <c r="P3249" s="8"/>
      <c r="Q3249" s="8"/>
      <c r="R3249" s="8"/>
      <c r="S3249" s="8"/>
      <c r="T3249" s="8"/>
      <c r="U3249" s="8"/>
      <c r="V3249" s="8"/>
      <c r="W3249" s="8"/>
    </row>
    <row r="3250" spans="1:23" ht="15.75" customHeight="1" x14ac:dyDescent="0.25">
      <c r="A3250" s="6" t="s">
        <v>242</v>
      </c>
      <c r="B3250" s="8"/>
      <c r="C3250" s="8"/>
      <c r="D3250" s="8"/>
      <c r="E3250" s="8"/>
      <c r="F3250" s="8"/>
      <c r="G3250" s="8"/>
      <c r="H3250" s="8"/>
      <c r="I3250" s="8"/>
      <c r="J3250" s="8"/>
      <c r="K3250" s="8"/>
      <c r="L3250" s="8"/>
      <c r="M3250" s="8"/>
      <c r="N3250" s="8"/>
      <c r="O3250" s="8"/>
      <c r="P3250" s="8"/>
      <c r="Q3250" s="8"/>
      <c r="R3250" s="8"/>
      <c r="S3250" s="8"/>
      <c r="T3250" s="8"/>
      <c r="U3250" s="8"/>
      <c r="V3250" s="8"/>
      <c r="W3250" s="8"/>
    </row>
    <row r="3251" spans="1:23" ht="15.75" customHeight="1" x14ac:dyDescent="0.25">
      <c r="A3251" s="6" t="s">
        <v>242</v>
      </c>
      <c r="B3251" s="8"/>
      <c r="C3251" s="8"/>
      <c r="D3251" s="8"/>
      <c r="E3251" s="8"/>
      <c r="F3251" s="8"/>
      <c r="G3251" s="8"/>
      <c r="H3251" s="8"/>
      <c r="I3251" s="8"/>
      <c r="J3251" s="8"/>
      <c r="K3251" s="8"/>
      <c r="L3251" s="8"/>
      <c r="M3251" s="8"/>
      <c r="N3251" s="8"/>
      <c r="O3251" s="8"/>
      <c r="P3251" s="8"/>
      <c r="Q3251" s="8"/>
      <c r="R3251" s="8"/>
      <c r="S3251" s="8"/>
      <c r="T3251" s="8"/>
      <c r="U3251" s="8"/>
      <c r="V3251" s="8"/>
      <c r="W3251" s="8"/>
    </row>
    <row r="3252" spans="1:23" ht="15.75" customHeight="1" x14ac:dyDescent="0.25">
      <c r="A3252" s="6" t="s">
        <v>242</v>
      </c>
      <c r="B3252" s="8"/>
      <c r="C3252" s="8"/>
      <c r="D3252" s="8"/>
      <c r="E3252" s="8"/>
      <c r="F3252" s="8"/>
      <c r="G3252" s="8"/>
      <c r="H3252" s="8"/>
      <c r="I3252" s="8"/>
      <c r="J3252" s="8"/>
      <c r="K3252" s="8"/>
      <c r="L3252" s="8"/>
      <c r="M3252" s="8"/>
      <c r="N3252" s="8"/>
      <c r="O3252" s="8"/>
      <c r="P3252" s="8"/>
      <c r="Q3252" s="8"/>
      <c r="R3252" s="8"/>
      <c r="S3252" s="8"/>
      <c r="T3252" s="8"/>
      <c r="U3252" s="8"/>
      <c r="V3252" s="8"/>
      <c r="W3252" s="8"/>
    </row>
    <row r="3253" spans="1:23" ht="15.75" customHeight="1" x14ac:dyDescent="0.25">
      <c r="A3253" s="6" t="s">
        <v>242</v>
      </c>
      <c r="B3253" s="8"/>
      <c r="C3253" s="8"/>
      <c r="D3253" s="8"/>
      <c r="E3253" s="8"/>
      <c r="F3253" s="8"/>
      <c r="G3253" s="8"/>
      <c r="H3253" s="8"/>
      <c r="I3253" s="8"/>
      <c r="J3253" s="8"/>
      <c r="K3253" s="8"/>
      <c r="L3253" s="8"/>
      <c r="M3253" s="8"/>
      <c r="N3253" s="8"/>
      <c r="O3253" s="8"/>
      <c r="P3253" s="8"/>
      <c r="Q3253" s="8"/>
      <c r="R3253" s="8"/>
      <c r="S3253" s="8"/>
      <c r="T3253" s="8"/>
      <c r="U3253" s="8"/>
      <c r="V3253" s="8"/>
      <c r="W3253" s="8"/>
    </row>
    <row r="3254" spans="1:23" ht="15.75" customHeight="1" x14ac:dyDescent="0.25">
      <c r="A3254" s="6" t="s">
        <v>242</v>
      </c>
      <c r="B3254" s="8"/>
      <c r="C3254" s="8"/>
      <c r="D3254" s="8"/>
      <c r="E3254" s="8"/>
      <c r="F3254" s="8"/>
      <c r="G3254" s="8"/>
      <c r="H3254" s="8"/>
      <c r="I3254" s="8"/>
      <c r="J3254" s="8"/>
      <c r="K3254" s="8"/>
      <c r="L3254" s="8"/>
      <c r="M3254" s="8"/>
      <c r="N3254" s="8"/>
      <c r="O3254" s="8"/>
      <c r="P3254" s="8"/>
      <c r="Q3254" s="8"/>
      <c r="R3254" s="8"/>
      <c r="S3254" s="8"/>
      <c r="T3254" s="8"/>
      <c r="U3254" s="8"/>
      <c r="V3254" s="8"/>
      <c r="W3254" s="8"/>
    </row>
    <row r="3255" spans="1:23" ht="15.75" customHeight="1" x14ac:dyDescent="0.25">
      <c r="A3255" s="6" t="s">
        <v>242</v>
      </c>
      <c r="B3255" s="8"/>
      <c r="C3255" s="8"/>
      <c r="D3255" s="8"/>
      <c r="E3255" s="8"/>
      <c r="F3255" s="8"/>
      <c r="G3255" s="8"/>
      <c r="H3255" s="8"/>
      <c r="I3255" s="8"/>
      <c r="J3255" s="8"/>
      <c r="K3255" s="8"/>
      <c r="L3255" s="8"/>
      <c r="M3255" s="8"/>
      <c r="N3255" s="8"/>
      <c r="O3255" s="8"/>
      <c r="P3255" s="8"/>
      <c r="Q3255" s="8"/>
      <c r="R3255" s="8"/>
      <c r="S3255" s="8"/>
      <c r="T3255" s="8"/>
      <c r="U3255" s="8"/>
      <c r="V3255" s="8"/>
      <c r="W3255" s="8"/>
    </row>
    <row r="3256" spans="1:23" ht="15.75" customHeight="1" x14ac:dyDescent="0.25">
      <c r="A3256" s="6" t="s">
        <v>242</v>
      </c>
      <c r="B3256" s="8"/>
      <c r="C3256" s="8"/>
      <c r="D3256" s="8"/>
      <c r="E3256" s="8"/>
      <c r="F3256" s="8"/>
      <c r="G3256" s="8"/>
      <c r="H3256" s="8"/>
      <c r="I3256" s="8"/>
      <c r="J3256" s="8"/>
      <c r="K3256" s="8"/>
      <c r="L3256" s="8"/>
      <c r="M3256" s="8"/>
      <c r="N3256" s="8"/>
      <c r="O3256" s="8"/>
      <c r="P3256" s="8"/>
      <c r="Q3256" s="8"/>
      <c r="R3256" s="8"/>
      <c r="S3256" s="8"/>
      <c r="T3256" s="8"/>
      <c r="U3256" s="8"/>
      <c r="V3256" s="8"/>
      <c r="W3256" s="8"/>
    </row>
    <row r="3257" spans="1:23" ht="15.75" customHeight="1" x14ac:dyDescent="0.25">
      <c r="A3257" s="6" t="s">
        <v>242</v>
      </c>
      <c r="B3257" s="8"/>
      <c r="C3257" s="8"/>
      <c r="D3257" s="8"/>
      <c r="E3257" s="8"/>
      <c r="F3257" s="8"/>
      <c r="G3257" s="8"/>
      <c r="H3257" s="8"/>
      <c r="I3257" s="8"/>
      <c r="J3257" s="8"/>
      <c r="K3257" s="8"/>
      <c r="L3257" s="8"/>
      <c r="M3257" s="8"/>
      <c r="N3257" s="8"/>
      <c r="O3257" s="8"/>
      <c r="P3257" s="8"/>
      <c r="Q3257" s="8"/>
      <c r="R3257" s="8"/>
      <c r="S3257" s="8"/>
      <c r="T3257" s="8"/>
      <c r="U3257" s="8"/>
      <c r="V3257" s="8"/>
      <c r="W3257" s="8"/>
    </row>
    <row r="3258" spans="1:23" ht="15.75" customHeight="1" x14ac:dyDescent="0.25">
      <c r="A3258" s="6" t="s">
        <v>242</v>
      </c>
      <c r="B3258" s="8"/>
      <c r="C3258" s="8"/>
      <c r="D3258" s="8"/>
      <c r="E3258" s="8"/>
      <c r="F3258" s="8"/>
      <c r="G3258" s="8"/>
      <c r="H3258" s="8"/>
      <c r="I3258" s="8"/>
      <c r="J3258" s="8"/>
      <c r="K3258" s="8"/>
      <c r="L3258" s="8"/>
      <c r="M3258" s="8"/>
      <c r="N3258" s="8"/>
      <c r="O3258" s="8"/>
      <c r="P3258" s="8"/>
      <c r="Q3258" s="8"/>
      <c r="R3258" s="8"/>
      <c r="S3258" s="8"/>
      <c r="T3258" s="8"/>
      <c r="U3258" s="8"/>
      <c r="V3258" s="8"/>
      <c r="W3258" s="8"/>
    </row>
    <row r="3259" spans="1:23" ht="15.75" customHeight="1" x14ac:dyDescent="0.25">
      <c r="A3259" s="6" t="s">
        <v>242</v>
      </c>
      <c r="B3259" s="8"/>
      <c r="C3259" s="8"/>
      <c r="D3259" s="8"/>
      <c r="E3259" s="8"/>
      <c r="F3259" s="8"/>
      <c r="G3259" s="8"/>
      <c r="H3259" s="8"/>
      <c r="I3259" s="8"/>
      <c r="J3259" s="8"/>
      <c r="K3259" s="8"/>
      <c r="L3259" s="8"/>
      <c r="M3259" s="8"/>
      <c r="N3259" s="8"/>
      <c r="O3259" s="8"/>
      <c r="P3259" s="8"/>
      <c r="Q3259" s="8"/>
      <c r="R3259" s="8"/>
      <c r="S3259" s="8"/>
      <c r="T3259" s="8"/>
      <c r="U3259" s="8"/>
      <c r="V3259" s="8"/>
      <c r="W3259" s="8"/>
    </row>
    <row r="3260" spans="1:23" ht="15.75" customHeight="1" x14ac:dyDescent="0.25">
      <c r="A3260" s="6" t="s">
        <v>242</v>
      </c>
      <c r="B3260" s="8"/>
      <c r="C3260" s="8"/>
      <c r="D3260" s="8"/>
      <c r="E3260" s="8"/>
      <c r="F3260" s="8"/>
      <c r="G3260" s="8"/>
      <c r="H3260" s="8"/>
      <c r="I3260" s="8"/>
      <c r="J3260" s="8"/>
      <c r="K3260" s="8"/>
      <c r="L3260" s="8"/>
      <c r="M3260" s="8"/>
      <c r="N3260" s="8"/>
      <c r="O3260" s="8"/>
      <c r="P3260" s="8"/>
      <c r="Q3260" s="8"/>
      <c r="R3260" s="8"/>
      <c r="S3260" s="8"/>
      <c r="T3260" s="8"/>
      <c r="U3260" s="8"/>
      <c r="V3260" s="8"/>
      <c r="W3260" s="8"/>
    </row>
    <row r="3261" spans="1:23" ht="15.75" customHeight="1" x14ac:dyDescent="0.25">
      <c r="A3261" s="6" t="s">
        <v>242</v>
      </c>
      <c r="B3261" s="8"/>
      <c r="C3261" s="8"/>
      <c r="D3261" s="8"/>
      <c r="E3261" s="8"/>
      <c r="F3261" s="8"/>
      <c r="G3261" s="8"/>
      <c r="H3261" s="8"/>
      <c r="I3261" s="8"/>
      <c r="J3261" s="8"/>
      <c r="K3261" s="8"/>
      <c r="L3261" s="8"/>
      <c r="M3261" s="8"/>
      <c r="N3261" s="8"/>
      <c r="O3261" s="8"/>
      <c r="P3261" s="8"/>
      <c r="Q3261" s="8"/>
      <c r="R3261" s="8"/>
      <c r="S3261" s="8"/>
      <c r="T3261" s="8"/>
      <c r="U3261" s="8"/>
      <c r="V3261" s="8"/>
      <c r="W3261" s="8"/>
    </row>
    <row r="3262" spans="1:23" ht="15.75" customHeight="1" x14ac:dyDescent="0.25">
      <c r="A3262" s="6" t="s">
        <v>242</v>
      </c>
      <c r="B3262" s="8"/>
      <c r="C3262" s="8"/>
      <c r="D3262" s="8"/>
      <c r="E3262" s="8"/>
      <c r="F3262" s="8"/>
      <c r="G3262" s="8"/>
      <c r="H3262" s="8"/>
      <c r="I3262" s="8"/>
      <c r="J3262" s="8"/>
      <c r="K3262" s="8"/>
      <c r="L3262" s="8"/>
      <c r="M3262" s="8"/>
      <c r="N3262" s="8"/>
      <c r="O3262" s="8"/>
      <c r="P3262" s="8"/>
      <c r="Q3262" s="8"/>
      <c r="R3262" s="8"/>
      <c r="S3262" s="8"/>
      <c r="T3262" s="8"/>
      <c r="U3262" s="8"/>
      <c r="V3262" s="8"/>
      <c r="W3262" s="8"/>
    </row>
    <row r="3263" spans="1:23" ht="15.75" customHeight="1" x14ac:dyDescent="0.25">
      <c r="A3263" s="6" t="s">
        <v>242</v>
      </c>
      <c r="B3263" s="8"/>
      <c r="C3263" s="8"/>
      <c r="D3263" s="8"/>
      <c r="E3263" s="8"/>
      <c r="F3263" s="8"/>
      <c r="G3263" s="8"/>
      <c r="H3263" s="8"/>
      <c r="I3263" s="8"/>
      <c r="J3263" s="8"/>
      <c r="K3263" s="8"/>
      <c r="L3263" s="8"/>
      <c r="M3263" s="8"/>
      <c r="N3263" s="8"/>
      <c r="O3263" s="8"/>
      <c r="P3263" s="8"/>
      <c r="Q3263" s="8"/>
      <c r="R3263" s="8"/>
      <c r="S3263" s="8"/>
      <c r="T3263" s="8"/>
      <c r="U3263" s="8"/>
      <c r="V3263" s="8"/>
      <c r="W3263" s="8"/>
    </row>
    <row r="3264" spans="1:23" ht="15.75" customHeight="1" x14ac:dyDescent="0.25">
      <c r="A3264" s="6" t="s">
        <v>242</v>
      </c>
      <c r="B3264" s="8"/>
      <c r="C3264" s="8"/>
      <c r="D3264" s="8"/>
      <c r="E3264" s="8"/>
      <c r="F3264" s="8"/>
      <c r="G3264" s="8"/>
      <c r="H3264" s="8"/>
      <c r="I3264" s="8"/>
      <c r="J3264" s="8"/>
      <c r="K3264" s="8"/>
      <c r="L3264" s="8"/>
      <c r="M3264" s="8"/>
      <c r="N3264" s="8"/>
      <c r="O3264" s="8"/>
      <c r="P3264" s="8"/>
      <c r="Q3264" s="8"/>
      <c r="R3264" s="8"/>
      <c r="S3264" s="8"/>
      <c r="T3264" s="8"/>
      <c r="U3264" s="8"/>
      <c r="V3264" s="8"/>
      <c r="W3264" s="8"/>
    </row>
    <row r="3265" spans="1:23" ht="15.75" customHeight="1" x14ac:dyDescent="0.25">
      <c r="A3265" s="6" t="s">
        <v>242</v>
      </c>
      <c r="B3265" s="8"/>
      <c r="C3265" s="8"/>
      <c r="D3265" s="8"/>
      <c r="E3265" s="8"/>
      <c r="F3265" s="8"/>
      <c r="G3265" s="8"/>
      <c r="H3265" s="8"/>
      <c r="I3265" s="8"/>
      <c r="J3265" s="8"/>
      <c r="K3265" s="8"/>
      <c r="L3265" s="8"/>
      <c r="M3265" s="8"/>
      <c r="N3265" s="8"/>
      <c r="O3265" s="8"/>
      <c r="P3265" s="8"/>
      <c r="Q3265" s="8"/>
      <c r="R3265" s="8"/>
      <c r="S3265" s="8"/>
      <c r="T3265" s="8"/>
      <c r="U3265" s="8"/>
      <c r="V3265" s="8"/>
      <c r="W3265" s="8"/>
    </row>
    <row r="3266" spans="1:23" ht="15.75" customHeight="1" x14ac:dyDescent="0.25">
      <c r="A3266" s="6" t="s">
        <v>242</v>
      </c>
      <c r="B3266" s="8"/>
      <c r="C3266" s="8"/>
      <c r="D3266" s="8"/>
      <c r="E3266" s="8"/>
      <c r="F3266" s="8"/>
      <c r="G3266" s="8"/>
      <c r="H3266" s="8"/>
      <c r="I3266" s="8"/>
      <c r="J3266" s="8"/>
      <c r="K3266" s="8"/>
      <c r="L3266" s="8"/>
      <c r="M3266" s="8"/>
      <c r="N3266" s="8"/>
      <c r="O3266" s="8"/>
      <c r="P3266" s="8"/>
      <c r="Q3266" s="8"/>
      <c r="R3266" s="8"/>
      <c r="S3266" s="8"/>
      <c r="T3266" s="8"/>
      <c r="U3266" s="8"/>
      <c r="V3266" s="8"/>
      <c r="W3266" s="8"/>
    </row>
    <row r="3267" spans="1:23" ht="15.75" customHeight="1" x14ac:dyDescent="0.25">
      <c r="A3267" s="6" t="s">
        <v>242</v>
      </c>
      <c r="B3267" s="8"/>
      <c r="C3267" s="8"/>
      <c r="D3267" s="8"/>
      <c r="E3267" s="8"/>
      <c r="F3267" s="8"/>
      <c r="G3267" s="8"/>
      <c r="H3267" s="8"/>
      <c r="I3267" s="8"/>
      <c r="J3267" s="8"/>
      <c r="K3267" s="8"/>
      <c r="L3267" s="8"/>
      <c r="M3267" s="8"/>
      <c r="N3267" s="8"/>
      <c r="O3267" s="8"/>
      <c r="P3267" s="8"/>
      <c r="Q3267" s="8"/>
      <c r="R3267" s="8"/>
      <c r="S3267" s="8"/>
      <c r="T3267" s="8"/>
      <c r="U3267" s="8"/>
      <c r="V3267" s="8"/>
      <c r="W3267" s="8"/>
    </row>
    <row r="3268" spans="1:23" ht="15.75" customHeight="1" x14ac:dyDescent="0.25">
      <c r="A3268" s="6" t="s">
        <v>242</v>
      </c>
      <c r="B3268" s="8"/>
      <c r="C3268" s="8"/>
      <c r="D3268" s="8"/>
      <c r="E3268" s="8"/>
      <c r="F3268" s="8"/>
      <c r="G3268" s="8"/>
      <c r="H3268" s="8"/>
      <c r="I3268" s="8"/>
      <c r="J3268" s="8"/>
      <c r="K3268" s="8"/>
      <c r="L3268" s="8"/>
      <c r="M3268" s="8"/>
      <c r="N3268" s="8"/>
      <c r="O3268" s="8"/>
      <c r="P3268" s="8"/>
      <c r="Q3268" s="8"/>
      <c r="R3268" s="8"/>
      <c r="S3268" s="8"/>
      <c r="T3268" s="8"/>
      <c r="U3268" s="8"/>
      <c r="V3268" s="8"/>
      <c r="W3268" s="8"/>
    </row>
    <row r="3269" spans="1:23" ht="15.75" customHeight="1" x14ac:dyDescent="0.25">
      <c r="A3269" s="6" t="s">
        <v>242</v>
      </c>
      <c r="B3269" s="8"/>
      <c r="C3269" s="8"/>
      <c r="D3269" s="8"/>
      <c r="E3269" s="8"/>
      <c r="F3269" s="8"/>
      <c r="G3269" s="8"/>
      <c r="H3269" s="8"/>
      <c r="I3269" s="8"/>
      <c r="J3269" s="8"/>
      <c r="K3269" s="8"/>
      <c r="L3269" s="8"/>
      <c r="M3269" s="8"/>
      <c r="N3269" s="8"/>
      <c r="O3269" s="8"/>
      <c r="P3269" s="8"/>
      <c r="Q3269" s="8"/>
      <c r="R3269" s="8"/>
      <c r="S3269" s="8"/>
      <c r="T3269" s="8"/>
      <c r="U3269" s="8"/>
      <c r="V3269" s="8"/>
      <c r="W3269" s="8"/>
    </row>
    <row r="3270" spans="1:23" ht="15.75" customHeight="1" x14ac:dyDescent="0.25">
      <c r="A3270" s="6" t="s">
        <v>242</v>
      </c>
      <c r="B3270" s="8"/>
      <c r="C3270" s="8"/>
      <c r="D3270" s="8"/>
      <c r="E3270" s="8"/>
      <c r="F3270" s="8"/>
      <c r="G3270" s="8"/>
      <c r="H3270" s="8"/>
      <c r="I3270" s="8"/>
      <c r="J3270" s="8"/>
      <c r="K3270" s="8"/>
      <c r="L3270" s="8"/>
      <c r="M3270" s="8"/>
      <c r="N3270" s="8"/>
      <c r="O3270" s="8"/>
      <c r="P3270" s="8"/>
      <c r="Q3270" s="8"/>
      <c r="R3270" s="8"/>
      <c r="S3270" s="8"/>
      <c r="T3270" s="8"/>
      <c r="U3270" s="8"/>
      <c r="V3270" s="8"/>
      <c r="W3270" s="8"/>
    </row>
    <row r="3271" spans="1:23" ht="15.75" customHeight="1" x14ac:dyDescent="0.25">
      <c r="A3271" s="6" t="s">
        <v>242</v>
      </c>
      <c r="B3271" s="8"/>
      <c r="C3271" s="8"/>
      <c r="D3271" s="8"/>
      <c r="E3271" s="8"/>
      <c r="F3271" s="8"/>
      <c r="G3271" s="8"/>
      <c r="H3271" s="8"/>
      <c r="I3271" s="8"/>
      <c r="J3271" s="8"/>
      <c r="K3271" s="8"/>
      <c r="L3271" s="8"/>
      <c r="M3271" s="8"/>
      <c r="N3271" s="8"/>
      <c r="O3271" s="8"/>
      <c r="P3271" s="8"/>
      <c r="Q3271" s="8"/>
      <c r="R3271" s="8"/>
      <c r="S3271" s="8"/>
      <c r="T3271" s="8"/>
      <c r="U3271" s="8"/>
      <c r="V3271" s="8"/>
      <c r="W3271" s="8"/>
    </row>
    <row r="3272" spans="1:23" ht="15.75" customHeight="1" x14ac:dyDescent="0.25">
      <c r="A3272" s="6" t="s">
        <v>242</v>
      </c>
      <c r="B3272" s="8"/>
      <c r="C3272" s="8"/>
      <c r="D3272" s="8"/>
      <c r="E3272" s="8"/>
      <c r="F3272" s="8"/>
      <c r="G3272" s="8"/>
      <c r="H3272" s="8"/>
      <c r="I3272" s="8"/>
      <c r="J3272" s="8"/>
      <c r="K3272" s="8"/>
      <c r="L3272" s="8"/>
      <c r="M3272" s="8"/>
      <c r="N3272" s="8"/>
      <c r="O3272" s="8"/>
      <c r="P3272" s="8"/>
      <c r="Q3272" s="8"/>
      <c r="R3272" s="8"/>
      <c r="S3272" s="8"/>
      <c r="T3272" s="8"/>
      <c r="U3272" s="8"/>
      <c r="V3272" s="8"/>
      <c r="W3272" s="8"/>
    </row>
    <row r="3273" spans="1:23" ht="15.75" customHeight="1" x14ac:dyDescent="0.25">
      <c r="A3273" s="6" t="s">
        <v>242</v>
      </c>
      <c r="B3273" s="8"/>
      <c r="C3273" s="8"/>
      <c r="D3273" s="8"/>
      <c r="E3273" s="8"/>
      <c r="F3273" s="8"/>
      <c r="G3273" s="8"/>
      <c r="H3273" s="8"/>
      <c r="I3273" s="8"/>
      <c r="J3273" s="8"/>
      <c r="K3273" s="8"/>
      <c r="L3273" s="8"/>
      <c r="M3273" s="8"/>
      <c r="N3273" s="8"/>
      <c r="O3273" s="8"/>
      <c r="P3273" s="8"/>
      <c r="Q3273" s="8"/>
      <c r="R3273" s="8"/>
      <c r="S3273" s="8"/>
      <c r="T3273" s="8"/>
      <c r="U3273" s="8"/>
      <c r="V3273" s="8"/>
      <c r="W3273" s="8"/>
    </row>
    <row r="3274" spans="1:23" ht="15.75" customHeight="1" x14ac:dyDescent="0.25">
      <c r="A3274" s="6" t="s">
        <v>242</v>
      </c>
      <c r="B3274" s="8"/>
      <c r="C3274" s="8"/>
      <c r="D3274" s="8"/>
      <c r="E3274" s="8"/>
      <c r="F3274" s="8"/>
      <c r="G3274" s="8"/>
      <c r="H3274" s="8"/>
      <c r="I3274" s="8"/>
      <c r="J3274" s="8"/>
      <c r="K3274" s="8"/>
      <c r="L3274" s="8"/>
      <c r="M3274" s="8"/>
      <c r="N3274" s="8"/>
      <c r="O3274" s="8"/>
      <c r="P3274" s="8"/>
      <c r="Q3274" s="8"/>
      <c r="R3274" s="8"/>
      <c r="S3274" s="8"/>
      <c r="T3274" s="8"/>
      <c r="U3274" s="8"/>
      <c r="V3274" s="8"/>
      <c r="W3274" s="8"/>
    </row>
    <row r="3275" spans="1:23" ht="15.75" customHeight="1" x14ac:dyDescent="0.25">
      <c r="A3275" s="6" t="s">
        <v>242</v>
      </c>
      <c r="B3275" s="8"/>
      <c r="C3275" s="8"/>
      <c r="D3275" s="8"/>
      <c r="E3275" s="8"/>
      <c r="F3275" s="8"/>
      <c r="G3275" s="8"/>
      <c r="H3275" s="8"/>
      <c r="I3275" s="8"/>
      <c r="J3275" s="8"/>
      <c r="K3275" s="8"/>
      <c r="L3275" s="8"/>
      <c r="M3275" s="8"/>
      <c r="N3275" s="8"/>
      <c r="O3275" s="8"/>
      <c r="P3275" s="8"/>
      <c r="Q3275" s="8"/>
      <c r="R3275" s="8"/>
      <c r="S3275" s="8"/>
      <c r="T3275" s="8"/>
      <c r="U3275" s="8"/>
      <c r="V3275" s="8"/>
      <c r="W3275" s="8"/>
    </row>
    <row r="3276" spans="1:23" ht="15.75" customHeight="1" x14ac:dyDescent="0.25">
      <c r="A3276" s="6" t="s">
        <v>242</v>
      </c>
      <c r="B3276" s="8"/>
      <c r="C3276" s="8"/>
      <c r="D3276" s="8"/>
      <c r="E3276" s="8"/>
      <c r="F3276" s="8"/>
      <c r="G3276" s="8"/>
      <c r="H3276" s="8"/>
      <c r="I3276" s="8"/>
      <c r="J3276" s="8"/>
      <c r="K3276" s="8"/>
      <c r="L3276" s="8"/>
      <c r="M3276" s="8"/>
      <c r="N3276" s="8"/>
      <c r="O3276" s="8"/>
      <c r="P3276" s="8"/>
      <c r="Q3276" s="8"/>
      <c r="R3276" s="8"/>
      <c r="S3276" s="8"/>
      <c r="T3276" s="8"/>
      <c r="U3276" s="8"/>
      <c r="V3276" s="8"/>
      <c r="W3276" s="8"/>
    </row>
    <row r="3277" spans="1:23" ht="15.75" customHeight="1" x14ac:dyDescent="0.25">
      <c r="A3277" s="6" t="s">
        <v>242</v>
      </c>
      <c r="B3277" s="8"/>
      <c r="C3277" s="8"/>
      <c r="D3277" s="8"/>
      <c r="E3277" s="8"/>
      <c r="F3277" s="8"/>
      <c r="G3277" s="8"/>
      <c r="H3277" s="8"/>
      <c r="I3277" s="8"/>
      <c r="J3277" s="8"/>
      <c r="K3277" s="8"/>
      <c r="L3277" s="8"/>
      <c r="M3277" s="8"/>
      <c r="N3277" s="8"/>
      <c r="O3277" s="8"/>
      <c r="P3277" s="8"/>
      <c r="Q3277" s="8"/>
      <c r="R3277" s="8"/>
      <c r="S3277" s="8"/>
      <c r="T3277" s="8"/>
      <c r="U3277" s="8"/>
      <c r="V3277" s="8"/>
      <c r="W3277" s="8"/>
    </row>
    <row r="3278" spans="1:23" ht="15.75" customHeight="1" x14ac:dyDescent="0.25">
      <c r="A3278" s="6" t="s">
        <v>242</v>
      </c>
      <c r="B3278" s="8"/>
      <c r="C3278" s="8"/>
      <c r="D3278" s="8"/>
      <c r="E3278" s="8"/>
      <c r="F3278" s="8"/>
      <c r="G3278" s="8"/>
      <c r="H3278" s="8"/>
      <c r="I3278" s="8"/>
      <c r="J3278" s="8"/>
      <c r="K3278" s="8"/>
      <c r="L3278" s="8"/>
      <c r="M3278" s="8"/>
      <c r="N3278" s="8"/>
      <c r="O3278" s="8"/>
      <c r="P3278" s="8"/>
      <c r="Q3278" s="8"/>
      <c r="R3278" s="8"/>
      <c r="S3278" s="8"/>
      <c r="T3278" s="8"/>
      <c r="U3278" s="8"/>
      <c r="V3278" s="8"/>
      <c r="W3278" s="8"/>
    </row>
    <row r="3279" spans="1:23" ht="15.75" customHeight="1" x14ac:dyDescent="0.25">
      <c r="A3279" s="6" t="s">
        <v>242</v>
      </c>
      <c r="B3279" s="8"/>
      <c r="C3279" s="8"/>
      <c r="D3279" s="8"/>
      <c r="E3279" s="8"/>
      <c r="F3279" s="8"/>
      <c r="G3279" s="8"/>
      <c r="H3279" s="8"/>
      <c r="I3279" s="8"/>
      <c r="J3279" s="8"/>
      <c r="K3279" s="8"/>
      <c r="L3279" s="8"/>
      <c r="M3279" s="8"/>
      <c r="N3279" s="8"/>
      <c r="O3279" s="8"/>
      <c r="P3279" s="8"/>
      <c r="Q3279" s="8"/>
      <c r="R3279" s="8"/>
      <c r="S3279" s="8"/>
      <c r="T3279" s="8"/>
      <c r="U3279" s="8"/>
      <c r="V3279" s="8"/>
      <c r="W3279" s="8"/>
    </row>
    <row r="3280" spans="1:23" ht="15.75" customHeight="1" x14ac:dyDescent="0.25">
      <c r="A3280" s="6" t="s">
        <v>242</v>
      </c>
      <c r="B3280" s="8"/>
      <c r="C3280" s="8"/>
      <c r="D3280" s="8"/>
      <c r="E3280" s="8"/>
      <c r="F3280" s="8"/>
      <c r="G3280" s="8"/>
      <c r="H3280" s="8"/>
      <c r="I3280" s="8"/>
      <c r="J3280" s="8"/>
      <c r="K3280" s="8"/>
      <c r="L3280" s="8"/>
      <c r="M3280" s="8"/>
      <c r="N3280" s="8"/>
      <c r="O3280" s="8"/>
      <c r="P3280" s="8"/>
      <c r="Q3280" s="8"/>
      <c r="R3280" s="8"/>
      <c r="S3280" s="8"/>
      <c r="T3280" s="8"/>
      <c r="U3280" s="8"/>
      <c r="V3280" s="8"/>
      <c r="W3280" s="8"/>
    </row>
    <row r="3281" spans="1:23" ht="15.75" customHeight="1" x14ac:dyDescent="0.25">
      <c r="A3281" s="6" t="s">
        <v>242</v>
      </c>
      <c r="B3281" s="8"/>
      <c r="C3281" s="8"/>
      <c r="D3281" s="8"/>
      <c r="E3281" s="8"/>
      <c r="F3281" s="8"/>
      <c r="G3281" s="8"/>
      <c r="H3281" s="8"/>
      <c r="I3281" s="8"/>
      <c r="J3281" s="8"/>
      <c r="K3281" s="8"/>
      <c r="L3281" s="8"/>
      <c r="M3281" s="8"/>
      <c r="N3281" s="8"/>
      <c r="O3281" s="8"/>
      <c r="P3281" s="8"/>
      <c r="Q3281" s="8"/>
      <c r="R3281" s="8"/>
      <c r="S3281" s="8"/>
      <c r="T3281" s="8"/>
      <c r="U3281" s="8"/>
      <c r="V3281" s="8"/>
      <c r="W3281" s="8"/>
    </row>
    <row r="3282" spans="1:23" ht="15.75" customHeight="1" x14ac:dyDescent="0.25">
      <c r="A3282" s="6" t="s">
        <v>242</v>
      </c>
      <c r="B3282" s="8"/>
      <c r="C3282" s="8"/>
      <c r="D3282" s="8"/>
      <c r="E3282" s="8"/>
      <c r="F3282" s="8"/>
      <c r="G3282" s="8"/>
      <c r="H3282" s="8"/>
      <c r="I3282" s="8"/>
      <c r="J3282" s="8"/>
      <c r="K3282" s="8"/>
      <c r="L3282" s="8"/>
      <c r="M3282" s="8"/>
      <c r="N3282" s="8"/>
      <c r="O3282" s="8"/>
      <c r="P3282" s="8"/>
      <c r="Q3282" s="8"/>
      <c r="R3282" s="8"/>
      <c r="S3282" s="8"/>
      <c r="T3282" s="8"/>
      <c r="U3282" s="8"/>
      <c r="V3282" s="8"/>
      <c r="W3282" s="8"/>
    </row>
    <row r="3283" spans="1:23" ht="15.75" customHeight="1" x14ac:dyDescent="0.25">
      <c r="A3283" s="6" t="s">
        <v>242</v>
      </c>
      <c r="B3283" s="8"/>
      <c r="C3283" s="8"/>
      <c r="D3283" s="8"/>
      <c r="E3283" s="8"/>
      <c r="F3283" s="8"/>
      <c r="G3283" s="8"/>
      <c r="H3283" s="8"/>
      <c r="I3283" s="8"/>
      <c r="J3283" s="8"/>
      <c r="K3283" s="8"/>
      <c r="L3283" s="8"/>
      <c r="M3283" s="8"/>
      <c r="N3283" s="8"/>
      <c r="O3283" s="8"/>
      <c r="P3283" s="8"/>
      <c r="Q3283" s="8"/>
      <c r="R3283" s="8"/>
      <c r="S3283" s="8"/>
      <c r="T3283" s="8"/>
      <c r="U3283" s="8"/>
      <c r="V3283" s="8"/>
      <c r="W3283" s="8"/>
    </row>
    <row r="3284" spans="1:23" ht="15.75" customHeight="1" x14ac:dyDescent="0.25">
      <c r="A3284" s="6" t="s">
        <v>242</v>
      </c>
      <c r="B3284" s="8"/>
      <c r="C3284" s="8"/>
      <c r="D3284" s="8"/>
      <c r="E3284" s="8"/>
      <c r="F3284" s="8"/>
      <c r="G3284" s="8"/>
      <c r="H3284" s="8"/>
      <c r="I3284" s="8"/>
      <c r="J3284" s="8"/>
      <c r="K3284" s="8"/>
      <c r="L3284" s="8"/>
      <c r="M3284" s="8"/>
      <c r="N3284" s="8"/>
      <c r="O3284" s="8"/>
      <c r="P3284" s="8"/>
      <c r="Q3284" s="8"/>
      <c r="R3284" s="8"/>
      <c r="S3284" s="8"/>
      <c r="T3284" s="8"/>
      <c r="U3284" s="8"/>
      <c r="V3284" s="8"/>
      <c r="W3284" s="8"/>
    </row>
    <row r="3285" spans="1:23" ht="15.75" customHeight="1" x14ac:dyDescent="0.25">
      <c r="A3285" s="6" t="s">
        <v>242</v>
      </c>
      <c r="B3285" s="8"/>
      <c r="C3285" s="8"/>
      <c r="D3285" s="8"/>
      <c r="E3285" s="8"/>
      <c r="F3285" s="8"/>
      <c r="G3285" s="8"/>
      <c r="H3285" s="8"/>
      <c r="I3285" s="8"/>
      <c r="J3285" s="8"/>
      <c r="K3285" s="8"/>
      <c r="L3285" s="8"/>
      <c r="M3285" s="8"/>
      <c r="N3285" s="8"/>
      <c r="O3285" s="8"/>
      <c r="P3285" s="8"/>
      <c r="Q3285" s="8"/>
      <c r="R3285" s="8"/>
      <c r="S3285" s="8"/>
      <c r="T3285" s="8"/>
      <c r="U3285" s="8"/>
      <c r="V3285" s="8"/>
      <c r="W3285" s="8"/>
    </row>
    <row r="3286" spans="1:23" ht="15.75" customHeight="1" x14ac:dyDescent="0.25">
      <c r="A3286" s="6" t="s">
        <v>242</v>
      </c>
      <c r="B3286" s="8"/>
      <c r="C3286" s="8"/>
      <c r="D3286" s="8"/>
      <c r="E3286" s="8"/>
      <c r="F3286" s="8"/>
      <c r="G3286" s="8"/>
      <c r="H3286" s="8"/>
      <c r="I3286" s="8"/>
      <c r="J3286" s="8"/>
      <c r="K3286" s="8"/>
      <c r="L3286" s="8"/>
      <c r="M3286" s="8"/>
      <c r="N3286" s="8"/>
      <c r="O3286" s="8"/>
      <c r="P3286" s="8"/>
      <c r="Q3286" s="8"/>
      <c r="R3286" s="8"/>
      <c r="S3286" s="8"/>
      <c r="T3286" s="8"/>
      <c r="U3286" s="8"/>
      <c r="V3286" s="8"/>
      <c r="W3286" s="8"/>
    </row>
    <row r="3287" spans="1:23" ht="15.75" customHeight="1" x14ac:dyDescent="0.25">
      <c r="A3287" s="6" t="s">
        <v>242</v>
      </c>
      <c r="B3287" s="8"/>
      <c r="C3287" s="8"/>
      <c r="D3287" s="8"/>
      <c r="E3287" s="8"/>
      <c r="F3287" s="8"/>
      <c r="G3287" s="8"/>
      <c r="H3287" s="8"/>
      <c r="I3287" s="8"/>
      <c r="J3287" s="8"/>
      <c r="K3287" s="8"/>
      <c r="L3287" s="8"/>
      <c r="M3287" s="8"/>
      <c r="N3287" s="8"/>
      <c r="O3287" s="8"/>
      <c r="P3287" s="8"/>
      <c r="Q3287" s="8"/>
      <c r="R3287" s="8"/>
      <c r="S3287" s="8"/>
      <c r="T3287" s="8"/>
      <c r="U3287" s="8"/>
      <c r="V3287" s="8"/>
      <c r="W3287" s="8"/>
    </row>
    <row r="3288" spans="1:23" ht="15.75" customHeight="1" x14ac:dyDescent="0.25">
      <c r="A3288" s="6" t="s">
        <v>242</v>
      </c>
      <c r="B3288" s="8"/>
      <c r="C3288" s="8"/>
      <c r="D3288" s="8"/>
      <c r="E3288" s="8"/>
      <c r="F3288" s="8"/>
      <c r="G3288" s="8"/>
      <c r="H3288" s="8"/>
      <c r="I3288" s="8"/>
      <c r="J3288" s="8"/>
      <c r="K3288" s="8"/>
      <c r="L3288" s="8"/>
      <c r="M3288" s="8"/>
      <c r="N3288" s="8"/>
      <c r="O3288" s="8"/>
      <c r="P3288" s="8"/>
      <c r="Q3288" s="8"/>
      <c r="R3288" s="8"/>
      <c r="S3288" s="8"/>
      <c r="T3288" s="8"/>
      <c r="U3288" s="8"/>
      <c r="V3288" s="8"/>
      <c r="W3288" s="8"/>
    </row>
    <row r="3289" spans="1:23" ht="15.75" customHeight="1" x14ac:dyDescent="0.25">
      <c r="A3289" s="8" t="s">
        <v>242</v>
      </c>
      <c r="B3289" s="8"/>
      <c r="C3289" s="8"/>
      <c r="D3289" s="8"/>
      <c r="E3289" s="8"/>
      <c r="F3289" s="8"/>
      <c r="G3289" s="8"/>
      <c r="H3289" s="8"/>
      <c r="I3289" s="8"/>
      <c r="J3289" s="8"/>
      <c r="K3289" s="8"/>
      <c r="L3289" s="8"/>
      <c r="M3289" s="8"/>
      <c r="N3289" s="8"/>
      <c r="O3289" s="8"/>
      <c r="P3289" s="8"/>
      <c r="Q3289" s="8"/>
      <c r="R3289" s="8"/>
      <c r="S3289" s="8"/>
      <c r="T3289" s="8"/>
      <c r="U3289" s="8"/>
      <c r="V3289" s="8"/>
      <c r="W3289" s="8"/>
    </row>
    <row r="3290" spans="1:23" ht="15.75" customHeight="1" x14ac:dyDescent="0.25">
      <c r="A3290" s="6" t="s">
        <v>242</v>
      </c>
      <c r="B3290" s="8"/>
      <c r="C3290" s="8"/>
      <c r="D3290" s="8"/>
      <c r="E3290" s="8"/>
      <c r="F3290" s="8"/>
      <c r="G3290" s="8"/>
      <c r="H3290" s="8"/>
      <c r="I3290" s="8"/>
      <c r="J3290" s="8"/>
      <c r="K3290" s="8"/>
      <c r="L3290" s="8"/>
      <c r="M3290" s="8"/>
      <c r="N3290" s="8"/>
      <c r="O3290" s="8"/>
      <c r="P3290" s="8"/>
      <c r="Q3290" s="8"/>
      <c r="R3290" s="8"/>
      <c r="S3290" s="8"/>
      <c r="T3290" s="8"/>
      <c r="U3290" s="8"/>
      <c r="V3290" s="8"/>
      <c r="W3290" s="8"/>
    </row>
    <row r="3291" spans="1:23" ht="15.75" customHeight="1" x14ac:dyDescent="0.25">
      <c r="A3291" s="6" t="s">
        <v>242</v>
      </c>
      <c r="B3291" s="8"/>
      <c r="C3291" s="8"/>
      <c r="D3291" s="8"/>
      <c r="E3291" s="8"/>
      <c r="F3291" s="8"/>
      <c r="G3291" s="8"/>
      <c r="H3291" s="8"/>
      <c r="I3291" s="8"/>
      <c r="J3291" s="8"/>
      <c r="K3291" s="8"/>
      <c r="L3291" s="8"/>
      <c r="M3291" s="8"/>
      <c r="N3291" s="8"/>
      <c r="O3291" s="8"/>
      <c r="P3291" s="8"/>
      <c r="Q3291" s="8"/>
      <c r="R3291" s="8"/>
      <c r="S3291" s="8"/>
      <c r="T3291" s="8"/>
      <c r="U3291" s="8"/>
      <c r="V3291" s="8"/>
      <c r="W3291" s="8"/>
    </row>
    <row r="3292" spans="1:23" ht="15.75" customHeight="1" x14ac:dyDescent="0.25">
      <c r="A3292" s="8" t="s">
        <v>242</v>
      </c>
      <c r="B3292" s="8"/>
      <c r="C3292" s="8"/>
      <c r="D3292" s="8"/>
      <c r="E3292" s="8"/>
      <c r="F3292" s="8"/>
      <c r="G3292" s="8"/>
      <c r="H3292" s="8"/>
      <c r="I3292" s="8"/>
      <c r="J3292" s="8"/>
      <c r="K3292" s="8"/>
      <c r="L3292" s="8"/>
      <c r="M3292" s="8"/>
      <c r="N3292" s="8"/>
      <c r="O3292" s="8"/>
      <c r="P3292" s="8"/>
      <c r="Q3292" s="8"/>
      <c r="R3292" s="8"/>
      <c r="S3292" s="8"/>
      <c r="T3292" s="8"/>
      <c r="U3292" s="8"/>
      <c r="V3292" s="8"/>
      <c r="W3292" s="8"/>
    </row>
    <row r="3293" spans="1:23" ht="15.75" customHeight="1" x14ac:dyDescent="0.25">
      <c r="A3293" s="6" t="s">
        <v>242</v>
      </c>
      <c r="B3293" s="8"/>
      <c r="C3293" s="8"/>
      <c r="D3293" s="8"/>
      <c r="E3293" s="8"/>
      <c r="F3293" s="8"/>
      <c r="G3293" s="8"/>
      <c r="H3293" s="8"/>
      <c r="I3293" s="8"/>
      <c r="J3293" s="8"/>
      <c r="K3293" s="8"/>
      <c r="L3293" s="8"/>
      <c r="M3293" s="8"/>
      <c r="N3293" s="8"/>
      <c r="O3293" s="8"/>
      <c r="P3293" s="8"/>
      <c r="Q3293" s="8"/>
      <c r="R3293" s="8"/>
      <c r="S3293" s="8"/>
      <c r="T3293" s="8"/>
      <c r="U3293" s="8"/>
      <c r="V3293" s="8"/>
      <c r="W3293" s="8"/>
    </row>
    <row r="3294" spans="1:23" ht="15.75" customHeight="1" x14ac:dyDescent="0.25">
      <c r="A3294" s="6" t="s">
        <v>242</v>
      </c>
      <c r="B3294" s="8"/>
      <c r="C3294" s="8"/>
      <c r="D3294" s="8"/>
      <c r="E3294" s="8"/>
      <c r="F3294" s="8"/>
      <c r="G3294" s="8"/>
      <c r="H3294" s="8"/>
      <c r="I3294" s="8"/>
      <c r="J3294" s="8"/>
      <c r="K3294" s="8"/>
      <c r="L3294" s="8"/>
      <c r="M3294" s="8"/>
      <c r="N3294" s="8"/>
      <c r="O3294" s="8"/>
      <c r="P3294" s="8"/>
      <c r="Q3294" s="8"/>
      <c r="R3294" s="8"/>
      <c r="S3294" s="8"/>
      <c r="T3294" s="8"/>
      <c r="U3294" s="8"/>
      <c r="V3294" s="8"/>
      <c r="W3294" s="8"/>
    </row>
    <row r="3295" spans="1:23" ht="15.75" customHeight="1" x14ac:dyDescent="0.25">
      <c r="A3295" s="6" t="s">
        <v>242</v>
      </c>
      <c r="B3295" s="8"/>
      <c r="C3295" s="8"/>
      <c r="D3295" s="8"/>
      <c r="E3295" s="8"/>
      <c r="F3295" s="8"/>
      <c r="G3295" s="8"/>
      <c r="H3295" s="8"/>
      <c r="I3295" s="8"/>
      <c r="J3295" s="8"/>
      <c r="K3295" s="8"/>
      <c r="L3295" s="8"/>
      <c r="M3295" s="8"/>
      <c r="N3295" s="8"/>
      <c r="O3295" s="8"/>
      <c r="P3295" s="8"/>
      <c r="Q3295" s="8"/>
      <c r="R3295" s="8"/>
      <c r="S3295" s="8"/>
      <c r="T3295" s="8"/>
      <c r="U3295" s="8"/>
      <c r="V3295" s="8"/>
      <c r="W3295" s="8"/>
    </row>
    <row r="3296" spans="1:23" ht="15.75" customHeight="1" x14ac:dyDescent="0.25">
      <c r="A3296" s="6" t="s">
        <v>242</v>
      </c>
      <c r="B3296" s="8"/>
      <c r="C3296" s="8"/>
      <c r="D3296" s="8"/>
      <c r="E3296" s="8"/>
      <c r="F3296" s="8"/>
      <c r="G3296" s="8"/>
      <c r="H3296" s="8"/>
      <c r="I3296" s="8"/>
      <c r="J3296" s="8"/>
      <c r="K3296" s="8"/>
      <c r="L3296" s="8"/>
      <c r="M3296" s="8"/>
      <c r="N3296" s="8"/>
      <c r="O3296" s="8"/>
      <c r="P3296" s="8"/>
      <c r="Q3296" s="8"/>
      <c r="R3296" s="8"/>
      <c r="S3296" s="8"/>
      <c r="T3296" s="8"/>
      <c r="U3296" s="8"/>
      <c r="V3296" s="8"/>
      <c r="W3296" s="8"/>
    </row>
    <row r="3297" spans="1:23" ht="15.75" customHeight="1" x14ac:dyDescent="0.25">
      <c r="A3297" s="8" t="s">
        <v>4374</v>
      </c>
      <c r="B3297" s="8"/>
      <c r="C3297" s="8"/>
      <c r="D3297" s="8"/>
      <c r="E3297" s="8"/>
      <c r="F3297" s="8"/>
      <c r="G3297" s="8"/>
      <c r="H3297" s="8"/>
      <c r="I3297" s="8"/>
      <c r="J3297" s="8"/>
      <c r="K3297" s="8"/>
      <c r="L3297" s="8"/>
      <c r="M3297" s="8"/>
      <c r="N3297" s="8"/>
      <c r="O3297" s="8"/>
      <c r="P3297" s="8"/>
      <c r="Q3297" s="8"/>
      <c r="R3297" s="8"/>
      <c r="S3297" s="8"/>
      <c r="T3297" s="8"/>
      <c r="U3297" s="8"/>
      <c r="V3297" s="8"/>
      <c r="W3297" s="8"/>
    </row>
    <row r="3298" spans="1:23" ht="15.75" customHeight="1" x14ac:dyDescent="0.25">
      <c r="A3298" s="6" t="s">
        <v>937</v>
      </c>
      <c r="B3298" s="8"/>
      <c r="C3298" s="8"/>
      <c r="D3298" s="8"/>
      <c r="E3298" s="8"/>
      <c r="F3298" s="8"/>
      <c r="G3298" s="8"/>
      <c r="H3298" s="8"/>
      <c r="I3298" s="8"/>
      <c r="J3298" s="8"/>
      <c r="K3298" s="8"/>
      <c r="L3298" s="8"/>
      <c r="M3298" s="8"/>
      <c r="N3298" s="8"/>
      <c r="O3298" s="8"/>
      <c r="P3298" s="8"/>
      <c r="Q3298" s="8"/>
      <c r="R3298" s="8"/>
      <c r="S3298" s="8"/>
      <c r="T3298" s="8"/>
      <c r="U3298" s="8"/>
      <c r="V3298" s="8"/>
      <c r="W3298" s="8"/>
    </row>
    <row r="3299" spans="1:23" ht="15.75" customHeight="1" x14ac:dyDescent="0.25">
      <c r="A3299" s="6" t="s">
        <v>4047</v>
      </c>
      <c r="B3299" s="8"/>
      <c r="C3299" s="8"/>
      <c r="D3299" s="8"/>
      <c r="E3299" s="8"/>
      <c r="F3299" s="8"/>
      <c r="G3299" s="8"/>
      <c r="H3299" s="8"/>
      <c r="I3299" s="8"/>
      <c r="J3299" s="8"/>
      <c r="K3299" s="8"/>
      <c r="L3299" s="8"/>
      <c r="M3299" s="8"/>
      <c r="N3299" s="8"/>
      <c r="O3299" s="8"/>
      <c r="P3299" s="8"/>
      <c r="Q3299" s="8"/>
      <c r="R3299" s="8"/>
      <c r="S3299" s="8"/>
      <c r="T3299" s="8"/>
      <c r="U3299" s="8"/>
      <c r="V3299" s="8"/>
      <c r="W3299" s="8"/>
    </row>
    <row r="3300" spans="1:23" ht="15.75" customHeight="1" x14ac:dyDescent="0.25">
      <c r="A3300" s="6" t="s">
        <v>4047</v>
      </c>
      <c r="B3300" s="8"/>
      <c r="C3300" s="8"/>
      <c r="D3300" s="8"/>
      <c r="E3300" s="8"/>
      <c r="F3300" s="8"/>
      <c r="G3300" s="8"/>
      <c r="H3300" s="8"/>
      <c r="I3300" s="8"/>
      <c r="J3300" s="8"/>
      <c r="K3300" s="8"/>
      <c r="L3300" s="8"/>
      <c r="M3300" s="8"/>
      <c r="N3300" s="8"/>
      <c r="O3300" s="8"/>
      <c r="P3300" s="8"/>
      <c r="Q3300" s="8"/>
      <c r="R3300" s="8"/>
      <c r="S3300" s="8"/>
      <c r="T3300" s="8"/>
      <c r="U3300" s="8"/>
      <c r="V3300" s="8"/>
      <c r="W3300" s="8"/>
    </row>
    <row r="3301" spans="1:23" ht="15.75" customHeight="1" x14ac:dyDescent="0.25">
      <c r="A3301" s="6" t="s">
        <v>4375</v>
      </c>
      <c r="B3301" s="8"/>
      <c r="C3301" s="8"/>
      <c r="D3301" s="8"/>
      <c r="E3301" s="8"/>
      <c r="F3301" s="8"/>
      <c r="G3301" s="8"/>
      <c r="H3301" s="8"/>
      <c r="I3301" s="8"/>
      <c r="J3301" s="8"/>
      <c r="K3301" s="8"/>
      <c r="L3301" s="8"/>
      <c r="M3301" s="8"/>
      <c r="N3301" s="8"/>
      <c r="O3301" s="8"/>
      <c r="P3301" s="8"/>
      <c r="Q3301" s="8"/>
      <c r="R3301" s="8"/>
      <c r="S3301" s="8"/>
      <c r="T3301" s="8"/>
      <c r="U3301" s="8"/>
      <c r="V3301" s="8"/>
      <c r="W3301" s="8"/>
    </row>
    <row r="3302" spans="1:23" ht="15.75" customHeight="1" x14ac:dyDescent="0.25">
      <c r="A3302" s="6" t="s">
        <v>3789</v>
      </c>
      <c r="B3302" s="8"/>
      <c r="C3302" s="8"/>
      <c r="D3302" s="8"/>
      <c r="E3302" s="8"/>
      <c r="F3302" s="8"/>
      <c r="G3302" s="8"/>
      <c r="H3302" s="8"/>
      <c r="I3302" s="8"/>
      <c r="J3302" s="8"/>
      <c r="K3302" s="8"/>
      <c r="L3302" s="8"/>
      <c r="M3302" s="8"/>
      <c r="N3302" s="8"/>
      <c r="O3302" s="8"/>
      <c r="P3302" s="8"/>
      <c r="Q3302" s="8"/>
      <c r="R3302" s="8"/>
      <c r="S3302" s="8"/>
      <c r="T3302" s="8"/>
      <c r="U3302" s="8"/>
      <c r="V3302" s="8"/>
      <c r="W3302" s="8"/>
    </row>
    <row r="3303" spans="1:23" ht="15.75" customHeight="1" x14ac:dyDescent="0.25">
      <c r="A3303" s="6" t="s">
        <v>3789</v>
      </c>
      <c r="B3303" s="8"/>
      <c r="C3303" s="8"/>
      <c r="D3303" s="8"/>
      <c r="E3303" s="8"/>
      <c r="F3303" s="8"/>
      <c r="G3303" s="8"/>
      <c r="H3303" s="8"/>
      <c r="I3303" s="8"/>
      <c r="J3303" s="8"/>
      <c r="K3303" s="8"/>
      <c r="L3303" s="8"/>
      <c r="M3303" s="8"/>
      <c r="N3303" s="8"/>
      <c r="O3303" s="8"/>
      <c r="P3303" s="8"/>
      <c r="Q3303" s="8"/>
      <c r="R3303" s="8"/>
      <c r="S3303" s="8"/>
      <c r="T3303" s="8"/>
      <c r="U3303" s="8"/>
      <c r="V3303" s="8"/>
      <c r="W3303" s="8"/>
    </row>
    <row r="3304" spans="1:23" ht="15.75" customHeight="1" x14ac:dyDescent="0.25">
      <c r="A3304" s="6" t="s">
        <v>3789</v>
      </c>
      <c r="B3304" s="8"/>
      <c r="C3304" s="8"/>
      <c r="D3304" s="8"/>
      <c r="E3304" s="8"/>
      <c r="F3304" s="8"/>
      <c r="G3304" s="8"/>
      <c r="H3304" s="8"/>
      <c r="I3304" s="8"/>
      <c r="J3304" s="8"/>
      <c r="K3304" s="8"/>
      <c r="L3304" s="8"/>
      <c r="M3304" s="8"/>
      <c r="N3304" s="8"/>
      <c r="O3304" s="8"/>
      <c r="P3304" s="8"/>
      <c r="Q3304" s="8"/>
      <c r="R3304" s="8"/>
      <c r="S3304" s="8"/>
      <c r="T3304" s="8"/>
      <c r="U3304" s="8"/>
      <c r="V3304" s="8"/>
      <c r="W3304" s="8"/>
    </row>
    <row r="3305" spans="1:23" ht="15.75" customHeight="1" x14ac:dyDescent="0.25">
      <c r="A3305" s="6" t="s">
        <v>4376</v>
      </c>
      <c r="B3305" s="8"/>
      <c r="C3305" s="8"/>
      <c r="D3305" s="8"/>
      <c r="E3305" s="8"/>
      <c r="F3305" s="8"/>
      <c r="G3305" s="8"/>
      <c r="H3305" s="8"/>
      <c r="I3305" s="8"/>
      <c r="J3305" s="8"/>
      <c r="K3305" s="8"/>
      <c r="L3305" s="8"/>
      <c r="M3305" s="8"/>
      <c r="N3305" s="8"/>
      <c r="O3305" s="8"/>
      <c r="P3305" s="8"/>
      <c r="Q3305" s="8"/>
      <c r="R3305" s="8"/>
      <c r="S3305" s="8"/>
      <c r="T3305" s="8"/>
      <c r="U3305" s="8"/>
      <c r="V3305" s="8"/>
      <c r="W3305" s="8"/>
    </row>
    <row r="3306" spans="1:23" ht="15.75" customHeight="1" x14ac:dyDescent="0.25">
      <c r="A3306" s="6" t="s">
        <v>3672</v>
      </c>
      <c r="B3306" s="8"/>
      <c r="C3306" s="8"/>
      <c r="D3306" s="8"/>
      <c r="E3306" s="8"/>
      <c r="F3306" s="8"/>
      <c r="G3306" s="8"/>
      <c r="H3306" s="8"/>
      <c r="I3306" s="8"/>
      <c r="J3306" s="8"/>
      <c r="K3306" s="8"/>
      <c r="L3306" s="8"/>
      <c r="M3306" s="8"/>
      <c r="N3306" s="8"/>
      <c r="O3306" s="8"/>
      <c r="P3306" s="8"/>
      <c r="Q3306" s="8"/>
      <c r="R3306" s="8"/>
      <c r="S3306" s="8"/>
      <c r="T3306" s="8"/>
      <c r="U3306" s="8"/>
      <c r="V3306" s="8"/>
      <c r="W3306" s="8"/>
    </row>
    <row r="3307" spans="1:23" ht="15.75" customHeight="1" x14ac:dyDescent="0.25">
      <c r="A3307" s="6" t="s">
        <v>3672</v>
      </c>
      <c r="B3307" s="8"/>
      <c r="C3307" s="8"/>
      <c r="D3307" s="8"/>
      <c r="E3307" s="8"/>
      <c r="F3307" s="8"/>
      <c r="G3307" s="8"/>
      <c r="H3307" s="8"/>
      <c r="I3307" s="8"/>
      <c r="J3307" s="8"/>
      <c r="K3307" s="8"/>
      <c r="L3307" s="8"/>
      <c r="M3307" s="8"/>
      <c r="N3307" s="8"/>
      <c r="O3307" s="8"/>
      <c r="P3307" s="8"/>
      <c r="Q3307" s="8"/>
      <c r="R3307" s="8"/>
      <c r="S3307" s="8"/>
      <c r="T3307" s="8"/>
      <c r="U3307" s="8"/>
      <c r="V3307" s="8"/>
      <c r="W3307" s="8"/>
    </row>
    <row r="3308" spans="1:23" ht="15.75" customHeight="1" x14ac:dyDescent="0.25">
      <c r="A3308" s="6" t="s">
        <v>3672</v>
      </c>
      <c r="B3308" s="8"/>
      <c r="C3308" s="8"/>
      <c r="D3308" s="8"/>
      <c r="E3308" s="8"/>
      <c r="F3308" s="8"/>
      <c r="G3308" s="8"/>
      <c r="H3308" s="8"/>
      <c r="I3308" s="8"/>
      <c r="J3308" s="8"/>
      <c r="K3308" s="8"/>
      <c r="L3308" s="8"/>
      <c r="M3308" s="8"/>
      <c r="N3308" s="8"/>
      <c r="O3308" s="8"/>
      <c r="P3308" s="8"/>
      <c r="Q3308" s="8"/>
      <c r="R3308" s="8"/>
      <c r="S3308" s="8"/>
      <c r="T3308" s="8"/>
      <c r="U3308" s="8"/>
      <c r="V3308" s="8"/>
      <c r="W3308" s="8"/>
    </row>
    <row r="3309" spans="1:23" ht="15.75" customHeight="1" x14ac:dyDescent="0.25">
      <c r="A3309" s="6" t="s">
        <v>3672</v>
      </c>
      <c r="B3309" s="8"/>
      <c r="C3309" s="8"/>
      <c r="D3309" s="8"/>
      <c r="E3309" s="8"/>
      <c r="F3309" s="8"/>
      <c r="G3309" s="8"/>
      <c r="H3309" s="8"/>
      <c r="I3309" s="8"/>
      <c r="J3309" s="8"/>
      <c r="K3309" s="8"/>
      <c r="L3309" s="8"/>
      <c r="M3309" s="8"/>
      <c r="N3309" s="8"/>
      <c r="O3309" s="8"/>
      <c r="P3309" s="8"/>
      <c r="Q3309" s="8"/>
      <c r="R3309" s="8"/>
      <c r="S3309" s="8"/>
      <c r="T3309" s="8"/>
      <c r="U3309" s="8"/>
      <c r="V3309" s="8"/>
      <c r="W3309" s="8"/>
    </row>
    <row r="3310" spans="1:23" ht="15.75" customHeight="1" x14ac:dyDescent="0.25">
      <c r="A3310" s="6" t="s">
        <v>234</v>
      </c>
      <c r="B3310" s="8"/>
      <c r="C3310" s="8"/>
      <c r="D3310" s="8"/>
      <c r="E3310" s="8"/>
      <c r="F3310" s="8"/>
      <c r="G3310" s="8"/>
      <c r="H3310" s="8"/>
      <c r="I3310" s="8"/>
      <c r="J3310" s="8"/>
      <c r="K3310" s="8"/>
      <c r="L3310" s="8"/>
      <c r="M3310" s="8"/>
      <c r="N3310" s="8"/>
      <c r="O3310" s="8"/>
      <c r="P3310" s="8"/>
      <c r="Q3310" s="8"/>
      <c r="R3310" s="8"/>
      <c r="S3310" s="8"/>
      <c r="T3310" s="8"/>
      <c r="U3310" s="8"/>
      <c r="V3310" s="8"/>
      <c r="W3310" s="8"/>
    </row>
    <row r="3311" spans="1:23" ht="15.75" customHeight="1" x14ac:dyDescent="0.25">
      <c r="A3311" s="6" t="s">
        <v>234</v>
      </c>
      <c r="B3311" s="8"/>
      <c r="C3311" s="8"/>
      <c r="D3311" s="8"/>
      <c r="E3311" s="8"/>
      <c r="F3311" s="8"/>
      <c r="G3311" s="8"/>
      <c r="H3311" s="8"/>
      <c r="I3311" s="8"/>
      <c r="J3311" s="8"/>
      <c r="K3311" s="8"/>
      <c r="L3311" s="8"/>
      <c r="M3311" s="8"/>
      <c r="N3311" s="8"/>
      <c r="O3311" s="8"/>
      <c r="P3311" s="8"/>
      <c r="Q3311" s="8"/>
      <c r="R3311" s="8"/>
      <c r="S3311" s="8"/>
      <c r="T3311" s="8"/>
      <c r="U3311" s="8"/>
      <c r="V3311" s="8"/>
      <c r="W3311" s="8"/>
    </row>
    <row r="3312" spans="1:23" ht="15.75" customHeight="1" x14ac:dyDescent="0.25">
      <c r="A3312" s="6" t="s">
        <v>234</v>
      </c>
      <c r="B3312" s="8"/>
      <c r="C3312" s="8"/>
      <c r="D3312" s="8"/>
      <c r="E3312" s="8"/>
      <c r="F3312" s="8"/>
      <c r="G3312" s="8"/>
      <c r="H3312" s="8"/>
      <c r="I3312" s="8"/>
      <c r="J3312" s="8"/>
      <c r="K3312" s="8"/>
      <c r="L3312" s="8"/>
      <c r="M3312" s="8"/>
      <c r="N3312" s="8"/>
      <c r="O3312" s="8"/>
      <c r="P3312" s="8"/>
      <c r="Q3312" s="8"/>
      <c r="R3312" s="8"/>
      <c r="S3312" s="8"/>
      <c r="T3312" s="8"/>
      <c r="U3312" s="8"/>
      <c r="V3312" s="8"/>
      <c r="W3312" s="8"/>
    </row>
    <row r="3313" spans="1:23" ht="15.75" customHeight="1" x14ac:dyDescent="0.25">
      <c r="A3313" s="6" t="s">
        <v>234</v>
      </c>
      <c r="B3313" s="8"/>
      <c r="C3313" s="8"/>
      <c r="D3313" s="8"/>
      <c r="E3313" s="8"/>
      <c r="F3313" s="8"/>
      <c r="G3313" s="8"/>
      <c r="H3313" s="8"/>
      <c r="I3313" s="8"/>
      <c r="J3313" s="8"/>
      <c r="K3313" s="8"/>
      <c r="L3313" s="8"/>
      <c r="M3313" s="8"/>
      <c r="N3313" s="8"/>
      <c r="O3313" s="8"/>
      <c r="P3313" s="8"/>
      <c r="Q3313" s="8"/>
      <c r="R3313" s="8"/>
      <c r="S3313" s="8"/>
      <c r="T3313" s="8"/>
      <c r="U3313" s="8"/>
      <c r="V3313" s="8"/>
      <c r="W3313" s="8"/>
    </row>
    <row r="3314" spans="1:23" ht="15.75" customHeight="1" x14ac:dyDescent="0.25">
      <c r="A3314" s="6" t="s">
        <v>234</v>
      </c>
      <c r="B3314" s="8"/>
      <c r="C3314" s="8"/>
      <c r="D3314" s="8"/>
      <c r="E3314" s="8"/>
      <c r="F3314" s="8"/>
      <c r="G3314" s="8"/>
      <c r="H3314" s="8"/>
      <c r="I3314" s="8"/>
      <c r="J3314" s="8"/>
      <c r="K3314" s="8"/>
      <c r="L3314" s="8"/>
      <c r="M3314" s="8"/>
      <c r="N3314" s="8"/>
      <c r="O3314" s="8"/>
      <c r="P3314" s="8"/>
      <c r="Q3314" s="8"/>
      <c r="R3314" s="8"/>
      <c r="S3314" s="8"/>
      <c r="T3314" s="8"/>
      <c r="U3314" s="8"/>
      <c r="V3314" s="8"/>
      <c r="W3314" s="8"/>
    </row>
    <row r="3315" spans="1:23" ht="15.75" customHeight="1" x14ac:dyDescent="0.25">
      <c r="A3315" s="6" t="s">
        <v>234</v>
      </c>
      <c r="B3315" s="8"/>
      <c r="C3315" s="8"/>
      <c r="D3315" s="8"/>
      <c r="E3315" s="8"/>
      <c r="F3315" s="8"/>
      <c r="G3315" s="8"/>
      <c r="H3315" s="8"/>
      <c r="I3315" s="8"/>
      <c r="J3315" s="8"/>
      <c r="K3315" s="8"/>
      <c r="L3315" s="8"/>
      <c r="M3315" s="8"/>
      <c r="N3315" s="8"/>
      <c r="O3315" s="8"/>
      <c r="P3315" s="8"/>
      <c r="Q3315" s="8"/>
      <c r="R3315" s="8"/>
      <c r="S3315" s="8"/>
      <c r="T3315" s="8"/>
      <c r="U3315" s="8"/>
      <c r="V3315" s="8"/>
      <c r="W3315" s="8"/>
    </row>
    <row r="3316" spans="1:23" ht="15.75" customHeight="1" x14ac:dyDescent="0.25">
      <c r="A3316" s="6" t="s">
        <v>234</v>
      </c>
      <c r="B3316" s="8"/>
      <c r="C3316" s="8"/>
      <c r="D3316" s="8"/>
      <c r="E3316" s="8"/>
      <c r="F3316" s="8"/>
      <c r="G3316" s="8"/>
      <c r="H3316" s="8"/>
      <c r="I3316" s="8"/>
      <c r="J3316" s="8"/>
      <c r="K3316" s="8"/>
      <c r="L3316" s="8"/>
      <c r="M3316" s="8"/>
      <c r="N3316" s="8"/>
      <c r="O3316" s="8"/>
      <c r="P3316" s="8"/>
      <c r="Q3316" s="8"/>
      <c r="R3316" s="8"/>
      <c r="S3316" s="8"/>
      <c r="T3316" s="8"/>
      <c r="U3316" s="8"/>
      <c r="V3316" s="8"/>
      <c r="W3316" s="8"/>
    </row>
    <row r="3317" spans="1:23" ht="15.75" customHeight="1" x14ac:dyDescent="0.25">
      <c r="A3317" s="6" t="s">
        <v>234</v>
      </c>
      <c r="B3317" s="8"/>
      <c r="C3317" s="8"/>
      <c r="D3317" s="8"/>
      <c r="E3317" s="8"/>
      <c r="F3317" s="8"/>
      <c r="G3317" s="8"/>
      <c r="H3317" s="8"/>
      <c r="I3317" s="8"/>
      <c r="J3317" s="8"/>
      <c r="K3317" s="8"/>
      <c r="L3317" s="8"/>
      <c r="M3317" s="8"/>
      <c r="N3317" s="8"/>
      <c r="O3317" s="8"/>
      <c r="P3317" s="8"/>
      <c r="Q3317" s="8"/>
      <c r="R3317" s="8"/>
      <c r="S3317" s="8"/>
      <c r="T3317" s="8"/>
      <c r="U3317" s="8"/>
      <c r="V3317" s="8"/>
      <c r="W3317" s="8"/>
    </row>
    <row r="3318" spans="1:23" ht="15.75" customHeight="1" x14ac:dyDescent="0.25">
      <c r="A3318" s="6" t="s">
        <v>234</v>
      </c>
      <c r="B3318" s="8"/>
      <c r="C3318" s="8"/>
      <c r="D3318" s="8"/>
      <c r="E3318" s="8"/>
      <c r="F3318" s="8"/>
      <c r="G3318" s="8"/>
      <c r="H3318" s="8"/>
      <c r="I3318" s="8"/>
      <c r="J3318" s="8"/>
      <c r="K3318" s="8"/>
      <c r="L3318" s="8"/>
      <c r="M3318" s="8"/>
      <c r="N3318" s="8"/>
      <c r="O3318" s="8"/>
      <c r="P3318" s="8"/>
      <c r="Q3318" s="8"/>
      <c r="R3318" s="8"/>
      <c r="S3318" s="8"/>
      <c r="T3318" s="8"/>
      <c r="U3318" s="8"/>
      <c r="V3318" s="8"/>
      <c r="W3318" s="8"/>
    </row>
    <row r="3319" spans="1:23" ht="15.75" customHeight="1" x14ac:dyDescent="0.25">
      <c r="A3319" s="6" t="s">
        <v>234</v>
      </c>
      <c r="B3319" s="8"/>
      <c r="C3319" s="8"/>
      <c r="D3319" s="8"/>
      <c r="E3319" s="8"/>
      <c r="F3319" s="8"/>
      <c r="G3319" s="8"/>
      <c r="H3319" s="8"/>
      <c r="I3319" s="8"/>
      <c r="J3319" s="8"/>
      <c r="K3319" s="8"/>
      <c r="L3319" s="8"/>
      <c r="M3319" s="8"/>
      <c r="N3319" s="8"/>
      <c r="O3319" s="8"/>
      <c r="P3319" s="8"/>
      <c r="Q3319" s="8"/>
      <c r="R3319" s="8"/>
      <c r="S3319" s="8"/>
      <c r="T3319" s="8"/>
      <c r="U3319" s="8"/>
      <c r="V3319" s="8"/>
      <c r="W3319" s="8"/>
    </row>
    <row r="3320" spans="1:23" ht="15.75" customHeight="1" x14ac:dyDescent="0.25">
      <c r="A3320" s="6" t="s">
        <v>234</v>
      </c>
      <c r="B3320" s="8"/>
      <c r="C3320" s="8"/>
      <c r="D3320" s="8"/>
      <c r="E3320" s="8"/>
      <c r="F3320" s="8"/>
      <c r="G3320" s="8"/>
      <c r="H3320" s="8"/>
      <c r="I3320" s="8"/>
      <c r="J3320" s="8"/>
      <c r="K3320" s="8"/>
      <c r="L3320" s="8"/>
      <c r="M3320" s="8"/>
      <c r="N3320" s="8"/>
      <c r="O3320" s="8"/>
      <c r="P3320" s="8"/>
      <c r="Q3320" s="8"/>
      <c r="R3320" s="8"/>
      <c r="S3320" s="8"/>
      <c r="T3320" s="8"/>
      <c r="U3320" s="8"/>
      <c r="V3320" s="8"/>
      <c r="W3320" s="8"/>
    </row>
    <row r="3321" spans="1:23" ht="15.75" customHeight="1" x14ac:dyDescent="0.25">
      <c r="A3321" s="6" t="s">
        <v>234</v>
      </c>
      <c r="B3321" s="8"/>
      <c r="C3321" s="8"/>
      <c r="D3321" s="8"/>
      <c r="E3321" s="8"/>
      <c r="F3321" s="8"/>
      <c r="G3321" s="8"/>
      <c r="H3321" s="8"/>
      <c r="I3321" s="8"/>
      <c r="J3321" s="8"/>
      <c r="K3321" s="8"/>
      <c r="L3321" s="8"/>
      <c r="M3321" s="8"/>
      <c r="N3321" s="8"/>
      <c r="O3321" s="8"/>
      <c r="P3321" s="8"/>
      <c r="Q3321" s="8"/>
      <c r="R3321" s="8"/>
      <c r="S3321" s="8"/>
      <c r="T3321" s="8"/>
      <c r="U3321" s="8"/>
      <c r="V3321" s="8"/>
      <c r="W3321" s="8"/>
    </row>
    <row r="3322" spans="1:23" ht="15.75" customHeight="1" x14ac:dyDescent="0.25">
      <c r="A3322" s="6" t="s">
        <v>234</v>
      </c>
      <c r="B3322" s="8"/>
      <c r="C3322" s="8"/>
      <c r="D3322" s="8"/>
      <c r="E3322" s="8"/>
      <c r="F3322" s="8"/>
      <c r="G3322" s="8"/>
      <c r="H3322" s="8"/>
      <c r="I3322" s="8"/>
      <c r="J3322" s="8"/>
      <c r="K3322" s="8"/>
      <c r="L3322" s="8"/>
      <c r="M3322" s="8"/>
      <c r="N3322" s="8"/>
      <c r="O3322" s="8"/>
      <c r="P3322" s="8"/>
      <c r="Q3322" s="8"/>
      <c r="R3322" s="8"/>
      <c r="S3322" s="8"/>
      <c r="T3322" s="8"/>
      <c r="U3322" s="8"/>
      <c r="V3322" s="8"/>
      <c r="W3322" s="8"/>
    </row>
    <row r="3323" spans="1:23" ht="15.75" customHeight="1" x14ac:dyDescent="0.25">
      <c r="A3323" s="6" t="s">
        <v>234</v>
      </c>
      <c r="B3323" s="8"/>
      <c r="C3323" s="8"/>
      <c r="D3323" s="8"/>
      <c r="E3323" s="8"/>
      <c r="F3323" s="8"/>
      <c r="G3323" s="8"/>
      <c r="H3323" s="8"/>
      <c r="I3323" s="8"/>
      <c r="J3323" s="8"/>
      <c r="K3323" s="8"/>
      <c r="L3323" s="8"/>
      <c r="M3323" s="8"/>
      <c r="N3323" s="8"/>
      <c r="O3323" s="8"/>
      <c r="P3323" s="8"/>
      <c r="Q3323" s="8"/>
      <c r="R3323" s="8"/>
      <c r="S3323" s="8"/>
      <c r="T3323" s="8"/>
      <c r="U3323" s="8"/>
      <c r="V3323" s="8"/>
      <c r="W3323" s="8"/>
    </row>
    <row r="3324" spans="1:23" ht="15.75" customHeight="1" x14ac:dyDescent="0.25">
      <c r="A3324" s="6" t="s">
        <v>234</v>
      </c>
      <c r="B3324" s="8"/>
      <c r="C3324" s="8"/>
      <c r="D3324" s="8"/>
      <c r="E3324" s="8"/>
      <c r="F3324" s="8"/>
      <c r="G3324" s="8"/>
      <c r="H3324" s="8"/>
      <c r="I3324" s="8"/>
      <c r="J3324" s="8"/>
      <c r="K3324" s="8"/>
      <c r="L3324" s="8"/>
      <c r="M3324" s="8"/>
      <c r="N3324" s="8"/>
      <c r="O3324" s="8"/>
      <c r="P3324" s="8"/>
      <c r="Q3324" s="8"/>
      <c r="R3324" s="8"/>
      <c r="S3324" s="8"/>
      <c r="T3324" s="8"/>
      <c r="U3324" s="8"/>
      <c r="V3324" s="8"/>
      <c r="W3324" s="8"/>
    </row>
    <row r="3325" spans="1:23" ht="15.75" customHeight="1" x14ac:dyDescent="0.25">
      <c r="A3325" s="6" t="s">
        <v>234</v>
      </c>
      <c r="B3325" s="8"/>
      <c r="C3325" s="8"/>
      <c r="D3325" s="8"/>
      <c r="E3325" s="8"/>
      <c r="F3325" s="8"/>
      <c r="G3325" s="8"/>
      <c r="H3325" s="8"/>
      <c r="I3325" s="8"/>
      <c r="J3325" s="8"/>
      <c r="K3325" s="8"/>
      <c r="L3325" s="8"/>
      <c r="M3325" s="8"/>
      <c r="N3325" s="8"/>
      <c r="O3325" s="8"/>
      <c r="P3325" s="8"/>
      <c r="Q3325" s="8"/>
      <c r="R3325" s="8"/>
      <c r="S3325" s="8"/>
      <c r="T3325" s="8"/>
      <c r="U3325" s="8"/>
      <c r="V3325" s="8"/>
      <c r="W3325" s="8"/>
    </row>
    <row r="3326" spans="1:23" ht="15.75" customHeight="1" x14ac:dyDescent="0.25">
      <c r="A3326" s="6" t="s">
        <v>234</v>
      </c>
      <c r="B3326" s="8"/>
      <c r="C3326" s="8"/>
      <c r="D3326" s="8"/>
      <c r="E3326" s="8"/>
      <c r="F3326" s="8"/>
      <c r="G3326" s="8"/>
      <c r="H3326" s="8"/>
      <c r="I3326" s="8"/>
      <c r="J3326" s="8"/>
      <c r="K3326" s="8"/>
      <c r="L3326" s="8"/>
      <c r="M3326" s="8"/>
      <c r="N3326" s="8"/>
      <c r="O3326" s="8"/>
      <c r="P3326" s="8"/>
      <c r="Q3326" s="8"/>
      <c r="R3326" s="8"/>
      <c r="S3326" s="8"/>
      <c r="T3326" s="8"/>
      <c r="U3326" s="8"/>
      <c r="V3326" s="8"/>
      <c r="W3326" s="8"/>
    </row>
    <row r="3327" spans="1:23" ht="15.75" customHeight="1" x14ac:dyDescent="0.25">
      <c r="A3327" s="6" t="s">
        <v>234</v>
      </c>
      <c r="B3327" s="8"/>
      <c r="C3327" s="8"/>
      <c r="D3327" s="8"/>
      <c r="E3327" s="8"/>
      <c r="F3327" s="8"/>
      <c r="G3327" s="8"/>
      <c r="H3327" s="8"/>
      <c r="I3327" s="8"/>
      <c r="J3327" s="8"/>
      <c r="K3327" s="8"/>
      <c r="L3327" s="8"/>
      <c r="M3327" s="8"/>
      <c r="N3327" s="8"/>
      <c r="O3327" s="8"/>
      <c r="P3327" s="8"/>
      <c r="Q3327" s="8"/>
      <c r="R3327" s="8"/>
      <c r="S3327" s="8"/>
      <c r="T3327" s="8"/>
      <c r="U3327" s="8"/>
      <c r="V3327" s="8"/>
      <c r="W3327" s="8"/>
    </row>
    <row r="3328" spans="1:23" ht="15.75" customHeight="1" x14ac:dyDescent="0.25">
      <c r="A3328" s="6" t="s">
        <v>234</v>
      </c>
      <c r="B3328" s="8"/>
      <c r="C3328" s="8"/>
      <c r="D3328" s="8"/>
      <c r="E3328" s="8"/>
      <c r="F3328" s="8"/>
      <c r="G3328" s="8"/>
      <c r="H3328" s="8"/>
      <c r="I3328" s="8"/>
      <c r="J3328" s="8"/>
      <c r="K3328" s="8"/>
      <c r="L3328" s="8"/>
      <c r="M3328" s="8"/>
      <c r="N3328" s="8"/>
      <c r="O3328" s="8"/>
      <c r="P3328" s="8"/>
      <c r="Q3328" s="8"/>
      <c r="R3328" s="8"/>
      <c r="S3328" s="8"/>
      <c r="T3328" s="8"/>
      <c r="U3328" s="8"/>
      <c r="V3328" s="8"/>
      <c r="W3328" s="8"/>
    </row>
    <row r="3329" spans="1:23" ht="15.75" customHeight="1" x14ac:dyDescent="0.25">
      <c r="A3329" s="6" t="s">
        <v>234</v>
      </c>
      <c r="B3329" s="8"/>
      <c r="C3329" s="8"/>
      <c r="D3329" s="8"/>
      <c r="E3329" s="8"/>
      <c r="F3329" s="8"/>
      <c r="G3329" s="8"/>
      <c r="H3329" s="8"/>
      <c r="I3329" s="8"/>
      <c r="J3329" s="8"/>
      <c r="K3329" s="8"/>
      <c r="L3329" s="8"/>
      <c r="M3329" s="8"/>
      <c r="N3329" s="8"/>
      <c r="O3329" s="8"/>
      <c r="P3329" s="8"/>
      <c r="Q3329" s="8"/>
      <c r="R3329" s="8"/>
      <c r="S3329" s="8"/>
      <c r="T3329" s="8"/>
      <c r="U3329" s="8"/>
      <c r="V3329" s="8"/>
      <c r="W3329" s="8"/>
    </row>
    <row r="3330" spans="1:23" ht="15.75" customHeight="1" x14ac:dyDescent="0.25">
      <c r="A3330" s="6" t="s">
        <v>234</v>
      </c>
      <c r="B3330" s="8"/>
      <c r="C3330" s="8"/>
      <c r="D3330" s="8"/>
      <c r="E3330" s="8"/>
      <c r="F3330" s="8"/>
      <c r="G3330" s="8"/>
      <c r="H3330" s="8"/>
      <c r="I3330" s="8"/>
      <c r="J3330" s="8"/>
      <c r="K3330" s="8"/>
      <c r="L3330" s="8"/>
      <c r="M3330" s="8"/>
      <c r="N3330" s="8"/>
      <c r="O3330" s="8"/>
      <c r="P3330" s="8"/>
      <c r="Q3330" s="8"/>
      <c r="R3330" s="8"/>
      <c r="S3330" s="8"/>
      <c r="T3330" s="8"/>
      <c r="U3330" s="8"/>
      <c r="V3330" s="8"/>
      <c r="W3330" s="8"/>
    </row>
    <row r="3331" spans="1:23" ht="15.75" customHeight="1" x14ac:dyDescent="0.25">
      <c r="A3331" s="6" t="s">
        <v>234</v>
      </c>
      <c r="B3331" s="8"/>
      <c r="C3331" s="8"/>
      <c r="D3331" s="8"/>
      <c r="E3331" s="8"/>
      <c r="F3331" s="8"/>
      <c r="G3331" s="8"/>
      <c r="H3331" s="8"/>
      <c r="I3331" s="8"/>
      <c r="J3331" s="8"/>
      <c r="K3331" s="8"/>
      <c r="L3331" s="8"/>
      <c r="M3331" s="8"/>
      <c r="N3331" s="8"/>
      <c r="O3331" s="8"/>
      <c r="P3331" s="8"/>
      <c r="Q3331" s="8"/>
      <c r="R3331" s="8"/>
      <c r="S3331" s="8"/>
      <c r="T3331" s="8"/>
      <c r="U3331" s="8"/>
      <c r="V3331" s="8"/>
      <c r="W3331" s="8"/>
    </row>
    <row r="3332" spans="1:23" ht="15.75" customHeight="1" x14ac:dyDescent="0.25">
      <c r="A3332" s="6" t="s">
        <v>234</v>
      </c>
      <c r="B3332" s="8"/>
      <c r="C3332" s="8"/>
      <c r="D3332" s="8"/>
      <c r="E3332" s="8"/>
      <c r="F3332" s="8"/>
      <c r="G3332" s="8"/>
      <c r="H3332" s="8"/>
      <c r="I3332" s="8"/>
      <c r="J3332" s="8"/>
      <c r="K3332" s="8"/>
      <c r="L3332" s="8"/>
      <c r="M3332" s="8"/>
      <c r="N3332" s="8"/>
      <c r="O3332" s="8"/>
      <c r="P3332" s="8"/>
      <c r="Q3332" s="8"/>
      <c r="R3332" s="8"/>
      <c r="S3332" s="8"/>
      <c r="T3332" s="8"/>
      <c r="U3332" s="8"/>
      <c r="V3332" s="8"/>
      <c r="W3332" s="8"/>
    </row>
    <row r="3333" spans="1:23" ht="15.75" customHeight="1" x14ac:dyDescent="0.25">
      <c r="A3333" s="6" t="s">
        <v>234</v>
      </c>
      <c r="B3333" s="8"/>
      <c r="C3333" s="8"/>
      <c r="D3333" s="8"/>
      <c r="E3333" s="8"/>
      <c r="F3333" s="8"/>
      <c r="G3333" s="8"/>
      <c r="H3333" s="8"/>
      <c r="I3333" s="8"/>
      <c r="J3333" s="8"/>
      <c r="K3333" s="8"/>
      <c r="L3333" s="8"/>
      <c r="M3333" s="8"/>
      <c r="N3333" s="8"/>
      <c r="O3333" s="8"/>
      <c r="P3333" s="8"/>
      <c r="Q3333" s="8"/>
      <c r="R3333" s="8"/>
      <c r="S3333" s="8"/>
      <c r="T3333" s="8"/>
      <c r="U3333" s="8"/>
      <c r="V3333" s="8"/>
      <c r="W3333" s="8"/>
    </row>
    <row r="3334" spans="1:23" ht="15.75" customHeight="1" x14ac:dyDescent="0.25">
      <c r="A3334" s="6" t="s">
        <v>234</v>
      </c>
      <c r="B3334" s="8"/>
      <c r="C3334" s="8"/>
      <c r="D3334" s="8"/>
      <c r="E3334" s="8"/>
      <c r="F3334" s="8"/>
      <c r="G3334" s="8"/>
      <c r="H3334" s="8"/>
      <c r="I3334" s="8"/>
      <c r="J3334" s="8"/>
      <c r="K3334" s="8"/>
      <c r="L3334" s="8"/>
      <c r="M3334" s="8"/>
      <c r="N3334" s="8"/>
      <c r="O3334" s="8"/>
      <c r="P3334" s="8"/>
      <c r="Q3334" s="8"/>
      <c r="R3334" s="8"/>
      <c r="S3334" s="8"/>
      <c r="T3334" s="8"/>
      <c r="U3334" s="8"/>
      <c r="V3334" s="8"/>
      <c r="W3334" s="8"/>
    </row>
    <row r="3335" spans="1:23" ht="15.75" customHeight="1" x14ac:dyDescent="0.25">
      <c r="A3335" s="6" t="s">
        <v>234</v>
      </c>
      <c r="B3335" s="8"/>
      <c r="C3335" s="8"/>
      <c r="D3335" s="8"/>
      <c r="E3335" s="8"/>
      <c r="F3335" s="8"/>
      <c r="G3335" s="8"/>
      <c r="H3335" s="8"/>
      <c r="I3335" s="8"/>
      <c r="J3335" s="8"/>
      <c r="K3335" s="8"/>
      <c r="L3335" s="8"/>
      <c r="M3335" s="8"/>
      <c r="N3335" s="8"/>
      <c r="O3335" s="8"/>
      <c r="P3335" s="8"/>
      <c r="Q3335" s="8"/>
      <c r="R3335" s="8"/>
      <c r="S3335" s="8"/>
      <c r="T3335" s="8"/>
      <c r="U3335" s="8"/>
      <c r="V3335" s="8"/>
      <c r="W3335" s="8"/>
    </row>
    <row r="3336" spans="1:23" ht="15.75" customHeight="1" x14ac:dyDescent="0.25">
      <c r="A3336" s="6" t="s">
        <v>234</v>
      </c>
      <c r="B3336" s="8"/>
      <c r="C3336" s="8"/>
      <c r="D3336" s="8"/>
      <c r="E3336" s="8"/>
      <c r="F3336" s="8"/>
      <c r="G3336" s="8"/>
      <c r="H3336" s="8"/>
      <c r="I3336" s="8"/>
      <c r="J3336" s="8"/>
      <c r="K3336" s="8"/>
      <c r="L3336" s="8"/>
      <c r="M3336" s="8"/>
      <c r="N3336" s="8"/>
      <c r="O3336" s="8"/>
      <c r="P3336" s="8"/>
      <c r="Q3336" s="8"/>
      <c r="R3336" s="8"/>
      <c r="S3336" s="8"/>
      <c r="T3336" s="8"/>
      <c r="U3336" s="8"/>
      <c r="V3336" s="8"/>
      <c r="W3336" s="8"/>
    </row>
    <row r="3337" spans="1:23" ht="15.75" customHeight="1" x14ac:dyDescent="0.25">
      <c r="A3337" s="6" t="s">
        <v>234</v>
      </c>
      <c r="B3337" s="8"/>
      <c r="C3337" s="8"/>
      <c r="D3337" s="8"/>
      <c r="E3337" s="8"/>
      <c r="F3337" s="8"/>
      <c r="G3337" s="8"/>
      <c r="H3337" s="8"/>
      <c r="I3337" s="8"/>
      <c r="J3337" s="8"/>
      <c r="K3337" s="8"/>
      <c r="L3337" s="8"/>
      <c r="M3337" s="8"/>
      <c r="N3337" s="8"/>
      <c r="O3337" s="8"/>
      <c r="P3337" s="8"/>
      <c r="Q3337" s="8"/>
      <c r="R3337" s="8"/>
      <c r="S3337" s="8"/>
      <c r="T3337" s="8"/>
      <c r="U3337" s="8"/>
      <c r="V3337" s="8"/>
      <c r="W3337" s="8"/>
    </row>
    <row r="3338" spans="1:23" ht="15.75" customHeight="1" x14ac:dyDescent="0.25">
      <c r="A3338" s="6" t="s">
        <v>234</v>
      </c>
      <c r="B3338" s="8"/>
      <c r="C3338" s="8"/>
      <c r="D3338" s="8"/>
      <c r="E3338" s="8"/>
      <c r="F3338" s="8"/>
      <c r="G3338" s="8"/>
      <c r="H3338" s="8"/>
      <c r="I3338" s="8"/>
      <c r="J3338" s="8"/>
      <c r="K3338" s="8"/>
      <c r="L3338" s="8"/>
      <c r="M3338" s="8"/>
      <c r="N3338" s="8"/>
      <c r="O3338" s="8"/>
      <c r="P3338" s="8"/>
      <c r="Q3338" s="8"/>
      <c r="R3338" s="8"/>
      <c r="S3338" s="8"/>
      <c r="T3338" s="8"/>
      <c r="U3338" s="8"/>
      <c r="V3338" s="8"/>
      <c r="W3338" s="8"/>
    </row>
    <row r="3339" spans="1:23" ht="15.75" customHeight="1" x14ac:dyDescent="0.25">
      <c r="A3339" s="6" t="s">
        <v>234</v>
      </c>
      <c r="B3339" s="8"/>
      <c r="C3339" s="8"/>
      <c r="D3339" s="8"/>
      <c r="E3339" s="8"/>
      <c r="F3339" s="8"/>
      <c r="G3339" s="8"/>
      <c r="H3339" s="8"/>
      <c r="I3339" s="8"/>
      <c r="J3339" s="8"/>
      <c r="K3339" s="8"/>
      <c r="L3339" s="8"/>
      <c r="M3339" s="8"/>
      <c r="N3339" s="8"/>
      <c r="O3339" s="8"/>
      <c r="P3339" s="8"/>
      <c r="Q3339" s="8"/>
      <c r="R3339" s="8"/>
      <c r="S3339" s="8"/>
      <c r="T3339" s="8"/>
      <c r="U3339" s="8"/>
      <c r="V3339" s="8"/>
      <c r="W3339" s="8"/>
    </row>
    <row r="3340" spans="1:23" ht="15.75" customHeight="1" x14ac:dyDescent="0.25">
      <c r="A3340" s="6" t="s">
        <v>234</v>
      </c>
      <c r="B3340" s="8"/>
      <c r="C3340" s="8"/>
      <c r="D3340" s="8"/>
      <c r="E3340" s="8"/>
      <c r="F3340" s="8"/>
      <c r="G3340" s="8"/>
      <c r="H3340" s="8"/>
      <c r="I3340" s="8"/>
      <c r="J3340" s="8"/>
      <c r="K3340" s="8"/>
      <c r="L3340" s="8"/>
      <c r="M3340" s="8"/>
      <c r="N3340" s="8"/>
      <c r="O3340" s="8"/>
      <c r="P3340" s="8"/>
      <c r="Q3340" s="8"/>
      <c r="R3340" s="8"/>
      <c r="S3340" s="8"/>
      <c r="T3340" s="8"/>
      <c r="U3340" s="8"/>
      <c r="V3340" s="8"/>
      <c r="W3340" s="8"/>
    </row>
    <row r="3341" spans="1:23" ht="15.75" customHeight="1" x14ac:dyDescent="0.25">
      <c r="A3341" s="6" t="s">
        <v>234</v>
      </c>
      <c r="B3341" s="8"/>
      <c r="C3341" s="8"/>
      <c r="D3341" s="8"/>
      <c r="E3341" s="8"/>
      <c r="F3341" s="8"/>
      <c r="G3341" s="8"/>
      <c r="H3341" s="8"/>
      <c r="I3341" s="8"/>
      <c r="J3341" s="8"/>
      <c r="K3341" s="8"/>
      <c r="L3341" s="8"/>
      <c r="M3341" s="8"/>
      <c r="N3341" s="8"/>
      <c r="O3341" s="8"/>
      <c r="P3341" s="8"/>
      <c r="Q3341" s="8"/>
      <c r="R3341" s="8"/>
      <c r="S3341" s="8"/>
      <c r="T3341" s="8"/>
      <c r="U3341" s="8"/>
      <c r="V3341" s="8"/>
      <c r="W3341" s="8"/>
    </row>
    <row r="3342" spans="1:23" ht="15.75" customHeight="1" x14ac:dyDescent="0.25">
      <c r="A3342" s="6" t="s">
        <v>234</v>
      </c>
      <c r="B3342" s="8"/>
      <c r="C3342" s="8"/>
      <c r="D3342" s="8"/>
      <c r="E3342" s="8"/>
      <c r="F3342" s="8"/>
      <c r="G3342" s="8"/>
      <c r="H3342" s="8"/>
      <c r="I3342" s="8"/>
      <c r="J3342" s="8"/>
      <c r="K3342" s="8"/>
      <c r="L3342" s="8"/>
      <c r="M3342" s="8"/>
      <c r="N3342" s="8"/>
      <c r="O3342" s="8"/>
      <c r="P3342" s="8"/>
      <c r="Q3342" s="8"/>
      <c r="R3342" s="8"/>
      <c r="S3342" s="8"/>
      <c r="T3342" s="8"/>
      <c r="U3342" s="8"/>
      <c r="V3342" s="8"/>
      <c r="W3342" s="8"/>
    </row>
    <row r="3343" spans="1:23" ht="15.75" customHeight="1" x14ac:dyDescent="0.25">
      <c r="A3343" s="6" t="s">
        <v>234</v>
      </c>
      <c r="B3343" s="8"/>
      <c r="C3343" s="8"/>
      <c r="D3343" s="8"/>
      <c r="E3343" s="8"/>
      <c r="F3343" s="8"/>
      <c r="G3343" s="8"/>
      <c r="H3343" s="8"/>
      <c r="I3343" s="8"/>
      <c r="J3343" s="8"/>
      <c r="K3343" s="8"/>
      <c r="L3343" s="8"/>
      <c r="M3343" s="8"/>
      <c r="N3343" s="8"/>
      <c r="O3343" s="8"/>
      <c r="P3343" s="8"/>
      <c r="Q3343" s="8"/>
      <c r="R3343" s="8"/>
      <c r="S3343" s="8"/>
      <c r="T3343" s="8"/>
      <c r="U3343" s="8"/>
      <c r="V3343" s="8"/>
      <c r="W3343" s="8"/>
    </row>
    <row r="3344" spans="1:23" ht="15.75" customHeight="1" x14ac:dyDescent="0.25">
      <c r="A3344" s="6" t="s">
        <v>234</v>
      </c>
      <c r="B3344" s="8"/>
      <c r="C3344" s="8"/>
      <c r="D3344" s="8"/>
      <c r="E3344" s="8"/>
      <c r="F3344" s="8"/>
      <c r="G3344" s="8"/>
      <c r="H3344" s="8"/>
      <c r="I3344" s="8"/>
      <c r="J3344" s="8"/>
      <c r="K3344" s="8"/>
      <c r="L3344" s="8"/>
      <c r="M3344" s="8"/>
      <c r="N3344" s="8"/>
      <c r="O3344" s="8"/>
      <c r="P3344" s="8"/>
      <c r="Q3344" s="8"/>
      <c r="R3344" s="8"/>
      <c r="S3344" s="8"/>
      <c r="T3344" s="8"/>
      <c r="U3344" s="8"/>
      <c r="V3344" s="8"/>
      <c r="W3344" s="8"/>
    </row>
    <row r="3345" spans="1:23" ht="15.75" customHeight="1" x14ac:dyDescent="0.25">
      <c r="A3345" s="6" t="s">
        <v>234</v>
      </c>
      <c r="B3345" s="8"/>
      <c r="C3345" s="8"/>
      <c r="D3345" s="8"/>
      <c r="E3345" s="8"/>
      <c r="F3345" s="8"/>
      <c r="G3345" s="8"/>
      <c r="H3345" s="8"/>
      <c r="I3345" s="8"/>
      <c r="J3345" s="8"/>
      <c r="K3345" s="8"/>
      <c r="L3345" s="8"/>
      <c r="M3345" s="8"/>
      <c r="N3345" s="8"/>
      <c r="O3345" s="8"/>
      <c r="P3345" s="8"/>
      <c r="Q3345" s="8"/>
      <c r="R3345" s="8"/>
      <c r="S3345" s="8"/>
      <c r="T3345" s="8"/>
      <c r="U3345" s="8"/>
      <c r="V3345" s="8"/>
      <c r="W3345" s="8"/>
    </row>
    <row r="3346" spans="1:23" ht="15.75" customHeight="1" x14ac:dyDescent="0.25">
      <c r="A3346" s="6" t="s">
        <v>234</v>
      </c>
      <c r="B3346" s="8"/>
      <c r="C3346" s="8"/>
      <c r="D3346" s="8"/>
      <c r="E3346" s="8"/>
      <c r="F3346" s="8"/>
      <c r="G3346" s="8"/>
      <c r="H3346" s="8"/>
      <c r="I3346" s="8"/>
      <c r="J3346" s="8"/>
      <c r="K3346" s="8"/>
      <c r="L3346" s="8"/>
      <c r="M3346" s="8"/>
      <c r="N3346" s="8"/>
      <c r="O3346" s="8"/>
      <c r="P3346" s="8"/>
      <c r="Q3346" s="8"/>
      <c r="R3346" s="8"/>
      <c r="S3346" s="8"/>
      <c r="T3346" s="8"/>
      <c r="U3346" s="8"/>
      <c r="V3346" s="8"/>
      <c r="W3346" s="8"/>
    </row>
    <row r="3347" spans="1:23" ht="15.75" customHeight="1" x14ac:dyDescent="0.25">
      <c r="A3347" s="6" t="s">
        <v>234</v>
      </c>
      <c r="B3347" s="8"/>
      <c r="C3347" s="8"/>
      <c r="D3347" s="8"/>
      <c r="E3347" s="8"/>
      <c r="F3347" s="8"/>
      <c r="G3347" s="8"/>
      <c r="H3347" s="8"/>
      <c r="I3347" s="8"/>
      <c r="J3347" s="8"/>
      <c r="K3347" s="8"/>
      <c r="L3347" s="8"/>
      <c r="M3347" s="8"/>
      <c r="N3347" s="8"/>
      <c r="O3347" s="8"/>
      <c r="P3347" s="8"/>
      <c r="Q3347" s="8"/>
      <c r="R3347" s="8"/>
      <c r="S3347" s="8"/>
      <c r="T3347" s="8"/>
      <c r="U3347" s="8"/>
      <c r="V3347" s="8"/>
      <c r="W3347" s="8"/>
    </row>
    <row r="3348" spans="1:23" ht="15.75" customHeight="1" x14ac:dyDescent="0.25">
      <c r="A3348" s="6" t="s">
        <v>234</v>
      </c>
      <c r="B3348" s="8"/>
      <c r="C3348" s="8"/>
      <c r="D3348" s="8"/>
      <c r="E3348" s="8"/>
      <c r="F3348" s="8"/>
      <c r="G3348" s="8"/>
      <c r="H3348" s="8"/>
      <c r="I3348" s="8"/>
      <c r="J3348" s="8"/>
      <c r="K3348" s="8"/>
      <c r="L3348" s="8"/>
      <c r="M3348" s="8"/>
      <c r="N3348" s="8"/>
      <c r="O3348" s="8"/>
      <c r="P3348" s="8"/>
      <c r="Q3348" s="8"/>
      <c r="R3348" s="8"/>
      <c r="S3348" s="8"/>
      <c r="T3348" s="8"/>
      <c r="U3348" s="8"/>
      <c r="V3348" s="8"/>
      <c r="W3348" s="8"/>
    </row>
    <row r="3349" spans="1:23" ht="15.75" customHeight="1" x14ac:dyDescent="0.25">
      <c r="A3349" s="6" t="s">
        <v>234</v>
      </c>
      <c r="B3349" s="8"/>
      <c r="C3349" s="8"/>
      <c r="D3349" s="8"/>
      <c r="E3349" s="8"/>
      <c r="F3349" s="8"/>
      <c r="G3349" s="8"/>
      <c r="H3349" s="8"/>
      <c r="I3349" s="8"/>
      <c r="J3349" s="8"/>
      <c r="K3349" s="8"/>
      <c r="L3349" s="8"/>
      <c r="M3349" s="8"/>
      <c r="N3349" s="8"/>
      <c r="O3349" s="8"/>
      <c r="P3349" s="8"/>
      <c r="Q3349" s="8"/>
      <c r="R3349" s="8"/>
      <c r="S3349" s="8"/>
      <c r="T3349" s="8"/>
      <c r="U3349" s="8"/>
      <c r="V3349" s="8"/>
      <c r="W3349" s="8"/>
    </row>
    <row r="3350" spans="1:23" ht="15.75" customHeight="1" x14ac:dyDescent="0.25">
      <c r="A3350" s="6" t="s">
        <v>234</v>
      </c>
      <c r="B3350" s="8"/>
      <c r="C3350" s="8"/>
      <c r="D3350" s="8"/>
      <c r="E3350" s="8"/>
      <c r="F3350" s="8"/>
      <c r="G3350" s="8"/>
      <c r="H3350" s="8"/>
      <c r="I3350" s="8"/>
      <c r="J3350" s="8"/>
      <c r="K3350" s="8"/>
      <c r="L3350" s="8"/>
      <c r="M3350" s="8"/>
      <c r="N3350" s="8"/>
      <c r="O3350" s="8"/>
      <c r="P3350" s="8"/>
      <c r="Q3350" s="8"/>
      <c r="R3350" s="8"/>
      <c r="S3350" s="8"/>
      <c r="T3350" s="8"/>
      <c r="U3350" s="8"/>
      <c r="V3350" s="8"/>
      <c r="W3350" s="8"/>
    </row>
    <row r="3351" spans="1:23" ht="15.75" customHeight="1" x14ac:dyDescent="0.25">
      <c r="A3351" s="6" t="s">
        <v>234</v>
      </c>
      <c r="B3351" s="8"/>
      <c r="C3351" s="8"/>
      <c r="D3351" s="8"/>
      <c r="E3351" s="8"/>
      <c r="F3351" s="8"/>
      <c r="G3351" s="8"/>
      <c r="H3351" s="8"/>
      <c r="I3351" s="8"/>
      <c r="J3351" s="8"/>
      <c r="K3351" s="8"/>
      <c r="L3351" s="8"/>
      <c r="M3351" s="8"/>
      <c r="N3351" s="8"/>
      <c r="O3351" s="8"/>
      <c r="P3351" s="8"/>
      <c r="Q3351" s="8"/>
      <c r="R3351" s="8"/>
      <c r="S3351" s="8"/>
      <c r="T3351" s="8"/>
      <c r="U3351" s="8"/>
      <c r="V3351" s="8"/>
      <c r="W3351" s="8"/>
    </row>
    <row r="3352" spans="1:23" ht="15.75" customHeight="1" x14ac:dyDescent="0.25">
      <c r="A3352" s="6" t="s">
        <v>234</v>
      </c>
      <c r="B3352" s="8"/>
      <c r="C3352" s="8"/>
      <c r="D3352" s="8"/>
      <c r="E3352" s="8"/>
      <c r="F3352" s="8"/>
      <c r="G3352" s="8"/>
      <c r="H3352" s="8"/>
      <c r="I3352" s="8"/>
      <c r="J3352" s="8"/>
      <c r="K3352" s="8"/>
      <c r="L3352" s="8"/>
      <c r="M3352" s="8"/>
      <c r="N3352" s="8"/>
      <c r="O3352" s="8"/>
      <c r="P3352" s="8"/>
      <c r="Q3352" s="8"/>
      <c r="R3352" s="8"/>
      <c r="S3352" s="8"/>
      <c r="T3352" s="8"/>
      <c r="U3352" s="8"/>
      <c r="V3352" s="8"/>
      <c r="W3352" s="8"/>
    </row>
    <row r="3353" spans="1:23" ht="15.75" customHeight="1" x14ac:dyDescent="0.25">
      <c r="A3353" s="6" t="s">
        <v>234</v>
      </c>
      <c r="B3353" s="8"/>
      <c r="C3353" s="8"/>
      <c r="D3353" s="8"/>
      <c r="E3353" s="8"/>
      <c r="F3353" s="8"/>
      <c r="G3353" s="8"/>
      <c r="H3353" s="8"/>
      <c r="I3353" s="8"/>
      <c r="J3353" s="8"/>
      <c r="K3353" s="8"/>
      <c r="L3353" s="8"/>
      <c r="M3353" s="8"/>
      <c r="N3353" s="8"/>
      <c r="O3353" s="8"/>
      <c r="P3353" s="8"/>
      <c r="Q3353" s="8"/>
      <c r="R3353" s="8"/>
      <c r="S3353" s="8"/>
      <c r="T3353" s="8"/>
      <c r="U3353" s="8"/>
      <c r="V3353" s="8"/>
      <c r="W3353" s="8"/>
    </row>
    <row r="3354" spans="1:23" ht="15.75" customHeight="1" x14ac:dyDescent="0.25">
      <c r="A3354" s="6" t="s">
        <v>234</v>
      </c>
      <c r="B3354" s="8"/>
      <c r="C3354" s="8"/>
      <c r="D3354" s="8"/>
      <c r="E3354" s="8"/>
      <c r="F3354" s="8"/>
      <c r="G3354" s="8"/>
      <c r="H3354" s="8"/>
      <c r="I3354" s="8"/>
      <c r="J3354" s="8"/>
      <c r="K3354" s="8"/>
      <c r="L3354" s="8"/>
      <c r="M3354" s="8"/>
      <c r="N3354" s="8"/>
      <c r="O3354" s="8"/>
      <c r="P3354" s="8"/>
      <c r="Q3354" s="8"/>
      <c r="R3354" s="8"/>
      <c r="S3354" s="8"/>
      <c r="T3354" s="8"/>
      <c r="U3354" s="8"/>
      <c r="V3354" s="8"/>
      <c r="W3354" s="8"/>
    </row>
    <row r="3355" spans="1:23" ht="15.75" customHeight="1" x14ac:dyDescent="0.25">
      <c r="A3355" s="6" t="s">
        <v>234</v>
      </c>
      <c r="B3355" s="8"/>
      <c r="C3355" s="8"/>
      <c r="D3355" s="8"/>
      <c r="E3355" s="8"/>
      <c r="F3355" s="8"/>
      <c r="G3355" s="8"/>
      <c r="H3355" s="8"/>
      <c r="I3355" s="8"/>
      <c r="J3355" s="8"/>
      <c r="K3355" s="8"/>
      <c r="L3355" s="8"/>
      <c r="M3355" s="8"/>
      <c r="N3355" s="8"/>
      <c r="O3355" s="8"/>
      <c r="P3355" s="8"/>
      <c r="Q3355" s="8"/>
      <c r="R3355" s="8"/>
      <c r="S3355" s="8"/>
      <c r="T3355" s="8"/>
      <c r="U3355" s="8"/>
      <c r="V3355" s="8"/>
      <c r="W3355" s="8"/>
    </row>
    <row r="3356" spans="1:23" ht="15.75" customHeight="1" x14ac:dyDescent="0.25">
      <c r="A3356" s="6" t="s">
        <v>234</v>
      </c>
      <c r="B3356" s="8"/>
      <c r="C3356" s="8"/>
      <c r="D3356" s="8"/>
      <c r="E3356" s="8"/>
      <c r="F3356" s="8"/>
      <c r="G3356" s="8"/>
      <c r="H3356" s="8"/>
      <c r="I3356" s="8"/>
      <c r="J3356" s="8"/>
      <c r="K3356" s="8"/>
      <c r="L3356" s="8"/>
      <c r="M3356" s="8"/>
      <c r="N3356" s="8"/>
      <c r="O3356" s="8"/>
      <c r="P3356" s="8"/>
      <c r="Q3356" s="8"/>
      <c r="R3356" s="8"/>
      <c r="S3356" s="8"/>
      <c r="T3356" s="8"/>
      <c r="U3356" s="8"/>
      <c r="V3356" s="8"/>
      <c r="W3356" s="8"/>
    </row>
    <row r="3357" spans="1:23" ht="15.75" customHeight="1" x14ac:dyDescent="0.25">
      <c r="A3357" s="6" t="s">
        <v>234</v>
      </c>
      <c r="B3357" s="8"/>
      <c r="C3357" s="8"/>
      <c r="D3357" s="8"/>
      <c r="E3357" s="8"/>
      <c r="F3357" s="8"/>
      <c r="G3357" s="8"/>
      <c r="H3357" s="8"/>
      <c r="I3357" s="8"/>
      <c r="J3357" s="8"/>
      <c r="K3357" s="8"/>
      <c r="L3357" s="8"/>
      <c r="M3357" s="8"/>
      <c r="N3357" s="8"/>
      <c r="O3357" s="8"/>
      <c r="P3357" s="8"/>
      <c r="Q3357" s="8"/>
      <c r="R3357" s="8"/>
      <c r="S3357" s="8"/>
      <c r="T3357" s="8"/>
      <c r="U3357" s="8"/>
      <c r="V3357" s="8"/>
      <c r="W3357" s="8"/>
    </row>
    <row r="3358" spans="1:23" ht="15.75" customHeight="1" x14ac:dyDescent="0.25">
      <c r="A3358" s="6" t="s">
        <v>234</v>
      </c>
      <c r="B3358" s="8"/>
      <c r="C3358" s="8"/>
      <c r="D3358" s="8"/>
      <c r="E3358" s="8"/>
      <c r="F3358" s="8"/>
      <c r="G3358" s="8"/>
      <c r="H3358" s="8"/>
      <c r="I3358" s="8"/>
      <c r="J3358" s="8"/>
      <c r="K3358" s="8"/>
      <c r="L3358" s="8"/>
      <c r="M3358" s="8"/>
      <c r="N3358" s="8"/>
      <c r="O3358" s="8"/>
      <c r="P3358" s="8"/>
      <c r="Q3358" s="8"/>
      <c r="R3358" s="8"/>
      <c r="S3358" s="8"/>
      <c r="T3358" s="8"/>
      <c r="U3358" s="8"/>
      <c r="V3358" s="8"/>
      <c r="W3358" s="8"/>
    </row>
    <row r="3359" spans="1:23" ht="15.75" customHeight="1" x14ac:dyDescent="0.25">
      <c r="A3359" s="6" t="s">
        <v>234</v>
      </c>
      <c r="B3359" s="8"/>
      <c r="C3359" s="8"/>
      <c r="D3359" s="8"/>
      <c r="E3359" s="8"/>
      <c r="F3359" s="8"/>
      <c r="G3359" s="8"/>
      <c r="H3359" s="8"/>
      <c r="I3359" s="8"/>
      <c r="J3359" s="8"/>
      <c r="K3359" s="8"/>
      <c r="L3359" s="8"/>
      <c r="M3359" s="8"/>
      <c r="N3359" s="8"/>
      <c r="O3359" s="8"/>
      <c r="P3359" s="8"/>
      <c r="Q3359" s="8"/>
      <c r="R3359" s="8"/>
      <c r="S3359" s="8"/>
      <c r="T3359" s="8"/>
      <c r="U3359" s="8"/>
      <c r="V3359" s="8"/>
      <c r="W3359" s="8"/>
    </row>
    <row r="3360" spans="1:23" ht="15.75" customHeight="1" x14ac:dyDescent="0.25">
      <c r="A3360" s="6" t="s">
        <v>234</v>
      </c>
      <c r="B3360" s="8"/>
      <c r="C3360" s="8"/>
      <c r="D3360" s="8"/>
      <c r="E3360" s="8"/>
      <c r="F3360" s="8"/>
      <c r="G3360" s="8"/>
      <c r="H3360" s="8"/>
      <c r="I3360" s="8"/>
      <c r="J3360" s="8"/>
      <c r="K3360" s="8"/>
      <c r="L3360" s="8"/>
      <c r="M3360" s="8"/>
      <c r="N3360" s="8"/>
      <c r="O3360" s="8"/>
      <c r="P3360" s="8"/>
      <c r="Q3360" s="8"/>
      <c r="R3360" s="8"/>
      <c r="S3360" s="8"/>
      <c r="T3360" s="8"/>
      <c r="U3360" s="8"/>
      <c r="V3360" s="8"/>
      <c r="W3360" s="8"/>
    </row>
    <row r="3361" spans="1:23" ht="15.75" customHeight="1" x14ac:dyDescent="0.25">
      <c r="A3361" s="6" t="s">
        <v>234</v>
      </c>
      <c r="B3361" s="8"/>
      <c r="C3361" s="8"/>
      <c r="D3361" s="8"/>
      <c r="E3361" s="8"/>
      <c r="F3361" s="8"/>
      <c r="G3361" s="8"/>
      <c r="H3361" s="8"/>
      <c r="I3361" s="8"/>
      <c r="J3361" s="8"/>
      <c r="K3361" s="8"/>
      <c r="L3361" s="8"/>
      <c r="M3361" s="8"/>
      <c r="N3361" s="8"/>
      <c r="O3361" s="8"/>
      <c r="P3361" s="8"/>
      <c r="Q3361" s="8"/>
      <c r="R3361" s="8"/>
      <c r="S3361" s="8"/>
      <c r="T3361" s="8"/>
      <c r="U3361" s="8"/>
      <c r="V3361" s="8"/>
      <c r="W3361" s="8"/>
    </row>
    <row r="3362" spans="1:23" ht="15.75" customHeight="1" x14ac:dyDescent="0.25">
      <c r="A3362" s="6" t="s">
        <v>234</v>
      </c>
      <c r="B3362" s="8"/>
      <c r="C3362" s="8"/>
      <c r="D3362" s="8"/>
      <c r="E3362" s="8"/>
      <c r="F3362" s="8"/>
      <c r="G3362" s="8"/>
      <c r="H3362" s="8"/>
      <c r="I3362" s="8"/>
      <c r="J3362" s="8"/>
      <c r="K3362" s="8"/>
      <c r="L3362" s="8"/>
      <c r="M3362" s="8"/>
      <c r="N3362" s="8"/>
      <c r="O3362" s="8"/>
      <c r="P3362" s="8"/>
      <c r="Q3362" s="8"/>
      <c r="R3362" s="8"/>
      <c r="S3362" s="8"/>
      <c r="T3362" s="8"/>
      <c r="U3362" s="8"/>
      <c r="V3362" s="8"/>
      <c r="W3362" s="8"/>
    </row>
    <row r="3363" spans="1:23" ht="15.75" customHeight="1" x14ac:dyDescent="0.25">
      <c r="A3363" s="6" t="s">
        <v>234</v>
      </c>
      <c r="B3363" s="8"/>
      <c r="C3363" s="8"/>
      <c r="D3363" s="8"/>
      <c r="E3363" s="8"/>
      <c r="F3363" s="8"/>
      <c r="G3363" s="8"/>
      <c r="H3363" s="8"/>
      <c r="I3363" s="8"/>
      <c r="J3363" s="8"/>
      <c r="K3363" s="8"/>
      <c r="L3363" s="8"/>
      <c r="M3363" s="8"/>
      <c r="N3363" s="8"/>
      <c r="O3363" s="8"/>
      <c r="P3363" s="8"/>
      <c r="Q3363" s="8"/>
      <c r="R3363" s="8"/>
      <c r="S3363" s="8"/>
      <c r="T3363" s="8"/>
      <c r="U3363" s="8"/>
      <c r="V3363" s="8"/>
      <c r="W3363" s="8"/>
    </row>
    <row r="3364" spans="1:23" ht="15.75" customHeight="1" x14ac:dyDescent="0.25">
      <c r="A3364" s="6" t="s">
        <v>234</v>
      </c>
      <c r="B3364" s="8"/>
      <c r="C3364" s="8"/>
      <c r="D3364" s="8"/>
      <c r="E3364" s="8"/>
      <c r="F3364" s="8"/>
      <c r="G3364" s="8"/>
      <c r="H3364" s="8"/>
      <c r="I3364" s="8"/>
      <c r="J3364" s="8"/>
      <c r="K3364" s="8"/>
      <c r="L3364" s="8"/>
      <c r="M3364" s="8"/>
      <c r="N3364" s="8"/>
      <c r="O3364" s="8"/>
      <c r="P3364" s="8"/>
      <c r="Q3364" s="8"/>
      <c r="R3364" s="8"/>
      <c r="S3364" s="8"/>
      <c r="T3364" s="8"/>
      <c r="U3364" s="8"/>
      <c r="V3364" s="8"/>
      <c r="W3364" s="8"/>
    </row>
    <row r="3365" spans="1:23" ht="15.75" customHeight="1" x14ac:dyDescent="0.25">
      <c r="A3365" s="6" t="s">
        <v>234</v>
      </c>
      <c r="B3365" s="8"/>
      <c r="C3365" s="8"/>
      <c r="D3365" s="8"/>
      <c r="E3365" s="8"/>
      <c r="F3365" s="8"/>
      <c r="G3365" s="8"/>
      <c r="H3365" s="8"/>
      <c r="I3365" s="8"/>
      <c r="J3365" s="8"/>
      <c r="K3365" s="8"/>
      <c r="L3365" s="8"/>
      <c r="M3365" s="8"/>
      <c r="N3365" s="8"/>
      <c r="O3365" s="8"/>
      <c r="P3365" s="8"/>
      <c r="Q3365" s="8"/>
      <c r="R3365" s="8"/>
      <c r="S3365" s="8"/>
      <c r="T3365" s="8"/>
      <c r="U3365" s="8"/>
      <c r="V3365" s="8"/>
      <c r="W3365" s="8"/>
    </row>
    <row r="3366" spans="1:23" ht="15.75" customHeight="1" x14ac:dyDescent="0.25">
      <c r="A3366" s="6" t="s">
        <v>234</v>
      </c>
      <c r="B3366" s="8"/>
      <c r="C3366" s="8"/>
      <c r="D3366" s="8"/>
      <c r="E3366" s="8"/>
      <c r="F3366" s="8"/>
      <c r="G3366" s="8"/>
      <c r="H3366" s="8"/>
      <c r="I3366" s="8"/>
      <c r="J3366" s="8"/>
      <c r="K3366" s="8"/>
      <c r="L3366" s="8"/>
      <c r="M3366" s="8"/>
      <c r="N3366" s="8"/>
      <c r="O3366" s="8"/>
      <c r="P3366" s="8"/>
      <c r="Q3366" s="8"/>
      <c r="R3366" s="8"/>
      <c r="S3366" s="8"/>
      <c r="T3366" s="8"/>
      <c r="U3366" s="8"/>
      <c r="V3366" s="8"/>
      <c r="W3366" s="8"/>
    </row>
    <row r="3367" spans="1:23" ht="15.75" customHeight="1" x14ac:dyDescent="0.25">
      <c r="A3367" s="6" t="s">
        <v>234</v>
      </c>
      <c r="B3367" s="8"/>
      <c r="C3367" s="8"/>
      <c r="D3367" s="8"/>
      <c r="E3367" s="8"/>
      <c r="F3367" s="8"/>
      <c r="G3367" s="8"/>
      <c r="H3367" s="8"/>
      <c r="I3367" s="8"/>
      <c r="J3367" s="8"/>
      <c r="K3367" s="8"/>
      <c r="L3367" s="8"/>
      <c r="M3367" s="8"/>
      <c r="N3367" s="8"/>
      <c r="O3367" s="8"/>
      <c r="P3367" s="8"/>
      <c r="Q3367" s="8"/>
      <c r="R3367" s="8"/>
      <c r="S3367" s="8"/>
      <c r="T3367" s="8"/>
      <c r="U3367" s="8"/>
      <c r="V3367" s="8"/>
      <c r="W3367" s="8"/>
    </row>
    <row r="3368" spans="1:23" ht="15.75" customHeight="1" x14ac:dyDescent="0.25">
      <c r="A3368" s="6" t="s">
        <v>234</v>
      </c>
      <c r="B3368" s="8"/>
      <c r="C3368" s="8"/>
      <c r="D3368" s="8"/>
      <c r="E3368" s="8"/>
      <c r="F3368" s="8"/>
      <c r="G3368" s="8"/>
      <c r="H3368" s="8"/>
      <c r="I3368" s="8"/>
      <c r="J3368" s="8"/>
      <c r="K3368" s="8"/>
      <c r="L3368" s="8"/>
      <c r="M3368" s="8"/>
      <c r="N3368" s="8"/>
      <c r="O3368" s="8"/>
      <c r="P3368" s="8"/>
      <c r="Q3368" s="8"/>
      <c r="R3368" s="8"/>
      <c r="S3368" s="8"/>
      <c r="T3368" s="8"/>
      <c r="U3368" s="8"/>
      <c r="V3368" s="8"/>
      <c r="W3368" s="8"/>
    </row>
    <row r="3369" spans="1:23" ht="15.75" customHeight="1" x14ac:dyDescent="0.25">
      <c r="A3369" s="6" t="s">
        <v>234</v>
      </c>
      <c r="B3369" s="8"/>
      <c r="C3369" s="8"/>
      <c r="D3369" s="8"/>
      <c r="E3369" s="8"/>
      <c r="F3369" s="8"/>
      <c r="G3369" s="8"/>
      <c r="H3369" s="8"/>
      <c r="I3369" s="8"/>
      <c r="J3369" s="8"/>
      <c r="K3369" s="8"/>
      <c r="L3369" s="8"/>
      <c r="M3369" s="8"/>
      <c r="N3369" s="8"/>
      <c r="O3369" s="8"/>
      <c r="P3369" s="8"/>
      <c r="Q3369" s="8"/>
      <c r="R3369" s="8"/>
      <c r="S3369" s="8"/>
      <c r="T3369" s="8"/>
      <c r="U3369" s="8"/>
      <c r="V3369" s="8"/>
      <c r="W3369" s="8"/>
    </row>
    <row r="3370" spans="1:23" ht="15.75" customHeight="1" x14ac:dyDescent="0.25">
      <c r="A3370" s="6" t="s">
        <v>234</v>
      </c>
      <c r="B3370" s="8"/>
      <c r="C3370" s="8"/>
      <c r="D3370" s="8"/>
      <c r="E3370" s="8"/>
      <c r="F3370" s="8"/>
      <c r="G3370" s="8"/>
      <c r="H3370" s="8"/>
      <c r="I3370" s="8"/>
      <c r="J3370" s="8"/>
      <c r="K3370" s="8"/>
      <c r="L3370" s="8"/>
      <c r="M3370" s="8"/>
      <c r="N3370" s="8"/>
      <c r="O3370" s="8"/>
      <c r="P3370" s="8"/>
      <c r="Q3370" s="8"/>
      <c r="R3370" s="8"/>
      <c r="S3370" s="8"/>
      <c r="T3370" s="8"/>
      <c r="U3370" s="8"/>
      <c r="V3370" s="8"/>
      <c r="W3370" s="8"/>
    </row>
    <row r="3371" spans="1:23" ht="15.75" customHeight="1" x14ac:dyDescent="0.25">
      <c r="A3371" s="6" t="s">
        <v>234</v>
      </c>
      <c r="B3371" s="8"/>
      <c r="C3371" s="8"/>
      <c r="D3371" s="8"/>
      <c r="E3371" s="8"/>
      <c r="F3371" s="8"/>
      <c r="G3371" s="8"/>
      <c r="H3371" s="8"/>
      <c r="I3371" s="8"/>
      <c r="J3371" s="8"/>
      <c r="K3371" s="8"/>
      <c r="L3371" s="8"/>
      <c r="M3371" s="8"/>
      <c r="N3371" s="8"/>
      <c r="O3371" s="8"/>
      <c r="P3371" s="8"/>
      <c r="Q3371" s="8"/>
      <c r="R3371" s="8"/>
      <c r="S3371" s="8"/>
      <c r="T3371" s="8"/>
      <c r="U3371" s="8"/>
      <c r="V3371" s="8"/>
      <c r="W3371" s="8"/>
    </row>
    <row r="3372" spans="1:23" ht="15.75" customHeight="1" x14ac:dyDescent="0.25">
      <c r="A3372" s="6" t="s">
        <v>234</v>
      </c>
      <c r="B3372" s="8"/>
      <c r="C3372" s="8"/>
      <c r="D3372" s="8"/>
      <c r="E3372" s="8"/>
      <c r="F3372" s="8"/>
      <c r="G3372" s="8"/>
      <c r="H3372" s="8"/>
      <c r="I3372" s="8"/>
      <c r="J3372" s="8"/>
      <c r="K3372" s="8"/>
      <c r="L3372" s="8"/>
      <c r="M3372" s="8"/>
      <c r="N3372" s="8"/>
      <c r="O3372" s="8"/>
      <c r="P3372" s="8"/>
      <c r="Q3372" s="8"/>
      <c r="R3372" s="8"/>
      <c r="S3372" s="8"/>
      <c r="T3372" s="8"/>
      <c r="U3372" s="8"/>
      <c r="V3372" s="8"/>
      <c r="W3372" s="8"/>
    </row>
    <row r="3373" spans="1:23" ht="15.75" customHeight="1" x14ac:dyDescent="0.25">
      <c r="A3373" s="6" t="s">
        <v>234</v>
      </c>
      <c r="B3373" s="8"/>
      <c r="C3373" s="8"/>
      <c r="D3373" s="8"/>
      <c r="E3373" s="8"/>
      <c r="F3373" s="8"/>
      <c r="G3373" s="8"/>
      <c r="H3373" s="8"/>
      <c r="I3373" s="8"/>
      <c r="J3373" s="8"/>
      <c r="K3373" s="8"/>
      <c r="L3373" s="8"/>
      <c r="M3373" s="8"/>
      <c r="N3373" s="8"/>
      <c r="O3373" s="8"/>
      <c r="P3373" s="8"/>
      <c r="Q3373" s="8"/>
      <c r="R3373" s="8"/>
      <c r="S3373" s="8"/>
      <c r="T3373" s="8"/>
      <c r="U3373" s="8"/>
      <c r="V3373" s="8"/>
      <c r="W3373" s="8"/>
    </row>
    <row r="3374" spans="1:23" ht="15.75" customHeight="1" x14ac:dyDescent="0.25">
      <c r="A3374" s="8" t="s">
        <v>234</v>
      </c>
      <c r="B3374" s="8"/>
      <c r="C3374" s="8"/>
      <c r="D3374" s="8"/>
      <c r="E3374" s="8"/>
      <c r="F3374" s="8"/>
      <c r="G3374" s="8"/>
      <c r="H3374" s="8"/>
      <c r="I3374" s="8"/>
      <c r="J3374" s="8"/>
      <c r="K3374" s="8"/>
      <c r="L3374" s="8"/>
      <c r="M3374" s="8"/>
      <c r="N3374" s="8"/>
      <c r="O3374" s="8"/>
      <c r="P3374" s="8"/>
      <c r="Q3374" s="8"/>
      <c r="R3374" s="8"/>
      <c r="S3374" s="8"/>
      <c r="T3374" s="8"/>
      <c r="U3374" s="8"/>
      <c r="V3374" s="8"/>
      <c r="W3374" s="8"/>
    </row>
    <row r="3375" spans="1:23" ht="15.75" customHeight="1" x14ac:dyDescent="0.25">
      <c r="A3375" s="6" t="s">
        <v>234</v>
      </c>
      <c r="B3375" s="8"/>
      <c r="C3375" s="8"/>
      <c r="D3375" s="8"/>
      <c r="E3375" s="8"/>
      <c r="F3375" s="8"/>
      <c r="G3375" s="8"/>
      <c r="H3375" s="8"/>
      <c r="I3375" s="8"/>
      <c r="J3375" s="8"/>
      <c r="K3375" s="8"/>
      <c r="L3375" s="8"/>
      <c r="M3375" s="8"/>
      <c r="N3375" s="8"/>
      <c r="O3375" s="8"/>
      <c r="P3375" s="8"/>
      <c r="Q3375" s="8"/>
      <c r="R3375" s="8"/>
      <c r="S3375" s="8"/>
      <c r="T3375" s="8"/>
      <c r="U3375" s="8"/>
      <c r="V3375" s="8"/>
      <c r="W3375" s="8"/>
    </row>
    <row r="3376" spans="1:23" ht="15.75" customHeight="1" x14ac:dyDescent="0.25">
      <c r="A3376" s="6" t="s">
        <v>234</v>
      </c>
      <c r="B3376" s="8"/>
      <c r="C3376" s="8"/>
      <c r="D3376" s="8"/>
      <c r="E3376" s="8"/>
      <c r="F3376" s="8"/>
      <c r="G3376" s="8"/>
      <c r="H3376" s="8"/>
      <c r="I3376" s="8"/>
      <c r="J3376" s="8"/>
      <c r="K3376" s="8"/>
      <c r="L3376" s="8"/>
      <c r="M3376" s="8"/>
      <c r="N3376" s="8"/>
      <c r="O3376" s="8"/>
      <c r="P3376" s="8"/>
      <c r="Q3376" s="8"/>
      <c r="R3376" s="8"/>
      <c r="S3376" s="8"/>
      <c r="T3376" s="8"/>
      <c r="U3376" s="8"/>
      <c r="V3376" s="8"/>
      <c r="W3376" s="8"/>
    </row>
    <row r="3377" spans="1:23" ht="15.75" customHeight="1" x14ac:dyDescent="0.25">
      <c r="A3377" s="6" t="s">
        <v>234</v>
      </c>
      <c r="B3377" s="8"/>
      <c r="C3377" s="8"/>
      <c r="D3377" s="8"/>
      <c r="E3377" s="8"/>
      <c r="F3377" s="8"/>
      <c r="G3377" s="8"/>
      <c r="H3377" s="8"/>
      <c r="I3377" s="8"/>
      <c r="J3377" s="8"/>
      <c r="K3377" s="8"/>
      <c r="L3377" s="8"/>
      <c r="M3377" s="8"/>
      <c r="N3377" s="8"/>
      <c r="O3377" s="8"/>
      <c r="P3377" s="8"/>
      <c r="Q3377" s="8"/>
      <c r="R3377" s="8"/>
      <c r="S3377" s="8"/>
      <c r="T3377" s="8"/>
      <c r="U3377" s="8"/>
      <c r="V3377" s="8"/>
      <c r="W3377" s="8"/>
    </row>
    <row r="3378" spans="1:23" ht="15.75" customHeight="1" x14ac:dyDescent="0.25">
      <c r="A3378" s="6" t="s">
        <v>234</v>
      </c>
      <c r="B3378" s="8"/>
      <c r="C3378" s="8"/>
      <c r="D3378" s="8"/>
      <c r="E3378" s="8"/>
      <c r="F3378" s="8"/>
      <c r="G3378" s="8"/>
      <c r="H3378" s="8"/>
      <c r="I3378" s="8"/>
      <c r="J3378" s="8"/>
      <c r="K3378" s="8"/>
      <c r="L3378" s="8"/>
      <c r="M3378" s="8"/>
      <c r="N3378" s="8"/>
      <c r="O3378" s="8"/>
      <c r="P3378" s="8"/>
      <c r="Q3378" s="8"/>
      <c r="R3378" s="8"/>
      <c r="S3378" s="8"/>
      <c r="T3378" s="8"/>
      <c r="U3378" s="8"/>
      <c r="V3378" s="8"/>
      <c r="W3378" s="8"/>
    </row>
    <row r="3379" spans="1:23" ht="15.75" customHeight="1" x14ac:dyDescent="0.25">
      <c r="A3379" s="6" t="s">
        <v>234</v>
      </c>
      <c r="B3379" s="8"/>
      <c r="C3379" s="8"/>
      <c r="D3379" s="8"/>
      <c r="E3379" s="8"/>
      <c r="F3379" s="8"/>
      <c r="G3379" s="8"/>
      <c r="H3379" s="8"/>
      <c r="I3379" s="8"/>
      <c r="J3379" s="8"/>
      <c r="K3379" s="8"/>
      <c r="L3379" s="8"/>
      <c r="M3379" s="8"/>
      <c r="N3379" s="8"/>
      <c r="O3379" s="8"/>
      <c r="P3379" s="8"/>
      <c r="Q3379" s="8"/>
      <c r="R3379" s="8"/>
      <c r="S3379" s="8"/>
      <c r="T3379" s="8"/>
      <c r="U3379" s="8"/>
      <c r="V3379" s="8"/>
      <c r="W3379" s="8"/>
    </row>
    <row r="3380" spans="1:23" ht="15.75" customHeight="1" x14ac:dyDescent="0.25">
      <c r="A3380" s="6" t="s">
        <v>234</v>
      </c>
      <c r="B3380" s="8"/>
      <c r="C3380" s="8"/>
      <c r="D3380" s="8"/>
      <c r="E3380" s="8"/>
      <c r="F3380" s="8"/>
      <c r="G3380" s="8"/>
      <c r="H3380" s="8"/>
      <c r="I3380" s="8"/>
      <c r="J3380" s="8"/>
      <c r="K3380" s="8"/>
      <c r="L3380" s="8"/>
      <c r="M3380" s="8"/>
      <c r="N3380" s="8"/>
      <c r="O3380" s="8"/>
      <c r="P3380" s="8"/>
      <c r="Q3380" s="8"/>
      <c r="R3380" s="8"/>
      <c r="S3380" s="8"/>
      <c r="T3380" s="8"/>
      <c r="U3380" s="8"/>
      <c r="V3380" s="8"/>
      <c r="W3380" s="8"/>
    </row>
    <row r="3381" spans="1:23" ht="15.75" customHeight="1" x14ac:dyDescent="0.25">
      <c r="A3381" s="6" t="s">
        <v>234</v>
      </c>
      <c r="B3381" s="8"/>
      <c r="C3381" s="8"/>
      <c r="D3381" s="8"/>
      <c r="E3381" s="8"/>
      <c r="F3381" s="8"/>
      <c r="G3381" s="8"/>
      <c r="H3381" s="8"/>
      <c r="I3381" s="8"/>
      <c r="J3381" s="8"/>
      <c r="K3381" s="8"/>
      <c r="L3381" s="8"/>
      <c r="M3381" s="8"/>
      <c r="N3381" s="8"/>
      <c r="O3381" s="8"/>
      <c r="P3381" s="8"/>
      <c r="Q3381" s="8"/>
      <c r="R3381" s="8"/>
      <c r="S3381" s="8"/>
      <c r="T3381" s="8"/>
      <c r="U3381" s="8"/>
      <c r="V3381" s="8"/>
      <c r="W3381" s="8"/>
    </row>
    <row r="3382" spans="1:23" ht="15.75" customHeight="1" x14ac:dyDescent="0.25">
      <c r="A3382" s="8" t="s">
        <v>4051</v>
      </c>
      <c r="B3382" s="8"/>
      <c r="C3382" s="8"/>
      <c r="D3382" s="8"/>
      <c r="E3382" s="8"/>
      <c r="F3382" s="8"/>
      <c r="G3382" s="8"/>
      <c r="H3382" s="8"/>
      <c r="I3382" s="8"/>
      <c r="J3382" s="8"/>
      <c r="K3382" s="8"/>
      <c r="L3382" s="8"/>
      <c r="M3382" s="8"/>
      <c r="N3382" s="8"/>
      <c r="O3382" s="8"/>
      <c r="P3382" s="8"/>
      <c r="Q3382" s="8"/>
      <c r="R3382" s="8"/>
      <c r="S3382" s="8"/>
      <c r="T3382" s="8"/>
      <c r="U3382" s="8"/>
      <c r="V3382" s="8"/>
      <c r="W3382" s="8"/>
    </row>
    <row r="3383" spans="1:23" ht="15.75" customHeight="1" x14ac:dyDescent="0.25">
      <c r="A3383" s="6" t="s">
        <v>4051</v>
      </c>
      <c r="B3383" s="8"/>
      <c r="C3383" s="8"/>
      <c r="D3383" s="8"/>
      <c r="E3383" s="8"/>
      <c r="F3383" s="8"/>
      <c r="G3383" s="8"/>
      <c r="H3383" s="8"/>
      <c r="I3383" s="8"/>
      <c r="J3383" s="8"/>
      <c r="K3383" s="8"/>
      <c r="L3383" s="8"/>
      <c r="M3383" s="8"/>
      <c r="N3383" s="8"/>
      <c r="O3383" s="8"/>
      <c r="P3383" s="8"/>
      <c r="Q3383" s="8"/>
      <c r="R3383" s="8"/>
      <c r="S3383" s="8"/>
      <c r="T3383" s="8"/>
      <c r="U3383" s="8"/>
      <c r="V3383" s="8"/>
      <c r="W3383" s="8"/>
    </row>
    <row r="3384" spans="1:23" ht="15.75" customHeight="1" x14ac:dyDescent="0.25">
      <c r="A3384" s="6" t="s">
        <v>4377</v>
      </c>
      <c r="B3384" s="8"/>
      <c r="C3384" s="8"/>
      <c r="D3384" s="8"/>
      <c r="E3384" s="8"/>
      <c r="F3384" s="8"/>
      <c r="G3384" s="8"/>
      <c r="H3384" s="8"/>
      <c r="I3384" s="8"/>
      <c r="J3384" s="8"/>
      <c r="K3384" s="8"/>
      <c r="L3384" s="8"/>
      <c r="M3384" s="8"/>
      <c r="N3384" s="8"/>
      <c r="O3384" s="8"/>
      <c r="P3384" s="8"/>
      <c r="Q3384" s="8"/>
      <c r="R3384" s="8"/>
      <c r="S3384" s="8"/>
      <c r="T3384" s="8"/>
      <c r="U3384" s="8"/>
      <c r="V3384" s="8"/>
      <c r="W3384" s="8"/>
    </row>
    <row r="3385" spans="1:23" ht="15.75" customHeight="1" x14ac:dyDescent="0.25">
      <c r="A3385" s="6" t="s">
        <v>4378</v>
      </c>
      <c r="B3385" s="8"/>
      <c r="C3385" s="8"/>
      <c r="D3385" s="8"/>
      <c r="E3385" s="8"/>
      <c r="F3385" s="8"/>
      <c r="G3385" s="8"/>
      <c r="H3385" s="8"/>
      <c r="I3385" s="8"/>
      <c r="J3385" s="8"/>
      <c r="K3385" s="8"/>
      <c r="L3385" s="8"/>
      <c r="M3385" s="8"/>
      <c r="N3385" s="8"/>
      <c r="O3385" s="8"/>
      <c r="P3385" s="8"/>
      <c r="Q3385" s="8"/>
      <c r="R3385" s="8"/>
      <c r="S3385" s="8"/>
      <c r="T3385" s="8"/>
      <c r="U3385" s="8"/>
      <c r="V3385" s="8"/>
      <c r="W3385" s="8"/>
    </row>
    <row r="3386" spans="1:23" ht="15.75" customHeight="1" x14ac:dyDescent="0.25">
      <c r="A3386" s="6" t="s">
        <v>4055</v>
      </c>
      <c r="B3386" s="8"/>
      <c r="C3386" s="8"/>
      <c r="D3386" s="8"/>
      <c r="E3386" s="8"/>
      <c r="F3386" s="8"/>
      <c r="G3386" s="8"/>
      <c r="H3386" s="8"/>
      <c r="I3386" s="8"/>
      <c r="J3386" s="8"/>
      <c r="K3386" s="8"/>
      <c r="L3386" s="8"/>
      <c r="M3386" s="8"/>
      <c r="N3386" s="8"/>
      <c r="O3386" s="8"/>
      <c r="P3386" s="8"/>
      <c r="Q3386" s="8"/>
      <c r="R3386" s="8"/>
      <c r="S3386" s="8"/>
      <c r="T3386" s="8"/>
      <c r="U3386" s="8"/>
      <c r="V3386" s="8"/>
      <c r="W3386" s="8"/>
    </row>
    <row r="3387" spans="1:23" ht="15.75" customHeight="1" x14ac:dyDescent="0.25">
      <c r="A3387" s="6" t="s">
        <v>4055</v>
      </c>
      <c r="B3387" s="8"/>
      <c r="C3387" s="8"/>
      <c r="D3387" s="8"/>
      <c r="E3387" s="8"/>
      <c r="F3387" s="8"/>
      <c r="G3387" s="8"/>
      <c r="H3387" s="8"/>
      <c r="I3387" s="8"/>
      <c r="J3387" s="8"/>
      <c r="K3387" s="8"/>
      <c r="L3387" s="8"/>
      <c r="M3387" s="8"/>
      <c r="N3387" s="8"/>
      <c r="O3387" s="8"/>
      <c r="P3387" s="8"/>
      <c r="Q3387" s="8"/>
      <c r="R3387" s="8"/>
      <c r="S3387" s="8"/>
      <c r="T3387" s="8"/>
      <c r="U3387" s="8"/>
      <c r="V3387" s="8"/>
      <c r="W3387" s="8"/>
    </row>
    <row r="3388" spans="1:23" ht="15.75" customHeight="1" x14ac:dyDescent="0.25">
      <c r="A3388" s="6" t="s">
        <v>4059</v>
      </c>
      <c r="B3388" s="8"/>
      <c r="C3388" s="8"/>
      <c r="D3388" s="8"/>
      <c r="E3388" s="8"/>
      <c r="F3388" s="8"/>
      <c r="G3388" s="8"/>
      <c r="H3388" s="8"/>
      <c r="I3388" s="8"/>
      <c r="J3388" s="8"/>
      <c r="K3388" s="8"/>
      <c r="L3388" s="8"/>
      <c r="M3388" s="8"/>
      <c r="N3388" s="8"/>
      <c r="O3388" s="8"/>
      <c r="P3388" s="8"/>
      <c r="Q3388" s="8"/>
      <c r="R3388" s="8"/>
      <c r="S3388" s="8"/>
      <c r="T3388" s="8"/>
      <c r="U3388" s="8"/>
      <c r="V3388" s="8"/>
      <c r="W3388" s="8"/>
    </row>
    <row r="3389" spans="1:23" ht="15.75" customHeight="1" x14ac:dyDescent="0.25">
      <c r="A3389" s="6" t="s">
        <v>4059</v>
      </c>
      <c r="B3389" s="8"/>
      <c r="C3389" s="8"/>
      <c r="D3389" s="8"/>
      <c r="E3389" s="8"/>
      <c r="F3389" s="8"/>
      <c r="G3389" s="8"/>
      <c r="H3389" s="8"/>
      <c r="I3389" s="8"/>
      <c r="J3389" s="8"/>
      <c r="K3389" s="8"/>
      <c r="L3389" s="8"/>
      <c r="M3389" s="8"/>
      <c r="N3389" s="8"/>
      <c r="O3389" s="8"/>
      <c r="P3389" s="8"/>
      <c r="Q3389" s="8"/>
      <c r="R3389" s="8"/>
      <c r="S3389" s="8"/>
      <c r="T3389" s="8"/>
      <c r="U3389" s="8"/>
      <c r="V3389" s="8"/>
      <c r="W3389" s="8"/>
    </row>
    <row r="3390" spans="1:23" ht="15.75" customHeight="1" x14ac:dyDescent="0.25">
      <c r="A3390" s="8" t="s">
        <v>4379</v>
      </c>
      <c r="B3390" s="8"/>
      <c r="C3390" s="8"/>
      <c r="D3390" s="8"/>
      <c r="E3390" s="8"/>
      <c r="F3390" s="8"/>
      <c r="G3390" s="8"/>
      <c r="H3390" s="8"/>
      <c r="I3390" s="8"/>
      <c r="J3390" s="8"/>
      <c r="K3390" s="8"/>
      <c r="L3390" s="8"/>
      <c r="M3390" s="8"/>
      <c r="N3390" s="8"/>
      <c r="O3390" s="8"/>
      <c r="P3390" s="8"/>
      <c r="Q3390" s="8"/>
      <c r="R3390" s="8"/>
      <c r="S3390" s="8"/>
      <c r="T3390" s="8"/>
      <c r="U3390" s="8"/>
      <c r="V3390" s="8"/>
      <c r="W3390" s="8"/>
    </row>
    <row r="3391" spans="1:23" ht="15.75" customHeight="1" x14ac:dyDescent="0.25">
      <c r="A3391" s="6" t="s">
        <v>4380</v>
      </c>
      <c r="B3391" s="8"/>
      <c r="C3391" s="8"/>
      <c r="D3391" s="8"/>
      <c r="E3391" s="8"/>
      <c r="F3391" s="8"/>
      <c r="G3391" s="8"/>
      <c r="H3391" s="8"/>
      <c r="I3391" s="8"/>
      <c r="J3391" s="8"/>
      <c r="K3391" s="8"/>
      <c r="L3391" s="8"/>
      <c r="M3391" s="8"/>
      <c r="N3391" s="8"/>
      <c r="O3391" s="8"/>
      <c r="P3391" s="8"/>
      <c r="Q3391" s="8"/>
      <c r="R3391" s="8"/>
      <c r="S3391" s="8"/>
      <c r="T3391" s="8"/>
      <c r="U3391" s="8"/>
      <c r="V3391" s="8"/>
      <c r="W3391" s="8"/>
    </row>
    <row r="3392" spans="1:23" ht="15.75" customHeight="1" x14ac:dyDescent="0.25">
      <c r="A3392" s="6" t="s">
        <v>3439</v>
      </c>
      <c r="B3392" s="8"/>
      <c r="C3392" s="8"/>
      <c r="D3392" s="8"/>
      <c r="E3392" s="8"/>
      <c r="F3392" s="8"/>
      <c r="G3392" s="8"/>
      <c r="H3392" s="8"/>
      <c r="I3392" s="8"/>
      <c r="J3392" s="8"/>
      <c r="K3392" s="8"/>
      <c r="L3392" s="8"/>
      <c r="M3392" s="8"/>
      <c r="N3392" s="8"/>
      <c r="O3392" s="8"/>
      <c r="P3392" s="8"/>
      <c r="Q3392" s="8"/>
      <c r="R3392" s="8"/>
      <c r="S3392" s="8"/>
      <c r="T3392" s="8"/>
      <c r="U3392" s="8"/>
      <c r="V3392" s="8"/>
      <c r="W3392" s="8"/>
    </row>
    <row r="3393" spans="1:23" ht="15.75" customHeight="1" x14ac:dyDescent="0.25">
      <c r="A3393" s="6" t="s">
        <v>3439</v>
      </c>
      <c r="B3393" s="8"/>
      <c r="C3393" s="8"/>
      <c r="D3393" s="8"/>
      <c r="E3393" s="8"/>
      <c r="F3393" s="8"/>
      <c r="G3393" s="8"/>
      <c r="H3393" s="8"/>
      <c r="I3393" s="8"/>
      <c r="J3393" s="8"/>
      <c r="K3393" s="8"/>
      <c r="L3393" s="8"/>
      <c r="M3393" s="8"/>
      <c r="N3393" s="8"/>
      <c r="O3393" s="8"/>
      <c r="P3393" s="8"/>
      <c r="Q3393" s="8"/>
      <c r="R3393" s="8"/>
      <c r="S3393" s="8"/>
      <c r="T3393" s="8"/>
      <c r="U3393" s="8"/>
      <c r="V3393" s="8"/>
      <c r="W3393" s="8"/>
    </row>
    <row r="3394" spans="1:23" ht="15.75" customHeight="1" x14ac:dyDescent="0.25">
      <c r="A3394" s="6" t="s">
        <v>3439</v>
      </c>
      <c r="B3394" s="8"/>
      <c r="C3394" s="8"/>
      <c r="D3394" s="8"/>
      <c r="E3394" s="8"/>
      <c r="F3394" s="8"/>
      <c r="G3394" s="8"/>
      <c r="H3394" s="8"/>
      <c r="I3394" s="8"/>
      <c r="J3394" s="8"/>
      <c r="K3394" s="8"/>
      <c r="L3394" s="8"/>
      <c r="M3394" s="8"/>
      <c r="N3394" s="8"/>
      <c r="O3394" s="8"/>
      <c r="P3394" s="8"/>
      <c r="Q3394" s="8"/>
      <c r="R3394" s="8"/>
      <c r="S3394" s="8"/>
      <c r="T3394" s="8"/>
      <c r="U3394" s="8"/>
      <c r="V3394" s="8"/>
      <c r="W3394" s="8"/>
    </row>
    <row r="3395" spans="1:23" ht="15.75" customHeight="1" x14ac:dyDescent="0.25">
      <c r="A3395" s="6" t="s">
        <v>3439</v>
      </c>
      <c r="B3395" s="8"/>
      <c r="C3395" s="8"/>
      <c r="D3395" s="8"/>
      <c r="E3395" s="8"/>
      <c r="F3395" s="8"/>
      <c r="G3395" s="8"/>
      <c r="H3395" s="8"/>
      <c r="I3395" s="8"/>
      <c r="J3395" s="8"/>
      <c r="K3395" s="8"/>
      <c r="L3395" s="8"/>
      <c r="M3395" s="8"/>
      <c r="N3395" s="8"/>
      <c r="O3395" s="8"/>
      <c r="P3395" s="8"/>
      <c r="Q3395" s="8"/>
      <c r="R3395" s="8"/>
      <c r="S3395" s="8"/>
      <c r="T3395" s="8"/>
      <c r="U3395" s="8"/>
      <c r="V3395" s="8"/>
      <c r="W3395" s="8"/>
    </row>
    <row r="3396" spans="1:23" ht="15.75" customHeight="1" x14ac:dyDescent="0.25">
      <c r="A3396" s="6" t="s">
        <v>3439</v>
      </c>
      <c r="B3396" s="8"/>
      <c r="C3396" s="8"/>
      <c r="D3396" s="8"/>
      <c r="E3396" s="8"/>
      <c r="F3396" s="8"/>
      <c r="G3396" s="8"/>
      <c r="H3396" s="8"/>
      <c r="I3396" s="8"/>
      <c r="J3396" s="8"/>
      <c r="K3396" s="8"/>
      <c r="L3396" s="8"/>
      <c r="M3396" s="8"/>
      <c r="N3396" s="8"/>
      <c r="O3396" s="8"/>
      <c r="P3396" s="8"/>
      <c r="Q3396" s="8"/>
      <c r="R3396" s="8"/>
      <c r="S3396" s="8"/>
      <c r="T3396" s="8"/>
      <c r="U3396" s="8"/>
      <c r="V3396" s="8"/>
      <c r="W3396" s="8"/>
    </row>
    <row r="3397" spans="1:23" ht="15.75" customHeight="1" x14ac:dyDescent="0.25">
      <c r="A3397" s="6" t="s">
        <v>3439</v>
      </c>
      <c r="B3397" s="8"/>
      <c r="C3397" s="8"/>
      <c r="D3397" s="8"/>
      <c r="E3397" s="8"/>
      <c r="F3397" s="8"/>
      <c r="G3397" s="8"/>
      <c r="H3397" s="8"/>
      <c r="I3397" s="8"/>
      <c r="J3397" s="8"/>
      <c r="K3397" s="8"/>
      <c r="L3397" s="8"/>
      <c r="M3397" s="8"/>
      <c r="N3397" s="8"/>
      <c r="O3397" s="8"/>
      <c r="P3397" s="8"/>
      <c r="Q3397" s="8"/>
      <c r="R3397" s="8"/>
      <c r="S3397" s="8"/>
      <c r="T3397" s="8"/>
      <c r="U3397" s="8"/>
      <c r="V3397" s="8"/>
      <c r="W3397" s="8"/>
    </row>
    <row r="3398" spans="1:23" ht="15.75" customHeight="1" x14ac:dyDescent="0.25">
      <c r="A3398" s="6" t="s">
        <v>3439</v>
      </c>
      <c r="B3398" s="8"/>
      <c r="C3398" s="8"/>
      <c r="D3398" s="8"/>
      <c r="E3398" s="8"/>
      <c r="F3398" s="8"/>
      <c r="G3398" s="8"/>
      <c r="H3398" s="8"/>
      <c r="I3398" s="8"/>
      <c r="J3398" s="8"/>
      <c r="K3398" s="8"/>
      <c r="L3398" s="8"/>
      <c r="M3398" s="8"/>
      <c r="N3398" s="8"/>
      <c r="O3398" s="8"/>
      <c r="P3398" s="8"/>
      <c r="Q3398" s="8"/>
      <c r="R3398" s="8"/>
      <c r="S3398" s="8"/>
      <c r="T3398" s="8"/>
      <c r="U3398" s="8"/>
      <c r="V3398" s="8"/>
      <c r="W3398" s="8"/>
    </row>
    <row r="3399" spans="1:23" ht="15.75" customHeight="1" x14ac:dyDescent="0.25">
      <c r="A3399" s="6" t="s">
        <v>3439</v>
      </c>
      <c r="B3399" s="8"/>
      <c r="C3399" s="8"/>
      <c r="D3399" s="8"/>
      <c r="E3399" s="8"/>
      <c r="F3399" s="8"/>
      <c r="G3399" s="8"/>
      <c r="H3399" s="8"/>
      <c r="I3399" s="8"/>
      <c r="J3399" s="8"/>
      <c r="K3399" s="8"/>
      <c r="L3399" s="8"/>
      <c r="M3399" s="8"/>
      <c r="N3399" s="8"/>
      <c r="O3399" s="8"/>
      <c r="P3399" s="8"/>
      <c r="Q3399" s="8"/>
      <c r="R3399" s="8"/>
      <c r="S3399" s="8"/>
      <c r="T3399" s="8"/>
      <c r="U3399" s="8"/>
      <c r="V3399" s="8"/>
      <c r="W3399" s="8"/>
    </row>
    <row r="3400" spans="1:23" ht="15.75" customHeight="1" x14ac:dyDescent="0.25">
      <c r="A3400" s="6" t="s">
        <v>4381</v>
      </c>
      <c r="B3400" s="8"/>
      <c r="C3400" s="8"/>
      <c r="D3400" s="8"/>
      <c r="E3400" s="8"/>
      <c r="F3400" s="8"/>
      <c r="G3400" s="8"/>
      <c r="H3400" s="8"/>
      <c r="I3400" s="8"/>
      <c r="J3400" s="8"/>
      <c r="K3400" s="8"/>
      <c r="L3400" s="8"/>
      <c r="M3400" s="8"/>
      <c r="N3400" s="8"/>
      <c r="O3400" s="8"/>
      <c r="P3400" s="8"/>
      <c r="Q3400" s="8"/>
      <c r="R3400" s="8"/>
      <c r="S3400" s="8"/>
      <c r="T3400" s="8"/>
      <c r="U3400" s="8"/>
      <c r="V3400" s="8"/>
      <c r="W3400" s="8"/>
    </row>
    <row r="3401" spans="1:23" ht="15.75" customHeight="1" x14ac:dyDescent="0.25">
      <c r="A3401" s="6" t="s">
        <v>4382</v>
      </c>
      <c r="B3401" s="8"/>
      <c r="C3401" s="8"/>
      <c r="D3401" s="8"/>
      <c r="E3401" s="8"/>
      <c r="F3401" s="8"/>
      <c r="G3401" s="8"/>
      <c r="H3401" s="8"/>
      <c r="I3401" s="8"/>
      <c r="J3401" s="8"/>
      <c r="K3401" s="8"/>
      <c r="L3401" s="8"/>
      <c r="M3401" s="8"/>
      <c r="N3401" s="8"/>
      <c r="O3401" s="8"/>
      <c r="P3401" s="8"/>
      <c r="Q3401" s="8"/>
      <c r="R3401" s="8"/>
      <c r="S3401" s="8"/>
      <c r="T3401" s="8"/>
      <c r="U3401" s="8"/>
      <c r="V3401" s="8"/>
      <c r="W3401" s="8"/>
    </row>
    <row r="3402" spans="1:23" ht="15.75" customHeight="1" x14ac:dyDescent="0.25">
      <c r="A3402" s="6" t="s">
        <v>3442</v>
      </c>
      <c r="B3402" s="8"/>
      <c r="C3402" s="8"/>
      <c r="D3402" s="8"/>
      <c r="E3402" s="8"/>
      <c r="F3402" s="8"/>
      <c r="G3402" s="8"/>
      <c r="H3402" s="8"/>
      <c r="I3402" s="8"/>
      <c r="J3402" s="8"/>
      <c r="K3402" s="8"/>
      <c r="L3402" s="8"/>
      <c r="M3402" s="8"/>
      <c r="N3402" s="8"/>
      <c r="O3402" s="8"/>
      <c r="P3402" s="8"/>
      <c r="Q3402" s="8"/>
      <c r="R3402" s="8"/>
      <c r="S3402" s="8"/>
      <c r="T3402" s="8"/>
      <c r="U3402" s="8"/>
      <c r="V3402" s="8"/>
      <c r="W3402" s="8"/>
    </row>
    <row r="3403" spans="1:23" ht="15.75" customHeight="1" x14ac:dyDescent="0.25">
      <c r="A3403" s="6" t="s">
        <v>3442</v>
      </c>
      <c r="B3403" s="8"/>
      <c r="C3403" s="8"/>
      <c r="D3403" s="8"/>
      <c r="E3403" s="8"/>
      <c r="F3403" s="8"/>
      <c r="G3403" s="8"/>
      <c r="H3403" s="8"/>
      <c r="I3403" s="8"/>
      <c r="J3403" s="8"/>
      <c r="K3403" s="8"/>
      <c r="L3403" s="8"/>
      <c r="M3403" s="8"/>
      <c r="N3403" s="8"/>
      <c r="O3403" s="8"/>
      <c r="P3403" s="8"/>
      <c r="Q3403" s="8"/>
      <c r="R3403" s="8"/>
      <c r="S3403" s="8"/>
      <c r="T3403" s="8"/>
      <c r="U3403" s="8"/>
      <c r="V3403" s="8"/>
      <c r="W3403" s="8"/>
    </row>
    <row r="3404" spans="1:23" ht="15.75" customHeight="1" x14ac:dyDescent="0.25">
      <c r="A3404" s="6" t="s">
        <v>3442</v>
      </c>
      <c r="B3404" s="8"/>
      <c r="C3404" s="8"/>
      <c r="D3404" s="8"/>
      <c r="E3404" s="8"/>
      <c r="F3404" s="8"/>
      <c r="G3404" s="8"/>
      <c r="H3404" s="8"/>
      <c r="I3404" s="8"/>
      <c r="J3404" s="8"/>
      <c r="K3404" s="8"/>
      <c r="L3404" s="8"/>
      <c r="M3404" s="8"/>
      <c r="N3404" s="8"/>
      <c r="O3404" s="8"/>
      <c r="P3404" s="8"/>
      <c r="Q3404" s="8"/>
      <c r="R3404" s="8"/>
      <c r="S3404" s="8"/>
      <c r="T3404" s="8"/>
      <c r="U3404" s="8"/>
      <c r="V3404" s="8"/>
      <c r="W3404" s="8"/>
    </row>
    <row r="3405" spans="1:23" ht="15.75" customHeight="1" x14ac:dyDescent="0.25">
      <c r="A3405" s="6" t="s">
        <v>3442</v>
      </c>
      <c r="B3405" s="8"/>
      <c r="C3405" s="8"/>
      <c r="D3405" s="8"/>
      <c r="E3405" s="8"/>
      <c r="F3405" s="8"/>
      <c r="G3405" s="8"/>
      <c r="H3405" s="8"/>
      <c r="I3405" s="8"/>
      <c r="J3405" s="8"/>
      <c r="K3405" s="8"/>
      <c r="L3405" s="8"/>
      <c r="M3405" s="8"/>
      <c r="N3405" s="8"/>
      <c r="O3405" s="8"/>
      <c r="P3405" s="8"/>
      <c r="Q3405" s="8"/>
      <c r="R3405" s="8"/>
      <c r="S3405" s="8"/>
      <c r="T3405" s="8"/>
      <c r="U3405" s="8"/>
      <c r="V3405" s="8"/>
      <c r="W3405" s="8"/>
    </row>
    <row r="3406" spans="1:23" ht="15.75" customHeight="1" x14ac:dyDescent="0.25">
      <c r="A3406" s="6" t="s">
        <v>3442</v>
      </c>
      <c r="B3406" s="8"/>
      <c r="C3406" s="8"/>
      <c r="D3406" s="8"/>
      <c r="E3406" s="8"/>
      <c r="F3406" s="8"/>
      <c r="G3406" s="8"/>
      <c r="H3406" s="8"/>
      <c r="I3406" s="8"/>
      <c r="J3406" s="8"/>
      <c r="K3406" s="8"/>
      <c r="L3406" s="8"/>
      <c r="M3406" s="8"/>
      <c r="N3406" s="8"/>
      <c r="O3406" s="8"/>
      <c r="P3406" s="8"/>
      <c r="Q3406" s="8"/>
      <c r="R3406" s="8"/>
      <c r="S3406" s="8"/>
      <c r="T3406" s="8"/>
      <c r="U3406" s="8"/>
      <c r="V3406" s="8"/>
      <c r="W3406" s="8"/>
    </row>
    <row r="3407" spans="1:23" ht="15.75" customHeight="1" x14ac:dyDescent="0.25">
      <c r="A3407" s="6" t="s">
        <v>3442</v>
      </c>
      <c r="B3407" s="8"/>
      <c r="C3407" s="8"/>
      <c r="D3407" s="8"/>
      <c r="E3407" s="8"/>
      <c r="F3407" s="8"/>
      <c r="G3407" s="8"/>
      <c r="H3407" s="8"/>
      <c r="I3407" s="8"/>
      <c r="J3407" s="8"/>
      <c r="K3407" s="8"/>
      <c r="L3407" s="8"/>
      <c r="M3407" s="8"/>
      <c r="N3407" s="8"/>
      <c r="O3407" s="8"/>
      <c r="P3407" s="8"/>
      <c r="Q3407" s="8"/>
      <c r="R3407" s="8"/>
      <c r="S3407" s="8"/>
      <c r="T3407" s="8"/>
      <c r="U3407" s="8"/>
      <c r="V3407" s="8"/>
      <c r="W3407" s="8"/>
    </row>
    <row r="3408" spans="1:23" ht="15.75" customHeight="1" x14ac:dyDescent="0.25">
      <c r="A3408" s="6" t="s">
        <v>3442</v>
      </c>
      <c r="B3408" s="8"/>
      <c r="C3408" s="8"/>
      <c r="D3408" s="8"/>
      <c r="E3408" s="8"/>
      <c r="F3408" s="8"/>
      <c r="G3408" s="8"/>
      <c r="H3408" s="8"/>
      <c r="I3408" s="8"/>
      <c r="J3408" s="8"/>
      <c r="K3408" s="8"/>
      <c r="L3408" s="8"/>
      <c r="M3408" s="8"/>
      <c r="N3408" s="8"/>
      <c r="O3408" s="8"/>
      <c r="P3408" s="8"/>
      <c r="Q3408" s="8"/>
      <c r="R3408" s="8"/>
      <c r="S3408" s="8"/>
      <c r="T3408" s="8"/>
      <c r="U3408" s="8"/>
      <c r="V3408" s="8"/>
      <c r="W3408" s="8"/>
    </row>
    <row r="3409" spans="1:23" ht="15.75" customHeight="1" x14ac:dyDescent="0.25">
      <c r="A3409" s="6" t="s">
        <v>3442</v>
      </c>
      <c r="B3409" s="8"/>
      <c r="C3409" s="8"/>
      <c r="D3409" s="8"/>
      <c r="E3409" s="8"/>
      <c r="F3409" s="8"/>
      <c r="G3409" s="8"/>
      <c r="H3409" s="8"/>
      <c r="I3409" s="8"/>
      <c r="J3409" s="8"/>
      <c r="K3409" s="8"/>
      <c r="L3409" s="8"/>
      <c r="M3409" s="8"/>
      <c r="N3409" s="8"/>
      <c r="O3409" s="8"/>
      <c r="P3409" s="8"/>
      <c r="Q3409" s="8"/>
      <c r="R3409" s="8"/>
      <c r="S3409" s="8"/>
      <c r="T3409" s="8"/>
      <c r="U3409" s="8"/>
      <c r="V3409" s="8"/>
      <c r="W3409" s="8"/>
    </row>
    <row r="3410" spans="1:23" ht="15.75" customHeight="1" x14ac:dyDescent="0.25">
      <c r="A3410" s="8" t="s">
        <v>4383</v>
      </c>
      <c r="B3410" s="8"/>
      <c r="C3410" s="8"/>
      <c r="D3410" s="8"/>
      <c r="E3410" s="8"/>
      <c r="F3410" s="8"/>
      <c r="G3410" s="8"/>
      <c r="H3410" s="8"/>
      <c r="I3410" s="8"/>
      <c r="J3410" s="8"/>
      <c r="K3410" s="8"/>
      <c r="L3410" s="8"/>
      <c r="M3410" s="8"/>
      <c r="N3410" s="8"/>
      <c r="O3410" s="8"/>
      <c r="P3410" s="8"/>
      <c r="Q3410" s="8"/>
      <c r="R3410" s="8"/>
      <c r="S3410" s="8"/>
      <c r="T3410" s="8"/>
      <c r="U3410" s="8"/>
      <c r="V3410" s="8"/>
      <c r="W3410" s="8"/>
    </row>
    <row r="3411" spans="1:23" ht="15.75" customHeight="1" x14ac:dyDescent="0.25">
      <c r="A3411" s="6"/>
      <c r="B3411" s="8"/>
      <c r="C3411" s="8"/>
      <c r="D3411" s="8"/>
      <c r="E3411" s="8"/>
      <c r="F3411" s="8"/>
      <c r="G3411" s="8"/>
      <c r="H3411" s="8"/>
      <c r="I3411" s="8"/>
      <c r="J3411" s="8"/>
      <c r="K3411" s="8"/>
      <c r="L3411" s="8"/>
      <c r="M3411" s="8"/>
      <c r="N3411" s="8"/>
      <c r="O3411" s="8"/>
      <c r="P3411" s="8"/>
      <c r="Q3411" s="8"/>
      <c r="R3411" s="8"/>
      <c r="S3411" s="8"/>
      <c r="T3411" s="8"/>
      <c r="U3411" s="8"/>
      <c r="V3411" s="8"/>
      <c r="W3411" s="8"/>
    </row>
    <row r="3412" spans="1:23" ht="15.75" customHeight="1" x14ac:dyDescent="0.25">
      <c r="A3412" s="6"/>
      <c r="B3412" s="8"/>
      <c r="C3412" s="8"/>
      <c r="D3412" s="8"/>
      <c r="E3412" s="8"/>
      <c r="F3412" s="8"/>
      <c r="G3412" s="8"/>
      <c r="H3412" s="8"/>
      <c r="I3412" s="8"/>
      <c r="J3412" s="8"/>
      <c r="K3412" s="8"/>
      <c r="L3412" s="8"/>
      <c r="M3412" s="8"/>
      <c r="N3412" s="8"/>
      <c r="O3412" s="8"/>
      <c r="P3412" s="8"/>
      <c r="Q3412" s="8"/>
      <c r="R3412" s="8"/>
      <c r="S3412" s="8"/>
      <c r="T3412" s="8"/>
      <c r="U3412" s="8"/>
      <c r="V3412" s="8"/>
      <c r="W3412" s="8"/>
    </row>
    <row r="3413" spans="1:23" ht="15.75" customHeight="1" x14ac:dyDescent="0.25">
      <c r="A3413" s="6"/>
      <c r="B3413" s="8"/>
      <c r="C3413" s="8"/>
      <c r="D3413" s="8"/>
      <c r="E3413" s="8"/>
      <c r="F3413" s="8"/>
      <c r="G3413" s="8"/>
      <c r="H3413" s="8"/>
      <c r="I3413" s="8"/>
      <c r="J3413" s="8"/>
      <c r="K3413" s="8"/>
      <c r="L3413" s="8"/>
      <c r="M3413" s="8"/>
      <c r="N3413" s="8"/>
      <c r="O3413" s="8"/>
      <c r="P3413" s="8"/>
      <c r="Q3413" s="8"/>
      <c r="R3413" s="8"/>
      <c r="S3413" s="8"/>
      <c r="T3413" s="8"/>
      <c r="U3413" s="8"/>
      <c r="V3413" s="8"/>
      <c r="W3413" s="8"/>
    </row>
    <row r="3414" spans="1:23" ht="15.75" customHeight="1" x14ac:dyDescent="0.25">
      <c r="A3414" s="6"/>
      <c r="B3414" s="8"/>
      <c r="C3414" s="8"/>
      <c r="D3414" s="8"/>
      <c r="E3414" s="8"/>
      <c r="F3414" s="8"/>
      <c r="G3414" s="8"/>
      <c r="H3414" s="8"/>
      <c r="I3414" s="8"/>
      <c r="J3414" s="8"/>
      <c r="K3414" s="8"/>
      <c r="L3414" s="8"/>
      <c r="M3414" s="8"/>
      <c r="N3414" s="8"/>
      <c r="O3414" s="8"/>
      <c r="P3414" s="8"/>
      <c r="Q3414" s="8"/>
      <c r="R3414" s="8"/>
      <c r="S3414" s="8"/>
      <c r="T3414" s="8"/>
      <c r="U3414" s="8"/>
      <c r="V3414" s="8"/>
      <c r="W3414" s="8"/>
    </row>
    <row r="3415" spans="1:23" ht="15.75" customHeight="1" x14ac:dyDescent="0.25">
      <c r="A3415" s="6"/>
      <c r="B3415" s="8"/>
      <c r="C3415" s="8"/>
      <c r="D3415" s="8"/>
      <c r="E3415" s="8"/>
      <c r="F3415" s="8"/>
      <c r="G3415" s="8"/>
      <c r="H3415" s="8"/>
      <c r="I3415" s="8"/>
      <c r="J3415" s="8"/>
      <c r="K3415" s="8"/>
      <c r="L3415" s="8"/>
      <c r="M3415" s="8"/>
      <c r="N3415" s="8"/>
      <c r="O3415" s="8"/>
      <c r="P3415" s="8"/>
      <c r="Q3415" s="8"/>
      <c r="R3415" s="8"/>
      <c r="S3415" s="8"/>
      <c r="T3415" s="8"/>
      <c r="U3415" s="8"/>
      <c r="V3415" s="8"/>
      <c r="W3415" s="8"/>
    </row>
    <row r="3416" spans="1:23" ht="15.75" customHeight="1" x14ac:dyDescent="0.25">
      <c r="A3416" s="6"/>
      <c r="B3416" s="8"/>
      <c r="C3416" s="8"/>
      <c r="D3416" s="8"/>
      <c r="E3416" s="8"/>
      <c r="F3416" s="8"/>
      <c r="G3416" s="8"/>
      <c r="H3416" s="8"/>
      <c r="I3416" s="8"/>
      <c r="J3416" s="8"/>
      <c r="K3416" s="8"/>
      <c r="L3416" s="8"/>
      <c r="M3416" s="8"/>
      <c r="N3416" s="8"/>
      <c r="O3416" s="8"/>
      <c r="P3416" s="8"/>
      <c r="Q3416" s="8"/>
      <c r="R3416" s="8"/>
      <c r="S3416" s="8"/>
      <c r="T3416" s="8"/>
      <c r="U3416" s="8"/>
      <c r="V3416" s="8"/>
      <c r="W3416" s="8"/>
    </row>
    <row r="3417" spans="1:23" ht="15.75" customHeight="1" x14ac:dyDescent="0.25">
      <c r="A3417" s="6"/>
      <c r="B3417" s="8"/>
      <c r="C3417" s="8"/>
      <c r="D3417" s="8"/>
      <c r="E3417" s="8"/>
      <c r="F3417" s="8"/>
      <c r="G3417" s="8"/>
      <c r="H3417" s="8"/>
      <c r="I3417" s="8"/>
      <c r="J3417" s="8"/>
      <c r="K3417" s="8"/>
      <c r="L3417" s="8"/>
      <c r="M3417" s="8"/>
      <c r="N3417" s="8"/>
      <c r="O3417" s="8"/>
      <c r="P3417" s="8"/>
      <c r="Q3417" s="8"/>
      <c r="R3417" s="8"/>
      <c r="S3417" s="8"/>
      <c r="T3417" s="8"/>
      <c r="U3417" s="8"/>
      <c r="V3417" s="8"/>
      <c r="W3417" s="8"/>
    </row>
    <row r="3418" spans="1:23" ht="15.75" customHeight="1" x14ac:dyDescent="0.25">
      <c r="A3418" s="6"/>
      <c r="B3418" s="8"/>
      <c r="C3418" s="8"/>
      <c r="D3418" s="8"/>
      <c r="E3418" s="8"/>
      <c r="F3418" s="8"/>
      <c r="G3418" s="8"/>
      <c r="H3418" s="8"/>
      <c r="I3418" s="8"/>
      <c r="J3418" s="8"/>
      <c r="K3418" s="8"/>
      <c r="L3418" s="8"/>
      <c r="M3418" s="8"/>
      <c r="N3418" s="8"/>
      <c r="O3418" s="8"/>
      <c r="P3418" s="8"/>
      <c r="Q3418" s="8"/>
      <c r="R3418" s="8"/>
      <c r="S3418" s="8"/>
      <c r="T3418" s="8"/>
      <c r="U3418" s="8"/>
      <c r="V3418" s="8"/>
      <c r="W3418" s="8"/>
    </row>
    <row r="3419" spans="1:23" ht="15.75" customHeight="1" x14ac:dyDescent="0.25">
      <c r="A3419" s="6"/>
      <c r="B3419" s="8"/>
      <c r="C3419" s="8"/>
      <c r="D3419" s="8"/>
      <c r="E3419" s="8"/>
      <c r="F3419" s="8"/>
      <c r="G3419" s="8"/>
      <c r="H3419" s="8"/>
      <c r="I3419" s="8"/>
      <c r="J3419" s="8"/>
      <c r="K3419" s="8"/>
      <c r="L3419" s="8"/>
      <c r="M3419" s="8"/>
      <c r="N3419" s="8"/>
      <c r="O3419" s="8"/>
      <c r="P3419" s="8"/>
      <c r="Q3419" s="8"/>
      <c r="R3419" s="8"/>
      <c r="S3419" s="8"/>
      <c r="T3419" s="8"/>
      <c r="U3419" s="8"/>
      <c r="V3419" s="8"/>
      <c r="W3419" s="8"/>
    </row>
    <row r="3420" spans="1:23" ht="15.75" customHeight="1" x14ac:dyDescent="0.25">
      <c r="A3420" s="6"/>
      <c r="B3420" s="8"/>
      <c r="C3420" s="8"/>
      <c r="D3420" s="8"/>
      <c r="E3420" s="8"/>
      <c r="F3420" s="8"/>
      <c r="G3420" s="8"/>
      <c r="H3420" s="8"/>
      <c r="I3420" s="8"/>
      <c r="J3420" s="8"/>
      <c r="K3420" s="8"/>
      <c r="L3420" s="8"/>
      <c r="M3420" s="8"/>
      <c r="N3420" s="8"/>
      <c r="O3420" s="8"/>
      <c r="P3420" s="8"/>
      <c r="Q3420" s="8"/>
      <c r="R3420" s="8"/>
      <c r="S3420" s="8"/>
      <c r="T3420" s="8"/>
      <c r="U3420" s="8"/>
      <c r="V3420" s="8"/>
      <c r="W3420" s="8"/>
    </row>
    <row r="3421" spans="1:23" ht="15.75" customHeight="1" x14ac:dyDescent="0.25">
      <c r="A3421" s="6"/>
      <c r="B3421" s="8"/>
      <c r="C3421" s="8"/>
      <c r="D3421" s="8"/>
      <c r="E3421" s="8"/>
      <c r="F3421" s="8"/>
      <c r="G3421" s="8"/>
      <c r="H3421" s="8"/>
      <c r="I3421" s="8"/>
      <c r="J3421" s="8"/>
      <c r="K3421" s="8"/>
      <c r="L3421" s="8"/>
      <c r="M3421" s="8"/>
      <c r="N3421" s="8"/>
      <c r="O3421" s="8"/>
      <c r="P3421" s="8"/>
      <c r="Q3421" s="8"/>
      <c r="R3421" s="8"/>
      <c r="S3421" s="8"/>
      <c r="T3421" s="8"/>
      <c r="U3421" s="8"/>
      <c r="V3421" s="8"/>
      <c r="W3421" s="8"/>
    </row>
    <row r="3422" spans="1:23" ht="15.75" customHeight="1" x14ac:dyDescent="0.25">
      <c r="A3422" s="6"/>
      <c r="B3422" s="8"/>
      <c r="C3422" s="8"/>
      <c r="D3422" s="8"/>
      <c r="E3422" s="8"/>
      <c r="F3422" s="8"/>
      <c r="G3422" s="8"/>
      <c r="H3422" s="8"/>
      <c r="I3422" s="8"/>
      <c r="J3422" s="8"/>
      <c r="K3422" s="8"/>
      <c r="L3422" s="8"/>
      <c r="M3422" s="8"/>
      <c r="N3422" s="8"/>
      <c r="O3422" s="8"/>
      <c r="P3422" s="8"/>
      <c r="Q3422" s="8"/>
      <c r="R3422" s="8"/>
      <c r="S3422" s="8"/>
      <c r="T3422" s="8"/>
      <c r="U3422" s="8"/>
      <c r="V3422" s="8"/>
      <c r="W3422" s="8"/>
    </row>
    <row r="3423" spans="1:23" ht="15.75" customHeight="1" x14ac:dyDescent="0.25">
      <c r="A3423" s="6"/>
      <c r="B3423" s="8"/>
      <c r="C3423" s="8"/>
      <c r="D3423" s="8"/>
      <c r="E3423" s="8"/>
      <c r="F3423" s="8"/>
      <c r="G3423" s="8"/>
      <c r="H3423" s="8"/>
      <c r="I3423" s="8"/>
      <c r="J3423" s="8"/>
      <c r="K3423" s="8"/>
      <c r="L3423" s="8"/>
      <c r="M3423" s="8"/>
      <c r="N3423" s="8"/>
      <c r="O3423" s="8"/>
      <c r="P3423" s="8"/>
      <c r="Q3423" s="8"/>
      <c r="R3423" s="8"/>
      <c r="S3423" s="8"/>
      <c r="T3423" s="8"/>
      <c r="U3423" s="8"/>
      <c r="V3423" s="8"/>
      <c r="W3423" s="8"/>
    </row>
    <row r="3424" spans="1:23" ht="15.75" customHeight="1" x14ac:dyDescent="0.25">
      <c r="A3424" s="6"/>
      <c r="B3424" s="8"/>
      <c r="C3424" s="8"/>
      <c r="D3424" s="8"/>
      <c r="E3424" s="8"/>
      <c r="F3424" s="8"/>
      <c r="G3424" s="8"/>
      <c r="H3424" s="8"/>
      <c r="I3424" s="8"/>
      <c r="J3424" s="8"/>
      <c r="K3424" s="8"/>
      <c r="L3424" s="8"/>
      <c r="M3424" s="8"/>
      <c r="N3424" s="8"/>
      <c r="O3424" s="8"/>
      <c r="P3424" s="8"/>
      <c r="Q3424" s="8"/>
      <c r="R3424" s="8"/>
      <c r="S3424" s="8"/>
      <c r="T3424" s="8"/>
      <c r="U3424" s="8"/>
      <c r="V3424" s="8"/>
      <c r="W3424" s="8"/>
    </row>
    <row r="3425" spans="1:23" ht="15.75" customHeight="1" x14ac:dyDescent="0.25">
      <c r="A3425" s="6"/>
      <c r="B3425" s="8"/>
      <c r="C3425" s="8"/>
      <c r="D3425" s="8"/>
      <c r="E3425" s="8"/>
      <c r="F3425" s="8"/>
      <c r="G3425" s="8"/>
      <c r="H3425" s="8"/>
      <c r="I3425" s="8"/>
      <c r="J3425" s="8"/>
      <c r="K3425" s="8"/>
      <c r="L3425" s="8"/>
      <c r="M3425" s="8"/>
      <c r="N3425" s="8"/>
      <c r="O3425" s="8"/>
      <c r="P3425" s="8"/>
      <c r="Q3425" s="8"/>
      <c r="R3425" s="8"/>
      <c r="S3425" s="8"/>
      <c r="T3425" s="8"/>
      <c r="U3425" s="8"/>
      <c r="V3425" s="8"/>
      <c r="W3425" s="8"/>
    </row>
    <row r="3426" spans="1:23" ht="15.75" customHeight="1" x14ac:dyDescent="0.25">
      <c r="A3426" s="6"/>
      <c r="B3426" s="8"/>
      <c r="C3426" s="8"/>
      <c r="D3426" s="8"/>
      <c r="E3426" s="8"/>
      <c r="F3426" s="8"/>
      <c r="G3426" s="8"/>
      <c r="H3426" s="8"/>
      <c r="I3426" s="8"/>
      <c r="J3426" s="8"/>
      <c r="K3426" s="8"/>
      <c r="L3426" s="8"/>
      <c r="M3426" s="8"/>
      <c r="N3426" s="8"/>
      <c r="O3426" s="8"/>
      <c r="P3426" s="8"/>
      <c r="Q3426" s="8"/>
      <c r="R3426" s="8"/>
      <c r="S3426" s="8"/>
      <c r="T3426" s="8"/>
      <c r="U3426" s="8"/>
      <c r="V3426" s="8"/>
      <c r="W3426" s="8"/>
    </row>
    <row r="3427" spans="1:23" ht="15.75" customHeight="1" x14ac:dyDescent="0.25">
      <c r="A3427" s="6"/>
      <c r="B3427" s="8"/>
      <c r="C3427" s="8"/>
      <c r="D3427" s="8"/>
      <c r="E3427" s="8"/>
      <c r="F3427" s="8"/>
      <c r="G3427" s="8"/>
      <c r="H3427" s="8"/>
      <c r="I3427" s="8"/>
      <c r="J3427" s="8"/>
      <c r="K3427" s="8"/>
      <c r="L3427" s="8"/>
      <c r="M3427" s="8"/>
      <c r="N3427" s="8"/>
      <c r="O3427" s="8"/>
      <c r="P3427" s="8"/>
      <c r="Q3427" s="8"/>
      <c r="R3427" s="8"/>
      <c r="S3427" s="8"/>
      <c r="T3427" s="8"/>
      <c r="U3427" s="8"/>
      <c r="V3427" s="8"/>
      <c r="W3427" s="8"/>
    </row>
    <row r="3428" spans="1:23" ht="15.75" customHeight="1" x14ac:dyDescent="0.25">
      <c r="A3428" s="6"/>
      <c r="B3428" s="8"/>
      <c r="C3428" s="8"/>
      <c r="D3428" s="8"/>
      <c r="E3428" s="8"/>
      <c r="F3428" s="8"/>
      <c r="G3428" s="8"/>
      <c r="H3428" s="8"/>
      <c r="I3428" s="8"/>
      <c r="J3428" s="8"/>
      <c r="K3428" s="8"/>
      <c r="L3428" s="8"/>
      <c r="M3428" s="8"/>
      <c r="N3428" s="8"/>
      <c r="O3428" s="8"/>
      <c r="P3428" s="8"/>
      <c r="Q3428" s="8"/>
      <c r="R3428" s="8"/>
      <c r="S3428" s="8"/>
      <c r="T3428" s="8"/>
      <c r="U3428" s="8"/>
      <c r="V3428" s="8"/>
      <c r="W3428" s="8"/>
    </row>
    <row r="3429" spans="1:23" ht="15.75" customHeight="1" x14ac:dyDescent="0.25">
      <c r="A3429" s="6"/>
      <c r="B3429" s="8"/>
      <c r="C3429" s="8"/>
      <c r="D3429" s="8"/>
      <c r="E3429" s="8"/>
      <c r="F3429" s="8"/>
      <c r="G3429" s="8"/>
      <c r="H3429" s="8"/>
      <c r="I3429" s="8"/>
      <c r="J3429" s="8"/>
      <c r="K3429" s="8"/>
      <c r="L3429" s="8"/>
      <c r="M3429" s="8"/>
      <c r="N3429" s="8"/>
      <c r="O3429" s="8"/>
      <c r="P3429" s="8"/>
      <c r="Q3429" s="8"/>
      <c r="R3429" s="8"/>
      <c r="S3429" s="8"/>
      <c r="T3429" s="8"/>
      <c r="U3429" s="8"/>
      <c r="V3429" s="8"/>
      <c r="W3429" s="8"/>
    </row>
    <row r="3430" spans="1:23" ht="15.75" customHeight="1" x14ac:dyDescent="0.25">
      <c r="A3430" s="6"/>
      <c r="B3430" s="8"/>
      <c r="C3430" s="8"/>
      <c r="D3430" s="8"/>
      <c r="E3430" s="8"/>
      <c r="F3430" s="8"/>
      <c r="G3430" s="8"/>
      <c r="H3430" s="8"/>
      <c r="I3430" s="8"/>
      <c r="J3430" s="8"/>
      <c r="K3430" s="8"/>
      <c r="L3430" s="8"/>
      <c r="M3430" s="8"/>
      <c r="N3430" s="8"/>
      <c r="O3430" s="8"/>
      <c r="P3430" s="8"/>
      <c r="Q3430" s="8"/>
      <c r="R3430" s="8"/>
      <c r="S3430" s="8"/>
      <c r="T3430" s="8"/>
      <c r="U3430" s="8"/>
      <c r="V3430" s="8"/>
      <c r="W3430" s="8"/>
    </row>
    <row r="3431" spans="1:23" ht="15.75" customHeight="1" x14ac:dyDescent="0.25">
      <c r="A3431" s="6"/>
      <c r="B3431" s="8"/>
      <c r="C3431" s="8"/>
      <c r="D3431" s="8"/>
      <c r="E3431" s="8"/>
      <c r="F3431" s="8"/>
      <c r="G3431" s="8"/>
      <c r="H3431" s="8"/>
      <c r="I3431" s="8"/>
      <c r="J3431" s="8"/>
      <c r="K3431" s="8"/>
      <c r="L3431" s="8"/>
      <c r="M3431" s="8"/>
      <c r="N3431" s="8"/>
      <c r="O3431" s="8"/>
      <c r="P3431" s="8"/>
      <c r="Q3431" s="8"/>
      <c r="R3431" s="8"/>
      <c r="S3431" s="8"/>
      <c r="T3431" s="8"/>
      <c r="U3431" s="8"/>
      <c r="V3431" s="8"/>
      <c r="W3431" s="8"/>
    </row>
    <row r="3432" spans="1:23" ht="15.75" customHeight="1" x14ac:dyDescent="0.25">
      <c r="A3432" s="6"/>
      <c r="B3432" s="8"/>
      <c r="C3432" s="8"/>
      <c r="D3432" s="8"/>
      <c r="E3432" s="8"/>
      <c r="F3432" s="8"/>
      <c r="G3432" s="8"/>
      <c r="H3432" s="8"/>
      <c r="I3432" s="8"/>
      <c r="J3432" s="8"/>
      <c r="K3432" s="8"/>
      <c r="L3432" s="8"/>
      <c r="M3432" s="8"/>
      <c r="N3432" s="8"/>
      <c r="O3432" s="8"/>
      <c r="P3432" s="8"/>
      <c r="Q3432" s="8"/>
      <c r="R3432" s="8"/>
      <c r="S3432" s="8"/>
      <c r="T3432" s="8"/>
      <c r="U3432" s="8"/>
      <c r="V3432" s="8"/>
      <c r="W3432" s="8"/>
    </row>
    <row r="3433" spans="1:23" ht="15.75" customHeight="1" x14ac:dyDescent="0.25">
      <c r="A3433" s="6"/>
      <c r="B3433" s="8"/>
      <c r="C3433" s="8"/>
      <c r="D3433" s="8"/>
      <c r="E3433" s="8"/>
      <c r="F3433" s="8"/>
      <c r="G3433" s="8"/>
      <c r="H3433" s="8"/>
      <c r="I3433" s="8"/>
      <c r="J3433" s="8"/>
      <c r="K3433" s="8"/>
      <c r="L3433" s="8"/>
      <c r="M3433" s="8"/>
      <c r="N3433" s="8"/>
      <c r="O3433" s="8"/>
      <c r="P3433" s="8"/>
      <c r="Q3433" s="8"/>
      <c r="R3433" s="8"/>
      <c r="S3433" s="8"/>
      <c r="T3433" s="8"/>
      <c r="U3433" s="8"/>
      <c r="V3433" s="8"/>
      <c r="W3433" s="8"/>
    </row>
    <row r="3434" spans="1:23" ht="15.75" customHeight="1" x14ac:dyDescent="0.25">
      <c r="A3434" s="6"/>
      <c r="B3434" s="8"/>
      <c r="C3434" s="8"/>
      <c r="D3434" s="8"/>
      <c r="E3434" s="8"/>
      <c r="F3434" s="8"/>
      <c r="G3434" s="8"/>
      <c r="H3434" s="8"/>
      <c r="I3434" s="8"/>
      <c r="J3434" s="8"/>
      <c r="K3434" s="8"/>
      <c r="L3434" s="8"/>
      <c r="M3434" s="8"/>
      <c r="N3434" s="8"/>
      <c r="O3434" s="8"/>
      <c r="P3434" s="8"/>
      <c r="Q3434" s="8"/>
      <c r="R3434" s="8"/>
      <c r="S3434" s="8"/>
      <c r="T3434" s="8"/>
      <c r="U3434" s="8"/>
      <c r="V3434" s="8"/>
      <c r="W3434" s="8"/>
    </row>
    <row r="3435" spans="1:23" ht="15.75" customHeight="1" x14ac:dyDescent="0.25">
      <c r="A3435" s="6"/>
      <c r="B3435" s="8"/>
      <c r="C3435" s="8"/>
      <c r="D3435" s="8"/>
      <c r="E3435" s="8"/>
      <c r="F3435" s="8"/>
      <c r="G3435" s="8"/>
      <c r="H3435" s="8"/>
      <c r="I3435" s="8"/>
      <c r="J3435" s="8"/>
      <c r="K3435" s="8"/>
      <c r="L3435" s="8"/>
      <c r="M3435" s="8"/>
      <c r="N3435" s="8"/>
      <c r="O3435" s="8"/>
      <c r="P3435" s="8"/>
      <c r="Q3435" s="8"/>
      <c r="R3435" s="8"/>
      <c r="S3435" s="8"/>
      <c r="T3435" s="8"/>
      <c r="U3435" s="8"/>
      <c r="V3435" s="8"/>
      <c r="W3435" s="8"/>
    </row>
    <row r="3436" spans="1:23" ht="15.75" customHeight="1" x14ac:dyDescent="0.25">
      <c r="A3436" s="6"/>
      <c r="B3436" s="8"/>
      <c r="C3436" s="8"/>
      <c r="D3436" s="8"/>
      <c r="E3436" s="8"/>
      <c r="F3436" s="8"/>
      <c r="G3436" s="8"/>
      <c r="H3436" s="8"/>
      <c r="I3436" s="8"/>
      <c r="J3436" s="8"/>
      <c r="K3436" s="8"/>
      <c r="L3436" s="8"/>
      <c r="M3436" s="8"/>
      <c r="N3436" s="8"/>
      <c r="O3436" s="8"/>
      <c r="P3436" s="8"/>
      <c r="Q3436" s="8"/>
      <c r="R3436" s="8"/>
      <c r="S3436" s="8"/>
      <c r="T3436" s="8"/>
      <c r="U3436" s="8"/>
      <c r="V3436" s="8"/>
      <c r="W3436" s="8"/>
    </row>
    <row r="3437" spans="1:23" ht="15.75" customHeight="1" x14ac:dyDescent="0.25">
      <c r="A3437" s="6"/>
      <c r="B3437" s="8"/>
      <c r="C3437" s="8"/>
      <c r="D3437" s="8"/>
      <c r="E3437" s="8"/>
      <c r="F3437" s="8"/>
      <c r="G3437" s="8"/>
      <c r="H3437" s="8"/>
      <c r="I3437" s="8"/>
      <c r="J3437" s="8"/>
      <c r="K3437" s="8"/>
      <c r="L3437" s="8"/>
      <c r="M3437" s="8"/>
      <c r="N3437" s="8"/>
      <c r="O3437" s="8"/>
      <c r="P3437" s="8"/>
      <c r="Q3437" s="8"/>
      <c r="R3437" s="8"/>
      <c r="S3437" s="8"/>
      <c r="T3437" s="8"/>
      <c r="U3437" s="8"/>
      <c r="V3437" s="8"/>
      <c r="W3437" s="8"/>
    </row>
    <row r="3438" spans="1:23" ht="15.75" customHeight="1" x14ac:dyDescent="0.25">
      <c r="A3438" s="6"/>
      <c r="B3438" s="8"/>
      <c r="C3438" s="8"/>
      <c r="D3438" s="8"/>
      <c r="E3438" s="8"/>
      <c r="F3438" s="8"/>
      <c r="G3438" s="8"/>
      <c r="H3438" s="8"/>
      <c r="I3438" s="8"/>
      <c r="J3438" s="8"/>
      <c r="K3438" s="8"/>
      <c r="L3438" s="8"/>
      <c r="M3438" s="8"/>
      <c r="N3438" s="8"/>
      <c r="O3438" s="8"/>
      <c r="P3438" s="8"/>
      <c r="Q3438" s="8"/>
      <c r="R3438" s="8"/>
      <c r="S3438" s="8"/>
      <c r="T3438" s="8"/>
      <c r="U3438" s="8"/>
      <c r="V3438" s="8"/>
      <c r="W3438" s="8"/>
    </row>
    <row r="3439" spans="1:23" ht="15.75" customHeight="1" x14ac:dyDescent="0.25">
      <c r="A3439" s="6"/>
      <c r="B3439" s="8"/>
      <c r="C3439" s="8"/>
      <c r="D3439" s="8"/>
      <c r="E3439" s="8"/>
      <c r="F3439" s="8"/>
      <c r="G3439" s="8"/>
      <c r="H3439" s="8"/>
      <c r="I3439" s="8"/>
      <c r="J3439" s="8"/>
      <c r="K3439" s="8"/>
      <c r="L3439" s="8"/>
      <c r="M3439" s="8"/>
      <c r="N3439" s="8"/>
      <c r="O3439" s="8"/>
      <c r="P3439" s="8"/>
      <c r="Q3439" s="8"/>
      <c r="R3439" s="8"/>
      <c r="S3439" s="8"/>
      <c r="T3439" s="8"/>
      <c r="U3439" s="8"/>
      <c r="V3439" s="8"/>
      <c r="W3439" s="8"/>
    </row>
    <row r="3440" spans="1:23" ht="15.75" customHeight="1" x14ac:dyDescent="0.25">
      <c r="A3440" s="6"/>
      <c r="B3440" s="8"/>
      <c r="C3440" s="8"/>
      <c r="D3440" s="8"/>
      <c r="E3440" s="8"/>
      <c r="F3440" s="8"/>
      <c r="G3440" s="8"/>
      <c r="H3440" s="8"/>
      <c r="I3440" s="8"/>
      <c r="J3440" s="8"/>
      <c r="K3440" s="8"/>
      <c r="L3440" s="8"/>
      <c r="M3440" s="8"/>
      <c r="N3440" s="8"/>
      <c r="O3440" s="8"/>
      <c r="P3440" s="8"/>
      <c r="Q3440" s="8"/>
      <c r="R3440" s="8"/>
      <c r="S3440" s="8"/>
      <c r="T3440" s="8"/>
      <c r="U3440" s="8"/>
      <c r="V3440" s="8"/>
      <c r="W3440" s="8"/>
    </row>
    <row r="3441" spans="1:23" ht="15.75" customHeight="1" x14ac:dyDescent="0.25">
      <c r="A3441" s="6"/>
      <c r="B3441" s="8"/>
      <c r="C3441" s="8"/>
      <c r="D3441" s="8"/>
      <c r="E3441" s="8"/>
      <c r="F3441" s="8"/>
      <c r="G3441" s="8"/>
      <c r="H3441" s="8"/>
      <c r="I3441" s="8"/>
      <c r="J3441" s="8"/>
      <c r="K3441" s="8"/>
      <c r="L3441" s="8"/>
      <c r="M3441" s="8"/>
      <c r="N3441" s="8"/>
      <c r="O3441" s="8"/>
      <c r="P3441" s="8"/>
      <c r="Q3441" s="8"/>
      <c r="R3441" s="8"/>
      <c r="S3441" s="8"/>
      <c r="T3441" s="8"/>
      <c r="U3441" s="8"/>
      <c r="V3441" s="8"/>
      <c r="W3441" s="8"/>
    </row>
    <row r="3442" spans="1:23" ht="15.75" customHeight="1" x14ac:dyDescent="0.25">
      <c r="A3442" s="6"/>
      <c r="B3442" s="8"/>
      <c r="C3442" s="8"/>
      <c r="D3442" s="8"/>
      <c r="E3442" s="8"/>
      <c r="F3442" s="8"/>
      <c r="G3442" s="8"/>
      <c r="H3442" s="8"/>
      <c r="I3442" s="8"/>
      <c r="J3442" s="8"/>
      <c r="K3442" s="8"/>
      <c r="L3442" s="8"/>
      <c r="M3442" s="8"/>
      <c r="N3442" s="8"/>
      <c r="O3442" s="8"/>
      <c r="P3442" s="8"/>
      <c r="Q3442" s="8"/>
      <c r="R3442" s="8"/>
      <c r="S3442" s="8"/>
      <c r="T3442" s="8"/>
      <c r="U3442" s="8"/>
      <c r="V3442" s="8"/>
      <c r="W3442" s="8"/>
    </row>
    <row r="3443" spans="1:23" ht="15.75" customHeight="1" x14ac:dyDescent="0.25">
      <c r="A3443" s="6"/>
      <c r="B3443" s="8"/>
      <c r="C3443" s="8"/>
      <c r="D3443" s="8"/>
      <c r="E3443" s="8"/>
      <c r="F3443" s="8"/>
      <c r="G3443" s="8"/>
      <c r="H3443" s="8"/>
      <c r="I3443" s="8"/>
      <c r="J3443" s="8"/>
      <c r="K3443" s="8"/>
      <c r="L3443" s="8"/>
      <c r="M3443" s="8"/>
      <c r="N3443" s="8"/>
      <c r="O3443" s="8"/>
      <c r="P3443" s="8"/>
      <c r="Q3443" s="8"/>
      <c r="R3443" s="8"/>
      <c r="S3443" s="8"/>
      <c r="T3443" s="8"/>
      <c r="U3443" s="8"/>
      <c r="V3443" s="8"/>
      <c r="W3443" s="8"/>
    </row>
    <row r="3444" spans="1:23" ht="15.75" customHeight="1" x14ac:dyDescent="0.25">
      <c r="A3444" s="6"/>
      <c r="B3444" s="8"/>
      <c r="C3444" s="8"/>
      <c r="D3444" s="8"/>
      <c r="E3444" s="8"/>
      <c r="F3444" s="8"/>
      <c r="G3444" s="8"/>
      <c r="H3444" s="8"/>
      <c r="I3444" s="8"/>
      <c r="J3444" s="8"/>
      <c r="K3444" s="8"/>
      <c r="L3444" s="8"/>
      <c r="M3444" s="8"/>
      <c r="N3444" s="8"/>
      <c r="O3444" s="8"/>
      <c r="P3444" s="8"/>
      <c r="Q3444" s="8"/>
      <c r="R3444" s="8"/>
      <c r="S3444" s="8"/>
      <c r="T3444" s="8"/>
      <c r="U3444" s="8"/>
      <c r="V3444" s="8"/>
      <c r="W3444" s="8"/>
    </row>
    <row r="3445" spans="1:23" ht="15.75" customHeight="1" x14ac:dyDescent="0.25">
      <c r="A3445" s="6"/>
      <c r="B3445" s="8"/>
      <c r="C3445" s="8"/>
      <c r="D3445" s="8"/>
      <c r="E3445" s="8"/>
      <c r="F3445" s="8"/>
      <c r="G3445" s="8"/>
      <c r="H3445" s="8"/>
      <c r="I3445" s="8"/>
      <c r="J3445" s="8"/>
      <c r="K3445" s="8"/>
      <c r="L3445" s="8"/>
      <c r="M3445" s="8"/>
      <c r="N3445" s="8"/>
      <c r="O3445" s="8"/>
      <c r="P3445" s="8"/>
      <c r="Q3445" s="8"/>
      <c r="R3445" s="8"/>
      <c r="S3445" s="8"/>
      <c r="T3445" s="8"/>
      <c r="U3445" s="8"/>
      <c r="V3445" s="8"/>
      <c r="W3445" s="8"/>
    </row>
    <row r="3446" spans="1:23" ht="15.75" customHeight="1" x14ac:dyDescent="0.25">
      <c r="A3446" s="6"/>
      <c r="B3446" s="8"/>
      <c r="C3446" s="8"/>
      <c r="D3446" s="8"/>
      <c r="E3446" s="8"/>
      <c r="F3446" s="8"/>
      <c r="G3446" s="8"/>
      <c r="H3446" s="8"/>
      <c r="I3446" s="8"/>
      <c r="J3446" s="8"/>
      <c r="K3446" s="8"/>
      <c r="L3446" s="8"/>
      <c r="M3446" s="8"/>
      <c r="N3446" s="8"/>
      <c r="O3446" s="8"/>
      <c r="P3446" s="8"/>
      <c r="Q3446" s="8"/>
      <c r="R3446" s="8"/>
      <c r="S3446" s="8"/>
      <c r="T3446" s="8"/>
      <c r="U3446" s="8"/>
      <c r="V3446" s="8"/>
      <c r="W3446" s="8"/>
    </row>
    <row r="3447" spans="1:23" ht="15.75" customHeight="1" x14ac:dyDescent="0.25">
      <c r="A3447" s="6"/>
      <c r="B3447" s="8"/>
      <c r="C3447" s="8"/>
      <c r="D3447" s="8"/>
      <c r="E3447" s="8"/>
      <c r="F3447" s="8"/>
      <c r="G3447" s="8"/>
      <c r="H3447" s="8"/>
      <c r="I3447" s="8"/>
      <c r="J3447" s="8"/>
      <c r="K3447" s="8"/>
      <c r="L3447" s="8"/>
      <c r="M3447" s="8"/>
      <c r="N3447" s="8"/>
      <c r="O3447" s="8"/>
      <c r="P3447" s="8"/>
      <c r="Q3447" s="8"/>
      <c r="R3447" s="8"/>
      <c r="S3447" s="8"/>
      <c r="T3447" s="8"/>
      <c r="U3447" s="8"/>
      <c r="V3447" s="8"/>
      <c r="W3447" s="8"/>
    </row>
    <row r="3448" spans="1:23" ht="15.75" customHeight="1" x14ac:dyDescent="0.25">
      <c r="A3448" s="6"/>
      <c r="B3448" s="8"/>
      <c r="C3448" s="8"/>
      <c r="D3448" s="8"/>
      <c r="E3448" s="8"/>
      <c r="F3448" s="8"/>
      <c r="G3448" s="8"/>
      <c r="H3448" s="8"/>
      <c r="I3448" s="8"/>
      <c r="J3448" s="8"/>
      <c r="K3448" s="8"/>
      <c r="L3448" s="8"/>
      <c r="M3448" s="8"/>
      <c r="N3448" s="8"/>
      <c r="O3448" s="8"/>
      <c r="P3448" s="8"/>
      <c r="Q3448" s="8"/>
      <c r="R3448" s="8"/>
      <c r="S3448" s="8"/>
      <c r="T3448" s="8"/>
      <c r="U3448" s="8"/>
      <c r="V3448" s="8"/>
      <c r="W3448" s="8"/>
    </row>
    <row r="3449" spans="1:23" ht="15.75" customHeight="1" x14ac:dyDescent="0.25">
      <c r="A3449" s="6"/>
      <c r="B3449" s="8"/>
      <c r="C3449" s="8"/>
      <c r="D3449" s="8"/>
      <c r="E3449" s="8"/>
      <c r="F3449" s="8"/>
      <c r="G3449" s="8"/>
      <c r="H3449" s="8"/>
      <c r="I3449" s="8"/>
      <c r="J3449" s="8"/>
      <c r="K3449" s="8"/>
      <c r="L3449" s="8"/>
      <c r="M3449" s="8"/>
      <c r="N3449" s="8"/>
      <c r="O3449" s="8"/>
      <c r="P3449" s="8"/>
      <c r="Q3449" s="8"/>
      <c r="R3449" s="8"/>
      <c r="S3449" s="8"/>
      <c r="T3449" s="8"/>
      <c r="U3449" s="8"/>
      <c r="V3449" s="8"/>
      <c r="W3449" s="8"/>
    </row>
    <row r="3450" spans="1:23" ht="15.75" customHeight="1" x14ac:dyDescent="0.25">
      <c r="A3450" s="6"/>
      <c r="B3450" s="8"/>
      <c r="C3450" s="8"/>
      <c r="D3450" s="8"/>
      <c r="E3450" s="8"/>
      <c r="F3450" s="8"/>
      <c r="G3450" s="8"/>
      <c r="H3450" s="8"/>
      <c r="I3450" s="8"/>
      <c r="J3450" s="8"/>
      <c r="K3450" s="8"/>
      <c r="L3450" s="8"/>
      <c r="M3450" s="8"/>
      <c r="N3450" s="8"/>
      <c r="O3450" s="8"/>
      <c r="P3450" s="8"/>
      <c r="Q3450" s="8"/>
      <c r="R3450" s="8"/>
      <c r="S3450" s="8"/>
      <c r="T3450" s="8"/>
      <c r="U3450" s="8"/>
      <c r="V3450" s="8"/>
      <c r="W3450" s="8"/>
    </row>
    <row r="3451" spans="1:23" ht="15.75" customHeight="1" x14ac:dyDescent="0.25">
      <c r="A3451" s="6"/>
      <c r="B3451" s="8"/>
      <c r="C3451" s="8"/>
      <c r="D3451" s="8"/>
      <c r="E3451" s="8"/>
      <c r="F3451" s="8"/>
      <c r="G3451" s="8"/>
      <c r="H3451" s="8"/>
      <c r="I3451" s="8"/>
      <c r="J3451" s="8"/>
      <c r="K3451" s="8"/>
      <c r="L3451" s="8"/>
      <c r="M3451" s="8"/>
      <c r="N3451" s="8"/>
      <c r="O3451" s="8"/>
      <c r="P3451" s="8"/>
      <c r="Q3451" s="8"/>
      <c r="R3451" s="8"/>
      <c r="S3451" s="8"/>
      <c r="T3451" s="8"/>
      <c r="U3451" s="8"/>
      <c r="V3451" s="8"/>
      <c r="W3451" s="8"/>
    </row>
    <row r="3452" spans="1:23" ht="15.75" customHeight="1" x14ac:dyDescent="0.25">
      <c r="A3452" s="6"/>
      <c r="B3452" s="8"/>
      <c r="C3452" s="8"/>
      <c r="D3452" s="8"/>
      <c r="E3452" s="8"/>
      <c r="F3452" s="8"/>
      <c r="G3452" s="8"/>
      <c r="H3452" s="8"/>
      <c r="I3452" s="8"/>
      <c r="J3452" s="8"/>
      <c r="K3452" s="8"/>
      <c r="L3452" s="8"/>
      <c r="M3452" s="8"/>
      <c r="N3452" s="8"/>
      <c r="O3452" s="8"/>
      <c r="P3452" s="8"/>
      <c r="Q3452" s="8"/>
      <c r="R3452" s="8"/>
      <c r="S3452" s="8"/>
      <c r="T3452" s="8"/>
      <c r="U3452" s="8"/>
      <c r="V3452" s="8"/>
      <c r="W3452" s="8"/>
    </row>
    <row r="3453" spans="1:23" ht="15.75" customHeight="1" x14ac:dyDescent="0.25">
      <c r="A3453" s="6"/>
      <c r="B3453" s="8"/>
      <c r="C3453" s="8"/>
      <c r="D3453" s="8"/>
      <c r="E3453" s="8"/>
      <c r="F3453" s="8"/>
      <c r="G3453" s="8"/>
      <c r="H3453" s="8"/>
      <c r="I3453" s="8"/>
      <c r="J3453" s="8"/>
      <c r="K3453" s="8"/>
      <c r="L3453" s="8"/>
      <c r="M3453" s="8"/>
      <c r="N3453" s="8"/>
      <c r="O3453" s="8"/>
      <c r="P3453" s="8"/>
      <c r="Q3453" s="8"/>
      <c r="R3453" s="8"/>
      <c r="S3453" s="8"/>
      <c r="T3453" s="8"/>
      <c r="U3453" s="8"/>
      <c r="V3453" s="8"/>
      <c r="W3453" s="8"/>
    </row>
    <row r="3454" spans="1:23" ht="15.75" customHeight="1" x14ac:dyDescent="0.25">
      <c r="A3454" s="6"/>
      <c r="B3454" s="8"/>
      <c r="C3454" s="8"/>
      <c r="D3454" s="8"/>
      <c r="E3454" s="8"/>
      <c r="F3454" s="8"/>
      <c r="G3454" s="8"/>
      <c r="H3454" s="8"/>
      <c r="I3454" s="8"/>
      <c r="J3454" s="8"/>
      <c r="K3454" s="8"/>
      <c r="L3454" s="8"/>
      <c r="M3454" s="8"/>
      <c r="N3454" s="8"/>
      <c r="O3454" s="8"/>
      <c r="P3454" s="8"/>
      <c r="Q3454" s="8"/>
      <c r="R3454" s="8"/>
      <c r="S3454" s="8"/>
      <c r="T3454" s="8"/>
      <c r="U3454" s="8"/>
      <c r="V3454" s="8"/>
      <c r="W3454" s="8"/>
    </row>
    <row r="3455" spans="1:23" ht="15.75" customHeight="1" x14ac:dyDescent="0.25">
      <c r="A3455" s="6"/>
      <c r="B3455" s="8"/>
      <c r="C3455" s="8"/>
      <c r="D3455" s="8"/>
      <c r="E3455" s="8"/>
      <c r="F3455" s="8"/>
      <c r="G3455" s="8"/>
      <c r="H3455" s="8"/>
      <c r="I3455" s="8"/>
      <c r="J3455" s="8"/>
      <c r="K3455" s="8"/>
      <c r="L3455" s="8"/>
      <c r="M3455" s="8"/>
      <c r="N3455" s="8"/>
      <c r="O3455" s="8"/>
      <c r="P3455" s="8"/>
      <c r="Q3455" s="8"/>
      <c r="R3455" s="8"/>
      <c r="S3455" s="8"/>
      <c r="T3455" s="8"/>
      <c r="U3455" s="8"/>
      <c r="V3455" s="8"/>
      <c r="W3455" s="8"/>
    </row>
    <row r="3456" spans="1:23" ht="15.75" customHeight="1" x14ac:dyDescent="0.25">
      <c r="A3456" s="6"/>
      <c r="B3456" s="8"/>
      <c r="C3456" s="8"/>
      <c r="D3456" s="8"/>
      <c r="E3456" s="8"/>
      <c r="F3456" s="8"/>
      <c r="G3456" s="8"/>
      <c r="H3456" s="8"/>
      <c r="I3456" s="8"/>
      <c r="J3456" s="8"/>
      <c r="K3456" s="8"/>
      <c r="L3456" s="8"/>
      <c r="M3456" s="8"/>
      <c r="N3456" s="8"/>
      <c r="O3456" s="8"/>
      <c r="P3456" s="8"/>
      <c r="Q3456" s="8"/>
      <c r="R3456" s="8"/>
      <c r="S3456" s="8"/>
      <c r="T3456" s="8"/>
      <c r="U3456" s="8"/>
      <c r="V3456" s="8"/>
      <c r="W3456" s="8"/>
    </row>
    <row r="3457" spans="1:23" ht="15.75" customHeight="1" x14ac:dyDescent="0.25">
      <c r="A3457" s="6"/>
      <c r="B3457" s="8"/>
      <c r="C3457" s="8"/>
      <c r="D3457" s="8"/>
      <c r="E3457" s="8"/>
      <c r="F3457" s="8"/>
      <c r="G3457" s="8"/>
      <c r="H3457" s="8"/>
      <c r="I3457" s="8"/>
      <c r="J3457" s="8"/>
      <c r="K3457" s="8"/>
      <c r="L3457" s="8"/>
      <c r="M3457" s="8"/>
      <c r="N3457" s="8"/>
      <c r="O3457" s="8"/>
      <c r="P3457" s="8"/>
      <c r="Q3457" s="8"/>
      <c r="R3457" s="8"/>
      <c r="S3457" s="8"/>
      <c r="T3457" s="8"/>
      <c r="U3457" s="8"/>
      <c r="V3457" s="8"/>
      <c r="W3457" s="8"/>
    </row>
    <row r="3458" spans="1:23" ht="15.75" customHeight="1" x14ac:dyDescent="0.25">
      <c r="A3458" s="6"/>
      <c r="B3458" s="8"/>
      <c r="C3458" s="8"/>
      <c r="D3458" s="8"/>
      <c r="E3458" s="8"/>
      <c r="F3458" s="8"/>
      <c r="G3458" s="8"/>
      <c r="H3458" s="8"/>
      <c r="I3458" s="8"/>
      <c r="J3458" s="8"/>
      <c r="K3458" s="8"/>
      <c r="L3458" s="8"/>
      <c r="M3458" s="8"/>
      <c r="N3458" s="8"/>
      <c r="O3458" s="8"/>
      <c r="P3458" s="8"/>
      <c r="Q3458" s="8"/>
      <c r="R3458" s="8"/>
      <c r="S3458" s="8"/>
      <c r="T3458" s="8"/>
      <c r="U3458" s="8"/>
      <c r="V3458" s="8"/>
      <c r="W3458" s="8"/>
    </row>
    <row r="3459" spans="1:23" ht="15.75" customHeight="1" x14ac:dyDescent="0.25">
      <c r="A3459" s="6"/>
      <c r="B3459" s="8"/>
      <c r="C3459" s="8"/>
      <c r="D3459" s="8"/>
      <c r="E3459" s="8"/>
      <c r="F3459" s="8"/>
      <c r="G3459" s="8"/>
      <c r="H3459" s="8"/>
      <c r="I3459" s="8"/>
      <c r="J3459" s="8"/>
      <c r="K3459" s="8"/>
      <c r="L3459" s="8"/>
      <c r="M3459" s="8"/>
      <c r="N3459" s="8"/>
      <c r="O3459" s="8"/>
      <c r="P3459" s="8"/>
      <c r="Q3459" s="8"/>
      <c r="R3459" s="8"/>
      <c r="S3459" s="8"/>
      <c r="T3459" s="8"/>
      <c r="U3459" s="8"/>
      <c r="V3459" s="8"/>
      <c r="W3459" s="8"/>
    </row>
    <row r="3460" spans="1:23" ht="15.75" customHeight="1" x14ac:dyDescent="0.25">
      <c r="A3460" s="6"/>
      <c r="B3460" s="8"/>
      <c r="C3460" s="8"/>
      <c r="D3460" s="8"/>
      <c r="E3460" s="8"/>
      <c r="F3460" s="8"/>
      <c r="G3460" s="8"/>
      <c r="H3460" s="8"/>
      <c r="I3460" s="8"/>
      <c r="J3460" s="8"/>
      <c r="K3460" s="8"/>
      <c r="L3460" s="8"/>
      <c r="M3460" s="8"/>
      <c r="N3460" s="8"/>
      <c r="O3460" s="8"/>
      <c r="P3460" s="8"/>
      <c r="Q3460" s="8"/>
      <c r="R3460" s="8"/>
      <c r="S3460" s="8"/>
      <c r="T3460" s="8"/>
      <c r="U3460" s="8"/>
      <c r="V3460" s="8"/>
      <c r="W3460" s="8"/>
    </row>
    <row r="3461" spans="1:23" ht="15.75" customHeight="1" x14ac:dyDescent="0.25">
      <c r="A3461" s="6"/>
      <c r="B3461" s="8"/>
      <c r="C3461" s="8"/>
      <c r="D3461" s="8"/>
      <c r="E3461" s="8"/>
      <c r="F3461" s="8"/>
      <c r="G3461" s="8"/>
      <c r="H3461" s="8"/>
      <c r="I3461" s="8"/>
      <c r="J3461" s="8"/>
      <c r="K3461" s="8"/>
      <c r="L3461" s="8"/>
      <c r="M3461" s="8"/>
      <c r="N3461" s="8"/>
      <c r="O3461" s="8"/>
      <c r="P3461" s="8"/>
      <c r="Q3461" s="8"/>
      <c r="R3461" s="8"/>
      <c r="S3461" s="8"/>
      <c r="T3461" s="8"/>
      <c r="U3461" s="8"/>
      <c r="V3461" s="8"/>
      <c r="W3461" s="8"/>
    </row>
    <row r="3462" spans="1:23" ht="15.75" customHeight="1" x14ac:dyDescent="0.25">
      <c r="A3462" s="6"/>
      <c r="B3462" s="8"/>
      <c r="C3462" s="8"/>
      <c r="D3462" s="8"/>
      <c r="E3462" s="8"/>
      <c r="F3462" s="8"/>
      <c r="G3462" s="8"/>
      <c r="H3462" s="8"/>
      <c r="I3462" s="8"/>
      <c r="J3462" s="8"/>
      <c r="K3462" s="8"/>
      <c r="L3462" s="8"/>
      <c r="M3462" s="8"/>
      <c r="N3462" s="8"/>
      <c r="O3462" s="8"/>
      <c r="P3462" s="8"/>
      <c r="Q3462" s="8"/>
      <c r="R3462" s="8"/>
      <c r="S3462" s="8"/>
      <c r="T3462" s="8"/>
      <c r="U3462" s="8"/>
      <c r="V3462" s="8"/>
      <c r="W3462" s="8"/>
    </row>
    <row r="3463" spans="1:23" ht="15.75" customHeight="1" x14ac:dyDescent="0.25">
      <c r="A3463" s="6"/>
      <c r="B3463" s="8"/>
      <c r="C3463" s="8"/>
      <c r="D3463" s="8"/>
      <c r="E3463" s="8"/>
      <c r="F3463" s="8"/>
      <c r="G3463" s="8"/>
      <c r="H3463" s="8"/>
      <c r="I3463" s="8"/>
      <c r="J3463" s="8"/>
      <c r="K3463" s="8"/>
      <c r="L3463" s="8"/>
      <c r="M3463" s="8"/>
      <c r="N3463" s="8"/>
      <c r="O3463" s="8"/>
      <c r="P3463" s="8"/>
      <c r="Q3463" s="8"/>
      <c r="R3463" s="8"/>
      <c r="S3463" s="8"/>
      <c r="T3463" s="8"/>
      <c r="U3463" s="8"/>
      <c r="V3463" s="8"/>
      <c r="W3463" s="8"/>
    </row>
    <row r="3464" spans="1:23" ht="15.75" customHeight="1" x14ac:dyDescent="0.25">
      <c r="A3464" s="6"/>
      <c r="B3464" s="8"/>
      <c r="C3464" s="8"/>
      <c r="D3464" s="8"/>
      <c r="E3464" s="8"/>
      <c r="F3464" s="8"/>
      <c r="G3464" s="8"/>
      <c r="H3464" s="8"/>
      <c r="I3464" s="8"/>
      <c r="J3464" s="8"/>
      <c r="K3464" s="8"/>
      <c r="L3464" s="8"/>
      <c r="M3464" s="8"/>
      <c r="N3464" s="8"/>
      <c r="O3464" s="8"/>
      <c r="P3464" s="8"/>
      <c r="Q3464" s="8"/>
      <c r="R3464" s="8"/>
      <c r="S3464" s="8"/>
      <c r="T3464" s="8"/>
      <c r="U3464" s="8"/>
      <c r="V3464" s="8"/>
      <c r="W3464" s="8"/>
    </row>
    <row r="3465" spans="1:23" ht="15.75" customHeight="1" x14ac:dyDescent="0.25">
      <c r="A3465" s="6"/>
      <c r="B3465" s="8"/>
      <c r="C3465" s="8"/>
      <c r="D3465" s="8"/>
      <c r="E3465" s="8"/>
      <c r="F3465" s="8"/>
      <c r="G3465" s="8"/>
      <c r="H3465" s="8"/>
      <c r="I3465" s="8"/>
      <c r="J3465" s="8"/>
      <c r="K3465" s="8"/>
      <c r="L3465" s="8"/>
      <c r="M3465" s="8"/>
      <c r="N3465" s="8"/>
      <c r="O3465" s="8"/>
      <c r="P3465" s="8"/>
      <c r="Q3465" s="8"/>
      <c r="R3465" s="8"/>
      <c r="S3465" s="8"/>
      <c r="T3465" s="8"/>
      <c r="U3465" s="8"/>
      <c r="V3465" s="8"/>
      <c r="W3465" s="8"/>
    </row>
    <row r="3466" spans="1:23" ht="15.75" customHeight="1" x14ac:dyDescent="0.25">
      <c r="A3466" s="6"/>
      <c r="B3466" s="8"/>
      <c r="C3466" s="8"/>
      <c r="D3466" s="8"/>
      <c r="E3466" s="8"/>
      <c r="F3466" s="8"/>
      <c r="G3466" s="8"/>
      <c r="H3466" s="8"/>
      <c r="I3466" s="8"/>
      <c r="J3466" s="8"/>
      <c r="K3466" s="8"/>
      <c r="L3466" s="8"/>
      <c r="M3466" s="8"/>
      <c r="N3466" s="8"/>
      <c r="O3466" s="8"/>
      <c r="P3466" s="8"/>
      <c r="Q3466" s="8"/>
      <c r="R3466" s="8"/>
      <c r="S3466" s="8"/>
      <c r="T3466" s="8"/>
      <c r="U3466" s="8"/>
      <c r="V3466" s="8"/>
      <c r="W3466" s="8"/>
    </row>
    <row r="3467" spans="1:23" ht="15.75" customHeight="1" x14ac:dyDescent="0.25">
      <c r="A3467" s="6"/>
      <c r="B3467" s="8"/>
      <c r="C3467" s="8"/>
      <c r="D3467" s="8"/>
      <c r="E3467" s="8"/>
      <c r="F3467" s="8"/>
      <c r="G3467" s="8"/>
      <c r="H3467" s="8"/>
      <c r="I3467" s="8"/>
      <c r="J3467" s="8"/>
      <c r="K3467" s="8"/>
      <c r="L3467" s="8"/>
      <c r="M3467" s="8"/>
      <c r="N3467" s="8"/>
      <c r="O3467" s="8"/>
      <c r="P3467" s="8"/>
      <c r="Q3467" s="8"/>
      <c r="R3467" s="8"/>
      <c r="S3467" s="8"/>
      <c r="T3467" s="8"/>
      <c r="U3467" s="8"/>
      <c r="V3467" s="8"/>
      <c r="W3467" s="8"/>
    </row>
    <row r="3468" spans="1:23" ht="15.75" customHeight="1" x14ac:dyDescent="0.25">
      <c r="A3468" s="6"/>
      <c r="B3468" s="8"/>
      <c r="C3468" s="8"/>
      <c r="D3468" s="8"/>
      <c r="E3468" s="8"/>
      <c r="F3468" s="8"/>
      <c r="G3468" s="8"/>
      <c r="H3468" s="8"/>
      <c r="I3468" s="8"/>
      <c r="J3468" s="8"/>
      <c r="K3468" s="8"/>
      <c r="L3468" s="8"/>
      <c r="M3468" s="8"/>
      <c r="N3468" s="8"/>
      <c r="O3468" s="8"/>
      <c r="P3468" s="8"/>
      <c r="Q3468" s="8"/>
      <c r="R3468" s="8"/>
      <c r="S3468" s="8"/>
      <c r="T3468" s="8"/>
      <c r="U3468" s="8"/>
      <c r="V3468" s="8"/>
      <c r="W3468" s="8"/>
    </row>
    <row r="3469" spans="1:23" ht="15.75" customHeight="1" x14ac:dyDescent="0.25">
      <c r="A3469" s="6"/>
      <c r="B3469" s="8"/>
      <c r="C3469" s="8"/>
      <c r="D3469" s="8"/>
      <c r="E3469" s="8"/>
      <c r="F3469" s="8"/>
      <c r="G3469" s="8"/>
      <c r="H3469" s="8"/>
      <c r="I3469" s="8"/>
      <c r="J3469" s="8"/>
      <c r="K3469" s="8"/>
      <c r="L3469" s="8"/>
      <c r="M3469" s="8"/>
      <c r="N3469" s="8"/>
      <c r="O3469" s="8"/>
      <c r="P3469" s="8"/>
      <c r="Q3469" s="8"/>
      <c r="R3469" s="8"/>
      <c r="S3469" s="8"/>
      <c r="T3469" s="8"/>
      <c r="U3469" s="8"/>
      <c r="V3469" s="8"/>
      <c r="W3469" s="8"/>
    </row>
    <row r="3470" spans="1:23" ht="15.75" customHeight="1" x14ac:dyDescent="0.25">
      <c r="A3470" s="6"/>
      <c r="B3470" s="8"/>
      <c r="C3470" s="8"/>
      <c r="D3470" s="8"/>
      <c r="E3470" s="8"/>
      <c r="F3470" s="8"/>
      <c r="G3470" s="8"/>
      <c r="H3470" s="8"/>
      <c r="I3470" s="8"/>
      <c r="J3470" s="8"/>
      <c r="K3470" s="8"/>
      <c r="L3470" s="8"/>
      <c r="M3470" s="8"/>
      <c r="N3470" s="8"/>
      <c r="O3470" s="8"/>
      <c r="P3470" s="8"/>
      <c r="Q3470" s="8"/>
      <c r="R3470" s="8"/>
      <c r="S3470" s="8"/>
      <c r="T3470" s="8"/>
      <c r="U3470" s="8"/>
      <c r="V3470" s="8"/>
      <c r="W3470" s="8"/>
    </row>
    <row r="3471" spans="1:23" ht="15.75" customHeight="1" x14ac:dyDescent="0.25">
      <c r="A3471" s="6"/>
      <c r="B3471" s="8"/>
      <c r="C3471" s="8"/>
      <c r="D3471" s="8"/>
      <c r="E3471" s="8"/>
      <c r="F3471" s="8"/>
      <c r="G3471" s="8"/>
      <c r="H3471" s="8"/>
      <c r="I3471" s="8"/>
      <c r="J3471" s="8"/>
      <c r="K3471" s="8"/>
      <c r="L3471" s="8"/>
      <c r="M3471" s="8"/>
      <c r="N3471" s="8"/>
      <c r="O3471" s="8"/>
      <c r="P3471" s="8"/>
      <c r="Q3471" s="8"/>
      <c r="R3471" s="8"/>
      <c r="S3471" s="8"/>
      <c r="T3471" s="8"/>
      <c r="U3471" s="8"/>
      <c r="V3471" s="8"/>
      <c r="W3471" s="8"/>
    </row>
    <row r="3472" spans="1:23" ht="15.75" customHeight="1" x14ac:dyDescent="0.25">
      <c r="A3472" s="6"/>
      <c r="B3472" s="8"/>
      <c r="C3472" s="8"/>
      <c r="D3472" s="8"/>
      <c r="E3472" s="8"/>
      <c r="F3472" s="8"/>
      <c r="G3472" s="8"/>
      <c r="H3472" s="8"/>
      <c r="I3472" s="8"/>
      <c r="J3472" s="8"/>
      <c r="K3472" s="8"/>
      <c r="L3472" s="8"/>
      <c r="M3472" s="8"/>
      <c r="N3472" s="8"/>
      <c r="O3472" s="8"/>
      <c r="P3472" s="8"/>
      <c r="Q3472" s="8"/>
      <c r="R3472" s="8"/>
      <c r="S3472" s="8"/>
      <c r="T3472" s="8"/>
      <c r="U3472" s="8"/>
      <c r="V3472" s="8"/>
      <c r="W3472" s="8"/>
    </row>
    <row r="3473" spans="1:23" ht="15.75" customHeight="1" x14ac:dyDescent="0.25">
      <c r="A3473" s="6"/>
      <c r="B3473" s="8"/>
      <c r="C3473" s="8"/>
      <c r="D3473" s="8"/>
      <c r="E3473" s="8"/>
      <c r="F3473" s="8"/>
      <c r="G3473" s="8"/>
      <c r="H3473" s="8"/>
      <c r="I3473" s="8"/>
      <c r="J3473" s="8"/>
      <c r="K3473" s="8"/>
      <c r="L3473" s="8"/>
      <c r="M3473" s="8"/>
      <c r="N3473" s="8"/>
      <c r="O3473" s="8"/>
      <c r="P3473" s="8"/>
      <c r="Q3473" s="8"/>
      <c r="R3473" s="8"/>
      <c r="S3473" s="8"/>
      <c r="T3473" s="8"/>
      <c r="U3473" s="8"/>
      <c r="V3473" s="8"/>
      <c r="W3473" s="8"/>
    </row>
    <row r="3474" spans="1:23" ht="15.75" customHeight="1" x14ac:dyDescent="0.25">
      <c r="A3474" s="6"/>
      <c r="B3474" s="8"/>
      <c r="C3474" s="8"/>
      <c r="D3474" s="8"/>
      <c r="E3474" s="8"/>
      <c r="F3474" s="8"/>
      <c r="G3474" s="8"/>
      <c r="H3474" s="8"/>
      <c r="I3474" s="8"/>
      <c r="J3474" s="8"/>
      <c r="K3474" s="8"/>
      <c r="L3474" s="8"/>
      <c r="M3474" s="8"/>
      <c r="N3474" s="8"/>
      <c r="O3474" s="8"/>
      <c r="P3474" s="8"/>
      <c r="Q3474" s="8"/>
      <c r="R3474" s="8"/>
      <c r="S3474" s="8"/>
      <c r="T3474" s="8"/>
      <c r="U3474" s="8"/>
      <c r="V3474" s="8"/>
      <c r="W3474" s="8"/>
    </row>
    <row r="3475" spans="1:23" ht="15.75" customHeight="1" x14ac:dyDescent="0.25">
      <c r="A3475" s="6"/>
      <c r="B3475" s="8"/>
      <c r="C3475" s="8"/>
      <c r="D3475" s="8"/>
      <c r="E3475" s="8"/>
      <c r="F3475" s="8"/>
      <c r="G3475" s="8"/>
      <c r="H3475" s="8"/>
      <c r="I3475" s="8"/>
      <c r="J3475" s="8"/>
      <c r="K3475" s="8"/>
      <c r="L3475" s="8"/>
      <c r="M3475" s="8"/>
      <c r="N3475" s="8"/>
      <c r="O3475" s="8"/>
      <c r="P3475" s="8"/>
      <c r="Q3475" s="8"/>
      <c r="R3475" s="8"/>
      <c r="S3475" s="8"/>
      <c r="T3475" s="8"/>
      <c r="U3475" s="8"/>
      <c r="V3475" s="8"/>
      <c r="W3475" s="8"/>
    </row>
    <row r="3476" spans="1:23" ht="15.75" customHeight="1" x14ac:dyDescent="0.25">
      <c r="A3476" s="6"/>
      <c r="B3476" s="8"/>
      <c r="C3476" s="8"/>
      <c r="D3476" s="8"/>
      <c r="E3476" s="8"/>
      <c r="F3476" s="8"/>
      <c r="G3476" s="8"/>
      <c r="H3476" s="8"/>
      <c r="I3476" s="8"/>
      <c r="J3476" s="8"/>
      <c r="K3476" s="8"/>
      <c r="L3476" s="8"/>
      <c r="M3476" s="8"/>
      <c r="N3476" s="8"/>
      <c r="O3476" s="8"/>
      <c r="P3476" s="8"/>
      <c r="Q3476" s="8"/>
      <c r="R3476" s="8"/>
      <c r="S3476" s="8"/>
      <c r="T3476" s="8"/>
      <c r="U3476" s="8"/>
      <c r="V3476" s="8"/>
      <c r="W3476" s="8"/>
    </row>
    <row r="3477" spans="1:23" ht="15.75" customHeight="1" x14ac:dyDescent="0.25">
      <c r="A3477" s="6"/>
      <c r="B3477" s="8"/>
      <c r="C3477" s="8"/>
      <c r="D3477" s="8"/>
      <c r="E3477" s="8"/>
      <c r="F3477" s="8"/>
      <c r="G3477" s="8"/>
      <c r="H3477" s="8"/>
      <c r="I3477" s="8"/>
      <c r="J3477" s="8"/>
      <c r="K3477" s="8"/>
      <c r="L3477" s="8"/>
      <c r="M3477" s="8"/>
      <c r="N3477" s="8"/>
      <c r="O3477" s="8"/>
      <c r="P3477" s="8"/>
      <c r="Q3477" s="8"/>
      <c r="R3477" s="8"/>
      <c r="S3477" s="8"/>
      <c r="T3477" s="8"/>
      <c r="U3477" s="8"/>
      <c r="V3477" s="8"/>
      <c r="W3477" s="8"/>
    </row>
    <row r="3478" spans="1:23" ht="15.75" customHeight="1" x14ac:dyDescent="0.25">
      <c r="A3478" s="6"/>
      <c r="B3478" s="8"/>
      <c r="C3478" s="8"/>
      <c r="D3478" s="8"/>
      <c r="E3478" s="8"/>
      <c r="F3478" s="8"/>
      <c r="G3478" s="8"/>
      <c r="H3478" s="8"/>
      <c r="I3478" s="8"/>
      <c r="J3478" s="8"/>
      <c r="K3478" s="8"/>
      <c r="L3478" s="8"/>
      <c r="M3478" s="8"/>
      <c r="N3478" s="8"/>
      <c r="O3478" s="8"/>
      <c r="P3478" s="8"/>
      <c r="Q3478" s="8"/>
      <c r="R3478" s="8"/>
      <c r="S3478" s="8"/>
      <c r="T3478" s="8"/>
      <c r="U3478" s="8"/>
      <c r="V3478" s="8"/>
      <c r="W3478" s="8"/>
    </row>
    <row r="3479" spans="1:23" ht="15.75" customHeight="1" x14ac:dyDescent="0.25">
      <c r="A3479" s="6"/>
      <c r="B3479" s="8"/>
      <c r="C3479" s="8"/>
      <c r="D3479" s="8"/>
      <c r="E3479" s="8"/>
      <c r="F3479" s="8"/>
      <c r="G3479" s="8"/>
      <c r="H3479" s="8"/>
      <c r="I3479" s="8"/>
      <c r="J3479" s="8"/>
      <c r="K3479" s="8"/>
      <c r="L3479" s="8"/>
      <c r="M3479" s="8"/>
      <c r="N3479" s="8"/>
      <c r="O3479" s="8"/>
      <c r="P3479" s="8"/>
      <c r="Q3479" s="8"/>
      <c r="R3479" s="8"/>
      <c r="S3479" s="8"/>
      <c r="T3479" s="8"/>
      <c r="U3479" s="8"/>
      <c r="V3479" s="8"/>
      <c r="W3479" s="8"/>
    </row>
    <row r="3480" spans="1:23" ht="15.75" customHeight="1" x14ac:dyDescent="0.25">
      <c r="A3480" s="6"/>
      <c r="B3480" s="8"/>
      <c r="C3480" s="8"/>
      <c r="D3480" s="8"/>
      <c r="E3480" s="8"/>
      <c r="F3480" s="8"/>
      <c r="G3480" s="8"/>
      <c r="H3480" s="8"/>
      <c r="I3480" s="8"/>
      <c r="J3480" s="8"/>
      <c r="K3480" s="8"/>
      <c r="L3480" s="8"/>
      <c r="M3480" s="8"/>
      <c r="N3480" s="8"/>
      <c r="O3480" s="8"/>
      <c r="P3480" s="8"/>
      <c r="Q3480" s="8"/>
      <c r="R3480" s="8"/>
      <c r="S3480" s="8"/>
      <c r="T3480" s="8"/>
      <c r="U3480" s="8"/>
      <c r="V3480" s="8"/>
      <c r="W3480" s="8"/>
    </row>
    <row r="3481" spans="1:23" ht="15.75" customHeight="1" x14ac:dyDescent="0.25">
      <c r="A3481" s="6"/>
      <c r="B3481" s="8"/>
      <c r="C3481" s="8"/>
      <c r="D3481" s="8"/>
      <c r="E3481" s="8"/>
      <c r="F3481" s="8"/>
      <c r="G3481" s="8"/>
      <c r="H3481" s="8"/>
      <c r="I3481" s="8"/>
      <c r="J3481" s="8"/>
      <c r="K3481" s="8"/>
      <c r="L3481" s="8"/>
      <c r="M3481" s="8"/>
      <c r="N3481" s="8"/>
      <c r="O3481" s="8"/>
      <c r="P3481" s="8"/>
      <c r="Q3481" s="8"/>
      <c r="R3481" s="8"/>
      <c r="S3481" s="8"/>
      <c r="T3481" s="8"/>
      <c r="U3481" s="8"/>
      <c r="V3481" s="8"/>
      <c r="W3481" s="8"/>
    </row>
    <row r="3482" spans="1:23" ht="15.75" customHeight="1" x14ac:dyDescent="0.25">
      <c r="A3482" s="6"/>
      <c r="B3482" s="8"/>
      <c r="C3482" s="8"/>
      <c r="D3482" s="8"/>
      <c r="E3482" s="8"/>
      <c r="F3482" s="8"/>
      <c r="G3482" s="8"/>
      <c r="H3482" s="8"/>
      <c r="I3482" s="8"/>
      <c r="J3482" s="8"/>
      <c r="K3482" s="8"/>
      <c r="L3482" s="8"/>
      <c r="M3482" s="8"/>
      <c r="N3482" s="8"/>
      <c r="O3482" s="8"/>
      <c r="P3482" s="8"/>
      <c r="Q3482" s="8"/>
      <c r="R3482" s="8"/>
      <c r="S3482" s="8"/>
      <c r="T3482" s="8"/>
      <c r="U3482" s="8"/>
      <c r="V3482" s="8"/>
      <c r="W3482" s="8"/>
    </row>
    <row r="3483" spans="1:23" ht="15.75" customHeight="1" x14ac:dyDescent="0.25">
      <c r="A3483" s="6"/>
      <c r="B3483" s="8"/>
      <c r="C3483" s="8"/>
      <c r="D3483" s="8"/>
      <c r="E3483" s="8"/>
      <c r="F3483" s="8"/>
      <c r="G3483" s="8"/>
      <c r="H3483" s="8"/>
      <c r="I3483" s="8"/>
      <c r="J3483" s="8"/>
      <c r="K3483" s="8"/>
      <c r="L3483" s="8"/>
      <c r="M3483" s="8"/>
      <c r="N3483" s="8"/>
      <c r="O3483" s="8"/>
      <c r="P3483" s="8"/>
      <c r="Q3483" s="8"/>
      <c r="R3483" s="8"/>
      <c r="S3483" s="8"/>
      <c r="T3483" s="8"/>
      <c r="U3483" s="8"/>
      <c r="V3483" s="8"/>
      <c r="W3483" s="8"/>
    </row>
    <row r="3484" spans="1:23" ht="15.75" customHeight="1" x14ac:dyDescent="0.25">
      <c r="A3484" s="6"/>
      <c r="B3484" s="8"/>
      <c r="C3484" s="8"/>
      <c r="D3484" s="8"/>
      <c r="E3484" s="8"/>
      <c r="F3484" s="8"/>
      <c r="G3484" s="8"/>
      <c r="H3484" s="8"/>
      <c r="I3484" s="8"/>
      <c r="J3484" s="8"/>
      <c r="K3484" s="8"/>
      <c r="L3484" s="8"/>
      <c r="M3484" s="8"/>
      <c r="N3484" s="8"/>
      <c r="O3484" s="8"/>
      <c r="P3484" s="8"/>
      <c r="Q3484" s="8"/>
      <c r="R3484" s="8"/>
      <c r="S3484" s="8"/>
      <c r="T3484" s="8"/>
      <c r="U3484" s="8"/>
      <c r="V3484" s="8"/>
      <c r="W3484" s="8"/>
    </row>
    <row r="3485" spans="1:23" ht="15.75" customHeight="1" x14ac:dyDescent="0.25">
      <c r="A3485" s="6"/>
      <c r="B3485" s="8"/>
      <c r="C3485" s="8"/>
      <c r="D3485" s="8"/>
      <c r="E3485" s="8"/>
      <c r="F3485" s="8"/>
      <c r="G3485" s="8"/>
      <c r="H3485" s="8"/>
      <c r="I3485" s="8"/>
      <c r="J3485" s="8"/>
      <c r="K3485" s="8"/>
      <c r="L3485" s="8"/>
      <c r="M3485" s="8"/>
      <c r="N3485" s="8"/>
      <c r="O3485" s="8"/>
      <c r="P3485" s="8"/>
      <c r="Q3485" s="8"/>
      <c r="R3485" s="8"/>
      <c r="S3485" s="8"/>
      <c r="T3485" s="8"/>
      <c r="U3485" s="8"/>
      <c r="V3485" s="8"/>
      <c r="W3485" s="8"/>
    </row>
    <row r="3486" spans="1:23" ht="15.75" customHeight="1" x14ac:dyDescent="0.25">
      <c r="A3486" s="6"/>
      <c r="B3486" s="8"/>
      <c r="C3486" s="8"/>
      <c r="D3486" s="8"/>
      <c r="E3486" s="8"/>
      <c r="F3486" s="8"/>
      <c r="G3486" s="8"/>
      <c r="H3486" s="8"/>
      <c r="I3486" s="8"/>
      <c r="J3486" s="8"/>
      <c r="K3486" s="8"/>
      <c r="L3486" s="8"/>
      <c r="M3486" s="8"/>
      <c r="N3486" s="8"/>
      <c r="O3486" s="8"/>
      <c r="P3486" s="8"/>
      <c r="Q3486" s="8"/>
      <c r="R3486" s="8"/>
      <c r="S3486" s="8"/>
      <c r="T3486" s="8"/>
      <c r="U3486" s="8"/>
      <c r="V3486" s="8"/>
      <c r="W3486" s="8"/>
    </row>
    <row r="3487" spans="1:23" ht="15.75" customHeight="1" x14ac:dyDescent="0.25">
      <c r="A3487" s="6"/>
      <c r="B3487" s="8"/>
      <c r="C3487" s="8"/>
      <c r="D3487" s="8"/>
      <c r="E3487" s="8"/>
      <c r="F3487" s="8"/>
      <c r="G3487" s="8"/>
      <c r="H3487" s="8"/>
      <c r="I3487" s="8"/>
      <c r="J3487" s="8"/>
      <c r="K3487" s="8"/>
      <c r="L3487" s="8"/>
      <c r="M3487" s="8"/>
      <c r="N3487" s="8"/>
      <c r="O3487" s="8"/>
      <c r="P3487" s="8"/>
      <c r="Q3487" s="8"/>
      <c r="R3487" s="8"/>
      <c r="S3487" s="8"/>
      <c r="T3487" s="8"/>
      <c r="U3487" s="8"/>
      <c r="V3487" s="8"/>
      <c r="W3487" s="8"/>
    </row>
    <row r="3488" spans="1:23" ht="15.75" customHeight="1" x14ac:dyDescent="0.25">
      <c r="A3488" s="6"/>
      <c r="B3488" s="8"/>
      <c r="C3488" s="8"/>
      <c r="D3488" s="8"/>
      <c r="E3488" s="8"/>
      <c r="F3488" s="8"/>
      <c r="G3488" s="8"/>
      <c r="H3488" s="8"/>
      <c r="I3488" s="8"/>
      <c r="J3488" s="8"/>
      <c r="K3488" s="8"/>
      <c r="L3488" s="8"/>
      <c r="M3488" s="8"/>
      <c r="N3488" s="8"/>
      <c r="O3488" s="8"/>
      <c r="P3488" s="8"/>
      <c r="Q3488" s="8"/>
      <c r="R3488" s="8"/>
      <c r="S3488" s="8"/>
      <c r="T3488" s="8"/>
      <c r="U3488" s="8"/>
      <c r="V3488" s="8"/>
      <c r="W3488" s="8"/>
    </row>
    <row r="3489" spans="1:23" ht="15.75" customHeight="1" x14ac:dyDescent="0.25">
      <c r="A3489" s="6"/>
      <c r="B3489" s="8"/>
      <c r="C3489" s="8"/>
      <c r="D3489" s="8"/>
      <c r="E3489" s="8"/>
      <c r="F3489" s="8"/>
      <c r="G3489" s="8"/>
      <c r="H3489" s="8"/>
      <c r="I3489" s="8"/>
      <c r="J3489" s="8"/>
      <c r="K3489" s="8"/>
      <c r="L3489" s="8"/>
      <c r="M3489" s="8"/>
      <c r="N3489" s="8"/>
      <c r="O3489" s="8"/>
      <c r="P3489" s="8"/>
      <c r="Q3489" s="8"/>
      <c r="R3489" s="8"/>
      <c r="S3489" s="8"/>
      <c r="T3489" s="8"/>
      <c r="U3489" s="8"/>
      <c r="V3489" s="8"/>
      <c r="W3489" s="8"/>
    </row>
    <row r="3490" spans="1:23" ht="15.75" customHeight="1" x14ac:dyDescent="0.25">
      <c r="A3490" s="6"/>
      <c r="B3490" s="8"/>
      <c r="C3490" s="8"/>
      <c r="D3490" s="8"/>
      <c r="E3490" s="8"/>
      <c r="F3490" s="8"/>
      <c r="G3490" s="8"/>
      <c r="H3490" s="8"/>
      <c r="I3490" s="8"/>
      <c r="J3490" s="8"/>
      <c r="K3490" s="8"/>
      <c r="L3490" s="8"/>
      <c r="M3490" s="8"/>
      <c r="N3490" s="8"/>
      <c r="O3490" s="8"/>
      <c r="P3490" s="8"/>
      <c r="Q3490" s="8"/>
      <c r="R3490" s="8"/>
      <c r="S3490" s="8"/>
      <c r="T3490" s="8"/>
      <c r="U3490" s="8"/>
      <c r="V3490" s="8"/>
      <c r="W3490" s="8"/>
    </row>
    <row r="3491" spans="1:23" ht="15.75" customHeight="1" x14ac:dyDescent="0.25">
      <c r="A3491" s="6"/>
      <c r="B3491" s="8"/>
      <c r="C3491" s="8"/>
      <c r="D3491" s="8"/>
      <c r="E3491" s="8"/>
      <c r="F3491" s="8"/>
      <c r="G3491" s="8"/>
      <c r="H3491" s="8"/>
      <c r="I3491" s="8"/>
      <c r="J3491" s="8"/>
      <c r="K3491" s="8"/>
      <c r="L3491" s="8"/>
      <c r="M3491" s="8"/>
      <c r="N3491" s="8"/>
      <c r="O3491" s="8"/>
      <c r="P3491" s="8"/>
      <c r="Q3491" s="8"/>
      <c r="R3491" s="8"/>
      <c r="S3491" s="8"/>
      <c r="T3491" s="8"/>
      <c r="U3491" s="8"/>
      <c r="V3491" s="8"/>
      <c r="W3491" s="8"/>
    </row>
    <row r="3492" spans="1:23" ht="15.75" customHeight="1" x14ac:dyDescent="0.25">
      <c r="A3492" s="6"/>
      <c r="B3492" s="8"/>
      <c r="C3492" s="8"/>
      <c r="D3492" s="8"/>
      <c r="E3492" s="8"/>
      <c r="F3492" s="8"/>
      <c r="G3492" s="8"/>
      <c r="H3492" s="8"/>
      <c r="I3492" s="8"/>
      <c r="J3492" s="8"/>
      <c r="K3492" s="8"/>
      <c r="L3492" s="8"/>
      <c r="M3492" s="8"/>
      <c r="N3492" s="8"/>
      <c r="O3492" s="8"/>
      <c r="P3492" s="8"/>
      <c r="Q3492" s="8"/>
      <c r="R3492" s="8"/>
      <c r="S3492" s="8"/>
      <c r="T3492" s="8"/>
      <c r="U3492" s="8"/>
      <c r="V3492" s="8"/>
      <c r="W3492" s="8"/>
    </row>
    <row r="3493" spans="1:23" ht="15.75" customHeight="1" x14ac:dyDescent="0.25">
      <c r="A3493" s="6"/>
      <c r="B3493" s="8"/>
      <c r="C3493" s="8"/>
      <c r="D3493" s="8"/>
      <c r="E3493" s="8"/>
      <c r="F3493" s="8"/>
      <c r="G3493" s="8"/>
      <c r="H3493" s="8"/>
      <c r="I3493" s="8"/>
      <c r="J3493" s="8"/>
      <c r="K3493" s="8"/>
      <c r="L3493" s="8"/>
      <c r="M3493" s="8"/>
      <c r="N3493" s="8"/>
      <c r="O3493" s="8"/>
      <c r="P3493" s="8"/>
      <c r="Q3493" s="8"/>
      <c r="R3493" s="8"/>
      <c r="S3493" s="8"/>
      <c r="T3493" s="8"/>
      <c r="U3493" s="8"/>
      <c r="V3493" s="8"/>
      <c r="W3493" s="8"/>
    </row>
    <row r="3494" spans="1:23" ht="15.75" customHeight="1" x14ac:dyDescent="0.25">
      <c r="A3494" s="6"/>
      <c r="B3494" s="8"/>
      <c r="C3494" s="8"/>
      <c r="D3494" s="8"/>
      <c r="E3494" s="8"/>
      <c r="F3494" s="8"/>
      <c r="G3494" s="8"/>
      <c r="H3494" s="8"/>
      <c r="I3494" s="8"/>
      <c r="J3494" s="8"/>
      <c r="K3494" s="8"/>
      <c r="L3494" s="8"/>
      <c r="M3494" s="8"/>
      <c r="N3494" s="8"/>
      <c r="O3494" s="8"/>
      <c r="P3494" s="8"/>
      <c r="Q3494" s="8"/>
      <c r="R3494" s="8"/>
      <c r="S3494" s="8"/>
      <c r="T3494" s="8"/>
      <c r="U3494" s="8"/>
      <c r="V3494" s="8"/>
      <c r="W3494" s="8"/>
    </row>
    <row r="3495" spans="1:23" ht="15.75" customHeight="1" x14ac:dyDescent="0.25">
      <c r="A3495" s="6"/>
      <c r="B3495" s="8"/>
      <c r="C3495" s="8"/>
      <c r="D3495" s="8"/>
      <c r="E3495" s="8"/>
      <c r="F3495" s="8"/>
      <c r="G3495" s="8"/>
      <c r="H3495" s="8"/>
      <c r="I3495" s="8"/>
      <c r="J3495" s="8"/>
      <c r="K3495" s="8"/>
      <c r="L3495" s="8"/>
      <c r="M3495" s="8"/>
      <c r="N3495" s="8"/>
      <c r="O3495" s="8"/>
      <c r="P3495" s="8"/>
      <c r="Q3495" s="8"/>
      <c r="R3495" s="8"/>
      <c r="S3495" s="8"/>
      <c r="T3495" s="8"/>
      <c r="U3495" s="8"/>
      <c r="V3495" s="8"/>
      <c r="W3495" s="8"/>
    </row>
    <row r="3496" spans="1:23" ht="15.75" customHeight="1" x14ac:dyDescent="0.25">
      <c r="A3496" s="6"/>
      <c r="B3496" s="8"/>
      <c r="C3496" s="8"/>
      <c r="D3496" s="8"/>
      <c r="E3496" s="8"/>
      <c r="F3496" s="8"/>
      <c r="G3496" s="8"/>
      <c r="H3496" s="8"/>
      <c r="I3496" s="8"/>
      <c r="J3496" s="8"/>
      <c r="K3496" s="8"/>
      <c r="L3496" s="8"/>
      <c r="M3496" s="8"/>
      <c r="N3496" s="8"/>
      <c r="O3496" s="8"/>
      <c r="P3496" s="8"/>
      <c r="Q3496" s="8"/>
      <c r="R3496" s="8"/>
      <c r="S3496" s="8"/>
      <c r="T3496" s="8"/>
      <c r="U3496" s="8"/>
      <c r="V3496" s="8"/>
      <c r="W3496" s="8"/>
    </row>
    <row r="3497" spans="1:23" ht="15.75" customHeight="1" x14ac:dyDescent="0.25">
      <c r="A3497" s="6"/>
      <c r="B3497" s="8"/>
      <c r="C3497" s="8"/>
      <c r="D3497" s="8"/>
      <c r="E3497" s="8"/>
      <c r="F3497" s="8"/>
      <c r="G3497" s="8"/>
      <c r="H3497" s="8"/>
      <c r="I3497" s="8"/>
      <c r="J3497" s="8"/>
      <c r="K3497" s="8"/>
      <c r="L3497" s="8"/>
      <c r="M3497" s="8"/>
      <c r="N3497" s="8"/>
      <c r="O3497" s="8"/>
      <c r="P3497" s="8"/>
      <c r="Q3497" s="8"/>
      <c r="R3497" s="8"/>
      <c r="S3497" s="8"/>
      <c r="T3497" s="8"/>
      <c r="U3497" s="8"/>
      <c r="V3497" s="8"/>
      <c r="W3497" s="8"/>
    </row>
    <row r="3498" spans="1:23" ht="15.75" customHeight="1" x14ac:dyDescent="0.25">
      <c r="A3498" s="6"/>
      <c r="B3498" s="8"/>
      <c r="C3498" s="8"/>
      <c r="D3498" s="8"/>
      <c r="E3498" s="8"/>
      <c r="F3498" s="8"/>
      <c r="G3498" s="8"/>
      <c r="H3498" s="8"/>
      <c r="I3498" s="8"/>
      <c r="J3498" s="8"/>
      <c r="K3498" s="8"/>
      <c r="L3498" s="8"/>
      <c r="M3498" s="8"/>
      <c r="N3498" s="8"/>
      <c r="O3498" s="8"/>
      <c r="P3498" s="8"/>
      <c r="Q3498" s="8"/>
      <c r="R3498" s="8"/>
      <c r="S3498" s="8"/>
      <c r="T3498" s="8"/>
      <c r="U3498" s="8"/>
      <c r="V3498" s="8"/>
      <c r="W3498" s="8"/>
    </row>
    <row r="3499" spans="1:23" ht="15.75" customHeight="1" x14ac:dyDescent="0.25">
      <c r="A3499" s="6"/>
      <c r="B3499" s="8"/>
      <c r="C3499" s="8"/>
      <c r="D3499" s="8"/>
      <c r="E3499" s="8"/>
      <c r="F3499" s="8"/>
      <c r="G3499" s="8"/>
      <c r="H3499" s="8"/>
      <c r="I3499" s="8"/>
      <c r="J3499" s="8"/>
      <c r="K3499" s="8"/>
      <c r="L3499" s="8"/>
      <c r="M3499" s="8"/>
      <c r="N3499" s="8"/>
      <c r="O3499" s="8"/>
      <c r="P3499" s="8"/>
      <c r="Q3499" s="8"/>
      <c r="R3499" s="8"/>
      <c r="S3499" s="8"/>
      <c r="T3499" s="8"/>
      <c r="U3499" s="8"/>
      <c r="V3499" s="8"/>
      <c r="W3499" s="8"/>
    </row>
    <row r="3500" spans="1:23" ht="15.75" customHeight="1" x14ac:dyDescent="0.25">
      <c r="A3500" s="6"/>
      <c r="B3500" s="8"/>
      <c r="C3500" s="8"/>
      <c r="D3500" s="8"/>
      <c r="E3500" s="8"/>
      <c r="F3500" s="8"/>
      <c r="G3500" s="8"/>
      <c r="H3500" s="8"/>
      <c r="I3500" s="8"/>
      <c r="J3500" s="8"/>
      <c r="K3500" s="8"/>
      <c r="L3500" s="8"/>
      <c r="M3500" s="8"/>
      <c r="N3500" s="8"/>
      <c r="O3500" s="8"/>
      <c r="P3500" s="8"/>
      <c r="Q3500" s="8"/>
      <c r="R3500" s="8"/>
      <c r="S3500" s="8"/>
      <c r="T3500" s="8"/>
      <c r="U3500" s="8"/>
      <c r="V3500" s="8"/>
      <c r="W3500" s="8"/>
    </row>
    <row r="3501" spans="1:23" ht="15.75" customHeight="1" x14ac:dyDescent="0.25">
      <c r="A3501" s="6"/>
      <c r="B3501" s="8"/>
      <c r="C3501" s="8"/>
      <c r="D3501" s="8"/>
      <c r="E3501" s="8"/>
      <c r="F3501" s="8"/>
      <c r="G3501" s="8"/>
      <c r="H3501" s="8"/>
      <c r="I3501" s="8"/>
      <c r="J3501" s="8"/>
      <c r="K3501" s="8"/>
      <c r="L3501" s="8"/>
      <c r="M3501" s="8"/>
      <c r="N3501" s="8"/>
      <c r="O3501" s="8"/>
      <c r="P3501" s="8"/>
      <c r="Q3501" s="8"/>
      <c r="R3501" s="8"/>
      <c r="S3501" s="8"/>
      <c r="T3501" s="8"/>
      <c r="U3501" s="8"/>
      <c r="V3501" s="8"/>
      <c r="W3501" s="8"/>
    </row>
    <row r="3502" spans="1:23" ht="15.75" customHeight="1" x14ac:dyDescent="0.25">
      <c r="A3502" s="6"/>
      <c r="B3502" s="8"/>
      <c r="C3502" s="8"/>
      <c r="D3502" s="8"/>
      <c r="E3502" s="8"/>
      <c r="F3502" s="8"/>
      <c r="G3502" s="8"/>
      <c r="H3502" s="8"/>
      <c r="I3502" s="8"/>
      <c r="J3502" s="8"/>
      <c r="K3502" s="8"/>
      <c r="L3502" s="8"/>
      <c r="M3502" s="8"/>
      <c r="N3502" s="8"/>
      <c r="O3502" s="8"/>
      <c r="P3502" s="8"/>
      <c r="Q3502" s="8"/>
      <c r="R3502" s="8"/>
      <c r="S3502" s="8"/>
      <c r="T3502" s="8"/>
      <c r="U3502" s="8"/>
      <c r="V3502" s="8"/>
      <c r="W3502" s="8"/>
    </row>
    <row r="3503" spans="1:23" ht="15.75" customHeight="1" x14ac:dyDescent="0.25">
      <c r="A3503" s="6"/>
      <c r="B3503" s="8"/>
      <c r="C3503" s="8"/>
      <c r="D3503" s="8"/>
      <c r="E3503" s="8"/>
      <c r="F3503" s="8"/>
      <c r="G3503" s="8"/>
      <c r="H3503" s="8"/>
      <c r="I3503" s="8"/>
      <c r="J3503" s="8"/>
      <c r="K3503" s="8"/>
      <c r="L3503" s="8"/>
      <c r="M3503" s="8"/>
      <c r="N3503" s="8"/>
      <c r="O3503" s="8"/>
      <c r="P3503" s="8"/>
      <c r="Q3503" s="8"/>
      <c r="R3503" s="8"/>
      <c r="S3503" s="8"/>
      <c r="T3503" s="8"/>
      <c r="U3503" s="8"/>
      <c r="V3503" s="8"/>
      <c r="W3503" s="8"/>
    </row>
    <row r="3504" spans="1:23" ht="15.75" customHeight="1" x14ac:dyDescent="0.25">
      <c r="A3504" s="6"/>
      <c r="B3504" s="8"/>
      <c r="C3504" s="8"/>
      <c r="D3504" s="8"/>
      <c r="E3504" s="8"/>
      <c r="F3504" s="8"/>
      <c r="G3504" s="8"/>
      <c r="H3504" s="8"/>
      <c r="I3504" s="8"/>
      <c r="J3504" s="8"/>
      <c r="K3504" s="8"/>
      <c r="L3504" s="8"/>
      <c r="M3504" s="8"/>
      <c r="N3504" s="8"/>
      <c r="O3504" s="8"/>
      <c r="P3504" s="8"/>
      <c r="Q3504" s="8"/>
      <c r="R3504" s="8"/>
      <c r="S3504" s="8"/>
      <c r="T3504" s="8"/>
      <c r="U3504" s="8"/>
      <c r="V3504" s="8"/>
      <c r="W3504" s="8"/>
    </row>
    <row r="3505" spans="1:23" ht="15.75" customHeight="1" x14ac:dyDescent="0.25">
      <c r="A3505" s="6"/>
      <c r="B3505" s="8"/>
      <c r="C3505" s="8"/>
      <c r="D3505" s="8"/>
      <c r="E3505" s="8"/>
      <c r="F3505" s="8"/>
      <c r="G3505" s="8"/>
      <c r="H3505" s="8"/>
      <c r="I3505" s="8"/>
      <c r="J3505" s="8"/>
      <c r="K3505" s="8"/>
      <c r="L3505" s="8"/>
      <c r="M3505" s="8"/>
      <c r="N3505" s="8"/>
      <c r="O3505" s="8"/>
      <c r="P3505" s="8"/>
      <c r="Q3505" s="8"/>
      <c r="R3505" s="8"/>
      <c r="S3505" s="8"/>
      <c r="T3505" s="8"/>
      <c r="U3505" s="8"/>
      <c r="V3505" s="8"/>
      <c r="W3505" s="8"/>
    </row>
    <row r="3506" spans="1:23" ht="15.75" customHeight="1" x14ac:dyDescent="0.25">
      <c r="A3506" s="6"/>
      <c r="B3506" s="8"/>
      <c r="C3506" s="8"/>
      <c r="D3506" s="8"/>
      <c r="E3506" s="8"/>
      <c r="F3506" s="8"/>
      <c r="G3506" s="8"/>
      <c r="H3506" s="8"/>
      <c r="I3506" s="8"/>
      <c r="J3506" s="8"/>
      <c r="K3506" s="8"/>
      <c r="L3506" s="8"/>
      <c r="M3506" s="8"/>
      <c r="N3506" s="8"/>
      <c r="O3506" s="8"/>
      <c r="P3506" s="8"/>
      <c r="Q3506" s="8"/>
      <c r="R3506" s="8"/>
      <c r="S3506" s="8"/>
      <c r="T3506" s="8"/>
      <c r="U3506" s="8"/>
      <c r="V3506" s="8"/>
      <c r="W3506" s="8"/>
    </row>
    <row r="3507" spans="1:23" ht="15.75" customHeight="1" x14ac:dyDescent="0.25">
      <c r="A3507" s="6"/>
      <c r="B3507" s="8"/>
      <c r="C3507" s="8"/>
      <c r="D3507" s="8"/>
      <c r="E3507" s="8"/>
      <c r="F3507" s="8"/>
      <c r="G3507" s="8"/>
      <c r="H3507" s="8"/>
      <c r="I3507" s="8"/>
      <c r="J3507" s="8"/>
      <c r="K3507" s="8"/>
      <c r="L3507" s="8"/>
      <c r="M3507" s="8"/>
      <c r="N3507" s="8"/>
      <c r="O3507" s="8"/>
      <c r="P3507" s="8"/>
      <c r="Q3507" s="8"/>
      <c r="R3507" s="8"/>
      <c r="S3507" s="8"/>
      <c r="T3507" s="8"/>
      <c r="U3507" s="8"/>
      <c r="V3507" s="8"/>
      <c r="W3507" s="8"/>
    </row>
    <row r="3508" spans="1:23" ht="15.75" customHeight="1" x14ac:dyDescent="0.25">
      <c r="A3508" s="6"/>
      <c r="B3508" s="8"/>
      <c r="C3508" s="8"/>
      <c r="D3508" s="8"/>
      <c r="E3508" s="8"/>
      <c r="F3508" s="8"/>
      <c r="G3508" s="8"/>
      <c r="H3508" s="8"/>
      <c r="I3508" s="8"/>
      <c r="J3508" s="8"/>
      <c r="K3508" s="8"/>
      <c r="L3508" s="8"/>
      <c r="M3508" s="8"/>
      <c r="N3508" s="8"/>
      <c r="O3508" s="8"/>
      <c r="P3508" s="8"/>
      <c r="Q3508" s="8"/>
      <c r="R3508" s="8"/>
      <c r="S3508" s="8"/>
      <c r="T3508" s="8"/>
      <c r="U3508" s="8"/>
      <c r="V3508" s="8"/>
      <c r="W3508" s="8"/>
    </row>
    <row r="3509" spans="1:23" ht="15.75" customHeight="1" x14ac:dyDescent="0.25">
      <c r="A3509" s="6"/>
      <c r="B3509" s="8"/>
      <c r="C3509" s="8"/>
      <c r="D3509" s="8"/>
      <c r="E3509" s="8"/>
      <c r="F3509" s="8"/>
      <c r="G3509" s="8"/>
      <c r="H3509" s="8"/>
      <c r="I3509" s="8"/>
      <c r="J3509" s="8"/>
      <c r="K3509" s="8"/>
      <c r="L3509" s="8"/>
      <c r="M3509" s="8"/>
      <c r="N3509" s="8"/>
      <c r="O3509" s="8"/>
      <c r="P3509" s="8"/>
      <c r="Q3509" s="8"/>
      <c r="R3509" s="8"/>
      <c r="S3509" s="8"/>
      <c r="T3509" s="8"/>
      <c r="U3509" s="8"/>
      <c r="V3509" s="8"/>
      <c r="W3509" s="8"/>
    </row>
    <row r="3510" spans="1:23" ht="15.75" customHeight="1" x14ac:dyDescent="0.25">
      <c r="A3510" s="6"/>
      <c r="B3510" s="8"/>
      <c r="C3510" s="8"/>
      <c r="D3510" s="8"/>
      <c r="E3510" s="8"/>
      <c r="F3510" s="8"/>
      <c r="G3510" s="8"/>
      <c r="H3510" s="8"/>
      <c r="I3510" s="8"/>
      <c r="J3510" s="8"/>
      <c r="K3510" s="8"/>
      <c r="L3510" s="8"/>
      <c r="M3510" s="8"/>
      <c r="N3510" s="8"/>
      <c r="O3510" s="8"/>
      <c r="P3510" s="8"/>
      <c r="Q3510" s="8"/>
      <c r="R3510" s="8"/>
      <c r="S3510" s="8"/>
      <c r="T3510" s="8"/>
      <c r="U3510" s="8"/>
      <c r="V3510" s="8"/>
      <c r="W3510" s="8"/>
    </row>
    <row r="3511" spans="1:23" ht="15.75" customHeight="1" x14ac:dyDescent="0.25">
      <c r="A3511" s="6"/>
      <c r="B3511" s="8"/>
      <c r="C3511" s="8"/>
      <c r="D3511" s="8"/>
      <c r="E3511" s="8"/>
      <c r="F3511" s="8"/>
      <c r="G3511" s="8"/>
      <c r="H3511" s="8"/>
      <c r="I3511" s="8"/>
      <c r="J3511" s="8"/>
      <c r="K3511" s="8"/>
      <c r="L3511" s="8"/>
      <c r="M3511" s="8"/>
      <c r="N3511" s="8"/>
      <c r="O3511" s="8"/>
      <c r="P3511" s="8"/>
      <c r="Q3511" s="8"/>
      <c r="R3511" s="8"/>
      <c r="S3511" s="8"/>
      <c r="T3511" s="8"/>
      <c r="U3511" s="8"/>
      <c r="V3511" s="8"/>
      <c r="W3511" s="8"/>
    </row>
    <row r="3512" spans="1:23" ht="15.75" customHeight="1" x14ac:dyDescent="0.25">
      <c r="A3512" s="6"/>
      <c r="B3512" s="8"/>
      <c r="C3512" s="8"/>
      <c r="D3512" s="8"/>
      <c r="E3512" s="8"/>
      <c r="F3512" s="8"/>
      <c r="G3512" s="8"/>
      <c r="H3512" s="8"/>
      <c r="I3512" s="8"/>
      <c r="J3512" s="8"/>
      <c r="K3512" s="8"/>
      <c r="L3512" s="8"/>
      <c r="M3512" s="8"/>
      <c r="N3512" s="8"/>
      <c r="O3512" s="8"/>
      <c r="P3512" s="8"/>
      <c r="Q3512" s="8"/>
      <c r="R3512" s="8"/>
      <c r="S3512" s="8"/>
      <c r="T3512" s="8"/>
      <c r="U3512" s="8"/>
      <c r="V3512" s="8"/>
      <c r="W3512" s="8"/>
    </row>
    <row r="3513" spans="1:23" ht="15.75" customHeight="1" x14ac:dyDescent="0.25">
      <c r="A3513" s="6"/>
      <c r="B3513" s="8"/>
      <c r="C3513" s="8"/>
      <c r="D3513" s="8"/>
      <c r="E3513" s="8"/>
      <c r="F3513" s="8"/>
      <c r="G3513" s="8"/>
      <c r="H3513" s="8"/>
      <c r="I3513" s="8"/>
      <c r="J3513" s="8"/>
      <c r="K3513" s="8"/>
      <c r="L3513" s="8"/>
      <c r="M3513" s="8"/>
      <c r="N3513" s="8"/>
      <c r="O3513" s="8"/>
      <c r="P3513" s="8"/>
      <c r="Q3513" s="8"/>
      <c r="R3513" s="8"/>
      <c r="S3513" s="8"/>
      <c r="T3513" s="8"/>
      <c r="U3513" s="8"/>
      <c r="V3513" s="8"/>
      <c r="W3513" s="8"/>
    </row>
    <row r="3514" spans="1:23" ht="15.75" customHeight="1" x14ac:dyDescent="0.25">
      <c r="A3514" s="6"/>
      <c r="B3514" s="8"/>
      <c r="C3514" s="8"/>
      <c r="D3514" s="8"/>
      <c r="E3514" s="8"/>
      <c r="F3514" s="8"/>
      <c r="G3514" s="8"/>
      <c r="H3514" s="8"/>
      <c r="I3514" s="8"/>
      <c r="J3514" s="8"/>
      <c r="K3514" s="8"/>
      <c r="L3514" s="8"/>
      <c r="M3514" s="8"/>
      <c r="N3514" s="8"/>
      <c r="O3514" s="8"/>
      <c r="P3514" s="8"/>
      <c r="Q3514" s="8"/>
      <c r="R3514" s="8"/>
      <c r="S3514" s="8"/>
      <c r="T3514" s="8"/>
      <c r="U3514" s="8"/>
      <c r="V3514" s="8"/>
      <c r="W3514" s="8"/>
    </row>
    <row r="3515" spans="1:23" ht="15.75" customHeight="1" x14ac:dyDescent="0.25">
      <c r="A3515" s="6"/>
      <c r="B3515" s="8"/>
      <c r="C3515" s="8"/>
      <c r="D3515" s="8"/>
      <c r="E3515" s="8"/>
      <c r="F3515" s="8"/>
      <c r="G3515" s="8"/>
      <c r="H3515" s="8"/>
      <c r="I3515" s="8"/>
      <c r="J3515" s="8"/>
      <c r="K3515" s="8"/>
      <c r="L3515" s="8"/>
      <c r="M3515" s="8"/>
      <c r="N3515" s="8"/>
      <c r="O3515" s="8"/>
      <c r="P3515" s="8"/>
      <c r="Q3515" s="8"/>
      <c r="R3515" s="8"/>
      <c r="S3515" s="8"/>
      <c r="T3515" s="8"/>
      <c r="U3515" s="8"/>
      <c r="V3515" s="8"/>
      <c r="W3515" s="8"/>
    </row>
    <row r="3516" spans="1:23" ht="15.75" customHeight="1" x14ac:dyDescent="0.25">
      <c r="A3516" s="6"/>
      <c r="B3516" s="8"/>
      <c r="C3516" s="8"/>
      <c r="D3516" s="8"/>
      <c r="E3516" s="8"/>
      <c r="F3516" s="8"/>
      <c r="G3516" s="8"/>
      <c r="H3516" s="8"/>
      <c r="I3516" s="8"/>
      <c r="J3516" s="8"/>
      <c r="K3516" s="8"/>
      <c r="L3516" s="8"/>
      <c r="M3516" s="8"/>
      <c r="N3516" s="8"/>
      <c r="O3516" s="8"/>
      <c r="P3516" s="8"/>
      <c r="Q3516" s="8"/>
      <c r="R3516" s="8"/>
      <c r="S3516" s="8"/>
      <c r="T3516" s="8"/>
      <c r="U3516" s="8"/>
      <c r="V3516" s="8"/>
      <c r="W3516" s="8"/>
    </row>
    <row r="3517" spans="1:23" ht="15.75" customHeight="1" x14ac:dyDescent="0.25">
      <c r="A3517" s="6"/>
      <c r="B3517" s="8"/>
      <c r="C3517" s="8"/>
      <c r="D3517" s="8"/>
      <c r="E3517" s="8"/>
      <c r="F3517" s="8"/>
      <c r="G3517" s="8"/>
      <c r="H3517" s="8"/>
      <c r="I3517" s="8"/>
      <c r="J3517" s="8"/>
      <c r="K3517" s="8"/>
      <c r="L3517" s="8"/>
      <c r="M3517" s="8"/>
      <c r="N3517" s="8"/>
      <c r="O3517" s="8"/>
      <c r="P3517" s="8"/>
      <c r="Q3517" s="8"/>
      <c r="R3517" s="8"/>
      <c r="S3517" s="8"/>
      <c r="T3517" s="8"/>
      <c r="U3517" s="8"/>
      <c r="V3517" s="8"/>
      <c r="W3517" s="8"/>
    </row>
    <row r="3518" spans="1:23" ht="15.75" customHeight="1" x14ac:dyDescent="0.25">
      <c r="A3518" s="6"/>
      <c r="B3518" s="8"/>
      <c r="C3518" s="8"/>
      <c r="D3518" s="8"/>
      <c r="E3518" s="8"/>
      <c r="F3518" s="8"/>
      <c r="G3518" s="8"/>
      <c r="H3518" s="8"/>
      <c r="I3518" s="8"/>
      <c r="J3518" s="8"/>
      <c r="K3518" s="8"/>
      <c r="L3518" s="8"/>
      <c r="M3518" s="8"/>
      <c r="N3518" s="8"/>
      <c r="O3518" s="8"/>
      <c r="P3518" s="8"/>
      <c r="Q3518" s="8"/>
      <c r="R3518" s="8"/>
      <c r="S3518" s="8"/>
      <c r="T3518" s="8"/>
      <c r="U3518" s="8"/>
      <c r="V3518" s="8"/>
      <c r="W3518" s="8"/>
    </row>
    <row r="3519" spans="1:23" ht="15.75" customHeight="1" x14ac:dyDescent="0.25">
      <c r="A3519" s="6"/>
      <c r="B3519" s="8"/>
      <c r="C3519" s="8"/>
      <c r="D3519" s="8"/>
      <c r="E3519" s="8"/>
      <c r="F3519" s="8"/>
      <c r="G3519" s="8"/>
      <c r="H3519" s="8"/>
      <c r="I3519" s="8"/>
      <c r="J3519" s="8"/>
      <c r="K3519" s="8"/>
      <c r="L3519" s="8"/>
      <c r="M3519" s="8"/>
      <c r="N3519" s="8"/>
      <c r="O3519" s="8"/>
      <c r="P3519" s="8"/>
      <c r="Q3519" s="8"/>
      <c r="R3519" s="8"/>
      <c r="S3519" s="8"/>
      <c r="T3519" s="8"/>
      <c r="U3519" s="8"/>
      <c r="V3519" s="8"/>
      <c r="W3519" s="8"/>
    </row>
    <row r="3520" spans="1:23" ht="15.75" customHeight="1" x14ac:dyDescent="0.25">
      <c r="A3520" s="6"/>
      <c r="B3520" s="8"/>
      <c r="C3520" s="8"/>
      <c r="D3520" s="8"/>
      <c r="E3520" s="8"/>
      <c r="F3520" s="8"/>
      <c r="G3520" s="8"/>
      <c r="H3520" s="8"/>
      <c r="I3520" s="8"/>
      <c r="J3520" s="8"/>
      <c r="K3520" s="8"/>
      <c r="L3520" s="8"/>
      <c r="M3520" s="8"/>
      <c r="N3520" s="8"/>
      <c r="O3520" s="8"/>
      <c r="P3520" s="8"/>
      <c r="Q3520" s="8"/>
      <c r="R3520" s="8"/>
      <c r="S3520" s="8"/>
      <c r="T3520" s="8"/>
      <c r="U3520" s="8"/>
      <c r="V3520" s="8"/>
      <c r="W3520" s="8"/>
    </row>
    <row r="3521" spans="1:23" ht="15.75" customHeight="1" x14ac:dyDescent="0.25">
      <c r="A3521" s="6"/>
      <c r="B3521" s="8"/>
      <c r="C3521" s="8"/>
      <c r="D3521" s="8"/>
      <c r="E3521" s="8"/>
      <c r="F3521" s="8"/>
      <c r="G3521" s="8"/>
      <c r="H3521" s="8"/>
      <c r="I3521" s="8"/>
      <c r="J3521" s="8"/>
      <c r="K3521" s="8"/>
      <c r="L3521" s="8"/>
      <c r="M3521" s="8"/>
      <c r="N3521" s="8"/>
      <c r="O3521" s="8"/>
      <c r="P3521" s="8"/>
      <c r="Q3521" s="8"/>
      <c r="R3521" s="8"/>
      <c r="S3521" s="8"/>
      <c r="T3521" s="8"/>
      <c r="U3521" s="8"/>
      <c r="V3521" s="8"/>
      <c r="W3521" s="8"/>
    </row>
    <row r="3522" spans="1:23" ht="15.75" customHeight="1" x14ac:dyDescent="0.25">
      <c r="A3522" s="6"/>
      <c r="B3522" s="8"/>
      <c r="C3522" s="8"/>
      <c r="D3522" s="8"/>
      <c r="E3522" s="8"/>
      <c r="F3522" s="8"/>
      <c r="G3522" s="8"/>
      <c r="H3522" s="8"/>
      <c r="I3522" s="8"/>
      <c r="J3522" s="8"/>
      <c r="K3522" s="8"/>
      <c r="L3522" s="8"/>
      <c r="M3522" s="8"/>
      <c r="N3522" s="8"/>
      <c r="O3522" s="8"/>
      <c r="P3522" s="8"/>
      <c r="Q3522" s="8"/>
      <c r="R3522" s="8"/>
      <c r="S3522" s="8"/>
      <c r="T3522" s="8"/>
      <c r="U3522" s="8"/>
      <c r="V3522" s="8"/>
      <c r="W3522" s="8"/>
    </row>
    <row r="3523" spans="1:23" ht="15.75" customHeight="1" x14ac:dyDescent="0.25">
      <c r="A3523" s="6"/>
      <c r="B3523" s="8"/>
      <c r="C3523" s="8"/>
      <c r="D3523" s="8"/>
      <c r="E3523" s="8"/>
      <c r="F3523" s="8"/>
      <c r="G3523" s="8"/>
      <c r="H3523" s="8"/>
      <c r="I3523" s="8"/>
      <c r="J3523" s="8"/>
      <c r="K3523" s="8"/>
      <c r="L3523" s="8"/>
      <c r="M3523" s="8"/>
      <c r="N3523" s="8"/>
      <c r="O3523" s="8"/>
      <c r="P3523" s="8"/>
      <c r="Q3523" s="8"/>
      <c r="R3523" s="8"/>
      <c r="S3523" s="8"/>
      <c r="T3523" s="8"/>
      <c r="U3523" s="8"/>
      <c r="V3523" s="8"/>
      <c r="W3523" s="8"/>
    </row>
    <row r="3524" spans="1:23" ht="15.75" customHeight="1" x14ac:dyDescent="0.25">
      <c r="A3524" s="6"/>
      <c r="B3524" s="8"/>
      <c r="C3524" s="8"/>
      <c r="D3524" s="8"/>
      <c r="E3524" s="8"/>
      <c r="F3524" s="8"/>
      <c r="G3524" s="8"/>
      <c r="H3524" s="8"/>
      <c r="I3524" s="8"/>
      <c r="J3524" s="8"/>
      <c r="K3524" s="8"/>
      <c r="L3524" s="8"/>
      <c r="M3524" s="8"/>
      <c r="N3524" s="8"/>
      <c r="O3524" s="8"/>
      <c r="P3524" s="8"/>
      <c r="Q3524" s="8"/>
      <c r="R3524" s="8"/>
      <c r="S3524" s="8"/>
      <c r="T3524" s="8"/>
      <c r="U3524" s="8"/>
      <c r="V3524" s="8"/>
      <c r="W3524" s="8"/>
    </row>
    <row r="3525" spans="1:23" ht="15.75" customHeight="1" x14ac:dyDescent="0.25">
      <c r="A3525" s="6"/>
      <c r="B3525" s="8"/>
      <c r="C3525" s="8"/>
      <c r="D3525" s="8"/>
      <c r="E3525" s="8"/>
      <c r="F3525" s="8"/>
      <c r="G3525" s="8"/>
      <c r="H3525" s="8"/>
      <c r="I3525" s="8"/>
      <c r="J3525" s="8"/>
      <c r="K3525" s="8"/>
      <c r="L3525" s="8"/>
      <c r="M3525" s="8"/>
      <c r="N3525" s="8"/>
      <c r="O3525" s="8"/>
      <c r="P3525" s="8"/>
      <c r="Q3525" s="8"/>
      <c r="R3525" s="8"/>
      <c r="S3525" s="8"/>
      <c r="T3525" s="8"/>
      <c r="U3525" s="8"/>
      <c r="V3525" s="8"/>
      <c r="W3525" s="8"/>
    </row>
    <row r="3526" spans="1:23" ht="15.75" customHeight="1" x14ac:dyDescent="0.25">
      <c r="A3526" s="6"/>
      <c r="B3526" s="8"/>
      <c r="C3526" s="8"/>
      <c r="D3526" s="8"/>
      <c r="E3526" s="8"/>
      <c r="F3526" s="8"/>
      <c r="G3526" s="8"/>
      <c r="H3526" s="8"/>
      <c r="I3526" s="8"/>
      <c r="J3526" s="8"/>
      <c r="K3526" s="8"/>
      <c r="L3526" s="8"/>
      <c r="M3526" s="8"/>
      <c r="N3526" s="8"/>
      <c r="O3526" s="8"/>
      <c r="P3526" s="8"/>
      <c r="Q3526" s="8"/>
      <c r="R3526" s="8"/>
      <c r="S3526" s="8"/>
      <c r="T3526" s="8"/>
      <c r="U3526" s="8"/>
      <c r="V3526" s="8"/>
      <c r="W3526" s="8"/>
    </row>
    <row r="3527" spans="1:23" ht="15.75" customHeight="1" x14ac:dyDescent="0.25">
      <c r="A3527" s="6"/>
      <c r="B3527" s="8"/>
      <c r="C3527" s="8"/>
      <c r="D3527" s="8"/>
      <c r="E3527" s="8"/>
      <c r="F3527" s="8"/>
      <c r="G3527" s="8"/>
      <c r="H3527" s="8"/>
      <c r="I3527" s="8"/>
      <c r="J3527" s="8"/>
      <c r="K3527" s="8"/>
      <c r="L3527" s="8"/>
      <c r="M3527" s="8"/>
      <c r="N3527" s="8"/>
      <c r="O3527" s="8"/>
      <c r="P3527" s="8"/>
      <c r="Q3527" s="8"/>
      <c r="R3527" s="8"/>
      <c r="S3527" s="8"/>
      <c r="T3527" s="8"/>
      <c r="U3527" s="8"/>
      <c r="V3527" s="8"/>
      <c r="W3527" s="8"/>
    </row>
    <row r="3528" spans="1:23" ht="15.75" customHeight="1" x14ac:dyDescent="0.25">
      <c r="A3528" s="6"/>
      <c r="B3528" s="8"/>
      <c r="C3528" s="8"/>
      <c r="D3528" s="8"/>
      <c r="E3528" s="8"/>
      <c r="F3528" s="8"/>
      <c r="G3528" s="8"/>
      <c r="H3528" s="8"/>
      <c r="I3528" s="8"/>
      <c r="J3528" s="8"/>
      <c r="K3528" s="8"/>
      <c r="L3528" s="8"/>
      <c r="M3528" s="8"/>
      <c r="N3528" s="8"/>
      <c r="O3528" s="8"/>
      <c r="P3528" s="8"/>
      <c r="Q3528" s="8"/>
      <c r="R3528" s="8"/>
      <c r="S3528" s="8"/>
      <c r="T3528" s="8"/>
      <c r="U3528" s="8"/>
      <c r="V3528" s="8"/>
      <c r="W3528" s="8"/>
    </row>
    <row r="3529" spans="1:23" ht="15.75" customHeight="1" x14ac:dyDescent="0.25">
      <c r="A3529" s="6"/>
      <c r="B3529" s="8"/>
      <c r="C3529" s="8"/>
      <c r="D3529" s="8"/>
      <c r="E3529" s="8"/>
      <c r="F3529" s="8"/>
      <c r="G3529" s="8"/>
      <c r="H3529" s="8"/>
      <c r="I3529" s="8"/>
      <c r="J3529" s="8"/>
      <c r="K3529" s="8"/>
      <c r="L3529" s="8"/>
      <c r="M3529" s="8"/>
      <c r="N3529" s="8"/>
      <c r="O3529" s="8"/>
      <c r="P3529" s="8"/>
      <c r="Q3529" s="8"/>
      <c r="R3529" s="8"/>
      <c r="S3529" s="8"/>
      <c r="T3529" s="8"/>
      <c r="U3529" s="8"/>
      <c r="V3529" s="8"/>
      <c r="W3529" s="8"/>
    </row>
    <row r="3530" spans="1:23" ht="15.75" customHeight="1" x14ac:dyDescent="0.25">
      <c r="A3530" s="6"/>
      <c r="B3530" s="8"/>
      <c r="C3530" s="8"/>
      <c r="D3530" s="8"/>
      <c r="E3530" s="8"/>
      <c r="F3530" s="8"/>
      <c r="G3530" s="8"/>
      <c r="H3530" s="8"/>
      <c r="I3530" s="8"/>
      <c r="J3530" s="8"/>
      <c r="K3530" s="8"/>
      <c r="L3530" s="8"/>
      <c r="M3530" s="8"/>
      <c r="N3530" s="8"/>
      <c r="O3530" s="8"/>
      <c r="P3530" s="8"/>
      <c r="Q3530" s="8"/>
      <c r="R3530" s="8"/>
      <c r="S3530" s="8"/>
      <c r="T3530" s="8"/>
      <c r="U3530" s="8"/>
      <c r="V3530" s="8"/>
      <c r="W3530" s="8"/>
    </row>
    <row r="3531" spans="1:23" ht="15.75" customHeight="1" x14ac:dyDescent="0.25">
      <c r="A3531" s="6"/>
      <c r="B3531" s="8"/>
      <c r="C3531" s="8"/>
      <c r="D3531" s="8"/>
      <c r="E3531" s="8"/>
      <c r="F3531" s="8"/>
      <c r="G3531" s="8"/>
      <c r="H3531" s="8"/>
      <c r="I3531" s="8"/>
      <c r="J3531" s="8"/>
      <c r="K3531" s="8"/>
      <c r="L3531" s="8"/>
      <c r="M3531" s="8"/>
      <c r="N3531" s="8"/>
      <c r="O3531" s="8"/>
      <c r="P3531" s="8"/>
      <c r="Q3531" s="8"/>
      <c r="R3531" s="8"/>
      <c r="S3531" s="8"/>
      <c r="T3531" s="8"/>
      <c r="U3531" s="8"/>
      <c r="V3531" s="8"/>
      <c r="W3531" s="8"/>
    </row>
    <row r="3532" spans="1:23" ht="15.75" customHeight="1" x14ac:dyDescent="0.25">
      <c r="A3532" s="6"/>
      <c r="B3532" s="8"/>
      <c r="C3532" s="8"/>
      <c r="D3532" s="8"/>
      <c r="E3532" s="8"/>
      <c r="F3532" s="8"/>
      <c r="G3532" s="8"/>
      <c r="H3532" s="8"/>
      <c r="I3532" s="8"/>
      <c r="J3532" s="8"/>
      <c r="K3532" s="8"/>
      <c r="L3532" s="8"/>
      <c r="M3532" s="8"/>
      <c r="N3532" s="8"/>
      <c r="O3532" s="8"/>
      <c r="P3532" s="8"/>
      <c r="Q3532" s="8"/>
      <c r="R3532" s="8"/>
      <c r="S3532" s="8"/>
      <c r="T3532" s="8"/>
      <c r="U3532" s="8"/>
      <c r="V3532" s="8"/>
      <c r="W3532" s="8"/>
    </row>
    <row r="3533" spans="1:23" ht="15.75" customHeight="1" x14ac:dyDescent="0.25">
      <c r="A3533" s="6"/>
      <c r="B3533" s="8"/>
      <c r="C3533" s="8"/>
      <c r="D3533" s="8"/>
      <c r="E3533" s="8"/>
      <c r="F3533" s="8"/>
      <c r="G3533" s="8"/>
      <c r="H3533" s="8"/>
      <c r="I3533" s="8"/>
      <c r="J3533" s="8"/>
      <c r="K3533" s="8"/>
      <c r="L3533" s="8"/>
      <c r="M3533" s="8"/>
      <c r="N3533" s="8"/>
      <c r="O3533" s="8"/>
      <c r="P3533" s="8"/>
      <c r="Q3533" s="8"/>
      <c r="R3533" s="8"/>
      <c r="S3533" s="8"/>
      <c r="T3533" s="8"/>
      <c r="U3533" s="8"/>
      <c r="V3533" s="8"/>
      <c r="W3533" s="8"/>
    </row>
    <row r="3534" spans="1:23" ht="15.75" customHeight="1" x14ac:dyDescent="0.25">
      <c r="A3534" s="6"/>
      <c r="B3534" s="8"/>
      <c r="C3534" s="8"/>
      <c r="D3534" s="8"/>
      <c r="E3534" s="8"/>
      <c r="F3534" s="8"/>
      <c r="G3534" s="8"/>
      <c r="H3534" s="8"/>
      <c r="I3534" s="8"/>
      <c r="J3534" s="8"/>
      <c r="K3534" s="8"/>
      <c r="L3534" s="8"/>
      <c r="M3534" s="8"/>
      <c r="N3534" s="8"/>
      <c r="O3534" s="8"/>
      <c r="P3534" s="8"/>
      <c r="Q3534" s="8"/>
      <c r="R3534" s="8"/>
      <c r="S3534" s="8"/>
      <c r="T3534" s="8"/>
      <c r="U3534" s="8"/>
      <c r="V3534" s="8"/>
      <c r="W3534" s="8"/>
    </row>
    <row r="3535" spans="1:23" ht="15.75" customHeight="1" x14ac:dyDescent="0.25">
      <c r="A3535" s="6"/>
      <c r="B3535" s="8"/>
      <c r="C3535" s="8"/>
      <c r="D3535" s="8"/>
      <c r="E3535" s="8"/>
      <c r="F3535" s="8"/>
      <c r="G3535" s="8"/>
      <c r="H3535" s="8"/>
      <c r="I3535" s="8"/>
      <c r="J3535" s="8"/>
      <c r="K3535" s="8"/>
      <c r="L3535" s="8"/>
      <c r="M3535" s="8"/>
      <c r="N3535" s="8"/>
      <c r="O3535" s="8"/>
      <c r="P3535" s="8"/>
      <c r="Q3535" s="8"/>
      <c r="R3535" s="8"/>
      <c r="S3535" s="8"/>
      <c r="T3535" s="8"/>
      <c r="U3535" s="8"/>
      <c r="V3535" s="8"/>
      <c r="W3535" s="8"/>
    </row>
    <row r="3536" spans="1:23" ht="15.75" customHeight="1" x14ac:dyDescent="0.25">
      <c r="A3536" s="6"/>
      <c r="B3536" s="8"/>
      <c r="C3536" s="8"/>
      <c r="D3536" s="8"/>
      <c r="E3536" s="8"/>
      <c r="F3536" s="8"/>
      <c r="G3536" s="8"/>
      <c r="H3536" s="8"/>
      <c r="I3536" s="8"/>
      <c r="J3536" s="8"/>
      <c r="K3536" s="8"/>
      <c r="L3536" s="8"/>
      <c r="M3536" s="8"/>
      <c r="N3536" s="8"/>
      <c r="O3536" s="8"/>
      <c r="P3536" s="8"/>
      <c r="Q3536" s="8"/>
      <c r="R3536" s="8"/>
      <c r="S3536" s="8"/>
      <c r="T3536" s="8"/>
      <c r="U3536" s="8"/>
      <c r="V3536" s="8"/>
      <c r="W3536" s="8"/>
    </row>
    <row r="3537" spans="1:23" ht="15.75" customHeight="1" x14ac:dyDescent="0.25">
      <c r="A3537" s="6"/>
      <c r="B3537" s="8"/>
      <c r="C3537" s="8"/>
      <c r="D3537" s="8"/>
      <c r="E3537" s="8"/>
      <c r="F3537" s="8"/>
      <c r="G3537" s="8"/>
      <c r="H3537" s="8"/>
      <c r="I3537" s="8"/>
      <c r="J3537" s="8"/>
      <c r="K3537" s="8"/>
      <c r="L3537" s="8"/>
      <c r="M3537" s="8"/>
      <c r="N3537" s="8"/>
      <c r="O3537" s="8"/>
      <c r="P3537" s="8"/>
      <c r="Q3537" s="8"/>
      <c r="R3537" s="8"/>
      <c r="S3537" s="8"/>
      <c r="T3537" s="8"/>
      <c r="U3537" s="8"/>
      <c r="V3537" s="8"/>
      <c r="W3537" s="8"/>
    </row>
    <row r="3538" spans="1:23" ht="15.75" customHeight="1" x14ac:dyDescent="0.25">
      <c r="A3538" s="6"/>
      <c r="B3538" s="8"/>
      <c r="C3538" s="8"/>
      <c r="D3538" s="8"/>
      <c r="E3538" s="8"/>
      <c r="F3538" s="8"/>
      <c r="G3538" s="8"/>
      <c r="H3538" s="8"/>
      <c r="I3538" s="8"/>
      <c r="J3538" s="8"/>
      <c r="K3538" s="8"/>
      <c r="L3538" s="8"/>
      <c r="M3538" s="8"/>
      <c r="N3538" s="8"/>
      <c r="O3538" s="8"/>
      <c r="P3538" s="8"/>
      <c r="Q3538" s="8"/>
      <c r="R3538" s="8"/>
      <c r="S3538" s="8"/>
      <c r="T3538" s="8"/>
      <c r="U3538" s="8"/>
      <c r="V3538" s="8"/>
      <c r="W3538" s="8"/>
    </row>
    <row r="3539" spans="1:23" ht="15.75" customHeight="1" x14ac:dyDescent="0.25">
      <c r="A3539" s="6"/>
      <c r="B3539" s="8"/>
      <c r="C3539" s="8"/>
      <c r="D3539" s="8"/>
      <c r="E3539" s="8"/>
      <c r="F3539" s="8"/>
      <c r="G3539" s="8"/>
      <c r="H3539" s="8"/>
      <c r="I3539" s="8"/>
      <c r="J3539" s="8"/>
      <c r="K3539" s="8"/>
      <c r="L3539" s="8"/>
      <c r="M3539" s="8"/>
      <c r="N3539" s="8"/>
      <c r="O3539" s="8"/>
      <c r="P3539" s="8"/>
      <c r="Q3539" s="8"/>
      <c r="R3539" s="8"/>
      <c r="S3539" s="8"/>
      <c r="T3539" s="8"/>
      <c r="U3539" s="8"/>
      <c r="V3539" s="8"/>
      <c r="W3539" s="8"/>
    </row>
    <row r="3540" spans="1:23" ht="15.75" customHeight="1" x14ac:dyDescent="0.25">
      <c r="A3540" s="6"/>
      <c r="B3540" s="8"/>
      <c r="C3540" s="8"/>
      <c r="D3540" s="8"/>
      <c r="E3540" s="8"/>
      <c r="F3540" s="8"/>
      <c r="G3540" s="8"/>
      <c r="H3540" s="8"/>
      <c r="I3540" s="8"/>
      <c r="J3540" s="8"/>
      <c r="K3540" s="8"/>
      <c r="L3540" s="8"/>
      <c r="M3540" s="8"/>
      <c r="N3540" s="8"/>
      <c r="O3540" s="8"/>
      <c r="P3540" s="8"/>
      <c r="Q3540" s="8"/>
      <c r="R3540" s="8"/>
      <c r="S3540" s="8"/>
      <c r="T3540" s="8"/>
      <c r="U3540" s="8"/>
      <c r="V3540" s="8"/>
      <c r="W3540" s="8"/>
    </row>
    <row r="3541" spans="1:23" ht="15.75" customHeight="1" x14ac:dyDescent="0.25">
      <c r="A3541" s="6"/>
      <c r="B3541" s="8"/>
      <c r="C3541" s="8"/>
      <c r="D3541" s="8"/>
      <c r="E3541" s="8"/>
      <c r="F3541" s="8"/>
      <c r="G3541" s="8"/>
      <c r="H3541" s="8"/>
      <c r="I3541" s="8"/>
      <c r="J3541" s="8"/>
      <c r="K3541" s="8"/>
      <c r="L3541" s="8"/>
      <c r="M3541" s="8"/>
      <c r="N3541" s="8"/>
      <c r="O3541" s="8"/>
      <c r="P3541" s="8"/>
      <c r="Q3541" s="8"/>
      <c r="R3541" s="8"/>
      <c r="S3541" s="8"/>
      <c r="T3541" s="8"/>
      <c r="U3541" s="8"/>
      <c r="V3541" s="8"/>
      <c r="W3541" s="8"/>
    </row>
    <row r="3542" spans="1:23" ht="15.75" customHeight="1" x14ac:dyDescent="0.25">
      <c r="A3542" s="6"/>
      <c r="B3542" s="8"/>
      <c r="C3542" s="8"/>
      <c r="D3542" s="8"/>
      <c r="E3542" s="8"/>
      <c r="F3542" s="8"/>
      <c r="G3542" s="8"/>
      <c r="H3542" s="8"/>
      <c r="I3542" s="8"/>
      <c r="J3542" s="8"/>
      <c r="K3542" s="8"/>
      <c r="L3542" s="8"/>
      <c r="M3542" s="8"/>
      <c r="N3542" s="8"/>
      <c r="O3542" s="8"/>
      <c r="P3542" s="8"/>
      <c r="Q3542" s="8"/>
      <c r="R3542" s="8"/>
      <c r="S3542" s="8"/>
      <c r="T3542" s="8"/>
      <c r="U3542" s="8"/>
      <c r="V3542" s="8"/>
      <c r="W3542" s="8"/>
    </row>
    <row r="3543" spans="1:23" ht="15.75" customHeight="1" x14ac:dyDescent="0.25">
      <c r="A3543" s="6"/>
      <c r="B3543" s="8"/>
      <c r="C3543" s="8"/>
      <c r="D3543" s="8"/>
      <c r="E3543" s="8"/>
      <c r="F3543" s="8"/>
      <c r="G3543" s="8"/>
      <c r="H3543" s="8"/>
      <c r="I3543" s="8"/>
      <c r="J3543" s="8"/>
      <c r="K3543" s="8"/>
      <c r="L3543" s="8"/>
      <c r="M3543" s="8"/>
      <c r="N3543" s="8"/>
      <c r="O3543" s="8"/>
      <c r="P3543" s="8"/>
      <c r="Q3543" s="8"/>
      <c r="R3543" s="8"/>
      <c r="S3543" s="8"/>
      <c r="T3543" s="8"/>
      <c r="U3543" s="8"/>
      <c r="V3543" s="8"/>
      <c r="W3543" s="8"/>
    </row>
    <row r="3544" spans="1:23" ht="15.75" customHeight="1" x14ac:dyDescent="0.25">
      <c r="A3544" s="6"/>
      <c r="B3544" s="8"/>
      <c r="C3544" s="8"/>
      <c r="D3544" s="8"/>
      <c r="E3544" s="8"/>
      <c r="F3544" s="8"/>
      <c r="G3544" s="8"/>
      <c r="H3544" s="8"/>
      <c r="I3544" s="8"/>
      <c r="J3544" s="8"/>
      <c r="K3544" s="8"/>
      <c r="L3544" s="8"/>
      <c r="M3544" s="8"/>
      <c r="N3544" s="8"/>
      <c r="O3544" s="8"/>
      <c r="P3544" s="8"/>
      <c r="Q3544" s="8"/>
      <c r="R3544" s="8"/>
      <c r="S3544" s="8"/>
      <c r="T3544" s="8"/>
      <c r="U3544" s="8"/>
      <c r="V3544" s="8"/>
      <c r="W3544" s="8"/>
    </row>
    <row r="3545" spans="1:23" ht="15.75" customHeight="1" x14ac:dyDescent="0.25">
      <c r="A3545" s="6"/>
      <c r="B3545" s="8"/>
      <c r="C3545" s="8"/>
      <c r="D3545" s="8"/>
      <c r="E3545" s="8"/>
      <c r="F3545" s="8"/>
      <c r="G3545" s="8"/>
      <c r="H3545" s="8"/>
      <c r="I3545" s="8"/>
      <c r="J3545" s="8"/>
      <c r="K3545" s="8"/>
      <c r="L3545" s="8"/>
      <c r="M3545" s="8"/>
      <c r="N3545" s="8"/>
      <c r="O3545" s="8"/>
      <c r="P3545" s="8"/>
      <c r="Q3545" s="8"/>
      <c r="R3545" s="8"/>
      <c r="S3545" s="8"/>
      <c r="T3545" s="8"/>
      <c r="U3545" s="8"/>
      <c r="V3545" s="8"/>
      <c r="W3545" s="8"/>
    </row>
    <row r="3546" spans="1:23" ht="15.75" customHeight="1" x14ac:dyDescent="0.25">
      <c r="A3546" s="6"/>
      <c r="B3546" s="8"/>
      <c r="C3546" s="8"/>
      <c r="D3546" s="8"/>
      <c r="E3546" s="8"/>
      <c r="F3546" s="8"/>
      <c r="G3546" s="8"/>
      <c r="H3546" s="8"/>
      <c r="I3546" s="8"/>
      <c r="J3546" s="8"/>
      <c r="K3546" s="8"/>
      <c r="L3546" s="8"/>
      <c r="M3546" s="8"/>
      <c r="N3546" s="8"/>
      <c r="O3546" s="8"/>
      <c r="P3546" s="8"/>
      <c r="Q3546" s="8"/>
      <c r="R3546" s="8"/>
      <c r="S3546" s="8"/>
      <c r="T3546" s="8"/>
      <c r="U3546" s="8"/>
      <c r="V3546" s="8"/>
      <c r="W3546" s="8"/>
    </row>
    <row r="3547" spans="1:23" ht="15.75" customHeight="1" x14ac:dyDescent="0.25">
      <c r="A3547" s="6"/>
      <c r="B3547" s="8"/>
      <c r="C3547" s="8"/>
      <c r="D3547" s="8"/>
      <c r="E3547" s="8"/>
      <c r="F3547" s="8"/>
      <c r="G3547" s="8"/>
      <c r="H3547" s="8"/>
      <c r="I3547" s="8"/>
      <c r="J3547" s="8"/>
      <c r="K3547" s="8"/>
      <c r="L3547" s="8"/>
      <c r="M3547" s="8"/>
      <c r="N3547" s="8"/>
      <c r="O3547" s="8"/>
      <c r="P3547" s="8"/>
      <c r="Q3547" s="8"/>
      <c r="R3547" s="8"/>
      <c r="S3547" s="8"/>
      <c r="T3547" s="8"/>
      <c r="U3547" s="8"/>
      <c r="V3547" s="8"/>
      <c r="W3547" s="8"/>
    </row>
    <row r="3548" spans="1:23" ht="15.75" customHeight="1" x14ac:dyDescent="0.25">
      <c r="A3548" s="6"/>
      <c r="B3548" s="8"/>
      <c r="C3548" s="8"/>
      <c r="D3548" s="8"/>
      <c r="E3548" s="8"/>
      <c r="F3548" s="8"/>
      <c r="G3548" s="8"/>
      <c r="H3548" s="8"/>
      <c r="I3548" s="8"/>
      <c r="J3548" s="8"/>
      <c r="K3548" s="8"/>
      <c r="L3548" s="8"/>
      <c r="M3548" s="8"/>
      <c r="N3548" s="8"/>
      <c r="O3548" s="8"/>
      <c r="P3548" s="8"/>
      <c r="Q3548" s="8"/>
      <c r="R3548" s="8"/>
      <c r="S3548" s="8"/>
      <c r="T3548" s="8"/>
      <c r="U3548" s="8"/>
      <c r="V3548" s="8"/>
      <c r="W3548" s="8"/>
    </row>
    <row r="3549" spans="1:23" ht="15.75" customHeight="1" x14ac:dyDescent="0.25">
      <c r="A3549" s="6"/>
      <c r="B3549" s="8"/>
      <c r="C3549" s="8"/>
      <c r="D3549" s="8"/>
      <c r="E3549" s="8"/>
      <c r="F3549" s="8"/>
      <c r="G3549" s="8"/>
      <c r="H3549" s="8"/>
      <c r="I3549" s="8"/>
      <c r="J3549" s="8"/>
      <c r="K3549" s="8"/>
      <c r="L3549" s="8"/>
      <c r="M3549" s="8"/>
      <c r="N3549" s="8"/>
      <c r="O3549" s="8"/>
      <c r="P3549" s="8"/>
      <c r="Q3549" s="8"/>
      <c r="R3549" s="8"/>
      <c r="S3549" s="8"/>
      <c r="T3549" s="8"/>
      <c r="U3549" s="8"/>
      <c r="V3549" s="8"/>
      <c r="W3549" s="8"/>
    </row>
    <row r="3550" spans="1:23" ht="15.75" customHeight="1" x14ac:dyDescent="0.25">
      <c r="A3550" s="6"/>
      <c r="B3550" s="8"/>
      <c r="C3550" s="8"/>
      <c r="D3550" s="8"/>
      <c r="E3550" s="8"/>
      <c r="F3550" s="8"/>
      <c r="G3550" s="8"/>
      <c r="H3550" s="8"/>
      <c r="I3550" s="8"/>
      <c r="J3550" s="8"/>
      <c r="K3550" s="8"/>
      <c r="L3550" s="8"/>
      <c r="M3550" s="8"/>
      <c r="N3550" s="8"/>
      <c r="O3550" s="8"/>
      <c r="P3550" s="8"/>
      <c r="Q3550" s="8"/>
      <c r="R3550" s="8"/>
      <c r="S3550" s="8"/>
      <c r="T3550" s="8"/>
      <c r="U3550" s="8"/>
      <c r="V3550" s="8"/>
      <c r="W3550" s="8"/>
    </row>
    <row r="3551" spans="1:23" ht="15.75" customHeight="1" x14ac:dyDescent="0.25">
      <c r="A3551" s="6"/>
      <c r="B3551" s="8"/>
      <c r="C3551" s="8"/>
      <c r="D3551" s="8"/>
      <c r="E3551" s="8"/>
      <c r="F3551" s="8"/>
      <c r="G3551" s="8"/>
      <c r="H3551" s="8"/>
      <c r="I3551" s="8"/>
      <c r="J3551" s="8"/>
      <c r="K3551" s="8"/>
      <c r="L3551" s="8"/>
      <c r="M3551" s="8"/>
      <c r="N3551" s="8"/>
      <c r="O3551" s="8"/>
      <c r="P3551" s="8"/>
      <c r="Q3551" s="8"/>
      <c r="R3551" s="8"/>
      <c r="S3551" s="8"/>
      <c r="T3551" s="8"/>
      <c r="U3551" s="8"/>
      <c r="V3551" s="8"/>
      <c r="W3551" s="8"/>
    </row>
    <row r="3552" spans="1:23" ht="15.75" customHeight="1" x14ac:dyDescent="0.25">
      <c r="A3552" s="6"/>
      <c r="B3552" s="8"/>
      <c r="C3552" s="8"/>
      <c r="D3552" s="8"/>
      <c r="E3552" s="8"/>
      <c r="F3552" s="8"/>
      <c r="G3552" s="8"/>
      <c r="H3552" s="8"/>
      <c r="I3552" s="8"/>
      <c r="J3552" s="8"/>
      <c r="K3552" s="8"/>
      <c r="L3552" s="8"/>
      <c r="M3552" s="8"/>
      <c r="N3552" s="8"/>
      <c r="O3552" s="8"/>
      <c r="P3552" s="8"/>
      <c r="Q3552" s="8"/>
      <c r="R3552" s="8"/>
      <c r="S3552" s="8"/>
      <c r="T3552" s="8"/>
      <c r="U3552" s="8"/>
      <c r="V3552" s="8"/>
      <c r="W3552" s="8"/>
    </row>
    <row r="3553" spans="1:23" ht="15.75" customHeight="1" x14ac:dyDescent="0.25">
      <c r="A3553" s="6"/>
      <c r="B3553" s="8"/>
      <c r="C3553" s="8"/>
      <c r="D3553" s="8"/>
      <c r="E3553" s="8"/>
      <c r="F3553" s="8"/>
      <c r="G3553" s="8"/>
      <c r="H3553" s="8"/>
      <c r="I3553" s="8"/>
      <c r="J3553" s="8"/>
      <c r="K3553" s="8"/>
      <c r="L3553" s="8"/>
      <c r="M3553" s="8"/>
      <c r="N3553" s="8"/>
      <c r="O3553" s="8"/>
      <c r="P3553" s="8"/>
      <c r="Q3553" s="8"/>
      <c r="R3553" s="8"/>
      <c r="S3553" s="8"/>
      <c r="T3553" s="8"/>
      <c r="U3553" s="8"/>
      <c r="V3553" s="8"/>
      <c r="W3553" s="8"/>
    </row>
    <row r="3554" spans="1:23" ht="15.75" customHeight="1" x14ac:dyDescent="0.25">
      <c r="A3554" s="6"/>
      <c r="B3554" s="8"/>
      <c r="C3554" s="8"/>
      <c r="D3554" s="8"/>
      <c r="E3554" s="8"/>
      <c r="F3554" s="8"/>
      <c r="G3554" s="8"/>
      <c r="H3554" s="8"/>
      <c r="I3554" s="8"/>
      <c r="J3554" s="8"/>
      <c r="K3554" s="8"/>
      <c r="L3554" s="8"/>
      <c r="M3554" s="8"/>
      <c r="N3554" s="8"/>
      <c r="O3554" s="8"/>
      <c r="P3554" s="8"/>
      <c r="Q3554" s="8"/>
      <c r="R3554" s="8"/>
      <c r="S3554" s="8"/>
      <c r="T3554" s="8"/>
      <c r="U3554" s="8"/>
      <c r="V3554" s="8"/>
      <c r="W3554" s="8"/>
    </row>
    <row r="3555" spans="1:23" ht="15.75" customHeight="1" x14ac:dyDescent="0.25">
      <c r="A3555" s="6"/>
      <c r="B3555" s="8"/>
      <c r="C3555" s="8"/>
      <c r="D3555" s="8"/>
      <c r="E3555" s="8"/>
      <c r="F3555" s="8"/>
      <c r="G3555" s="8"/>
      <c r="H3555" s="8"/>
      <c r="I3555" s="8"/>
      <c r="J3555" s="8"/>
      <c r="K3555" s="8"/>
      <c r="L3555" s="8"/>
      <c r="M3555" s="8"/>
      <c r="N3555" s="8"/>
      <c r="O3555" s="8"/>
      <c r="P3555" s="8"/>
      <c r="Q3555" s="8"/>
      <c r="R3555" s="8"/>
      <c r="S3555" s="8"/>
      <c r="T3555" s="8"/>
      <c r="U3555" s="8"/>
      <c r="V3555" s="8"/>
      <c r="W3555" s="8"/>
    </row>
    <row r="3556" spans="1:23" ht="15.75" customHeight="1" x14ac:dyDescent="0.25">
      <c r="A3556" s="6"/>
      <c r="B3556" s="8"/>
      <c r="C3556" s="8"/>
      <c r="D3556" s="8"/>
      <c r="E3556" s="8"/>
      <c r="F3556" s="8"/>
      <c r="G3556" s="8"/>
      <c r="H3556" s="8"/>
      <c r="I3556" s="8"/>
      <c r="J3556" s="8"/>
      <c r="K3556" s="8"/>
      <c r="L3556" s="8"/>
      <c r="M3556" s="8"/>
      <c r="N3556" s="8"/>
      <c r="O3556" s="8"/>
      <c r="P3556" s="8"/>
      <c r="Q3556" s="8"/>
      <c r="R3556" s="8"/>
      <c r="S3556" s="8"/>
      <c r="T3556" s="8"/>
      <c r="U3556" s="8"/>
      <c r="V3556" s="8"/>
      <c r="W3556" s="8"/>
    </row>
    <row r="3557" spans="1:23" ht="15.75" customHeight="1" x14ac:dyDescent="0.25">
      <c r="A3557" s="6"/>
      <c r="B3557" s="8"/>
      <c r="C3557" s="8"/>
      <c r="D3557" s="8"/>
      <c r="E3557" s="8"/>
      <c r="F3557" s="8"/>
      <c r="G3557" s="8"/>
      <c r="H3557" s="8"/>
      <c r="I3557" s="8"/>
      <c r="J3557" s="8"/>
      <c r="K3557" s="8"/>
      <c r="L3557" s="8"/>
      <c r="M3557" s="8"/>
      <c r="N3557" s="8"/>
      <c r="O3557" s="8"/>
      <c r="P3557" s="8"/>
      <c r="Q3557" s="8"/>
      <c r="R3557" s="8"/>
      <c r="S3557" s="8"/>
      <c r="T3557" s="8"/>
      <c r="U3557" s="8"/>
      <c r="V3557" s="8"/>
      <c r="W3557" s="8"/>
    </row>
    <row r="3558" spans="1:23" ht="15.75" customHeight="1" x14ac:dyDescent="0.25">
      <c r="A3558" s="6"/>
      <c r="B3558" s="8"/>
      <c r="C3558" s="8"/>
      <c r="D3558" s="8"/>
      <c r="E3558" s="8"/>
      <c r="F3558" s="8"/>
      <c r="G3558" s="8"/>
      <c r="H3558" s="8"/>
      <c r="I3558" s="8"/>
      <c r="J3558" s="8"/>
      <c r="K3558" s="8"/>
      <c r="L3558" s="8"/>
      <c r="M3558" s="8"/>
      <c r="N3558" s="8"/>
      <c r="O3558" s="8"/>
      <c r="P3558" s="8"/>
      <c r="Q3558" s="8"/>
      <c r="R3558" s="8"/>
      <c r="S3558" s="8"/>
      <c r="T3558" s="8"/>
      <c r="U3558" s="8"/>
      <c r="V3558" s="8"/>
      <c r="W3558" s="8"/>
    </row>
    <row r="3559" spans="1:23" ht="15.75" customHeight="1" x14ac:dyDescent="0.25">
      <c r="A3559" s="6"/>
      <c r="B3559" s="8"/>
      <c r="C3559" s="8"/>
      <c r="D3559" s="8"/>
      <c r="E3559" s="8"/>
      <c r="F3559" s="8"/>
      <c r="G3559" s="8"/>
      <c r="H3559" s="8"/>
      <c r="I3559" s="8"/>
      <c r="J3559" s="8"/>
      <c r="K3559" s="8"/>
      <c r="L3559" s="8"/>
      <c r="M3559" s="8"/>
      <c r="N3559" s="8"/>
      <c r="O3559" s="8"/>
      <c r="P3559" s="8"/>
      <c r="Q3559" s="8"/>
      <c r="R3559" s="8"/>
      <c r="S3559" s="8"/>
      <c r="T3559" s="8"/>
      <c r="U3559" s="8"/>
      <c r="V3559" s="8"/>
      <c r="W3559" s="8"/>
    </row>
    <row r="3560" spans="1:23" ht="15.75" customHeight="1" x14ac:dyDescent="0.25">
      <c r="A3560" s="6"/>
      <c r="B3560" s="8"/>
      <c r="C3560" s="8"/>
      <c r="D3560" s="8"/>
      <c r="E3560" s="8"/>
      <c r="F3560" s="8"/>
      <c r="G3560" s="8"/>
      <c r="H3560" s="8"/>
      <c r="I3560" s="8"/>
      <c r="J3560" s="8"/>
      <c r="K3560" s="8"/>
      <c r="L3560" s="8"/>
      <c r="M3560" s="8"/>
      <c r="N3560" s="8"/>
      <c r="O3560" s="8"/>
      <c r="P3560" s="8"/>
      <c r="Q3560" s="8"/>
      <c r="R3560" s="8"/>
      <c r="S3560" s="8"/>
      <c r="T3560" s="8"/>
      <c r="U3560" s="8"/>
      <c r="V3560" s="8"/>
      <c r="W3560" s="8"/>
    </row>
    <row r="3561" spans="1:23" ht="15.75" customHeight="1" x14ac:dyDescent="0.25">
      <c r="A3561" s="6"/>
      <c r="B3561" s="8"/>
      <c r="C3561" s="8"/>
      <c r="D3561" s="8"/>
      <c r="E3561" s="8"/>
      <c r="F3561" s="8"/>
      <c r="G3561" s="8"/>
      <c r="H3561" s="8"/>
      <c r="I3561" s="8"/>
      <c r="J3561" s="8"/>
      <c r="K3561" s="8"/>
      <c r="L3561" s="8"/>
      <c r="M3561" s="8"/>
      <c r="N3561" s="8"/>
      <c r="O3561" s="8"/>
      <c r="P3561" s="8"/>
      <c r="Q3561" s="8"/>
      <c r="R3561" s="8"/>
      <c r="S3561" s="8"/>
      <c r="T3561" s="8"/>
      <c r="U3561" s="8"/>
      <c r="V3561" s="8"/>
      <c r="W3561" s="8"/>
    </row>
    <row r="3562" spans="1:23" ht="15.75" customHeight="1" x14ac:dyDescent="0.25">
      <c r="A3562" s="6"/>
      <c r="B3562" s="8"/>
      <c r="C3562" s="8"/>
      <c r="D3562" s="8"/>
      <c r="E3562" s="8"/>
      <c r="F3562" s="8"/>
      <c r="G3562" s="8"/>
      <c r="H3562" s="8"/>
      <c r="I3562" s="8"/>
      <c r="J3562" s="8"/>
      <c r="K3562" s="8"/>
      <c r="L3562" s="8"/>
      <c r="M3562" s="8"/>
      <c r="N3562" s="8"/>
      <c r="O3562" s="8"/>
      <c r="P3562" s="8"/>
      <c r="Q3562" s="8"/>
      <c r="R3562" s="8"/>
      <c r="S3562" s="8"/>
      <c r="T3562" s="8"/>
      <c r="U3562" s="8"/>
      <c r="V3562" s="8"/>
      <c r="W3562" s="8"/>
    </row>
    <row r="3563" spans="1:23" ht="15.75" customHeight="1" x14ac:dyDescent="0.25">
      <c r="A3563" s="6"/>
      <c r="B3563" s="8"/>
      <c r="C3563" s="8"/>
      <c r="D3563" s="8"/>
      <c r="E3563" s="8"/>
      <c r="F3563" s="8"/>
      <c r="G3563" s="8"/>
      <c r="H3563" s="8"/>
      <c r="I3563" s="8"/>
      <c r="J3563" s="8"/>
      <c r="K3563" s="8"/>
      <c r="L3563" s="8"/>
      <c r="M3563" s="8"/>
      <c r="N3563" s="8"/>
      <c r="O3563" s="8"/>
      <c r="P3563" s="8"/>
      <c r="Q3563" s="8"/>
      <c r="R3563" s="8"/>
      <c r="S3563" s="8"/>
      <c r="T3563" s="8"/>
      <c r="U3563" s="8"/>
      <c r="V3563" s="8"/>
      <c r="W3563" s="8"/>
    </row>
    <row r="3564" spans="1:23" ht="15.75" customHeight="1" x14ac:dyDescent="0.25">
      <c r="A3564" s="6"/>
      <c r="B3564" s="8"/>
      <c r="C3564" s="8"/>
      <c r="D3564" s="8"/>
      <c r="E3564" s="8"/>
      <c r="F3564" s="8"/>
      <c r="G3564" s="8"/>
      <c r="H3564" s="8"/>
      <c r="I3564" s="8"/>
      <c r="J3564" s="8"/>
      <c r="K3564" s="8"/>
      <c r="L3564" s="8"/>
      <c r="M3564" s="8"/>
      <c r="N3564" s="8"/>
      <c r="O3564" s="8"/>
      <c r="P3564" s="8"/>
      <c r="Q3564" s="8"/>
      <c r="R3564" s="8"/>
      <c r="S3564" s="8"/>
      <c r="T3564" s="8"/>
      <c r="U3564" s="8"/>
      <c r="V3564" s="8"/>
      <c r="W3564" s="8"/>
    </row>
    <row r="3565" spans="1:23" ht="15.75" customHeight="1" x14ac:dyDescent="0.25">
      <c r="A3565" s="6"/>
      <c r="B3565" s="8"/>
      <c r="C3565" s="8"/>
      <c r="D3565" s="8"/>
      <c r="E3565" s="8"/>
      <c r="F3565" s="8"/>
      <c r="G3565" s="8"/>
      <c r="H3565" s="8"/>
      <c r="I3565" s="8"/>
      <c r="J3565" s="8"/>
      <c r="K3565" s="8"/>
      <c r="L3565" s="8"/>
      <c r="M3565" s="8"/>
      <c r="N3565" s="8"/>
      <c r="O3565" s="8"/>
      <c r="P3565" s="8"/>
      <c r="Q3565" s="8"/>
      <c r="R3565" s="8"/>
      <c r="S3565" s="8"/>
      <c r="T3565" s="8"/>
      <c r="U3565" s="8"/>
      <c r="V3565" s="8"/>
      <c r="W3565" s="8"/>
    </row>
    <row r="3566" spans="1:23" ht="15.75" customHeight="1" x14ac:dyDescent="0.25">
      <c r="A3566" s="6"/>
      <c r="B3566" s="8"/>
      <c r="C3566" s="8"/>
      <c r="D3566" s="8"/>
      <c r="E3566" s="8"/>
      <c r="F3566" s="8"/>
      <c r="G3566" s="8"/>
      <c r="H3566" s="8"/>
      <c r="I3566" s="8"/>
      <c r="J3566" s="8"/>
      <c r="K3566" s="8"/>
      <c r="L3566" s="8"/>
      <c r="M3566" s="8"/>
      <c r="N3566" s="8"/>
      <c r="O3566" s="8"/>
      <c r="P3566" s="8"/>
      <c r="Q3566" s="8"/>
      <c r="R3566" s="8"/>
      <c r="S3566" s="8"/>
      <c r="T3566" s="8"/>
      <c r="U3566" s="8"/>
      <c r="V3566" s="8"/>
      <c r="W3566" s="8"/>
    </row>
    <row r="3567" spans="1:23" ht="15.75" customHeight="1" x14ac:dyDescent="0.25">
      <c r="A3567" s="6"/>
      <c r="B3567" s="8"/>
      <c r="C3567" s="8"/>
      <c r="D3567" s="8"/>
      <c r="E3567" s="8"/>
      <c r="F3567" s="8"/>
      <c r="G3567" s="8"/>
      <c r="H3567" s="8"/>
      <c r="I3567" s="8"/>
      <c r="J3567" s="8"/>
      <c r="K3567" s="8"/>
      <c r="L3567" s="8"/>
      <c r="M3567" s="8"/>
      <c r="N3567" s="8"/>
      <c r="O3567" s="8"/>
      <c r="P3567" s="8"/>
      <c r="Q3567" s="8"/>
      <c r="R3567" s="8"/>
      <c r="S3567" s="8"/>
      <c r="T3567" s="8"/>
      <c r="U3567" s="8"/>
      <c r="V3567" s="8"/>
      <c r="W3567" s="8"/>
    </row>
    <row r="3568" spans="1:23" ht="15.75" customHeight="1" x14ac:dyDescent="0.25">
      <c r="A3568" s="6"/>
      <c r="B3568" s="8"/>
      <c r="C3568" s="8"/>
      <c r="D3568" s="8"/>
      <c r="E3568" s="8"/>
      <c r="F3568" s="8"/>
      <c r="G3568" s="8"/>
      <c r="H3568" s="8"/>
      <c r="I3568" s="8"/>
      <c r="J3568" s="8"/>
      <c r="K3568" s="8"/>
      <c r="L3568" s="8"/>
      <c r="M3568" s="8"/>
      <c r="N3568" s="8"/>
      <c r="O3568" s="8"/>
      <c r="P3568" s="8"/>
      <c r="Q3568" s="8"/>
      <c r="R3568" s="8"/>
      <c r="S3568" s="8"/>
      <c r="T3568" s="8"/>
      <c r="U3568" s="8"/>
      <c r="V3568" s="8"/>
      <c r="W3568" s="8"/>
    </row>
    <row r="3569" spans="1:23" ht="15.75" customHeight="1" x14ac:dyDescent="0.25">
      <c r="A3569" s="6"/>
      <c r="B3569" s="8"/>
      <c r="C3569" s="8"/>
      <c r="D3569" s="8"/>
      <c r="E3569" s="8"/>
      <c r="F3569" s="8"/>
      <c r="G3569" s="8"/>
      <c r="H3569" s="8"/>
      <c r="I3569" s="8"/>
      <c r="J3569" s="8"/>
      <c r="K3569" s="8"/>
      <c r="L3569" s="8"/>
      <c r="M3569" s="8"/>
      <c r="N3569" s="8"/>
      <c r="O3569" s="8"/>
      <c r="P3569" s="8"/>
      <c r="Q3569" s="8"/>
      <c r="R3569" s="8"/>
      <c r="S3569" s="8"/>
      <c r="T3569" s="8"/>
      <c r="U3569" s="8"/>
      <c r="V3569" s="8"/>
      <c r="W3569" s="8"/>
    </row>
    <row r="3570" spans="1:23" ht="15.75" customHeight="1" x14ac:dyDescent="0.25">
      <c r="A3570" s="6"/>
      <c r="B3570" s="8"/>
      <c r="C3570" s="8"/>
      <c r="D3570" s="8"/>
      <c r="E3570" s="8"/>
      <c r="F3570" s="8"/>
      <c r="G3570" s="8"/>
      <c r="H3570" s="8"/>
      <c r="I3570" s="8"/>
      <c r="J3570" s="8"/>
      <c r="K3570" s="8"/>
      <c r="L3570" s="8"/>
      <c r="M3570" s="8"/>
      <c r="N3570" s="8"/>
      <c r="O3570" s="8"/>
      <c r="P3570" s="8"/>
      <c r="Q3570" s="8"/>
      <c r="R3570" s="8"/>
      <c r="S3570" s="8"/>
      <c r="T3570" s="8"/>
      <c r="U3570" s="8"/>
      <c r="V3570" s="8"/>
      <c r="W3570" s="8"/>
    </row>
    <row r="3571" spans="1:23" ht="15.75" customHeight="1" x14ac:dyDescent="0.25">
      <c r="A3571" s="6"/>
      <c r="B3571" s="8"/>
      <c r="C3571" s="8"/>
      <c r="D3571" s="8"/>
      <c r="E3571" s="8"/>
      <c r="F3571" s="8"/>
      <c r="G3571" s="8"/>
      <c r="H3571" s="8"/>
      <c r="I3571" s="8"/>
      <c r="J3571" s="8"/>
      <c r="K3571" s="8"/>
      <c r="L3571" s="8"/>
      <c r="M3571" s="8"/>
      <c r="N3571" s="8"/>
      <c r="O3571" s="8"/>
      <c r="P3571" s="8"/>
      <c r="Q3571" s="8"/>
      <c r="R3571" s="8"/>
      <c r="S3571" s="8"/>
      <c r="T3571" s="8"/>
      <c r="U3571" s="8"/>
      <c r="V3571" s="8"/>
      <c r="W3571" s="8"/>
    </row>
    <row r="3572" spans="1:23" ht="15.75" customHeight="1" x14ac:dyDescent="0.25">
      <c r="A3572" s="6"/>
      <c r="B3572" s="8"/>
      <c r="C3572" s="8"/>
      <c r="D3572" s="8"/>
      <c r="E3572" s="8"/>
      <c r="F3572" s="8"/>
      <c r="G3572" s="8"/>
      <c r="H3572" s="8"/>
      <c r="I3572" s="8"/>
      <c r="J3572" s="8"/>
      <c r="K3572" s="8"/>
      <c r="L3572" s="8"/>
      <c r="M3572" s="8"/>
      <c r="N3572" s="8"/>
      <c r="O3572" s="8"/>
      <c r="P3572" s="8"/>
      <c r="Q3572" s="8"/>
      <c r="R3572" s="8"/>
      <c r="S3572" s="8"/>
      <c r="T3572" s="8"/>
      <c r="U3572" s="8"/>
      <c r="V3572" s="8"/>
      <c r="W3572" s="8"/>
    </row>
    <row r="3573" spans="1:23" ht="15.75" customHeight="1" x14ac:dyDescent="0.25">
      <c r="A3573" s="6"/>
      <c r="B3573" s="8"/>
      <c r="C3573" s="8"/>
      <c r="D3573" s="8"/>
      <c r="E3573" s="8"/>
      <c r="F3573" s="8"/>
      <c r="G3573" s="8"/>
      <c r="H3573" s="8"/>
      <c r="I3573" s="8"/>
      <c r="J3573" s="8"/>
      <c r="K3573" s="8"/>
      <c r="L3573" s="8"/>
      <c r="M3573" s="8"/>
      <c r="N3573" s="8"/>
      <c r="O3573" s="8"/>
      <c r="P3573" s="8"/>
      <c r="Q3573" s="8"/>
      <c r="R3573" s="8"/>
      <c r="S3573" s="8"/>
      <c r="T3573" s="8"/>
      <c r="U3573" s="8"/>
      <c r="V3573" s="8"/>
      <c r="W3573" s="8"/>
    </row>
    <row r="3574" spans="1:23" ht="15.75" customHeight="1" x14ac:dyDescent="0.25">
      <c r="A3574" s="6"/>
      <c r="B3574" s="8"/>
      <c r="C3574" s="8"/>
      <c r="D3574" s="8"/>
      <c r="E3574" s="8"/>
      <c r="F3574" s="8"/>
      <c r="G3574" s="8"/>
      <c r="H3574" s="8"/>
      <c r="I3574" s="8"/>
      <c r="J3574" s="8"/>
      <c r="K3574" s="8"/>
      <c r="L3574" s="8"/>
      <c r="M3574" s="8"/>
      <c r="N3574" s="8"/>
      <c r="O3574" s="8"/>
      <c r="P3574" s="8"/>
      <c r="Q3574" s="8"/>
      <c r="R3574" s="8"/>
      <c r="S3574" s="8"/>
      <c r="T3574" s="8"/>
      <c r="U3574" s="8"/>
      <c r="V3574" s="8"/>
      <c r="W3574" s="8"/>
    </row>
    <row r="3575" spans="1:23" ht="15.75" customHeight="1" x14ac:dyDescent="0.25">
      <c r="A3575" s="6"/>
      <c r="B3575" s="8"/>
      <c r="C3575" s="8"/>
      <c r="D3575" s="8"/>
      <c r="E3575" s="8"/>
      <c r="F3575" s="8"/>
      <c r="G3575" s="8"/>
      <c r="H3575" s="8"/>
      <c r="I3575" s="8"/>
      <c r="J3575" s="8"/>
      <c r="K3575" s="8"/>
      <c r="L3575" s="8"/>
      <c r="M3575" s="8"/>
      <c r="N3575" s="8"/>
      <c r="O3575" s="8"/>
      <c r="P3575" s="8"/>
      <c r="Q3575" s="8"/>
      <c r="R3575" s="8"/>
      <c r="S3575" s="8"/>
      <c r="T3575" s="8"/>
      <c r="U3575" s="8"/>
      <c r="V3575" s="8"/>
      <c r="W3575" s="8"/>
    </row>
    <row r="3576" spans="1:23" ht="15.75" customHeight="1" x14ac:dyDescent="0.25">
      <c r="A3576" s="6"/>
      <c r="B3576" s="8"/>
      <c r="C3576" s="8"/>
      <c r="D3576" s="8"/>
      <c r="E3576" s="8"/>
      <c r="F3576" s="8"/>
      <c r="G3576" s="8"/>
      <c r="H3576" s="8"/>
      <c r="I3576" s="8"/>
      <c r="J3576" s="8"/>
      <c r="K3576" s="8"/>
      <c r="L3576" s="8"/>
      <c r="M3576" s="8"/>
      <c r="N3576" s="8"/>
      <c r="O3576" s="8"/>
      <c r="P3576" s="8"/>
      <c r="Q3576" s="8"/>
      <c r="R3576" s="8"/>
      <c r="S3576" s="8"/>
      <c r="T3576" s="8"/>
      <c r="U3576" s="8"/>
      <c r="V3576" s="8"/>
      <c r="W3576" s="8"/>
    </row>
    <row r="3577" spans="1:23" ht="15.75" customHeight="1" x14ac:dyDescent="0.25">
      <c r="A3577" s="6"/>
      <c r="B3577" s="8"/>
      <c r="C3577" s="8"/>
      <c r="D3577" s="8"/>
      <c r="E3577" s="8"/>
      <c r="F3577" s="8"/>
      <c r="G3577" s="8"/>
      <c r="H3577" s="8"/>
      <c r="I3577" s="8"/>
      <c r="J3577" s="8"/>
      <c r="K3577" s="8"/>
      <c r="L3577" s="8"/>
      <c r="M3577" s="8"/>
      <c r="N3577" s="8"/>
      <c r="O3577" s="8"/>
      <c r="P3577" s="8"/>
      <c r="Q3577" s="8"/>
      <c r="R3577" s="8"/>
      <c r="S3577" s="8"/>
      <c r="T3577" s="8"/>
      <c r="U3577" s="8"/>
      <c r="V3577" s="8"/>
      <c r="W3577" s="8"/>
    </row>
    <row r="3578" spans="1:23" ht="15.75" customHeight="1" x14ac:dyDescent="0.25">
      <c r="A3578" s="6"/>
      <c r="B3578" s="8"/>
      <c r="C3578" s="8"/>
      <c r="D3578" s="8"/>
      <c r="E3578" s="8"/>
      <c r="F3578" s="8"/>
      <c r="G3578" s="8"/>
      <c r="H3578" s="8"/>
      <c r="I3578" s="8"/>
      <c r="J3578" s="8"/>
      <c r="K3578" s="8"/>
      <c r="L3578" s="8"/>
      <c r="M3578" s="8"/>
      <c r="N3578" s="8"/>
      <c r="O3578" s="8"/>
      <c r="P3578" s="8"/>
      <c r="Q3578" s="8"/>
      <c r="R3578" s="8"/>
      <c r="S3578" s="8"/>
      <c r="T3578" s="8"/>
      <c r="U3578" s="8"/>
      <c r="V3578" s="8"/>
      <c r="W3578" s="8"/>
    </row>
    <row r="3579" spans="1:23" ht="15.75" customHeight="1" x14ac:dyDescent="0.25">
      <c r="A3579" s="6"/>
      <c r="B3579" s="8"/>
      <c r="C3579" s="8"/>
      <c r="D3579" s="8"/>
      <c r="E3579" s="8"/>
      <c r="F3579" s="8"/>
      <c r="G3579" s="8"/>
      <c r="H3579" s="8"/>
      <c r="I3579" s="8"/>
      <c r="J3579" s="8"/>
      <c r="K3579" s="8"/>
      <c r="L3579" s="8"/>
      <c r="M3579" s="8"/>
      <c r="N3579" s="8"/>
      <c r="O3579" s="8"/>
      <c r="P3579" s="8"/>
      <c r="Q3579" s="8"/>
      <c r="R3579" s="8"/>
      <c r="S3579" s="8"/>
      <c r="T3579" s="8"/>
      <c r="U3579" s="8"/>
      <c r="V3579" s="8"/>
      <c r="W3579" s="8"/>
    </row>
    <row r="3580" spans="1:23" ht="15.75" customHeight="1" x14ac:dyDescent="0.25">
      <c r="A3580" s="6"/>
      <c r="B3580" s="8"/>
      <c r="C3580" s="8"/>
      <c r="D3580" s="8"/>
      <c r="E3580" s="8"/>
      <c r="F3580" s="8"/>
      <c r="G3580" s="8"/>
      <c r="H3580" s="8"/>
      <c r="I3580" s="8"/>
      <c r="J3580" s="8"/>
      <c r="K3580" s="8"/>
      <c r="L3580" s="8"/>
      <c r="M3580" s="8"/>
      <c r="N3580" s="8"/>
      <c r="O3580" s="8"/>
      <c r="P3580" s="8"/>
      <c r="Q3580" s="8"/>
      <c r="R3580" s="8"/>
      <c r="S3580" s="8"/>
      <c r="T3580" s="8"/>
      <c r="U3580" s="8"/>
      <c r="V3580" s="8"/>
      <c r="W3580" s="8"/>
    </row>
    <row r="3581" spans="1:23" ht="15.75" customHeight="1" x14ac:dyDescent="0.25">
      <c r="A3581" s="6"/>
      <c r="B3581" s="8"/>
      <c r="C3581" s="8"/>
      <c r="D3581" s="8"/>
      <c r="E3581" s="8"/>
      <c r="F3581" s="8"/>
      <c r="G3581" s="8"/>
      <c r="H3581" s="8"/>
      <c r="I3581" s="8"/>
      <c r="J3581" s="8"/>
      <c r="K3581" s="8"/>
      <c r="L3581" s="8"/>
      <c r="M3581" s="8"/>
      <c r="N3581" s="8"/>
      <c r="O3581" s="8"/>
      <c r="P3581" s="8"/>
      <c r="Q3581" s="8"/>
      <c r="R3581" s="8"/>
      <c r="S3581" s="8"/>
      <c r="T3581" s="8"/>
      <c r="U3581" s="8"/>
      <c r="V3581" s="8"/>
      <c r="W3581" s="8"/>
    </row>
    <row r="3582" spans="1:23" ht="15.75" customHeight="1" x14ac:dyDescent="0.25">
      <c r="A3582" s="6"/>
      <c r="B3582" s="8"/>
      <c r="C3582" s="8"/>
      <c r="D3582" s="8"/>
      <c r="E3582" s="8"/>
      <c r="F3582" s="8"/>
      <c r="G3582" s="8"/>
      <c r="H3582" s="8"/>
      <c r="I3582" s="8"/>
      <c r="J3582" s="8"/>
      <c r="K3582" s="8"/>
      <c r="L3582" s="8"/>
      <c r="M3582" s="8"/>
      <c r="N3582" s="8"/>
      <c r="O3582" s="8"/>
      <c r="P3582" s="8"/>
      <c r="Q3582" s="8"/>
      <c r="R3582" s="8"/>
      <c r="S3582" s="8"/>
      <c r="T3582" s="8"/>
      <c r="U3582" s="8"/>
      <c r="V3582" s="8"/>
      <c r="W3582" s="8"/>
    </row>
    <row r="3583" spans="1:23" ht="15.75" customHeight="1" x14ac:dyDescent="0.25">
      <c r="A3583" s="6"/>
      <c r="B3583" s="8"/>
      <c r="C3583" s="8"/>
      <c r="D3583" s="8"/>
      <c r="E3583" s="8"/>
      <c r="F3583" s="8"/>
      <c r="G3583" s="8"/>
      <c r="H3583" s="8"/>
      <c r="I3583" s="8"/>
      <c r="J3583" s="8"/>
      <c r="K3583" s="8"/>
      <c r="L3583" s="8"/>
      <c r="M3583" s="8"/>
      <c r="N3583" s="8"/>
      <c r="O3583" s="8"/>
      <c r="P3583" s="8"/>
      <c r="Q3583" s="8"/>
      <c r="R3583" s="8"/>
      <c r="S3583" s="8"/>
      <c r="T3583" s="8"/>
      <c r="U3583" s="8"/>
      <c r="V3583" s="8"/>
      <c r="W3583" s="8"/>
    </row>
    <row r="3584" spans="1:23" ht="15.75" customHeight="1" x14ac:dyDescent="0.25">
      <c r="A3584" s="6"/>
      <c r="B3584" s="8"/>
      <c r="C3584" s="8"/>
      <c r="D3584" s="8"/>
      <c r="E3584" s="8"/>
      <c r="F3584" s="8"/>
      <c r="G3584" s="8"/>
      <c r="H3584" s="8"/>
      <c r="I3584" s="8"/>
      <c r="J3584" s="8"/>
      <c r="K3584" s="8"/>
      <c r="L3584" s="8"/>
      <c r="M3584" s="8"/>
      <c r="N3584" s="8"/>
      <c r="O3584" s="8"/>
      <c r="P3584" s="8"/>
      <c r="Q3584" s="8"/>
      <c r="R3584" s="8"/>
      <c r="S3584" s="8"/>
      <c r="T3584" s="8"/>
      <c r="U3584" s="8"/>
      <c r="V3584" s="8"/>
      <c r="W3584" s="8"/>
    </row>
    <row r="3585" spans="1:23" ht="15.75" customHeight="1" x14ac:dyDescent="0.25">
      <c r="A3585" s="6"/>
      <c r="B3585" s="8"/>
      <c r="C3585" s="8"/>
      <c r="D3585" s="8"/>
      <c r="E3585" s="8"/>
      <c r="F3585" s="8"/>
      <c r="G3585" s="8"/>
      <c r="H3585" s="8"/>
      <c r="I3585" s="8"/>
      <c r="J3585" s="8"/>
      <c r="K3585" s="8"/>
      <c r="L3585" s="8"/>
      <c r="M3585" s="8"/>
      <c r="N3585" s="8"/>
      <c r="O3585" s="8"/>
      <c r="P3585" s="8"/>
      <c r="Q3585" s="8"/>
      <c r="R3585" s="8"/>
      <c r="S3585" s="8"/>
      <c r="T3585" s="8"/>
      <c r="U3585" s="8"/>
      <c r="V3585" s="8"/>
      <c r="W3585" s="8"/>
    </row>
    <row r="3586" spans="1:23" ht="15.75" customHeight="1" x14ac:dyDescent="0.25">
      <c r="A3586" s="6"/>
      <c r="B3586" s="8"/>
      <c r="C3586" s="8"/>
      <c r="D3586" s="8"/>
      <c r="E3586" s="8"/>
      <c r="F3586" s="8"/>
      <c r="G3586" s="8"/>
      <c r="H3586" s="8"/>
      <c r="I3586" s="8"/>
      <c r="J3586" s="8"/>
      <c r="K3586" s="8"/>
      <c r="L3586" s="8"/>
      <c r="M3586" s="8"/>
      <c r="N3586" s="8"/>
      <c r="O3586" s="8"/>
      <c r="P3586" s="8"/>
      <c r="Q3586" s="8"/>
      <c r="R3586" s="8"/>
      <c r="S3586" s="8"/>
      <c r="T3586" s="8"/>
      <c r="U3586" s="8"/>
      <c r="V3586" s="8"/>
      <c r="W3586" s="8"/>
    </row>
    <row r="3587" spans="1:23" ht="15.75" customHeight="1" x14ac:dyDescent="0.25">
      <c r="A3587" s="6"/>
      <c r="B3587" s="8"/>
      <c r="C3587" s="8"/>
      <c r="D3587" s="8"/>
      <c r="E3587" s="8"/>
      <c r="F3587" s="8"/>
      <c r="G3587" s="8"/>
      <c r="H3587" s="8"/>
      <c r="I3587" s="8"/>
      <c r="J3587" s="8"/>
      <c r="K3587" s="8"/>
      <c r="L3587" s="8"/>
      <c r="M3587" s="8"/>
      <c r="N3587" s="8"/>
      <c r="O3587" s="8"/>
      <c r="P3587" s="8"/>
      <c r="Q3587" s="8"/>
      <c r="R3587" s="8"/>
      <c r="S3587" s="8"/>
      <c r="T3587" s="8"/>
      <c r="U3587" s="8"/>
      <c r="V3587" s="8"/>
      <c r="W3587" s="8"/>
    </row>
    <row r="3588" spans="1:23" ht="15.75" customHeight="1" x14ac:dyDescent="0.25">
      <c r="A3588" s="6"/>
      <c r="B3588" s="8"/>
      <c r="C3588" s="8"/>
      <c r="D3588" s="8"/>
      <c r="E3588" s="8"/>
      <c r="F3588" s="8"/>
      <c r="G3588" s="8"/>
      <c r="H3588" s="8"/>
      <c r="I3588" s="8"/>
      <c r="J3588" s="8"/>
      <c r="K3588" s="8"/>
      <c r="L3588" s="8"/>
      <c r="M3588" s="8"/>
      <c r="N3588" s="8"/>
      <c r="O3588" s="8"/>
      <c r="P3588" s="8"/>
      <c r="Q3588" s="8"/>
      <c r="R3588" s="8"/>
      <c r="S3588" s="8"/>
      <c r="T3588" s="8"/>
      <c r="U3588" s="8"/>
      <c r="V3588" s="8"/>
      <c r="W3588" s="8"/>
    </row>
    <row r="3589" spans="1:23" ht="15.75" customHeight="1" x14ac:dyDescent="0.25">
      <c r="A3589" s="6"/>
      <c r="B3589" s="8"/>
      <c r="C3589" s="8"/>
      <c r="D3589" s="8"/>
      <c r="E3589" s="8"/>
      <c r="F3589" s="8"/>
      <c r="G3589" s="8"/>
      <c r="H3589" s="8"/>
      <c r="I3589" s="8"/>
      <c r="J3589" s="8"/>
      <c r="K3589" s="8"/>
      <c r="L3589" s="8"/>
      <c r="M3589" s="8"/>
      <c r="N3589" s="8"/>
      <c r="O3589" s="8"/>
      <c r="P3589" s="8"/>
      <c r="Q3589" s="8"/>
      <c r="R3589" s="8"/>
      <c r="S3589" s="8"/>
      <c r="T3589" s="8"/>
      <c r="U3589" s="8"/>
      <c r="V3589" s="8"/>
      <c r="W3589" s="8"/>
    </row>
    <row r="3590" spans="1:23" ht="15.75" customHeight="1" x14ac:dyDescent="0.25">
      <c r="A3590" s="6"/>
      <c r="B3590" s="8"/>
      <c r="C3590" s="8"/>
      <c r="D3590" s="8"/>
      <c r="E3590" s="8"/>
      <c r="F3590" s="8"/>
      <c r="G3590" s="8"/>
      <c r="H3590" s="8"/>
      <c r="I3590" s="8"/>
      <c r="J3590" s="8"/>
      <c r="K3590" s="8"/>
      <c r="L3590" s="8"/>
      <c r="M3590" s="8"/>
      <c r="N3590" s="8"/>
      <c r="O3590" s="8"/>
      <c r="P3590" s="8"/>
      <c r="Q3590" s="8"/>
      <c r="R3590" s="8"/>
      <c r="S3590" s="8"/>
      <c r="T3590" s="8"/>
      <c r="U3590" s="8"/>
      <c r="V3590" s="8"/>
      <c r="W3590" s="8"/>
    </row>
    <row r="3591" spans="1:23" ht="15.75" customHeight="1" x14ac:dyDescent="0.25">
      <c r="A3591" s="6"/>
      <c r="B3591" s="8"/>
      <c r="C3591" s="8"/>
      <c r="D3591" s="8"/>
      <c r="E3591" s="8"/>
      <c r="F3591" s="8"/>
      <c r="G3591" s="8"/>
      <c r="H3591" s="8"/>
      <c r="I3591" s="8"/>
      <c r="J3591" s="8"/>
      <c r="K3591" s="8"/>
      <c r="L3591" s="8"/>
      <c r="M3591" s="8"/>
      <c r="N3591" s="8"/>
      <c r="O3591" s="8"/>
      <c r="P3591" s="8"/>
      <c r="Q3591" s="8"/>
      <c r="R3591" s="8"/>
      <c r="S3591" s="8"/>
      <c r="T3591" s="8"/>
      <c r="U3591" s="8"/>
      <c r="V3591" s="8"/>
      <c r="W3591" s="8"/>
    </row>
    <row r="3592" spans="1:23" ht="15.75" customHeight="1" x14ac:dyDescent="0.25">
      <c r="A3592" s="6"/>
      <c r="B3592" s="8"/>
      <c r="C3592" s="8"/>
      <c r="D3592" s="8"/>
      <c r="E3592" s="8"/>
      <c r="F3592" s="8"/>
      <c r="G3592" s="8"/>
      <c r="H3592" s="8"/>
      <c r="I3592" s="8"/>
      <c r="J3592" s="8"/>
      <c r="K3592" s="8"/>
      <c r="L3592" s="8"/>
      <c r="M3592" s="8"/>
      <c r="N3592" s="8"/>
      <c r="O3592" s="8"/>
      <c r="P3592" s="8"/>
      <c r="Q3592" s="8"/>
      <c r="R3592" s="8"/>
      <c r="S3592" s="8"/>
      <c r="T3592" s="8"/>
      <c r="U3592" s="8"/>
      <c r="V3592" s="8"/>
      <c r="W3592" s="8"/>
    </row>
    <row r="3593" spans="1:23" ht="15.75" customHeight="1" x14ac:dyDescent="0.25">
      <c r="A3593" s="6"/>
      <c r="B3593" s="8"/>
      <c r="C3593" s="8"/>
      <c r="D3593" s="8"/>
      <c r="E3593" s="8"/>
      <c r="F3593" s="8"/>
      <c r="G3593" s="8"/>
      <c r="H3593" s="8"/>
      <c r="I3593" s="8"/>
      <c r="J3593" s="8"/>
      <c r="K3593" s="8"/>
      <c r="L3593" s="8"/>
      <c r="M3593" s="8"/>
      <c r="N3593" s="8"/>
      <c r="O3593" s="8"/>
      <c r="P3593" s="8"/>
      <c r="Q3593" s="8"/>
      <c r="R3593" s="8"/>
      <c r="S3593" s="8"/>
      <c r="T3593" s="8"/>
      <c r="U3593" s="8"/>
      <c r="V3593" s="8"/>
      <c r="W3593" s="8"/>
    </row>
    <row r="3594" spans="1:23" ht="15.75" customHeight="1" x14ac:dyDescent="0.25">
      <c r="A3594" s="6"/>
      <c r="B3594" s="8"/>
      <c r="C3594" s="8"/>
      <c r="D3594" s="8"/>
      <c r="E3594" s="8"/>
      <c r="F3594" s="8"/>
      <c r="G3594" s="8"/>
      <c r="H3594" s="8"/>
      <c r="I3594" s="8"/>
      <c r="J3594" s="8"/>
      <c r="K3594" s="8"/>
      <c r="L3594" s="8"/>
      <c r="M3594" s="8"/>
      <c r="N3594" s="8"/>
      <c r="O3594" s="8"/>
      <c r="P3594" s="8"/>
      <c r="Q3594" s="8"/>
      <c r="R3594" s="8"/>
      <c r="S3594" s="8"/>
      <c r="T3594" s="8"/>
      <c r="U3594" s="8"/>
      <c r="V3594" s="8"/>
      <c r="W3594" s="8"/>
    </row>
    <row r="3595" spans="1:23" ht="15.75" customHeight="1" x14ac:dyDescent="0.25">
      <c r="A3595" s="6"/>
      <c r="B3595" s="8"/>
      <c r="C3595" s="8"/>
      <c r="D3595" s="8"/>
      <c r="E3595" s="8"/>
      <c r="F3595" s="8"/>
      <c r="G3595" s="8"/>
      <c r="H3595" s="8"/>
      <c r="I3595" s="8"/>
      <c r="J3595" s="8"/>
      <c r="K3595" s="8"/>
      <c r="L3595" s="8"/>
      <c r="M3595" s="8"/>
      <c r="N3595" s="8"/>
      <c r="O3595" s="8"/>
      <c r="P3595" s="8"/>
      <c r="Q3595" s="8"/>
      <c r="R3595" s="8"/>
      <c r="S3595" s="8"/>
      <c r="T3595" s="8"/>
      <c r="U3595" s="8"/>
      <c r="V3595" s="8"/>
      <c r="W3595" s="8"/>
    </row>
    <row r="3596" spans="1:23" ht="15.75" customHeight="1" x14ac:dyDescent="0.25">
      <c r="A3596" s="6"/>
      <c r="B3596" s="8"/>
      <c r="C3596" s="8"/>
      <c r="D3596" s="8"/>
      <c r="E3596" s="8"/>
      <c r="F3596" s="8"/>
      <c r="G3596" s="8"/>
      <c r="H3596" s="8"/>
      <c r="I3596" s="8"/>
      <c r="J3596" s="8"/>
      <c r="K3596" s="8"/>
      <c r="L3596" s="8"/>
      <c r="M3596" s="8"/>
      <c r="N3596" s="8"/>
      <c r="O3596" s="8"/>
      <c r="P3596" s="8"/>
      <c r="Q3596" s="8"/>
      <c r="R3596" s="8"/>
      <c r="S3596" s="8"/>
      <c r="T3596" s="8"/>
      <c r="U3596" s="8"/>
      <c r="V3596" s="8"/>
      <c r="W3596" s="8"/>
    </row>
    <row r="3597" spans="1:23" ht="15.75" customHeight="1" x14ac:dyDescent="0.25">
      <c r="A3597" s="6"/>
      <c r="B3597" s="8"/>
      <c r="C3597" s="8"/>
      <c r="D3597" s="8"/>
      <c r="E3597" s="8"/>
      <c r="F3597" s="8"/>
      <c r="G3597" s="8"/>
      <c r="H3597" s="8"/>
      <c r="I3597" s="8"/>
      <c r="J3597" s="8"/>
      <c r="K3597" s="8"/>
      <c r="L3597" s="8"/>
      <c r="M3597" s="8"/>
      <c r="N3597" s="8"/>
      <c r="O3597" s="8"/>
      <c r="P3597" s="8"/>
      <c r="Q3597" s="8"/>
      <c r="R3597" s="8"/>
      <c r="S3597" s="8"/>
      <c r="T3597" s="8"/>
      <c r="U3597" s="8"/>
      <c r="V3597" s="8"/>
      <c r="W3597" s="8"/>
    </row>
    <row r="3598" spans="1:23" ht="15.75" customHeight="1" x14ac:dyDescent="0.25">
      <c r="A3598" s="6"/>
      <c r="B3598" s="8"/>
      <c r="C3598" s="8"/>
      <c r="D3598" s="8"/>
      <c r="E3598" s="8"/>
      <c r="F3598" s="8"/>
      <c r="G3598" s="8"/>
      <c r="H3598" s="8"/>
      <c r="I3598" s="8"/>
      <c r="J3598" s="8"/>
      <c r="K3598" s="8"/>
      <c r="L3598" s="8"/>
      <c r="M3598" s="8"/>
      <c r="N3598" s="8"/>
      <c r="O3598" s="8"/>
      <c r="P3598" s="8"/>
      <c r="Q3598" s="8"/>
      <c r="R3598" s="8"/>
      <c r="S3598" s="8"/>
      <c r="T3598" s="8"/>
      <c r="U3598" s="8"/>
      <c r="V3598" s="8"/>
      <c r="W3598" s="8"/>
    </row>
    <row r="3599" spans="1:23" ht="15.75" customHeight="1" x14ac:dyDescent="0.25">
      <c r="A3599" s="6"/>
      <c r="B3599" s="8"/>
      <c r="C3599" s="8"/>
      <c r="D3599" s="8"/>
      <c r="E3599" s="8"/>
      <c r="F3599" s="8"/>
      <c r="G3599" s="8"/>
      <c r="H3599" s="8"/>
      <c r="I3599" s="8"/>
      <c r="J3599" s="8"/>
      <c r="K3599" s="8"/>
      <c r="L3599" s="8"/>
      <c r="M3599" s="8"/>
      <c r="N3599" s="8"/>
      <c r="O3599" s="8"/>
      <c r="P3599" s="8"/>
      <c r="Q3599" s="8"/>
      <c r="R3599" s="8"/>
      <c r="S3599" s="8"/>
      <c r="T3599" s="8"/>
      <c r="U3599" s="8"/>
      <c r="V3599" s="8"/>
      <c r="W3599" s="8"/>
    </row>
    <row r="3600" spans="1:23" ht="15.75" customHeight="1" x14ac:dyDescent="0.25">
      <c r="A3600" s="6"/>
      <c r="B3600" s="8"/>
      <c r="C3600" s="8"/>
      <c r="D3600" s="8"/>
      <c r="E3600" s="8"/>
      <c r="F3600" s="8"/>
      <c r="G3600" s="8"/>
      <c r="H3600" s="8"/>
      <c r="I3600" s="8"/>
      <c r="J3600" s="8"/>
      <c r="K3600" s="8"/>
      <c r="L3600" s="8"/>
      <c r="M3600" s="8"/>
      <c r="N3600" s="8"/>
      <c r="O3600" s="8"/>
      <c r="P3600" s="8"/>
      <c r="Q3600" s="8"/>
      <c r="R3600" s="8"/>
      <c r="S3600" s="8"/>
      <c r="T3600" s="8"/>
      <c r="U3600" s="8"/>
      <c r="V3600" s="8"/>
      <c r="W3600" s="8"/>
    </row>
    <row r="3601" spans="1:23" ht="15.75" customHeight="1" x14ac:dyDescent="0.25">
      <c r="A3601" s="6"/>
      <c r="B3601" s="8"/>
      <c r="C3601" s="8"/>
      <c r="D3601" s="8"/>
      <c r="E3601" s="8"/>
      <c r="F3601" s="8"/>
      <c r="G3601" s="8"/>
      <c r="H3601" s="8"/>
      <c r="I3601" s="8"/>
      <c r="J3601" s="8"/>
      <c r="K3601" s="8"/>
      <c r="L3601" s="8"/>
      <c r="M3601" s="8"/>
      <c r="N3601" s="8"/>
      <c r="O3601" s="8"/>
      <c r="P3601" s="8"/>
      <c r="Q3601" s="8"/>
      <c r="R3601" s="8"/>
      <c r="S3601" s="8"/>
      <c r="T3601" s="8"/>
      <c r="U3601" s="8"/>
      <c r="V3601" s="8"/>
      <c r="W3601" s="8"/>
    </row>
    <row r="3602" spans="1:23" ht="15.75" customHeight="1" x14ac:dyDescent="0.25">
      <c r="A3602" s="6"/>
      <c r="B3602" s="8"/>
      <c r="C3602" s="8"/>
      <c r="D3602" s="8"/>
      <c r="E3602" s="8"/>
      <c r="F3602" s="8"/>
      <c r="G3602" s="8"/>
      <c r="H3602" s="8"/>
      <c r="I3602" s="8"/>
      <c r="J3602" s="8"/>
      <c r="K3602" s="8"/>
      <c r="L3602" s="8"/>
      <c r="M3602" s="8"/>
      <c r="N3602" s="8"/>
      <c r="O3602" s="8"/>
      <c r="P3602" s="8"/>
      <c r="Q3602" s="8"/>
      <c r="R3602" s="8"/>
      <c r="S3602" s="8"/>
      <c r="T3602" s="8"/>
      <c r="U3602" s="8"/>
      <c r="V3602" s="8"/>
      <c r="W3602" s="8"/>
    </row>
    <row r="3603" spans="1:23" ht="15.75" customHeight="1" x14ac:dyDescent="0.25">
      <c r="A3603" s="6"/>
      <c r="B3603" s="8"/>
      <c r="C3603" s="8"/>
      <c r="D3603" s="8"/>
      <c r="E3603" s="8"/>
      <c r="F3603" s="8"/>
      <c r="G3603" s="8"/>
      <c r="H3603" s="8"/>
      <c r="I3603" s="8"/>
      <c r="J3603" s="8"/>
      <c r="K3603" s="8"/>
      <c r="L3603" s="8"/>
      <c r="M3603" s="8"/>
      <c r="N3603" s="8"/>
      <c r="O3603" s="8"/>
      <c r="P3603" s="8"/>
      <c r="Q3603" s="8"/>
      <c r="R3603" s="8"/>
      <c r="S3603" s="8"/>
      <c r="T3603" s="8"/>
      <c r="U3603" s="8"/>
      <c r="V3603" s="8"/>
      <c r="W3603" s="8"/>
    </row>
    <row r="3604" spans="1:23" ht="15.75" customHeight="1" x14ac:dyDescent="0.25">
      <c r="A3604" s="6"/>
      <c r="B3604" s="8"/>
      <c r="C3604" s="8"/>
      <c r="D3604" s="8"/>
      <c r="E3604" s="8"/>
      <c r="F3604" s="8"/>
      <c r="G3604" s="8"/>
      <c r="H3604" s="8"/>
      <c r="I3604" s="8"/>
      <c r="J3604" s="8"/>
      <c r="K3604" s="8"/>
      <c r="L3604" s="8"/>
      <c r="M3604" s="8"/>
      <c r="N3604" s="8"/>
      <c r="O3604" s="8"/>
      <c r="P3604" s="8"/>
      <c r="Q3604" s="8"/>
      <c r="R3604" s="8"/>
      <c r="S3604" s="8"/>
      <c r="T3604" s="8"/>
      <c r="U3604" s="8"/>
      <c r="V3604" s="8"/>
      <c r="W3604" s="8"/>
    </row>
    <row r="3605" spans="1:23" ht="15.75" customHeight="1" x14ac:dyDescent="0.25">
      <c r="A3605" s="6"/>
      <c r="B3605" s="8"/>
      <c r="C3605" s="8"/>
      <c r="D3605" s="8"/>
      <c r="E3605" s="8"/>
      <c r="F3605" s="8"/>
      <c r="G3605" s="8"/>
      <c r="H3605" s="8"/>
      <c r="I3605" s="8"/>
      <c r="J3605" s="8"/>
      <c r="K3605" s="8"/>
      <c r="L3605" s="8"/>
      <c r="M3605" s="8"/>
      <c r="N3605" s="8"/>
      <c r="O3605" s="8"/>
      <c r="P3605" s="8"/>
      <c r="Q3605" s="8"/>
      <c r="R3605" s="8"/>
      <c r="S3605" s="8"/>
      <c r="T3605" s="8"/>
      <c r="U3605" s="8"/>
      <c r="V3605" s="8"/>
      <c r="W3605" s="8"/>
    </row>
    <row r="3606" spans="1:23" ht="15.75" customHeight="1" x14ac:dyDescent="0.25">
      <c r="A3606" s="6"/>
      <c r="B3606" s="8"/>
      <c r="C3606" s="8"/>
      <c r="D3606" s="8"/>
      <c r="E3606" s="8"/>
      <c r="F3606" s="8"/>
      <c r="G3606" s="8"/>
      <c r="H3606" s="8"/>
      <c r="I3606" s="8"/>
      <c r="J3606" s="8"/>
      <c r="K3606" s="8"/>
      <c r="L3606" s="8"/>
      <c r="M3606" s="8"/>
      <c r="N3606" s="8"/>
      <c r="O3606" s="8"/>
      <c r="P3606" s="8"/>
      <c r="Q3606" s="8"/>
      <c r="R3606" s="8"/>
      <c r="S3606" s="8"/>
      <c r="T3606" s="8"/>
      <c r="U3606" s="8"/>
      <c r="V3606" s="8"/>
      <c r="W3606" s="8"/>
    </row>
    <row r="3607" spans="1:23" ht="15.75" customHeight="1" x14ac:dyDescent="0.25">
      <c r="A3607" s="6"/>
      <c r="B3607" s="8"/>
      <c r="C3607" s="8"/>
      <c r="D3607" s="8"/>
      <c r="E3607" s="8"/>
      <c r="F3607" s="8"/>
      <c r="G3607" s="8"/>
      <c r="H3607" s="8"/>
      <c r="I3607" s="8"/>
      <c r="J3607" s="8"/>
      <c r="K3607" s="8"/>
      <c r="L3607" s="8"/>
      <c r="M3607" s="8"/>
      <c r="N3607" s="8"/>
      <c r="O3607" s="8"/>
      <c r="P3607" s="8"/>
      <c r="Q3607" s="8"/>
      <c r="R3607" s="8"/>
      <c r="S3607" s="8"/>
      <c r="T3607" s="8"/>
      <c r="U3607" s="8"/>
      <c r="V3607" s="8"/>
      <c r="W3607" s="8"/>
    </row>
    <row r="3608" spans="1:23" ht="15.75" customHeight="1" x14ac:dyDescent="0.25">
      <c r="A3608" s="6"/>
      <c r="B3608" s="8"/>
      <c r="C3608" s="8"/>
      <c r="D3608" s="8"/>
      <c r="E3608" s="8"/>
      <c r="F3608" s="8"/>
      <c r="G3608" s="8"/>
      <c r="H3608" s="8"/>
      <c r="I3608" s="8"/>
      <c r="J3608" s="8"/>
      <c r="K3608" s="8"/>
      <c r="L3608" s="8"/>
      <c r="M3608" s="8"/>
      <c r="N3608" s="8"/>
      <c r="O3608" s="8"/>
      <c r="P3608" s="8"/>
      <c r="Q3608" s="8"/>
      <c r="R3608" s="8"/>
      <c r="S3608" s="8"/>
      <c r="T3608" s="8"/>
      <c r="U3608" s="8"/>
      <c r="V3608" s="8"/>
      <c r="W3608" s="8"/>
    </row>
    <row r="3609" spans="1:23" ht="15.75" customHeight="1" x14ac:dyDescent="0.25">
      <c r="A3609" s="6"/>
      <c r="B3609" s="8"/>
      <c r="C3609" s="8"/>
      <c r="D3609" s="8"/>
      <c r="E3609" s="8"/>
      <c r="F3609" s="8"/>
      <c r="G3609" s="8"/>
      <c r="H3609" s="8"/>
      <c r="I3609" s="8"/>
      <c r="J3609" s="8"/>
      <c r="K3609" s="8"/>
      <c r="L3609" s="8"/>
      <c r="M3609" s="8"/>
      <c r="N3609" s="8"/>
      <c r="O3609" s="8"/>
      <c r="P3609" s="8"/>
      <c r="Q3609" s="8"/>
      <c r="R3609" s="8"/>
      <c r="S3609" s="8"/>
      <c r="T3609" s="8"/>
      <c r="U3609" s="8"/>
      <c r="V3609" s="8"/>
      <c r="W3609" s="8"/>
    </row>
    <row r="3610" spans="1:23" ht="15.75" customHeight="1" x14ac:dyDescent="0.25">
      <c r="A3610" s="6"/>
      <c r="B3610" s="8"/>
      <c r="C3610" s="8"/>
      <c r="D3610" s="8"/>
      <c r="E3610" s="8"/>
      <c r="F3610" s="8"/>
      <c r="G3610" s="8"/>
      <c r="H3610" s="8"/>
      <c r="I3610" s="8"/>
      <c r="J3610" s="8"/>
      <c r="K3610" s="8"/>
      <c r="L3610" s="8"/>
      <c r="M3610" s="8"/>
      <c r="N3610" s="8"/>
      <c r="O3610" s="8"/>
      <c r="P3610" s="8"/>
      <c r="Q3610" s="8"/>
      <c r="R3610" s="8"/>
      <c r="S3610" s="8"/>
      <c r="T3610" s="8"/>
      <c r="U3610" s="8"/>
      <c r="V3610" s="8"/>
      <c r="W3610" s="8"/>
    </row>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9</vt:i4>
      </vt:variant>
    </vt:vector>
  </HeadingPairs>
  <TitlesOfParts>
    <vt:vector size="9" baseType="lpstr">
      <vt:lpstr>Feuil1</vt:lpstr>
      <vt:lpstr>Form responses</vt:lpstr>
      <vt:lpstr>Sum Results</vt:lpstr>
      <vt:lpstr>Enjoy the most</vt:lpstr>
      <vt:lpstr>Game Mode</vt:lpstr>
      <vt:lpstr>Purhcase Purpose</vt:lpstr>
      <vt:lpstr>Top 5</vt:lpstr>
      <vt:lpstr>Fav Master</vt:lpstr>
      <vt:lpstr>Games played</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Sacha</dc:creator>
  <cp:lastModifiedBy>Sacha Vetu</cp:lastModifiedBy>
  <dcterms:created xsi:type="dcterms:W3CDTF">2020-02-10T12:21:52Z</dcterms:created>
  <dcterms:modified xsi:type="dcterms:W3CDTF">2020-02-10T12:21:52Z</dcterms:modified>
</cp:coreProperties>
</file>