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showInkAnnotation="0" defaultThemeVersion="166925"/>
  <xr:revisionPtr revIDLastSave="0" documentId="13_ncr:1_{81234715-B9FC-3B48-B928-224ADBB83D1C}" xr6:coauthVersionLast="45" xr6:coauthVersionMax="45" xr10:uidLastSave="{00000000-0000-0000-0000-000000000000}"/>
  <bookViews>
    <workbookView xWindow="0" yWindow="0" windowWidth="0" windowHeight="0" activeTab="2" xr2:uid="{00000000-000D-0000-FFFF-FFFF00000000}"/>
  </bookViews>
  <sheets>
    <sheet name="Planning" sheetId="2" r:id="rId1"/>
    <sheet name="Plan de financement" sheetId="9" r:id="rId2"/>
    <sheet name="Investissement" sheetId="14" r:id="rId3"/>
    <sheet name="Recettes Prev" sheetId="4" r:id="rId4"/>
    <sheet name="Charges exploitation" sheetId="1" r:id="rId5"/>
    <sheet name="BUDGET" sheetId="5" r:id="rId6"/>
    <sheet name="Trésorerie Prévisionnel" sheetId="12" r:id="rId7"/>
    <sheet name="Compte d'exploitation Prev" sheetId="8" r:id="rId8"/>
    <sheet name="BFR" sheetId="13" r:id="rId9"/>
    <sheet name="Rembours Emprunt" sheetId="7" r:id="rId10"/>
    <sheet name="Amortissements Emprunt" sheetId="11" r:id="rId1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9" l="1"/>
  <c r="C5" i="9"/>
  <c r="D5" i="9"/>
  <c r="E5" i="9"/>
  <c r="E11" i="2"/>
  <c r="E13" i="2"/>
  <c r="E22" i="2"/>
  <c r="F22" i="2"/>
  <c r="E33" i="2"/>
  <c r="F33" i="2"/>
  <c r="E34" i="2"/>
  <c r="F34" i="2"/>
  <c r="E36" i="2"/>
  <c r="F36" i="2"/>
  <c r="E39" i="2"/>
  <c r="E40" i="2"/>
  <c r="B8" i="9"/>
  <c r="C8" i="9"/>
  <c r="D8" i="9"/>
  <c r="D7" i="14"/>
  <c r="E8" i="9"/>
  <c r="F5" i="9"/>
  <c r="F8" i="9"/>
  <c r="G5" i="9"/>
  <c r="G8" i="9"/>
  <c r="H5" i="9"/>
  <c r="H8" i="9"/>
  <c r="I5" i="9"/>
  <c r="I8" i="9"/>
  <c r="B9" i="9"/>
  <c r="C9" i="9"/>
  <c r="D8" i="14"/>
  <c r="D9" i="9"/>
  <c r="E9" i="9"/>
  <c r="F9" i="9"/>
  <c r="G9" i="9"/>
  <c r="H9" i="9"/>
  <c r="I9" i="9"/>
  <c r="B10" i="9"/>
  <c r="C10" i="9"/>
  <c r="D10" i="9"/>
  <c r="D9" i="14"/>
  <c r="E10" i="9"/>
  <c r="F10" i="9"/>
  <c r="G10" i="9"/>
  <c r="H10" i="9"/>
  <c r="I10" i="9"/>
  <c r="B11" i="9"/>
  <c r="C11" i="9"/>
  <c r="D11" i="9"/>
  <c r="D10" i="14"/>
  <c r="E11" i="9"/>
  <c r="F11" i="9"/>
  <c r="G11" i="9"/>
  <c r="H11" i="9"/>
  <c r="I11" i="9"/>
  <c r="B12" i="9"/>
  <c r="C12" i="9"/>
  <c r="D12" i="9"/>
  <c r="E12" i="9"/>
  <c r="F12" i="9"/>
  <c r="G12" i="9"/>
  <c r="H12" i="9"/>
  <c r="I12" i="9"/>
  <c r="B13" i="9"/>
  <c r="C13" i="9"/>
  <c r="D13" i="9"/>
  <c r="E13" i="9"/>
  <c r="F13" i="9"/>
  <c r="G13" i="9"/>
  <c r="H13" i="9"/>
  <c r="I13" i="9"/>
  <c r="A8" i="9"/>
  <c r="A9" i="9"/>
  <c r="A10" i="9"/>
  <c r="A11" i="9"/>
  <c r="J7" i="14" a="1"/>
  <c r="J7" i="14"/>
  <c r="J8" i="14" a="1"/>
  <c r="J8" i="14"/>
  <c r="J9" i="14" a="1"/>
  <c r="J9" i="14"/>
  <c r="J10" i="14" a="1"/>
  <c r="J10" i="14"/>
  <c r="J6" i="14" a="1"/>
  <c r="J6" i="14"/>
  <c r="G5" i="14"/>
  <c r="H5" i="14"/>
  <c r="I5" i="14"/>
  <c r="K1" i="14"/>
  <c r="K7" i="14"/>
  <c r="T1" i="11"/>
  <c r="U1" i="11"/>
  <c r="V1" i="11"/>
  <c r="W1" i="11"/>
  <c r="S1" i="11"/>
  <c r="S2" i="11"/>
  <c r="T2" i="11"/>
  <c r="U2" i="11"/>
  <c r="V2" i="11"/>
  <c r="W2" i="11"/>
  <c r="R2" i="11"/>
  <c r="R1" i="11"/>
  <c r="H7" i="14"/>
  <c r="H8" i="14"/>
  <c r="H9" i="14"/>
  <c r="H10" i="14"/>
  <c r="H11" i="14"/>
  <c r="C21" i="8"/>
  <c r="G7" i="14"/>
  <c r="G8" i="14"/>
  <c r="G9" i="14"/>
  <c r="G10" i="14"/>
  <c r="G11" i="14"/>
  <c r="B21" i="8"/>
  <c r="E12" i="2"/>
  <c r="E14" i="2"/>
  <c r="F13" i="2"/>
  <c r="E15" i="2"/>
  <c r="F14" i="2"/>
  <c r="E18" i="2"/>
  <c r="E19" i="2"/>
  <c r="E16" i="2"/>
  <c r="F15" i="2"/>
  <c r="E17" i="2"/>
  <c r="F19" i="2"/>
  <c r="E20" i="2"/>
  <c r="E21" i="2"/>
  <c r="F21" i="2"/>
  <c r="E23" i="2"/>
  <c r="E24" i="2"/>
  <c r="E25" i="2"/>
  <c r="E26" i="2"/>
  <c r="F26" i="2"/>
  <c r="E27" i="2"/>
  <c r="F16" i="2"/>
  <c r="E28" i="2"/>
  <c r="F25" i="2"/>
  <c r="E29" i="2"/>
  <c r="E30" i="2"/>
  <c r="E31" i="2"/>
  <c r="F28" i="2"/>
  <c r="E32" i="2"/>
  <c r="E35" i="2"/>
  <c r="F35" i="2"/>
  <c r="E37" i="2"/>
  <c r="F37" i="2"/>
  <c r="E38" i="2"/>
  <c r="F38" i="2"/>
  <c r="E41" i="2"/>
  <c r="E42" i="2"/>
  <c r="F39" i="2"/>
  <c r="E43" i="2"/>
  <c r="F41" i="2"/>
  <c r="E44" i="2"/>
  <c r="F44" i="2"/>
  <c r="E45" i="2"/>
  <c r="E46" i="2"/>
  <c r="F45" i="2"/>
  <c r="E47" i="2"/>
  <c r="F46" i="2"/>
  <c r="E48" i="2"/>
  <c r="F47" i="2"/>
  <c r="E49" i="2"/>
  <c r="F48" i="2"/>
  <c r="E50" i="2"/>
  <c r="F49" i="2"/>
  <c r="E51" i="2"/>
  <c r="F50" i="2"/>
  <c r="E52" i="2"/>
  <c r="F51" i="2"/>
  <c r="E53" i="2"/>
  <c r="F52" i="2"/>
  <c r="E54" i="2"/>
  <c r="F53" i="2"/>
  <c r="E55" i="2"/>
  <c r="F54" i="2"/>
  <c r="E56" i="2"/>
  <c r="F56" i="2"/>
  <c r="E57" i="2"/>
  <c r="F57" i="2"/>
  <c r="E58" i="2"/>
  <c r="F58" i="2"/>
  <c r="E59" i="2"/>
  <c r="F59" i="2"/>
  <c r="E60" i="2"/>
  <c r="F60" i="2"/>
  <c r="E61" i="2"/>
  <c r="F61" i="2"/>
  <c r="E62" i="2"/>
  <c r="C2" i="5"/>
  <c r="C4" i="5"/>
  <c r="B5" i="12"/>
  <c r="D4" i="5"/>
  <c r="E4" i="5"/>
  <c r="F4" i="5"/>
  <c r="G4" i="5"/>
  <c r="H4" i="5"/>
  <c r="I4" i="5"/>
  <c r="J4" i="5"/>
  <c r="K4" i="5"/>
  <c r="L4" i="5"/>
  <c r="M4" i="5"/>
  <c r="N4" i="5"/>
  <c r="O4" i="5"/>
  <c r="P4" i="5"/>
  <c r="Q4" i="5"/>
  <c r="R4" i="5"/>
  <c r="S4" i="5"/>
  <c r="T4" i="5"/>
  <c r="U4" i="5"/>
  <c r="V4" i="5"/>
  <c r="W4" i="5"/>
  <c r="X4" i="5"/>
  <c r="Y4" i="5"/>
  <c r="Z4" i="5"/>
  <c r="AA4" i="5"/>
  <c r="AB4" i="5"/>
  <c r="AC4" i="5"/>
  <c r="AD4" i="5"/>
  <c r="AE4" i="5"/>
  <c r="AF4" i="5"/>
  <c r="AG4" i="5"/>
  <c r="B7" i="12" a="1"/>
  <c r="B7" i="12"/>
  <c r="C5" i="12"/>
  <c r="C7" i="12" a="1"/>
  <c r="C7" i="12"/>
  <c r="D5" i="12"/>
  <c r="D7" i="12" a="1"/>
  <c r="E5" i="12"/>
  <c r="E7" i="12" a="1"/>
  <c r="F5" i="12"/>
  <c r="F7" i="12" a="1"/>
  <c r="G5" i="12"/>
  <c r="G7" i="12" a="1"/>
  <c r="H5" i="12"/>
  <c r="H7" i="12" a="1"/>
  <c r="I5" i="12"/>
  <c r="I7" i="12" a="1"/>
  <c r="D7" i="12"/>
  <c r="E7" i="12"/>
  <c r="F7" i="12"/>
  <c r="G7" i="12"/>
  <c r="H7" i="12"/>
  <c r="I7" i="12"/>
  <c r="B3" i="8"/>
  <c r="C3" i="8"/>
  <c r="C5" i="8" a="1"/>
  <c r="C5" i="8"/>
  <c r="B8" i="12" a="1"/>
  <c r="B8" i="12"/>
  <c r="C8" i="12" a="1"/>
  <c r="C8" i="12"/>
  <c r="D8" i="12" a="1"/>
  <c r="E8" i="12" a="1"/>
  <c r="F8" i="12" a="1"/>
  <c r="G8" i="12" a="1"/>
  <c r="H8" i="12" a="1"/>
  <c r="I8" i="12" a="1"/>
  <c r="D8" i="12"/>
  <c r="E8" i="12"/>
  <c r="F8" i="12"/>
  <c r="G8" i="12"/>
  <c r="H8" i="12"/>
  <c r="I8" i="12"/>
  <c r="C6" i="8" a="1"/>
  <c r="C6" i="8"/>
  <c r="C4" i="8"/>
  <c r="B11" i="12" a="1"/>
  <c r="B11" i="12"/>
  <c r="C11" i="12" a="1"/>
  <c r="C11" i="12"/>
  <c r="D11" i="12" a="1"/>
  <c r="E11" i="12" a="1"/>
  <c r="F11" i="12" a="1"/>
  <c r="G11" i="12" a="1"/>
  <c r="H11" i="12" a="1"/>
  <c r="I11" i="12" a="1"/>
  <c r="D11" i="12"/>
  <c r="E11" i="12"/>
  <c r="F11" i="12"/>
  <c r="G11" i="12"/>
  <c r="H11" i="12"/>
  <c r="I11" i="12"/>
  <c r="C8" i="8" a="1"/>
  <c r="C8" i="8"/>
  <c r="B12" i="12" a="1"/>
  <c r="B12" i="12"/>
  <c r="C12" i="12" a="1"/>
  <c r="C12" i="12"/>
  <c r="D12" i="12" a="1"/>
  <c r="E12" i="12" a="1"/>
  <c r="F12" i="12" a="1"/>
  <c r="G12" i="12" a="1"/>
  <c r="H12" i="12" a="1"/>
  <c r="I12" i="12" a="1"/>
  <c r="D12" i="12"/>
  <c r="E12" i="12"/>
  <c r="F12" i="12"/>
  <c r="G12" i="12"/>
  <c r="H12" i="12"/>
  <c r="I12" i="12"/>
  <c r="C9" i="8" a="1"/>
  <c r="C9" i="8"/>
  <c r="B13" i="12" a="1"/>
  <c r="B13" i="12"/>
  <c r="C13" i="12" a="1"/>
  <c r="C13" i="12"/>
  <c r="D13" i="12" a="1"/>
  <c r="E13" i="12" a="1"/>
  <c r="F13" i="12" a="1"/>
  <c r="G13" i="12" a="1"/>
  <c r="H13" i="12" a="1"/>
  <c r="I13" i="12" a="1"/>
  <c r="D13" i="12"/>
  <c r="E13" i="12"/>
  <c r="F13" i="12"/>
  <c r="G13" i="12"/>
  <c r="H13" i="12"/>
  <c r="I13" i="12"/>
  <c r="C10" i="8" a="1"/>
  <c r="B14" i="12" a="1"/>
  <c r="B14" i="12"/>
  <c r="C14" i="12" a="1"/>
  <c r="C14" i="12"/>
  <c r="D14" i="12" a="1"/>
  <c r="E14" i="12" a="1"/>
  <c r="F14" i="12" a="1"/>
  <c r="G14" i="12" a="1"/>
  <c r="H14" i="12" a="1"/>
  <c r="I14" i="12" a="1"/>
  <c r="D14" i="12"/>
  <c r="E14" i="12"/>
  <c r="F14" i="12"/>
  <c r="G14" i="12"/>
  <c r="H14" i="12"/>
  <c r="I14" i="12"/>
  <c r="C11" i="8" a="1"/>
  <c r="B15" i="12" a="1"/>
  <c r="B15" i="12"/>
  <c r="C15" i="12" a="1"/>
  <c r="C15" i="12"/>
  <c r="D15" i="12" a="1"/>
  <c r="E15" i="12" a="1"/>
  <c r="F15" i="12" a="1"/>
  <c r="G15" i="12" a="1"/>
  <c r="H15" i="12" a="1"/>
  <c r="I15" i="12" a="1"/>
  <c r="D15" i="12"/>
  <c r="E15" i="12"/>
  <c r="F15" i="12"/>
  <c r="G15" i="12"/>
  <c r="H15" i="12"/>
  <c r="I15" i="12"/>
  <c r="C12" i="8" a="1"/>
  <c r="B16" i="12" a="1"/>
  <c r="B16" i="12"/>
  <c r="C16" i="12" a="1"/>
  <c r="C16" i="12"/>
  <c r="D16" i="12" a="1"/>
  <c r="E16" i="12" a="1"/>
  <c r="F16" i="12" a="1"/>
  <c r="G16" i="12" a="1"/>
  <c r="H16" i="12" a="1"/>
  <c r="I16" i="12" a="1"/>
  <c r="D16" i="12"/>
  <c r="E16" i="12"/>
  <c r="F16" i="12"/>
  <c r="G16" i="12"/>
  <c r="H16" i="12"/>
  <c r="I16" i="12"/>
  <c r="C13" i="8" a="1"/>
  <c r="B17" i="12" a="1"/>
  <c r="B17" i="12"/>
  <c r="C17" i="12" a="1"/>
  <c r="C17" i="12"/>
  <c r="D17" i="12" a="1"/>
  <c r="E17" i="12" a="1"/>
  <c r="F17" i="12" a="1"/>
  <c r="G17" i="12" a="1"/>
  <c r="H17" i="12" a="1"/>
  <c r="I17" i="12" a="1"/>
  <c r="D17" i="12"/>
  <c r="E17" i="12"/>
  <c r="F17" i="12"/>
  <c r="G17" i="12"/>
  <c r="H17" i="12"/>
  <c r="I17" i="12"/>
  <c r="C14" i="8" a="1"/>
  <c r="B18" i="12" a="1"/>
  <c r="B18" i="12"/>
  <c r="C18" i="12" a="1"/>
  <c r="C18" i="12"/>
  <c r="D18" i="12" a="1"/>
  <c r="E18" i="12" a="1"/>
  <c r="F18" i="12" a="1"/>
  <c r="G18" i="12" a="1"/>
  <c r="H18" i="12" a="1"/>
  <c r="I18" i="12" a="1"/>
  <c r="D18" i="12"/>
  <c r="E18" i="12"/>
  <c r="F18" i="12"/>
  <c r="G18" i="12"/>
  <c r="H18" i="12"/>
  <c r="I18" i="12"/>
  <c r="C15" i="8" a="1"/>
  <c r="B19" i="12" a="1"/>
  <c r="B19" i="12"/>
  <c r="C19" i="12" a="1"/>
  <c r="C19" i="12"/>
  <c r="D19" i="12" a="1"/>
  <c r="E19" i="12" a="1"/>
  <c r="F19" i="12" a="1"/>
  <c r="G19" i="12" a="1"/>
  <c r="H19" i="12" a="1"/>
  <c r="I19" i="12" a="1"/>
  <c r="D19" i="12"/>
  <c r="E19" i="12"/>
  <c r="F19" i="12"/>
  <c r="G19" i="12"/>
  <c r="H19" i="12"/>
  <c r="I19" i="12"/>
  <c r="C16" i="8" a="1"/>
  <c r="B20" i="12" a="1"/>
  <c r="B20" i="12"/>
  <c r="C20" i="12" a="1"/>
  <c r="C20" i="12"/>
  <c r="D20" i="12" a="1"/>
  <c r="E20" i="12" a="1"/>
  <c r="F20" i="12" a="1"/>
  <c r="G20" i="12" a="1"/>
  <c r="H20" i="12" a="1"/>
  <c r="I20" i="12" a="1"/>
  <c r="D20" i="12"/>
  <c r="E20" i="12"/>
  <c r="F20" i="12"/>
  <c r="G20" i="12"/>
  <c r="H20" i="12"/>
  <c r="I20" i="12"/>
  <c r="C17" i="8" a="1"/>
  <c r="B21" i="12" a="1"/>
  <c r="B21" i="12"/>
  <c r="C21" i="12" a="1"/>
  <c r="C21" i="12"/>
  <c r="D21" i="12" a="1"/>
  <c r="E21" i="12" a="1"/>
  <c r="F21" i="12" a="1"/>
  <c r="G21" i="12" a="1"/>
  <c r="H21" i="12" a="1"/>
  <c r="I21" i="12" a="1"/>
  <c r="D21" i="12"/>
  <c r="E21" i="12"/>
  <c r="F21" i="12"/>
  <c r="G21" i="12"/>
  <c r="H21" i="12"/>
  <c r="I21" i="12"/>
  <c r="C18" i="8" a="1"/>
  <c r="B22" i="12" a="1"/>
  <c r="B22" i="12"/>
  <c r="C22" i="12" a="1"/>
  <c r="C22" i="12"/>
  <c r="D22" i="12" a="1"/>
  <c r="E22" i="12" a="1"/>
  <c r="F22" i="12" a="1"/>
  <c r="G22" i="12" a="1"/>
  <c r="H22" i="12" a="1"/>
  <c r="I22" i="12" a="1"/>
  <c r="D22" i="12"/>
  <c r="E22" i="12"/>
  <c r="F22" i="12"/>
  <c r="G22" i="12"/>
  <c r="H22" i="12"/>
  <c r="I22" i="12"/>
  <c r="C19" i="8" a="1"/>
  <c r="C10" i="8"/>
  <c r="C11" i="8"/>
  <c r="C12" i="8"/>
  <c r="C13" i="8"/>
  <c r="C14" i="8"/>
  <c r="C15" i="8"/>
  <c r="C16" i="8"/>
  <c r="C17" i="8"/>
  <c r="C18" i="8"/>
  <c r="C19" i="8"/>
  <c r="C7" i="8"/>
  <c r="C20" i="8"/>
  <c r="A26" i="12"/>
  <c r="A27" i="12"/>
  <c r="A28" i="12"/>
  <c r="A31" i="12"/>
  <c r="C22" i="8" a="1"/>
  <c r="C22" i="8"/>
  <c r="C23" i="8"/>
  <c r="B5" i="8" a="1"/>
  <c r="B5" i="8"/>
  <c r="B6" i="8" a="1"/>
  <c r="B6" i="8"/>
  <c r="B4" i="8"/>
  <c r="B8" i="8" a="1"/>
  <c r="B8" i="8"/>
  <c r="B9" i="8" a="1"/>
  <c r="B9" i="8"/>
  <c r="B10" i="8" a="1"/>
  <c r="B11" i="8" a="1"/>
  <c r="B12" i="8" a="1"/>
  <c r="B13" i="8" a="1"/>
  <c r="B14" i="8" a="1"/>
  <c r="B15" i="8" a="1"/>
  <c r="B16" i="8" a="1"/>
  <c r="B17" i="8" a="1"/>
  <c r="B18" i="8" a="1"/>
  <c r="B19" i="8" a="1"/>
  <c r="B10" i="8"/>
  <c r="B11" i="8"/>
  <c r="B12" i="8"/>
  <c r="B13" i="8"/>
  <c r="B14" i="8"/>
  <c r="B15" i="8"/>
  <c r="B16" i="8"/>
  <c r="B17" i="8"/>
  <c r="B18" i="8"/>
  <c r="B19" i="8"/>
  <c r="B7" i="8"/>
  <c r="B20" i="8"/>
  <c r="B23" i="8"/>
  <c r="B24" i="8" a="1"/>
  <c r="B24" i="8"/>
  <c r="C24" i="8" a="1"/>
  <c r="C24" i="8"/>
  <c r="B25" i="8" a="1"/>
  <c r="B25" i="8"/>
  <c r="C25" i="8" a="1"/>
  <c r="C25" i="8"/>
  <c r="B26" i="8" a="1"/>
  <c r="B26" i="8"/>
  <c r="C26" i="8" a="1"/>
  <c r="C26" i="8"/>
  <c r="J8" i="12"/>
  <c r="D6" i="8"/>
  <c r="E6" i="8"/>
  <c r="J7" i="12"/>
  <c r="D5" i="8"/>
  <c r="E5" i="8"/>
  <c r="D8" i="8"/>
  <c r="D9" i="8"/>
  <c r="D10" i="8"/>
  <c r="D11" i="8"/>
  <c r="D12" i="8"/>
  <c r="D13" i="8"/>
  <c r="D14" i="8"/>
  <c r="D15" i="8"/>
  <c r="D16" i="8"/>
  <c r="D17" i="8"/>
  <c r="D18" i="8"/>
  <c r="D19" i="8"/>
  <c r="B9" i="12"/>
  <c r="B23" i="12"/>
  <c r="B24" i="12"/>
  <c r="B84" i="5"/>
  <c r="B26" i="12" a="1"/>
  <c r="B85" i="5"/>
  <c r="E85" i="5"/>
  <c r="B27" i="12" a="1"/>
  <c r="B26" i="12"/>
  <c r="B27" i="12"/>
  <c r="B29" i="12"/>
  <c r="B86" i="5"/>
  <c r="B30" i="12" a="1"/>
  <c r="B89" i="5"/>
  <c r="O91" i="5"/>
  <c r="O89" i="5"/>
  <c r="S90" i="5"/>
  <c r="S92" i="5"/>
  <c r="S93" i="5"/>
  <c r="S89" i="5"/>
  <c r="B31" i="12" a="1"/>
  <c r="B31" i="12"/>
  <c r="B32" i="12"/>
  <c r="B33" i="12"/>
  <c r="B34" i="12"/>
  <c r="B36" i="12"/>
  <c r="B30" i="12"/>
  <c r="A19" i="8"/>
  <c r="A16" i="8"/>
  <c r="A17" i="8"/>
  <c r="A18" i="8"/>
  <c r="A9" i="8"/>
  <c r="A10" i="8"/>
  <c r="A11" i="8"/>
  <c r="A12" i="8"/>
  <c r="A13" i="8"/>
  <c r="A14" i="8"/>
  <c r="A15" i="8"/>
  <c r="A8" i="8"/>
  <c r="A6" i="8"/>
  <c r="A5" i="8"/>
  <c r="C9" i="12"/>
  <c r="C23" i="12"/>
  <c r="C24" i="12"/>
  <c r="C26" i="12" a="1"/>
  <c r="C26" i="12"/>
  <c r="C27" i="12" a="1"/>
  <c r="C27" i="12"/>
  <c r="C86" i="5"/>
  <c r="C28" i="12" a="1"/>
  <c r="C28" i="12"/>
  <c r="C29" i="12"/>
  <c r="C31" i="12" a="1"/>
  <c r="C31" i="12"/>
  <c r="C32" i="12"/>
  <c r="C33" i="12"/>
  <c r="C34" i="12"/>
  <c r="D9" i="12"/>
  <c r="D23" i="12"/>
  <c r="D24" i="12"/>
  <c r="D26" i="12" a="1"/>
  <c r="D26" i="12"/>
  <c r="D27" i="12" a="1"/>
  <c r="D27" i="12"/>
  <c r="D28" i="12" a="1"/>
  <c r="D28" i="12"/>
  <c r="D29" i="12"/>
  <c r="D31" i="12" a="1"/>
  <c r="D31" i="12"/>
  <c r="D32" i="12"/>
  <c r="D33" i="12"/>
  <c r="D34" i="12"/>
  <c r="E9" i="12"/>
  <c r="E23" i="12"/>
  <c r="E24" i="12"/>
  <c r="E26" i="12" a="1"/>
  <c r="E26" i="12"/>
  <c r="E27" i="12" a="1"/>
  <c r="E27" i="12"/>
  <c r="E28" i="12" a="1"/>
  <c r="E28" i="12"/>
  <c r="E29" i="12"/>
  <c r="E31" i="12" a="1"/>
  <c r="E31" i="12"/>
  <c r="E32" i="12"/>
  <c r="E33" i="12"/>
  <c r="E34" i="12"/>
  <c r="F9" i="12"/>
  <c r="F23" i="12"/>
  <c r="F24" i="12"/>
  <c r="F26" i="12" a="1"/>
  <c r="F26" i="12"/>
  <c r="F27" i="12" a="1"/>
  <c r="F27" i="12"/>
  <c r="F28" i="12" a="1"/>
  <c r="F28" i="12"/>
  <c r="F29" i="12"/>
  <c r="F31" i="12" a="1"/>
  <c r="F31" i="12"/>
  <c r="F32" i="12"/>
  <c r="F33" i="12"/>
  <c r="F34" i="12"/>
  <c r="G9" i="12"/>
  <c r="G23" i="12"/>
  <c r="G24" i="12"/>
  <c r="G26" i="12" a="1"/>
  <c r="G26" i="12"/>
  <c r="G27" i="12" a="1"/>
  <c r="G27" i="12"/>
  <c r="G28" i="12" a="1"/>
  <c r="G28" i="12"/>
  <c r="G29" i="12"/>
  <c r="G31" i="12" a="1"/>
  <c r="G31" i="12"/>
  <c r="G32" i="12"/>
  <c r="G33" i="12"/>
  <c r="G34" i="12"/>
  <c r="H9" i="12"/>
  <c r="H23" i="12"/>
  <c r="H24" i="12"/>
  <c r="H26" i="12" a="1"/>
  <c r="H26" i="12"/>
  <c r="H27" i="12" a="1"/>
  <c r="H27" i="12"/>
  <c r="H28" i="12" a="1"/>
  <c r="H28" i="12"/>
  <c r="H29" i="12"/>
  <c r="H31" i="12" a="1"/>
  <c r="H31" i="12"/>
  <c r="H32" i="12"/>
  <c r="H33" i="12"/>
  <c r="H34" i="12"/>
  <c r="I9" i="12"/>
  <c r="I23" i="12"/>
  <c r="I24" i="12"/>
  <c r="I26" i="12" a="1"/>
  <c r="I26" i="12"/>
  <c r="I27" i="12" a="1"/>
  <c r="I27" i="12"/>
  <c r="I28" i="12" a="1"/>
  <c r="I28" i="12"/>
  <c r="I29" i="12"/>
  <c r="I31" i="12" a="1"/>
  <c r="I31" i="12"/>
  <c r="I32" i="12"/>
  <c r="I33" i="12"/>
  <c r="I34" i="12"/>
  <c r="C6" i="2"/>
  <c r="C7" i="2"/>
  <c r="D6" i="2"/>
  <c r="C4" i="2"/>
  <c r="C5" i="2"/>
  <c r="D3" i="2"/>
  <c r="O3" i="2"/>
  <c r="O5" i="2"/>
  <c r="N5" i="2"/>
  <c r="I9" i="2"/>
  <c r="I8" i="2"/>
  <c r="I7" i="2"/>
  <c r="I6" i="2"/>
  <c r="I5" i="2"/>
  <c r="I4" i="2"/>
  <c r="I3" i="2"/>
  <c r="I2" i="2"/>
  <c r="N4" i="2"/>
  <c r="E25" i="1"/>
  <c r="E68" i="1"/>
  <c r="C74" i="5"/>
  <c r="C73" i="5"/>
  <c r="D74" i="5"/>
  <c r="D73" i="5"/>
  <c r="E74" i="5"/>
  <c r="E73" i="5"/>
  <c r="F74" i="5"/>
  <c r="F73" i="5"/>
  <c r="G74" i="5"/>
  <c r="G73" i="5"/>
  <c r="H74" i="5"/>
  <c r="H73" i="5"/>
  <c r="I74" i="5"/>
  <c r="I73" i="5"/>
  <c r="J74" i="5"/>
  <c r="J73" i="5"/>
  <c r="K74" i="5"/>
  <c r="K73" i="5"/>
  <c r="L74" i="5"/>
  <c r="L73" i="5"/>
  <c r="M74" i="5"/>
  <c r="M73" i="5"/>
  <c r="N74" i="5"/>
  <c r="N73" i="5"/>
  <c r="O74" i="5"/>
  <c r="O73" i="5"/>
  <c r="P74" i="5"/>
  <c r="P73" i="5"/>
  <c r="Q74" i="5"/>
  <c r="Q73" i="5"/>
  <c r="R74" i="5"/>
  <c r="R73" i="5"/>
  <c r="S74" i="5"/>
  <c r="S73" i="5"/>
  <c r="T74" i="5"/>
  <c r="T73" i="5"/>
  <c r="U74" i="5"/>
  <c r="U73" i="5"/>
  <c r="V74" i="5"/>
  <c r="V73" i="5"/>
  <c r="W74" i="5"/>
  <c r="W73" i="5"/>
  <c r="X74" i="5"/>
  <c r="X73" i="5"/>
  <c r="Y74" i="5"/>
  <c r="Y73" i="5"/>
  <c r="Z74" i="5"/>
  <c r="Z73" i="5"/>
  <c r="AA74" i="5"/>
  <c r="AA73" i="5"/>
  <c r="AB74" i="5"/>
  <c r="AB73" i="5"/>
  <c r="AC74" i="5"/>
  <c r="AC73" i="5"/>
  <c r="AD74" i="5"/>
  <c r="AD73" i="5"/>
  <c r="AE74" i="5"/>
  <c r="AE73" i="5"/>
  <c r="AF74" i="5"/>
  <c r="AF73" i="5"/>
  <c r="E67" i="1"/>
  <c r="B86" i="1"/>
  <c r="B84" i="1"/>
  <c r="D25" i="11"/>
  <c r="C25" i="11"/>
  <c r="F25" i="11"/>
  <c r="G25" i="11"/>
  <c r="E25" i="11"/>
  <c r="H25" i="11"/>
  <c r="D26" i="11"/>
  <c r="C26" i="11"/>
  <c r="F26" i="11"/>
  <c r="G26" i="11"/>
  <c r="E26" i="11"/>
  <c r="H26" i="11"/>
  <c r="D27" i="11"/>
  <c r="C27" i="11"/>
  <c r="F27" i="11"/>
  <c r="G27" i="11"/>
  <c r="E27" i="11"/>
  <c r="H27" i="11"/>
  <c r="D28" i="11"/>
  <c r="C28" i="11"/>
  <c r="F28" i="11"/>
  <c r="G28" i="11"/>
  <c r="E28" i="11"/>
  <c r="H28" i="11"/>
  <c r="D29" i="11"/>
  <c r="C29" i="11"/>
  <c r="E29" i="11"/>
  <c r="F29" i="11"/>
  <c r="G29" i="11"/>
  <c r="H29" i="11"/>
  <c r="D30" i="11"/>
  <c r="C30" i="11"/>
  <c r="E30" i="11"/>
  <c r="F30" i="11"/>
  <c r="G30" i="11"/>
  <c r="H30" i="11"/>
  <c r="D31" i="11"/>
  <c r="C31" i="11"/>
  <c r="E31" i="11"/>
  <c r="F31" i="11"/>
  <c r="G31" i="11"/>
  <c r="H31" i="11"/>
  <c r="D32" i="11"/>
  <c r="C32" i="11"/>
  <c r="E32" i="11"/>
  <c r="F32" i="11"/>
  <c r="G32" i="11"/>
  <c r="H32" i="11"/>
  <c r="D33" i="11"/>
  <c r="C33" i="11"/>
  <c r="E33" i="11"/>
  <c r="F33" i="11"/>
  <c r="G33" i="11"/>
  <c r="H33" i="11"/>
  <c r="D34" i="11"/>
  <c r="C34" i="11"/>
  <c r="E34" i="11"/>
  <c r="F34" i="11"/>
  <c r="G34" i="11"/>
  <c r="H34" i="11"/>
  <c r="D35" i="11"/>
  <c r="C35" i="11"/>
  <c r="E35" i="11"/>
  <c r="F35" i="11"/>
  <c r="G35" i="11"/>
  <c r="H35" i="11"/>
  <c r="D36" i="11"/>
  <c r="C36" i="11"/>
  <c r="E36" i="11"/>
  <c r="F36" i="11"/>
  <c r="G36" i="11"/>
  <c r="H36" i="11"/>
  <c r="D37" i="11"/>
  <c r="C37" i="11"/>
  <c r="E37" i="11"/>
  <c r="F37" i="11"/>
  <c r="G37" i="11"/>
  <c r="H37" i="11"/>
  <c r="D38" i="11"/>
  <c r="C38" i="11"/>
  <c r="E38" i="11"/>
  <c r="F38" i="11"/>
  <c r="G38" i="11"/>
  <c r="H38" i="11"/>
  <c r="D39" i="11"/>
  <c r="C39" i="11"/>
  <c r="E39" i="11"/>
  <c r="F39" i="11"/>
  <c r="G39" i="11"/>
  <c r="H39" i="11"/>
  <c r="D40" i="11"/>
  <c r="C40" i="11"/>
  <c r="E40" i="11"/>
  <c r="F40" i="11"/>
  <c r="G40" i="11"/>
  <c r="H40" i="11"/>
  <c r="D41" i="11"/>
  <c r="C41" i="11"/>
  <c r="E41" i="11"/>
  <c r="F41" i="11"/>
  <c r="G41" i="11"/>
  <c r="H41" i="11"/>
  <c r="D42" i="11"/>
  <c r="C42" i="11"/>
  <c r="E42" i="11"/>
  <c r="F42" i="11"/>
  <c r="G42" i="11"/>
  <c r="H42" i="11"/>
  <c r="D43" i="11"/>
  <c r="C43" i="11"/>
  <c r="E43" i="11"/>
  <c r="F43" i="11"/>
  <c r="G43" i="11"/>
  <c r="H43" i="11"/>
  <c r="D44" i="11"/>
  <c r="C44" i="11"/>
  <c r="E44" i="11"/>
  <c r="F44" i="11"/>
  <c r="G44" i="11"/>
  <c r="H44" i="11"/>
  <c r="D45" i="11"/>
  <c r="C45" i="11"/>
  <c r="E45" i="11"/>
  <c r="F45" i="11"/>
  <c r="G45" i="11"/>
  <c r="H45" i="11"/>
  <c r="D46" i="11"/>
  <c r="C46" i="11"/>
  <c r="E46" i="11"/>
  <c r="F46" i="11"/>
  <c r="G46" i="11"/>
  <c r="H46" i="11"/>
  <c r="D47" i="11"/>
  <c r="C47" i="11"/>
  <c r="E47" i="11"/>
  <c r="F47" i="11"/>
  <c r="G47" i="11"/>
  <c r="H47" i="11"/>
  <c r="D48" i="11"/>
  <c r="C48" i="11"/>
  <c r="E48" i="11"/>
  <c r="F48" i="11"/>
  <c r="G48" i="11"/>
  <c r="H48" i="11"/>
  <c r="D49" i="11"/>
  <c r="C49" i="11"/>
  <c r="E49" i="11"/>
  <c r="F49" i="11"/>
  <c r="G49" i="11"/>
  <c r="H49" i="11"/>
  <c r="D50" i="11"/>
  <c r="C50" i="11"/>
  <c r="E50" i="11"/>
  <c r="F50" i="11"/>
  <c r="G50" i="11"/>
  <c r="H50" i="11"/>
  <c r="D51" i="11"/>
  <c r="C51" i="11"/>
  <c r="E51" i="11"/>
  <c r="F51" i="11"/>
  <c r="G51" i="11"/>
  <c r="H51" i="11"/>
  <c r="D52" i="11"/>
  <c r="C52" i="11"/>
  <c r="E52" i="11"/>
  <c r="F52" i="11"/>
  <c r="G52" i="11"/>
  <c r="H52" i="11"/>
  <c r="D53" i="11"/>
  <c r="C53" i="11"/>
  <c r="E53" i="11"/>
  <c r="F53" i="11"/>
  <c r="G53" i="11"/>
  <c r="H53" i="11"/>
  <c r="D54" i="11"/>
  <c r="C54" i="11"/>
  <c r="E54" i="11"/>
  <c r="F54" i="11"/>
  <c r="G54" i="11"/>
  <c r="H54" i="11"/>
  <c r="D55" i="11"/>
  <c r="C55" i="11"/>
  <c r="E55" i="11"/>
  <c r="F55" i="11"/>
  <c r="G55" i="11"/>
  <c r="H55" i="11"/>
  <c r="D56" i="11"/>
  <c r="C56" i="11"/>
  <c r="E56" i="11"/>
  <c r="F56" i="11"/>
  <c r="G56" i="11"/>
  <c r="H56" i="11"/>
  <c r="D57" i="11"/>
  <c r="C57" i="11"/>
  <c r="E57" i="11"/>
  <c r="F57" i="11"/>
  <c r="G57" i="11"/>
  <c r="H57" i="11"/>
  <c r="D58" i="11"/>
  <c r="C58" i="11"/>
  <c r="E58" i="11"/>
  <c r="F58" i="11"/>
  <c r="G58" i="11"/>
  <c r="H58" i="11"/>
  <c r="D59" i="11"/>
  <c r="C59" i="11"/>
  <c r="E59" i="11"/>
  <c r="F59" i="11"/>
  <c r="G59" i="11"/>
  <c r="H59" i="11"/>
  <c r="D60" i="11"/>
  <c r="C60" i="11"/>
  <c r="E60" i="11"/>
  <c r="F60" i="11"/>
  <c r="G60" i="11"/>
  <c r="H60" i="11"/>
  <c r="D61" i="11"/>
  <c r="C61" i="11"/>
  <c r="E61" i="11"/>
  <c r="F61" i="11"/>
  <c r="G61" i="11"/>
  <c r="H61" i="11"/>
  <c r="D62" i="11"/>
  <c r="C62" i="11"/>
  <c r="E62" i="11"/>
  <c r="F62" i="11"/>
  <c r="G62" i="11"/>
  <c r="H62" i="11"/>
  <c r="D63" i="11"/>
  <c r="C63" i="11"/>
  <c r="E63" i="11"/>
  <c r="F63" i="11"/>
  <c r="G63" i="11"/>
  <c r="H63" i="11"/>
  <c r="D64" i="11"/>
  <c r="C64" i="11"/>
  <c r="E64" i="11"/>
  <c r="F64" i="11"/>
  <c r="G64" i="11"/>
  <c r="H64" i="11"/>
  <c r="D65" i="11"/>
  <c r="C65" i="11"/>
  <c r="E65" i="11"/>
  <c r="F65" i="11"/>
  <c r="G65" i="11"/>
  <c r="H65" i="11"/>
  <c r="D66" i="11"/>
  <c r="C66" i="11"/>
  <c r="E66" i="11"/>
  <c r="F66" i="11"/>
  <c r="G66" i="11"/>
  <c r="H66" i="11"/>
  <c r="D67" i="11"/>
  <c r="C67" i="11"/>
  <c r="E67" i="11"/>
  <c r="F67" i="11"/>
  <c r="G67" i="11"/>
  <c r="H67" i="11"/>
  <c r="D68" i="11"/>
  <c r="C68" i="11"/>
  <c r="E68" i="11"/>
  <c r="F68" i="11"/>
  <c r="G68" i="11"/>
  <c r="H68" i="11"/>
  <c r="D69" i="11"/>
  <c r="C69" i="11"/>
  <c r="E69" i="11"/>
  <c r="F69" i="11"/>
  <c r="G69" i="11"/>
  <c r="H69" i="11"/>
  <c r="D70" i="11"/>
  <c r="C70" i="11"/>
  <c r="E70" i="11"/>
  <c r="F70" i="11"/>
  <c r="G70" i="11"/>
  <c r="H70" i="11"/>
  <c r="D71" i="11"/>
  <c r="C71" i="11"/>
  <c r="E71" i="11"/>
  <c r="F71" i="11"/>
  <c r="G71" i="11"/>
  <c r="H71" i="11"/>
  <c r="D24" i="11"/>
  <c r="F23" i="11"/>
  <c r="H23" i="11"/>
  <c r="F24" i="11"/>
  <c r="H24" i="11"/>
  <c r="G24" i="11"/>
  <c r="E24" i="11"/>
  <c r="C23" i="11"/>
  <c r="C24" i="11"/>
  <c r="G23" i="11"/>
  <c r="E23" i="11"/>
  <c r="D6" i="11"/>
  <c r="C6" i="11"/>
  <c r="D25" i="5"/>
  <c r="E25" i="5"/>
  <c r="F25" i="5"/>
  <c r="G25" i="5"/>
  <c r="H25" i="5"/>
  <c r="I25" i="5"/>
  <c r="J25" i="5"/>
  <c r="K25" i="5"/>
  <c r="L25" i="5"/>
  <c r="M25" i="5"/>
  <c r="N25" i="5"/>
  <c r="O25" i="5"/>
  <c r="P25" i="5"/>
  <c r="Q25" i="5"/>
  <c r="R25" i="5"/>
  <c r="S25" i="5"/>
  <c r="T25" i="5"/>
  <c r="U25" i="5"/>
  <c r="V25" i="5"/>
  <c r="W25" i="5"/>
  <c r="X25" i="5"/>
  <c r="Y25" i="5"/>
  <c r="Z25" i="5"/>
  <c r="AA25" i="5"/>
  <c r="AB25" i="5"/>
  <c r="AC25" i="5"/>
  <c r="AD25" i="5"/>
  <c r="AE25" i="5"/>
  <c r="AF25" i="5"/>
  <c r="AG25" i="5"/>
  <c r="D21" i="5"/>
  <c r="D20" i="5"/>
  <c r="E21" i="5"/>
  <c r="E20" i="5"/>
  <c r="F21" i="5"/>
  <c r="F20" i="5"/>
  <c r="G21" i="5"/>
  <c r="G20" i="5"/>
  <c r="H21" i="5"/>
  <c r="H20" i="5"/>
  <c r="I21" i="5"/>
  <c r="I20" i="5"/>
  <c r="J21" i="5"/>
  <c r="J20" i="5"/>
  <c r="K21" i="5"/>
  <c r="K20" i="5"/>
  <c r="L21" i="5"/>
  <c r="L20" i="5"/>
  <c r="M21" i="5"/>
  <c r="M20" i="5"/>
  <c r="N21" i="5"/>
  <c r="N20" i="5"/>
  <c r="O21" i="5"/>
  <c r="O20" i="5"/>
  <c r="P21" i="5"/>
  <c r="P20" i="5"/>
  <c r="Q21" i="5"/>
  <c r="Q20" i="5"/>
  <c r="R21" i="5"/>
  <c r="R20" i="5"/>
  <c r="S21" i="5"/>
  <c r="S20" i="5"/>
  <c r="T21" i="5"/>
  <c r="T20" i="5"/>
  <c r="U21" i="5"/>
  <c r="U20" i="5"/>
  <c r="V21" i="5"/>
  <c r="V20" i="5"/>
  <c r="W21" i="5"/>
  <c r="W20" i="5"/>
  <c r="X21" i="5"/>
  <c r="X20" i="5"/>
  <c r="Y21" i="5"/>
  <c r="Y20" i="5"/>
  <c r="Z21" i="5"/>
  <c r="Z20" i="5"/>
  <c r="AA21" i="5"/>
  <c r="AA20" i="5"/>
  <c r="AB21" i="5"/>
  <c r="AB20" i="5"/>
  <c r="AC21" i="5"/>
  <c r="AC20" i="5"/>
  <c r="AD21" i="5"/>
  <c r="AD20" i="5"/>
  <c r="AE21" i="5"/>
  <c r="AE20" i="5"/>
  <c r="AF21" i="5"/>
  <c r="AF20" i="5"/>
  <c r="AG21" i="5"/>
  <c r="AG20" i="5"/>
  <c r="S24" i="5"/>
  <c r="S26" i="5"/>
  <c r="S27" i="5"/>
  <c r="S23" i="5"/>
  <c r="S22" i="5"/>
  <c r="E15" i="1"/>
  <c r="E19" i="1"/>
  <c r="A7" i="12"/>
  <c r="C18" i="4"/>
  <c r="C20" i="4"/>
  <c r="O6" i="5"/>
  <c r="P6" i="5"/>
  <c r="Q6" i="5"/>
  <c r="R6" i="5"/>
  <c r="S6" i="5"/>
  <c r="T6" i="5"/>
  <c r="U6" i="5"/>
  <c r="V6" i="5"/>
  <c r="W6" i="5"/>
  <c r="X6" i="5"/>
  <c r="Y6" i="5"/>
  <c r="Z6" i="5"/>
  <c r="A8" i="12"/>
  <c r="U7" i="5"/>
  <c r="V7" i="5"/>
  <c r="W7" i="5"/>
  <c r="X7" i="5"/>
  <c r="Y7" i="5"/>
  <c r="Z7" i="5"/>
  <c r="AA7" i="5"/>
  <c r="AB7" i="5"/>
  <c r="AC7" i="5"/>
  <c r="AD7" i="5"/>
  <c r="AE7" i="5"/>
  <c r="AF7" i="5"/>
  <c r="B10" i="5"/>
  <c r="A11" i="12"/>
  <c r="C10" i="5"/>
  <c r="B11" i="5"/>
  <c r="A12" i="12"/>
  <c r="C11" i="5"/>
  <c r="B12" i="5"/>
  <c r="A13" i="12"/>
  <c r="C12" i="5"/>
  <c r="B13" i="5"/>
  <c r="A14" i="12"/>
  <c r="C14" i="5"/>
  <c r="C15" i="5"/>
  <c r="C16" i="5"/>
  <c r="C17" i="5"/>
  <c r="C18" i="5"/>
  <c r="C13" i="5"/>
  <c r="D13" i="5"/>
  <c r="E13" i="5"/>
  <c r="F13" i="5"/>
  <c r="G13" i="5"/>
  <c r="H13" i="5"/>
  <c r="I13" i="5"/>
  <c r="J13" i="5"/>
  <c r="K13" i="5"/>
  <c r="L13" i="5"/>
  <c r="M13" i="5"/>
  <c r="N13" i="5"/>
  <c r="O19" i="5"/>
  <c r="O13" i="5"/>
  <c r="P19" i="5"/>
  <c r="P13" i="5"/>
  <c r="Q19" i="5"/>
  <c r="Q13" i="5"/>
  <c r="R19" i="5"/>
  <c r="R13" i="5"/>
  <c r="S19" i="5"/>
  <c r="S13" i="5"/>
  <c r="T19" i="5"/>
  <c r="T13" i="5"/>
  <c r="U19" i="5"/>
  <c r="U13" i="5"/>
  <c r="V19" i="5"/>
  <c r="V13" i="5"/>
  <c r="W19" i="5"/>
  <c r="W13" i="5"/>
  <c r="X19" i="5"/>
  <c r="X13" i="5"/>
  <c r="Y19" i="5"/>
  <c r="Y13" i="5"/>
  <c r="Z19" i="5"/>
  <c r="Z13" i="5"/>
  <c r="AA19" i="5"/>
  <c r="AA13" i="5"/>
  <c r="AB19" i="5"/>
  <c r="AB13" i="5"/>
  <c r="AC19" i="5"/>
  <c r="AC13" i="5"/>
  <c r="AD19" i="5"/>
  <c r="AD13" i="5"/>
  <c r="AE19" i="5"/>
  <c r="AE13" i="5"/>
  <c r="AF19" i="5"/>
  <c r="AF13" i="5"/>
  <c r="AG13" i="5"/>
  <c r="B20" i="5"/>
  <c r="A15" i="12"/>
  <c r="B14" i="5"/>
  <c r="B15" i="5"/>
  <c r="B16" i="5"/>
  <c r="B17" i="5"/>
  <c r="B18" i="5"/>
  <c r="B19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3" i="5"/>
  <c r="B87" i="5"/>
  <c r="B88" i="5"/>
  <c r="B90" i="5"/>
  <c r="B91" i="5"/>
  <c r="B92" i="5"/>
  <c r="B93" i="5"/>
  <c r="C21" i="5"/>
  <c r="C25" i="5"/>
  <c r="C20" i="5"/>
  <c r="A16" i="12"/>
  <c r="C29" i="5"/>
  <c r="C30" i="5"/>
  <c r="C28" i="5"/>
  <c r="A17" i="12"/>
  <c r="C35" i="5"/>
  <c r="C47" i="5"/>
  <c r="C34" i="5"/>
  <c r="C36" i="5"/>
  <c r="C37" i="5"/>
  <c r="C33" i="5"/>
  <c r="C39" i="5"/>
  <c r="C40" i="5"/>
  <c r="C38" i="5"/>
  <c r="C42" i="5"/>
  <c r="C43" i="5"/>
  <c r="C41" i="5"/>
  <c r="C32" i="5"/>
  <c r="C46" i="5"/>
  <c r="C48" i="5"/>
  <c r="C49" i="5"/>
  <c r="C45" i="5"/>
  <c r="C51" i="5"/>
  <c r="C52" i="5"/>
  <c r="C50" i="5"/>
  <c r="C54" i="5"/>
  <c r="C55" i="5"/>
  <c r="C53" i="5"/>
  <c r="C44" i="5"/>
  <c r="C31" i="5"/>
  <c r="D34" i="5"/>
  <c r="D33" i="5"/>
  <c r="D38" i="5"/>
  <c r="D41" i="5"/>
  <c r="D32" i="5"/>
  <c r="D45" i="5"/>
  <c r="D50" i="5"/>
  <c r="D53" i="5"/>
  <c r="D44" i="5"/>
  <c r="D31" i="5"/>
  <c r="E34" i="5"/>
  <c r="E33" i="5"/>
  <c r="E38" i="5"/>
  <c r="E41" i="5"/>
  <c r="E32" i="5"/>
  <c r="E45" i="5"/>
  <c r="E50" i="5"/>
  <c r="E53" i="5"/>
  <c r="E44" i="5"/>
  <c r="E31" i="5"/>
  <c r="F34" i="5"/>
  <c r="F33" i="5"/>
  <c r="F38" i="5"/>
  <c r="F41" i="5"/>
  <c r="F32" i="5"/>
  <c r="F45" i="5"/>
  <c r="F50" i="5"/>
  <c r="F53" i="5"/>
  <c r="F44" i="5"/>
  <c r="F31" i="5"/>
  <c r="G34" i="5"/>
  <c r="G33" i="5"/>
  <c r="G38" i="5"/>
  <c r="G41" i="5"/>
  <c r="G32" i="5"/>
  <c r="G45" i="5"/>
  <c r="G50" i="5"/>
  <c r="G53" i="5"/>
  <c r="G44" i="5"/>
  <c r="G31" i="5"/>
  <c r="H34" i="5"/>
  <c r="H33" i="5"/>
  <c r="H38" i="5"/>
  <c r="H41" i="5"/>
  <c r="H32" i="5"/>
  <c r="H45" i="5"/>
  <c r="H50" i="5"/>
  <c r="H53" i="5"/>
  <c r="H44" i="5"/>
  <c r="H31" i="5"/>
  <c r="I34" i="5"/>
  <c r="I33" i="5"/>
  <c r="I38" i="5"/>
  <c r="I41" i="5"/>
  <c r="I32" i="5"/>
  <c r="I45" i="5"/>
  <c r="I50" i="5"/>
  <c r="I53" i="5"/>
  <c r="I44" i="5"/>
  <c r="I31" i="5"/>
  <c r="J34" i="5"/>
  <c r="J33" i="5"/>
  <c r="J38" i="5"/>
  <c r="J41" i="5"/>
  <c r="J32" i="5"/>
  <c r="J45" i="5"/>
  <c r="J50" i="5"/>
  <c r="J53" i="5"/>
  <c r="J44" i="5"/>
  <c r="J31" i="5"/>
  <c r="K34" i="5"/>
  <c r="K33" i="5"/>
  <c r="K38" i="5"/>
  <c r="K41" i="5"/>
  <c r="K32" i="5"/>
  <c r="K45" i="5"/>
  <c r="K50" i="5"/>
  <c r="K53" i="5"/>
  <c r="K44" i="5"/>
  <c r="K31" i="5"/>
  <c r="L34" i="5"/>
  <c r="L33" i="5"/>
  <c r="L38" i="5"/>
  <c r="L41" i="5"/>
  <c r="L32" i="5"/>
  <c r="L45" i="5"/>
  <c r="L50" i="5"/>
  <c r="L53" i="5"/>
  <c r="L44" i="5"/>
  <c r="L31" i="5"/>
  <c r="M34" i="5"/>
  <c r="M33" i="5"/>
  <c r="M38" i="5"/>
  <c r="M41" i="5"/>
  <c r="M32" i="5"/>
  <c r="M45" i="5"/>
  <c r="M50" i="5"/>
  <c r="M53" i="5"/>
  <c r="M44" i="5"/>
  <c r="M31" i="5"/>
  <c r="N34" i="5"/>
  <c r="N33" i="5"/>
  <c r="N38" i="5"/>
  <c r="N41" i="5"/>
  <c r="N32" i="5"/>
  <c r="N45" i="5"/>
  <c r="N50" i="5"/>
  <c r="N53" i="5"/>
  <c r="N44" i="5"/>
  <c r="N31" i="5"/>
  <c r="O34" i="5"/>
  <c r="O33" i="5"/>
  <c r="O38" i="5"/>
  <c r="O41" i="5"/>
  <c r="O32" i="5"/>
  <c r="O45" i="5"/>
  <c r="O50" i="5"/>
  <c r="O53" i="5"/>
  <c r="O44" i="5"/>
  <c r="O31" i="5"/>
  <c r="P34" i="5"/>
  <c r="P33" i="5"/>
  <c r="P38" i="5"/>
  <c r="P41" i="5"/>
  <c r="P32" i="5"/>
  <c r="P45" i="5"/>
  <c r="P50" i="5"/>
  <c r="P53" i="5"/>
  <c r="P44" i="5"/>
  <c r="P31" i="5"/>
  <c r="Q34" i="5"/>
  <c r="Q33" i="5"/>
  <c r="Q38" i="5"/>
  <c r="Q41" i="5"/>
  <c r="Q32" i="5"/>
  <c r="Q45" i="5"/>
  <c r="Q50" i="5"/>
  <c r="Q53" i="5"/>
  <c r="Q44" i="5"/>
  <c r="Q31" i="5"/>
  <c r="R34" i="5"/>
  <c r="R33" i="5"/>
  <c r="R38" i="5"/>
  <c r="R41" i="5"/>
  <c r="R32" i="5"/>
  <c r="R45" i="5"/>
  <c r="R50" i="5"/>
  <c r="R53" i="5"/>
  <c r="R44" i="5"/>
  <c r="R31" i="5"/>
  <c r="S34" i="5"/>
  <c r="S33" i="5"/>
  <c r="S38" i="5"/>
  <c r="S41" i="5"/>
  <c r="S32" i="5"/>
  <c r="S45" i="5"/>
  <c r="S50" i="5"/>
  <c r="S53" i="5"/>
  <c r="S44" i="5"/>
  <c r="S31" i="5"/>
  <c r="T34" i="5"/>
  <c r="T33" i="5"/>
  <c r="T38" i="5"/>
  <c r="T41" i="5"/>
  <c r="T32" i="5"/>
  <c r="T45" i="5"/>
  <c r="T50" i="5"/>
  <c r="T53" i="5"/>
  <c r="T44" i="5"/>
  <c r="T31" i="5"/>
  <c r="U34" i="5"/>
  <c r="U33" i="5"/>
  <c r="U38" i="5"/>
  <c r="U41" i="5"/>
  <c r="U32" i="5"/>
  <c r="U45" i="5"/>
  <c r="U50" i="5"/>
  <c r="U53" i="5"/>
  <c r="U44" i="5"/>
  <c r="U31" i="5"/>
  <c r="V34" i="5"/>
  <c r="V33" i="5"/>
  <c r="V38" i="5"/>
  <c r="V41" i="5"/>
  <c r="V32" i="5"/>
  <c r="V45" i="5"/>
  <c r="V50" i="5"/>
  <c r="V53" i="5"/>
  <c r="V44" i="5"/>
  <c r="V31" i="5"/>
  <c r="W34" i="5"/>
  <c r="W33" i="5"/>
  <c r="W38" i="5"/>
  <c r="W41" i="5"/>
  <c r="W32" i="5"/>
  <c r="W45" i="5"/>
  <c r="W50" i="5"/>
  <c r="W53" i="5"/>
  <c r="W44" i="5"/>
  <c r="W31" i="5"/>
  <c r="X34" i="5"/>
  <c r="X33" i="5"/>
  <c r="X38" i="5"/>
  <c r="X41" i="5"/>
  <c r="X32" i="5"/>
  <c r="X45" i="5"/>
  <c r="X50" i="5"/>
  <c r="X53" i="5"/>
  <c r="X44" i="5"/>
  <c r="X31" i="5"/>
  <c r="Y34" i="5"/>
  <c r="Y33" i="5"/>
  <c r="Y38" i="5"/>
  <c r="Y41" i="5"/>
  <c r="Y32" i="5"/>
  <c r="Y45" i="5"/>
  <c r="Y50" i="5"/>
  <c r="Y53" i="5"/>
  <c r="Y44" i="5"/>
  <c r="Y31" i="5"/>
  <c r="Z34" i="5"/>
  <c r="Z33" i="5"/>
  <c r="Z38" i="5"/>
  <c r="Z41" i="5"/>
  <c r="Z32" i="5"/>
  <c r="Z45" i="5"/>
  <c r="Z50" i="5"/>
  <c r="Z53" i="5"/>
  <c r="Z44" i="5"/>
  <c r="Z31" i="5"/>
  <c r="AA34" i="5"/>
  <c r="AA33" i="5"/>
  <c r="AA38" i="5"/>
  <c r="AA41" i="5"/>
  <c r="AA32" i="5"/>
  <c r="AA45" i="5"/>
  <c r="AA50" i="5"/>
  <c r="AA53" i="5"/>
  <c r="AA44" i="5"/>
  <c r="AA31" i="5"/>
  <c r="AB34" i="5"/>
  <c r="AB33" i="5"/>
  <c r="AB38" i="5"/>
  <c r="AB41" i="5"/>
  <c r="AB32" i="5"/>
  <c r="AB45" i="5"/>
  <c r="AB50" i="5"/>
  <c r="AB53" i="5"/>
  <c r="AB44" i="5"/>
  <c r="AB31" i="5"/>
  <c r="AC34" i="5"/>
  <c r="AC33" i="5"/>
  <c r="AC38" i="5"/>
  <c r="AC41" i="5"/>
  <c r="AC32" i="5"/>
  <c r="AC45" i="5"/>
  <c r="AC50" i="5"/>
  <c r="AC53" i="5"/>
  <c r="AC44" i="5"/>
  <c r="AC31" i="5"/>
  <c r="AD34" i="5"/>
  <c r="AD33" i="5"/>
  <c r="AD38" i="5"/>
  <c r="AD41" i="5"/>
  <c r="AD32" i="5"/>
  <c r="AD45" i="5"/>
  <c r="AD50" i="5"/>
  <c r="AD53" i="5"/>
  <c r="AD44" i="5"/>
  <c r="AD31" i="5"/>
  <c r="AE34" i="5"/>
  <c r="AE33" i="5"/>
  <c r="AE38" i="5"/>
  <c r="AE41" i="5"/>
  <c r="AE32" i="5"/>
  <c r="AE45" i="5"/>
  <c r="AE50" i="5"/>
  <c r="AE53" i="5"/>
  <c r="AE44" i="5"/>
  <c r="AE31" i="5"/>
  <c r="AF34" i="5"/>
  <c r="AF33" i="5"/>
  <c r="AF38" i="5"/>
  <c r="AF41" i="5"/>
  <c r="AF32" i="5"/>
  <c r="AF45" i="5"/>
  <c r="AF50" i="5"/>
  <c r="AF53" i="5"/>
  <c r="AF44" i="5"/>
  <c r="AF31" i="5"/>
  <c r="AG34" i="5"/>
  <c r="AG33" i="5"/>
  <c r="AG38" i="5"/>
  <c r="AG41" i="5"/>
  <c r="AG32" i="5"/>
  <c r="AG45" i="5"/>
  <c r="AG50" i="5"/>
  <c r="AG53" i="5"/>
  <c r="AG44" i="5"/>
  <c r="AG31" i="5"/>
  <c r="A18" i="12"/>
  <c r="C58" i="5"/>
  <c r="C57" i="5"/>
  <c r="C64" i="5"/>
  <c r="C63" i="5"/>
  <c r="C56" i="5"/>
  <c r="D57" i="5"/>
  <c r="D63" i="5"/>
  <c r="D56" i="5"/>
  <c r="E57" i="5"/>
  <c r="E63" i="5"/>
  <c r="E56" i="5"/>
  <c r="F57" i="5"/>
  <c r="F65" i="5"/>
  <c r="F63" i="5"/>
  <c r="F56" i="5"/>
  <c r="G59" i="5"/>
  <c r="G57" i="5"/>
  <c r="G63" i="5"/>
  <c r="G56" i="5"/>
  <c r="H57" i="5"/>
  <c r="H63" i="5"/>
  <c r="H56" i="5"/>
  <c r="I60" i="5"/>
  <c r="I57" i="5"/>
  <c r="I66" i="5"/>
  <c r="I63" i="5"/>
  <c r="I56" i="5"/>
  <c r="J57" i="5"/>
  <c r="J63" i="5"/>
  <c r="J56" i="5"/>
  <c r="K57" i="5"/>
  <c r="K63" i="5"/>
  <c r="K56" i="5"/>
  <c r="L57" i="5"/>
  <c r="L63" i="5"/>
  <c r="L56" i="5"/>
  <c r="M57" i="5"/>
  <c r="M63" i="5"/>
  <c r="M56" i="5"/>
  <c r="N57" i="5"/>
  <c r="N63" i="5"/>
  <c r="N56" i="5"/>
  <c r="O61" i="5"/>
  <c r="O57" i="5"/>
  <c r="O67" i="5"/>
  <c r="O63" i="5"/>
  <c r="O56" i="5"/>
  <c r="P57" i="5"/>
  <c r="P63" i="5"/>
  <c r="P56" i="5"/>
  <c r="Q57" i="5"/>
  <c r="Q63" i="5"/>
  <c r="Q56" i="5"/>
  <c r="R57" i="5"/>
  <c r="R63" i="5"/>
  <c r="R56" i="5"/>
  <c r="S57" i="5"/>
  <c r="S68" i="5"/>
  <c r="S63" i="5"/>
  <c r="S56" i="5"/>
  <c r="T57" i="5"/>
  <c r="T63" i="5"/>
  <c r="T56" i="5"/>
  <c r="U57" i="5"/>
  <c r="U63" i="5"/>
  <c r="U56" i="5"/>
  <c r="V57" i="5"/>
  <c r="V63" i="5"/>
  <c r="V56" i="5"/>
  <c r="W57" i="5"/>
  <c r="W63" i="5"/>
  <c r="W56" i="5"/>
  <c r="X57" i="5"/>
  <c r="X63" i="5"/>
  <c r="X56" i="5"/>
  <c r="Y57" i="5"/>
  <c r="Y63" i="5"/>
  <c r="Y56" i="5"/>
  <c r="Z57" i="5"/>
  <c r="Z63" i="5"/>
  <c r="Z56" i="5"/>
  <c r="AA57" i="5"/>
  <c r="AA63" i="5"/>
  <c r="AA56" i="5"/>
  <c r="AB57" i="5"/>
  <c r="AB63" i="5"/>
  <c r="AB56" i="5"/>
  <c r="AC57" i="5"/>
  <c r="AC63" i="5"/>
  <c r="AC56" i="5"/>
  <c r="AD57" i="5"/>
  <c r="AD63" i="5"/>
  <c r="AD56" i="5"/>
  <c r="AE57" i="5"/>
  <c r="AE63" i="5"/>
  <c r="AE56" i="5"/>
  <c r="AF57" i="5"/>
  <c r="AF63" i="5"/>
  <c r="AF56" i="5"/>
  <c r="AG57" i="5"/>
  <c r="AG63" i="5"/>
  <c r="AG56" i="5"/>
  <c r="A19" i="12"/>
  <c r="C70" i="5"/>
  <c r="D70" i="5"/>
  <c r="E70" i="5"/>
  <c r="F70" i="5"/>
  <c r="G70" i="5"/>
  <c r="H70" i="5"/>
  <c r="I70" i="5"/>
  <c r="J70" i="5"/>
  <c r="K70" i="5"/>
  <c r="L70" i="5"/>
  <c r="M70" i="5"/>
  <c r="N70" i="5"/>
  <c r="O70" i="5"/>
  <c r="P70" i="5"/>
  <c r="Q70" i="5"/>
  <c r="R70" i="5"/>
  <c r="S70" i="5"/>
  <c r="T70" i="5"/>
  <c r="U70" i="5"/>
  <c r="V70" i="5"/>
  <c r="W70" i="5"/>
  <c r="X70" i="5"/>
  <c r="Y70" i="5"/>
  <c r="Z70" i="5"/>
  <c r="AA70" i="5"/>
  <c r="AB70" i="5"/>
  <c r="AC70" i="5"/>
  <c r="AD70" i="5"/>
  <c r="AE70" i="5"/>
  <c r="AF70" i="5"/>
  <c r="AG70" i="5"/>
  <c r="A20" i="12"/>
  <c r="AG73" i="5"/>
  <c r="E16" i="1"/>
  <c r="E17" i="1"/>
  <c r="E18" i="1"/>
  <c r="E20" i="1"/>
  <c r="E21" i="1"/>
  <c r="E14" i="1"/>
  <c r="B82" i="1"/>
  <c r="C89" i="5"/>
  <c r="D89" i="5"/>
  <c r="E89" i="5"/>
  <c r="F89" i="5"/>
  <c r="G89" i="5"/>
  <c r="H89" i="5"/>
  <c r="I89" i="5"/>
  <c r="J89" i="5"/>
  <c r="K89" i="5"/>
  <c r="L89" i="5"/>
  <c r="M89" i="5"/>
  <c r="N89" i="5"/>
  <c r="P89" i="5"/>
  <c r="Q89" i="5"/>
  <c r="R89" i="5"/>
  <c r="T89" i="5"/>
  <c r="U89" i="5"/>
  <c r="V89" i="5"/>
  <c r="W89" i="5"/>
  <c r="X89" i="5"/>
  <c r="Y89" i="5"/>
  <c r="Z89" i="5"/>
  <c r="AA89" i="5"/>
  <c r="AB89" i="5"/>
  <c r="AC89" i="5"/>
  <c r="AD89" i="5"/>
  <c r="AE89" i="5"/>
  <c r="AF89" i="5"/>
  <c r="AG89" i="5"/>
  <c r="J34" i="12"/>
  <c r="C35" i="12"/>
  <c r="C36" i="12"/>
  <c r="D35" i="12"/>
  <c r="D36" i="12"/>
  <c r="E35" i="12"/>
  <c r="E36" i="12"/>
  <c r="F35" i="12"/>
  <c r="F36" i="12"/>
  <c r="G35" i="12"/>
  <c r="G36" i="12"/>
  <c r="H35" i="12"/>
  <c r="H36" i="12"/>
  <c r="I35" i="12"/>
  <c r="I36" i="12"/>
  <c r="D94" i="5"/>
  <c r="E94" i="5"/>
  <c r="F94" i="5"/>
  <c r="G94" i="5"/>
  <c r="H94" i="5"/>
  <c r="I94" i="5"/>
  <c r="J94" i="5"/>
  <c r="K94" i="5"/>
  <c r="L94" i="5"/>
  <c r="M94" i="5"/>
  <c r="N94" i="5"/>
  <c r="O94" i="5"/>
  <c r="P94" i="5"/>
  <c r="Q94" i="5"/>
  <c r="R94" i="5"/>
  <c r="S94" i="5"/>
  <c r="T94" i="5"/>
  <c r="U94" i="5"/>
  <c r="V94" i="5"/>
  <c r="W94" i="5"/>
  <c r="X94" i="5"/>
  <c r="Y94" i="5"/>
  <c r="Z94" i="5"/>
  <c r="AA94" i="5"/>
  <c r="AB94" i="5"/>
  <c r="AC94" i="5"/>
  <c r="AD94" i="5"/>
  <c r="AE94" i="5"/>
  <c r="AF94" i="5"/>
  <c r="AG94" i="5"/>
  <c r="C94" i="5"/>
  <c r="A21" i="12"/>
  <c r="R77" i="5"/>
  <c r="V77" i="5"/>
  <c r="AA77" i="5"/>
  <c r="AE77" i="5"/>
  <c r="J21" i="12"/>
  <c r="A22" i="12"/>
  <c r="C78" i="5"/>
  <c r="D78" i="5"/>
  <c r="E78" i="5"/>
  <c r="F78" i="5"/>
  <c r="G78" i="5"/>
  <c r="H78" i="5"/>
  <c r="I78" i="5"/>
  <c r="J78" i="5"/>
  <c r="K78" i="5"/>
  <c r="L78" i="5"/>
  <c r="M78" i="5"/>
  <c r="N78" i="5"/>
  <c r="O78" i="5"/>
  <c r="P78" i="5"/>
  <c r="Q78" i="5"/>
  <c r="R79" i="5"/>
  <c r="R78" i="5"/>
  <c r="S78" i="5"/>
  <c r="T78" i="5"/>
  <c r="U78" i="5"/>
  <c r="V80" i="5"/>
  <c r="V78" i="5"/>
  <c r="W78" i="5"/>
  <c r="X78" i="5"/>
  <c r="Y78" i="5"/>
  <c r="Z78" i="5"/>
  <c r="AA80" i="5"/>
  <c r="AA78" i="5"/>
  <c r="AB78" i="5"/>
  <c r="AC78" i="5"/>
  <c r="AD78" i="5"/>
  <c r="AE80" i="5"/>
  <c r="AE78" i="5"/>
  <c r="AF78" i="5"/>
  <c r="AG78" i="5"/>
  <c r="J22" i="12"/>
  <c r="J23" i="12"/>
  <c r="J25" i="12"/>
  <c r="J26" i="12"/>
  <c r="J27" i="12"/>
  <c r="J28" i="12"/>
  <c r="J29" i="12"/>
  <c r="J30" i="12"/>
  <c r="J31" i="12"/>
  <c r="J32" i="12"/>
  <c r="J33" i="12"/>
  <c r="J20" i="12"/>
  <c r="J12" i="12"/>
  <c r="J13" i="12"/>
  <c r="J14" i="12"/>
  <c r="J15" i="12"/>
  <c r="J16" i="12"/>
  <c r="J17" i="12"/>
  <c r="J18" i="12"/>
  <c r="J19" i="12"/>
  <c r="J11" i="12"/>
  <c r="B14" i="9"/>
  <c r="B19" i="9"/>
  <c r="B20" i="9"/>
  <c r="B21" i="9"/>
  <c r="C14" i="9"/>
  <c r="C19" i="9"/>
  <c r="C20" i="9"/>
  <c r="C21" i="9"/>
  <c r="D14" i="9"/>
  <c r="D19" i="9"/>
  <c r="D20" i="9"/>
  <c r="D21" i="9"/>
  <c r="E14" i="9"/>
  <c r="E19" i="9"/>
  <c r="E20" i="9"/>
  <c r="E21" i="9"/>
  <c r="F14" i="9"/>
  <c r="F19" i="9"/>
  <c r="F20" i="9"/>
  <c r="F21" i="9"/>
  <c r="G14" i="9"/>
  <c r="G19" i="9"/>
  <c r="G20" i="9"/>
  <c r="G21" i="9"/>
  <c r="H14" i="9"/>
  <c r="H19" i="9"/>
  <c r="H20" i="9"/>
  <c r="H21" i="9"/>
  <c r="I14" i="9"/>
  <c r="I19" i="9"/>
  <c r="I20" i="9"/>
  <c r="I21" i="9"/>
  <c r="B16" i="13"/>
  <c r="B17" i="13"/>
  <c r="A16" i="13"/>
  <c r="A17" i="13"/>
  <c r="D8" i="5"/>
  <c r="D81" i="5"/>
  <c r="D82" i="5"/>
  <c r="E8" i="5"/>
  <c r="E81" i="5"/>
  <c r="E82" i="5"/>
  <c r="F8" i="5"/>
  <c r="F81" i="5"/>
  <c r="F82" i="5"/>
  <c r="G8" i="5"/>
  <c r="G81" i="5"/>
  <c r="G82" i="5"/>
  <c r="H8" i="5"/>
  <c r="H81" i="5"/>
  <c r="H82" i="5"/>
  <c r="I8" i="5"/>
  <c r="I81" i="5"/>
  <c r="I82" i="5"/>
  <c r="J8" i="5"/>
  <c r="J81" i="5"/>
  <c r="J82" i="5"/>
  <c r="K8" i="5"/>
  <c r="K81" i="5"/>
  <c r="K82" i="5"/>
  <c r="L8" i="5"/>
  <c r="L81" i="5"/>
  <c r="L82" i="5"/>
  <c r="M8" i="5"/>
  <c r="M81" i="5"/>
  <c r="M82" i="5"/>
  <c r="N8" i="5"/>
  <c r="N81" i="5"/>
  <c r="N82" i="5"/>
  <c r="O8" i="5"/>
  <c r="O81" i="5"/>
  <c r="O82" i="5"/>
  <c r="P8" i="5"/>
  <c r="P81" i="5"/>
  <c r="P82" i="5"/>
  <c r="Q8" i="5"/>
  <c r="Q81" i="5"/>
  <c r="Q82" i="5"/>
  <c r="R8" i="5"/>
  <c r="R81" i="5"/>
  <c r="R82" i="5"/>
  <c r="S8" i="5"/>
  <c r="S81" i="5"/>
  <c r="S82" i="5"/>
  <c r="T8" i="5"/>
  <c r="T81" i="5"/>
  <c r="T82" i="5"/>
  <c r="U8" i="5"/>
  <c r="U81" i="5"/>
  <c r="U82" i="5"/>
  <c r="V8" i="5"/>
  <c r="V81" i="5"/>
  <c r="V82" i="5"/>
  <c r="W8" i="5"/>
  <c r="W81" i="5"/>
  <c r="W82" i="5"/>
  <c r="X8" i="5"/>
  <c r="X81" i="5"/>
  <c r="X82" i="5"/>
  <c r="Y8" i="5"/>
  <c r="Y81" i="5"/>
  <c r="Y82" i="5"/>
  <c r="Z8" i="5"/>
  <c r="Z81" i="5"/>
  <c r="Z82" i="5"/>
  <c r="AA8" i="5"/>
  <c r="AA81" i="5"/>
  <c r="AA82" i="5"/>
  <c r="AB8" i="5"/>
  <c r="AB81" i="5"/>
  <c r="AB82" i="5"/>
  <c r="AC8" i="5"/>
  <c r="AC81" i="5"/>
  <c r="AC82" i="5"/>
  <c r="AD8" i="5"/>
  <c r="AD81" i="5"/>
  <c r="AD82" i="5"/>
  <c r="AE8" i="5"/>
  <c r="AE81" i="5"/>
  <c r="AE82" i="5"/>
  <c r="AF8" i="5"/>
  <c r="AF81" i="5"/>
  <c r="AF82" i="5"/>
  <c r="AG8" i="5"/>
  <c r="AG81" i="5"/>
  <c r="AG82" i="5"/>
  <c r="AH88" i="5"/>
  <c r="AH89" i="5"/>
  <c r="AH90" i="5"/>
  <c r="AH91" i="5"/>
  <c r="AH92" i="5"/>
  <c r="AH93" i="5"/>
  <c r="AH94" i="5"/>
  <c r="C87" i="5"/>
  <c r="C95" i="5"/>
  <c r="D87" i="5"/>
  <c r="D95" i="5"/>
  <c r="E87" i="5"/>
  <c r="E95" i="5"/>
  <c r="F87" i="5"/>
  <c r="F95" i="5"/>
  <c r="G87" i="5"/>
  <c r="G95" i="5"/>
  <c r="H87" i="5"/>
  <c r="H95" i="5"/>
  <c r="I87" i="5"/>
  <c r="I95" i="5"/>
  <c r="J87" i="5"/>
  <c r="J95" i="5"/>
  <c r="K87" i="5"/>
  <c r="K95" i="5"/>
  <c r="L87" i="5"/>
  <c r="L95" i="5"/>
  <c r="M87" i="5"/>
  <c r="M95" i="5"/>
  <c r="N87" i="5"/>
  <c r="N95" i="5"/>
  <c r="O87" i="5"/>
  <c r="O95" i="5"/>
  <c r="P87" i="5"/>
  <c r="P95" i="5"/>
  <c r="Q87" i="5"/>
  <c r="Q95" i="5"/>
  <c r="R87" i="5"/>
  <c r="R95" i="5"/>
  <c r="S87" i="5"/>
  <c r="S95" i="5"/>
  <c r="AH77" i="5"/>
  <c r="AH78" i="5"/>
  <c r="AH79" i="5"/>
  <c r="AH80" i="5"/>
  <c r="C81" i="5"/>
  <c r="B107" i="1"/>
  <c r="B103" i="1"/>
  <c r="B98" i="1"/>
  <c r="B95" i="1"/>
  <c r="B108" i="1"/>
  <c r="B105" i="1"/>
  <c r="B104" i="1"/>
  <c r="C69" i="1"/>
  <c r="E69" i="1"/>
  <c r="C70" i="1"/>
  <c r="E70" i="1"/>
  <c r="C13" i="1"/>
  <c r="E13" i="1"/>
  <c r="E7" i="1"/>
  <c r="B87" i="1"/>
  <c r="B91" i="1"/>
  <c r="C91" i="1"/>
  <c r="C89" i="1"/>
  <c r="C90" i="1"/>
  <c r="B90" i="1"/>
  <c r="B89" i="1"/>
  <c r="E76" i="1"/>
  <c r="E72" i="1"/>
  <c r="E74" i="1"/>
  <c r="E73" i="1"/>
  <c r="E71" i="1"/>
  <c r="K8" i="14"/>
  <c r="K9" i="14"/>
  <c r="K10" i="14"/>
  <c r="I10" i="14"/>
  <c r="I8" i="14"/>
  <c r="I9" i="14"/>
  <c r="I7" i="14"/>
  <c r="I11" i="14"/>
  <c r="D11" i="14"/>
  <c r="E24" i="1"/>
  <c r="B11" i="13"/>
  <c r="E31" i="1"/>
  <c r="E43" i="1"/>
  <c r="B12" i="13"/>
  <c r="C11" i="13"/>
  <c r="B6" i="13"/>
  <c r="B7" i="13"/>
  <c r="B8" i="13"/>
  <c r="B9" i="13"/>
  <c r="B10" i="13"/>
  <c r="B13" i="13"/>
  <c r="B14" i="13"/>
  <c r="B15" i="13"/>
  <c r="B18" i="13"/>
  <c r="A18" i="13"/>
  <c r="A14" i="13"/>
  <c r="A15" i="13"/>
  <c r="A7" i="13"/>
  <c r="A8" i="13"/>
  <c r="A9" i="13"/>
  <c r="A10" i="13"/>
  <c r="A11" i="13"/>
  <c r="A12" i="13"/>
  <c r="A13" i="13"/>
  <c r="A6" i="13"/>
  <c r="AH67" i="5"/>
  <c r="C55" i="1"/>
  <c r="C54" i="1"/>
  <c r="E62" i="1"/>
  <c r="E55" i="1"/>
  <c r="E54" i="1"/>
  <c r="AH75" i="5"/>
  <c r="AH76" i="5"/>
  <c r="AH81" i="5"/>
  <c r="C8" i="5"/>
  <c r="C82" i="5"/>
  <c r="AH83" i="5"/>
  <c r="AH84" i="5"/>
  <c r="AH85" i="5"/>
  <c r="AH86" i="5"/>
  <c r="T87" i="5"/>
  <c r="U87" i="5"/>
  <c r="V87" i="5"/>
  <c r="W87" i="5"/>
  <c r="X87" i="5"/>
  <c r="Y87" i="5"/>
  <c r="Z87" i="5"/>
  <c r="AA87" i="5"/>
  <c r="AB87" i="5"/>
  <c r="AC87" i="5"/>
  <c r="AD87" i="5"/>
  <c r="AE87" i="5"/>
  <c r="AF87" i="5"/>
  <c r="AG87" i="5"/>
  <c r="AH87" i="5"/>
  <c r="AH60" i="5"/>
  <c r="AH61" i="5"/>
  <c r="AH62" i="5"/>
  <c r="AH63" i="5"/>
  <c r="AH64" i="5"/>
  <c r="AH65" i="5"/>
  <c r="AH66" i="5"/>
  <c r="AH69" i="5"/>
  <c r="AH70" i="5"/>
  <c r="AH71" i="5"/>
  <c r="AH72" i="5"/>
  <c r="AH73" i="5"/>
  <c r="AH74" i="5"/>
  <c r="AH19" i="5"/>
  <c r="AI19" i="5"/>
  <c r="AH8" i="5"/>
  <c r="AH6" i="5"/>
  <c r="AH7" i="5"/>
  <c r="AH9" i="5"/>
  <c r="AH10" i="5"/>
  <c r="AH11" i="5"/>
  <c r="AH12" i="5"/>
  <c r="AH13" i="5"/>
  <c r="AH14" i="5"/>
  <c r="AH15" i="5"/>
  <c r="AH16" i="5"/>
  <c r="AH17" i="5"/>
  <c r="AH18" i="5"/>
  <c r="AH20" i="5"/>
  <c r="AH21" i="5"/>
  <c r="AH22" i="5"/>
  <c r="AH23" i="5"/>
  <c r="AH24" i="5"/>
  <c r="AH25" i="5"/>
  <c r="AH26" i="5"/>
  <c r="AH27" i="5"/>
  <c r="AH28" i="5"/>
  <c r="AH29" i="5"/>
  <c r="AH30" i="5"/>
  <c r="AH31" i="5"/>
  <c r="AH32" i="5"/>
  <c r="AH33" i="5"/>
  <c r="AH34" i="5"/>
  <c r="AH35" i="5"/>
  <c r="AH36" i="5"/>
  <c r="AH37" i="5"/>
  <c r="AH38" i="5"/>
  <c r="AH39" i="5"/>
  <c r="AH40" i="5"/>
  <c r="AH41" i="5"/>
  <c r="AH42" i="5"/>
  <c r="AH43" i="5"/>
  <c r="AH44" i="5"/>
  <c r="AH45" i="5"/>
  <c r="AH46" i="5"/>
  <c r="AH47" i="5"/>
  <c r="AH48" i="5"/>
  <c r="AH49" i="5"/>
  <c r="AH50" i="5"/>
  <c r="AH51" i="5"/>
  <c r="AH52" i="5"/>
  <c r="AH53" i="5"/>
  <c r="AH54" i="5"/>
  <c r="AH55" i="5"/>
  <c r="AH56" i="5"/>
  <c r="AH57" i="5"/>
  <c r="AH58" i="5"/>
  <c r="AH59" i="5"/>
  <c r="AH5" i="5"/>
  <c r="J9" i="12"/>
  <c r="A10" i="12"/>
  <c r="A9" i="12"/>
  <c r="A6" i="12"/>
  <c r="C19" i="4"/>
  <c r="E4" i="1"/>
  <c r="B80" i="1"/>
  <c r="E5" i="1"/>
  <c r="E6" i="1"/>
  <c r="B81" i="1"/>
  <c r="E63" i="1"/>
  <c r="E57" i="1"/>
  <c r="E51" i="1"/>
  <c r="E50" i="1"/>
  <c r="B85" i="1"/>
  <c r="E64" i="1"/>
  <c r="B88" i="1"/>
  <c r="E27" i="1"/>
  <c r="E26" i="1"/>
  <c r="E39" i="1"/>
  <c r="E38" i="1"/>
  <c r="E22" i="1"/>
  <c r="B83" i="1"/>
  <c r="F55" i="2"/>
  <c r="F62" i="2"/>
  <c r="F40" i="2"/>
  <c r="F42" i="2"/>
  <c r="F43" i="2"/>
  <c r="F20" i="2"/>
  <c r="F24" i="2"/>
  <c r="F18" i="2"/>
  <c r="F17" i="2"/>
  <c r="A21" i="2"/>
  <c r="B116" i="1"/>
  <c r="B115" i="1"/>
  <c r="B121" i="1"/>
  <c r="B120" i="1"/>
  <c r="E52" i="1"/>
  <c r="C53" i="1"/>
  <c r="E53" i="1"/>
  <c r="C56" i="1"/>
  <c r="E56" i="1"/>
  <c r="B119" i="1"/>
  <c r="E28" i="1"/>
  <c r="E29" i="1"/>
  <c r="E30" i="1"/>
  <c r="E33" i="1"/>
  <c r="E34" i="1"/>
  <c r="E32" i="1"/>
  <c r="E36" i="1"/>
  <c r="E37" i="1"/>
  <c r="E35" i="1"/>
  <c r="B118" i="1"/>
  <c r="E23" i="1"/>
  <c r="B117" i="1"/>
  <c r="E8" i="1"/>
  <c r="E9" i="1"/>
  <c r="E10" i="1"/>
  <c r="E11" i="1"/>
  <c r="E12" i="1"/>
  <c r="B99" i="1"/>
  <c r="B102" i="1"/>
  <c r="B96" i="1"/>
  <c r="B97" i="1"/>
  <c r="E40" i="1"/>
  <c r="E41" i="1"/>
  <c r="E42" i="1"/>
  <c r="E45" i="1"/>
  <c r="E46" i="1"/>
  <c r="E44" i="1"/>
  <c r="E48" i="1"/>
  <c r="E49" i="1"/>
  <c r="E47" i="1"/>
  <c r="E58" i="1"/>
  <c r="C59" i="1"/>
  <c r="E59" i="1"/>
  <c r="E60" i="1"/>
  <c r="E61" i="1"/>
  <c r="C63" i="1"/>
  <c r="B100" i="1"/>
  <c r="E65" i="1"/>
  <c r="E66" i="1"/>
  <c r="B101" i="1"/>
  <c r="B106" i="1"/>
  <c r="C103" i="1"/>
  <c r="B111" i="1"/>
  <c r="C95" i="1"/>
  <c r="B110" i="1"/>
  <c r="C108" i="1"/>
  <c r="C81" i="1"/>
  <c r="C82" i="1"/>
  <c r="C83" i="1"/>
  <c r="C84" i="1"/>
  <c r="C85" i="1"/>
  <c r="C86" i="1"/>
  <c r="C87" i="1"/>
  <c r="C88" i="1"/>
  <c r="C80" i="1"/>
  <c r="B43" i="4"/>
  <c r="D15" i="4"/>
  <c r="C15" i="4"/>
  <c r="C34" i="4"/>
  <c r="D34" i="4"/>
  <c r="B7" i="4"/>
  <c r="B9" i="4"/>
  <c r="B13" i="4"/>
  <c r="C12" i="4"/>
  <c r="D12" i="4"/>
  <c r="C11" i="4"/>
  <c r="D11" i="4"/>
  <c r="C5" i="4"/>
  <c r="C7" i="4"/>
  <c r="C27" i="4"/>
  <c r="D27" i="4"/>
  <c r="C31" i="4"/>
  <c r="D31" i="4"/>
  <c r="C30" i="4"/>
  <c r="D30" i="4"/>
  <c r="C25" i="4"/>
  <c r="D25" i="4"/>
  <c r="D26" i="4"/>
  <c r="D28" i="4"/>
  <c r="D32" i="4"/>
  <c r="D35" i="4"/>
  <c r="D39" i="4"/>
  <c r="C37" i="4"/>
  <c r="C24" i="4"/>
  <c r="C26" i="4"/>
  <c r="C28" i="4"/>
  <c r="C32" i="4"/>
  <c r="C35" i="4"/>
  <c r="C39" i="4"/>
  <c r="B26" i="4"/>
  <c r="B28" i="4"/>
  <c r="B32" i="4"/>
  <c r="B35" i="4"/>
  <c r="B39" i="4"/>
  <c r="D38" i="4"/>
  <c r="C38" i="4"/>
  <c r="B38" i="4"/>
  <c r="C9" i="4"/>
  <c r="C13" i="4"/>
  <c r="F104" i="5"/>
  <c r="F103" i="5"/>
  <c r="B4" i="7"/>
  <c r="E16" i="7"/>
  <c r="G16" i="7"/>
  <c r="BL81" i="5"/>
  <c r="F76" i="1"/>
  <c r="AJ87" i="5"/>
  <c r="AK87" i="5"/>
  <c r="AL87" i="5"/>
  <c r="AM87" i="5"/>
  <c r="AN87" i="5"/>
  <c r="AO87" i="5"/>
  <c r="AP87" i="5"/>
  <c r="AQ87" i="5"/>
  <c r="AR87" i="5"/>
  <c r="AS87" i="5"/>
  <c r="AT87" i="5"/>
  <c r="AU87" i="5"/>
  <c r="AV87" i="5"/>
  <c r="AW87" i="5"/>
  <c r="AX87" i="5"/>
  <c r="AY87" i="5"/>
  <c r="AZ87" i="5"/>
  <c r="BA87" i="5"/>
  <c r="BB87" i="5"/>
  <c r="BC87" i="5"/>
  <c r="BD87" i="5"/>
  <c r="BE87" i="5"/>
  <c r="BF87" i="5"/>
  <c r="BG87" i="5"/>
  <c r="BH87" i="5"/>
  <c r="BI87" i="5"/>
  <c r="BJ87" i="5"/>
  <c r="BK87" i="5"/>
  <c r="BL6" i="5"/>
  <c r="BL8" i="5"/>
  <c r="BL9" i="5"/>
  <c r="BL10" i="5"/>
  <c r="BL11" i="5"/>
  <c r="BL12" i="5"/>
  <c r="BL13" i="5"/>
  <c r="BL14" i="5"/>
  <c r="BL15" i="5"/>
  <c r="BL16" i="5"/>
  <c r="BL17" i="5"/>
  <c r="BL18" i="5"/>
  <c r="BL19" i="5"/>
  <c r="BL20" i="5"/>
  <c r="BL21" i="5"/>
  <c r="BL22" i="5"/>
  <c r="BL23" i="5"/>
  <c r="BL24" i="5"/>
  <c r="BL25" i="5"/>
  <c r="BL26" i="5"/>
  <c r="BL27" i="5"/>
  <c r="BL28" i="5"/>
  <c r="BL29" i="5"/>
  <c r="BL30" i="5"/>
  <c r="BL31" i="5"/>
  <c r="BL32" i="5"/>
  <c r="BL33" i="5"/>
  <c r="BL34" i="5"/>
  <c r="BL35" i="5"/>
  <c r="BL36" i="5"/>
  <c r="BL37" i="5"/>
  <c r="BL38" i="5"/>
  <c r="BL39" i="5"/>
  <c r="BL40" i="5"/>
  <c r="BL82" i="5"/>
  <c r="BL83" i="5"/>
  <c r="BL84" i="5"/>
  <c r="BL85" i="5"/>
  <c r="BL86" i="5"/>
  <c r="BL87" i="5"/>
  <c r="BL88" i="5"/>
  <c r="BL89" i="5"/>
  <c r="BL90" i="5"/>
  <c r="BL91" i="5"/>
  <c r="BL92" i="5"/>
  <c r="BL93" i="5"/>
  <c r="BL94" i="5"/>
  <c r="BL95" i="5"/>
  <c r="BL96" i="5"/>
  <c r="BL97" i="5"/>
  <c r="BL98" i="5"/>
  <c r="BL99" i="5"/>
  <c r="BL100" i="5"/>
  <c r="BL101" i="5"/>
  <c r="BL102" i="5"/>
  <c r="E103" i="5"/>
  <c r="BL103" i="5"/>
  <c r="E104" i="5"/>
  <c r="BL104" i="5"/>
  <c r="BL105" i="5"/>
  <c r="BL106" i="5"/>
  <c r="BL107" i="5"/>
  <c r="BL108" i="5"/>
  <c r="BL109" i="5"/>
  <c r="BL110" i="5"/>
  <c r="BL111" i="5"/>
  <c r="BL112" i="5"/>
  <c r="BL113" i="5"/>
  <c r="BL114" i="5"/>
  <c r="BL115" i="5"/>
  <c r="BL116" i="5"/>
  <c r="BL117" i="5"/>
  <c r="BL118" i="5"/>
  <c r="BL119" i="5"/>
  <c r="BL120" i="5"/>
  <c r="BL121" i="5"/>
  <c r="BL122" i="5"/>
  <c r="BL123" i="5"/>
  <c r="BL124" i="5"/>
  <c r="BL125" i="5"/>
  <c r="BL126" i="5"/>
  <c r="BL127" i="5"/>
  <c r="BL128" i="5"/>
  <c r="BL129" i="5"/>
  <c r="BL130" i="5"/>
  <c r="BL131" i="5"/>
  <c r="BL132" i="5"/>
  <c r="BL133" i="5"/>
  <c r="BL134" i="5"/>
  <c r="BL135" i="5"/>
  <c r="BL136" i="5"/>
  <c r="BL137" i="5"/>
  <c r="BL138" i="5"/>
  <c r="BL139" i="5"/>
  <c r="BL140" i="5"/>
  <c r="BL141" i="5"/>
  <c r="BL142" i="5"/>
  <c r="BL143" i="5"/>
  <c r="BL5" i="5"/>
  <c r="AJ4" i="5"/>
  <c r="AK4" i="5"/>
  <c r="AL4" i="5"/>
  <c r="AM4" i="5"/>
  <c r="AN4" i="5"/>
  <c r="AO4" i="5"/>
  <c r="AP4" i="5"/>
  <c r="AQ4" i="5"/>
  <c r="AR4" i="5"/>
  <c r="AS4" i="5"/>
  <c r="AT4" i="5"/>
  <c r="AU4" i="5"/>
  <c r="AV4" i="5"/>
  <c r="AW4" i="5"/>
  <c r="AX4" i="5"/>
  <c r="AY4" i="5"/>
  <c r="AZ4" i="5"/>
  <c r="BA4" i="5"/>
  <c r="BB4" i="5"/>
  <c r="BC4" i="5"/>
  <c r="BD4" i="5"/>
  <c r="BE4" i="5"/>
  <c r="BF4" i="5"/>
  <c r="BG4" i="5"/>
  <c r="BH4" i="5"/>
  <c r="BI4" i="5"/>
  <c r="BJ4" i="5"/>
  <c r="BK4" i="5"/>
  <c r="B11" i="7"/>
  <c r="B16" i="7"/>
  <c r="C17" i="7"/>
  <c r="C18" i="7"/>
  <c r="C19" i="7"/>
  <c r="C20" i="7"/>
  <c r="C21" i="7"/>
  <c r="C22" i="7"/>
  <c r="E22" i="7"/>
  <c r="F22" i="7"/>
  <c r="D22" i="7"/>
  <c r="E17" i="7"/>
  <c r="G17" i="7"/>
  <c r="E18" i="7"/>
  <c r="G18" i="7"/>
  <c r="E19" i="7"/>
  <c r="G19" i="7"/>
  <c r="E20" i="7"/>
  <c r="G20" i="7"/>
  <c r="E21" i="7"/>
  <c r="G21" i="7"/>
  <c r="G22" i="7"/>
  <c r="C23" i="7"/>
  <c r="E23" i="7"/>
  <c r="F23" i="7"/>
  <c r="D23" i="7"/>
  <c r="G23" i="7"/>
  <c r="C24" i="7"/>
  <c r="E24" i="7"/>
  <c r="F24" i="7"/>
  <c r="D24" i="7"/>
  <c r="G24" i="7"/>
  <c r="C25" i="7"/>
  <c r="E25" i="7"/>
  <c r="F25" i="7"/>
  <c r="D25" i="7"/>
  <c r="G25" i="7"/>
  <c r="C26" i="7"/>
  <c r="E26" i="7"/>
  <c r="F26" i="7"/>
  <c r="D26" i="7"/>
  <c r="G26" i="7"/>
  <c r="C27" i="7"/>
  <c r="E27" i="7"/>
  <c r="F27" i="7"/>
  <c r="D27" i="7"/>
  <c r="G27" i="7"/>
  <c r="C28" i="7"/>
  <c r="D28" i="7"/>
  <c r="E28" i="7"/>
  <c r="F28" i="7"/>
  <c r="G28" i="7"/>
  <c r="C29" i="7"/>
  <c r="D29" i="7"/>
  <c r="E29" i="7"/>
  <c r="F29" i="7"/>
  <c r="G29" i="7"/>
  <c r="C30" i="7"/>
  <c r="D30" i="7"/>
  <c r="E30" i="7"/>
  <c r="F30" i="7"/>
  <c r="G30" i="7"/>
  <c r="C31" i="7"/>
  <c r="D31" i="7"/>
  <c r="E31" i="7"/>
  <c r="F31" i="7"/>
  <c r="G31" i="7"/>
  <c r="C32" i="7"/>
  <c r="D32" i="7"/>
  <c r="E32" i="7"/>
  <c r="F32" i="7"/>
  <c r="G32" i="7"/>
  <c r="C33" i="7"/>
  <c r="D33" i="7"/>
  <c r="E33" i="7"/>
  <c r="F33" i="7"/>
  <c r="G33" i="7"/>
  <c r="C34" i="7"/>
  <c r="D34" i="7"/>
  <c r="E34" i="7"/>
  <c r="F34" i="7"/>
  <c r="G34" i="7"/>
  <c r="C35" i="7"/>
  <c r="D35" i="7"/>
  <c r="E35" i="7"/>
  <c r="F35" i="7"/>
  <c r="G35" i="7"/>
  <c r="C36" i="7"/>
  <c r="D36" i="7"/>
  <c r="E36" i="7"/>
  <c r="F36" i="7"/>
  <c r="G36" i="7"/>
  <c r="C37" i="7"/>
  <c r="D37" i="7"/>
  <c r="E37" i="7"/>
  <c r="F37" i="7"/>
  <c r="G37" i="7"/>
  <c r="C38" i="7"/>
  <c r="D38" i="7"/>
  <c r="E38" i="7"/>
  <c r="F38" i="7"/>
  <c r="G38" i="7"/>
  <c r="C39" i="7"/>
  <c r="D39" i="7"/>
  <c r="E39" i="7"/>
  <c r="F39" i="7"/>
  <c r="G39" i="7"/>
  <c r="C40" i="7"/>
  <c r="D40" i="7"/>
  <c r="E40" i="7"/>
  <c r="F40" i="7"/>
  <c r="G40" i="7"/>
  <c r="C41" i="7"/>
  <c r="D41" i="7"/>
  <c r="E41" i="7"/>
  <c r="F41" i="7"/>
  <c r="G41" i="7"/>
  <c r="C42" i="7"/>
  <c r="D42" i="7"/>
  <c r="E42" i="7"/>
  <c r="F42" i="7"/>
  <c r="G42" i="7"/>
  <c r="C43" i="7"/>
  <c r="D43" i="7"/>
  <c r="E43" i="7"/>
  <c r="F43" i="7"/>
  <c r="G43" i="7"/>
  <c r="C44" i="7"/>
  <c r="D44" i="7"/>
  <c r="E44" i="7"/>
  <c r="F44" i="7"/>
  <c r="G44" i="7"/>
  <c r="C45" i="7"/>
  <c r="D45" i="7"/>
  <c r="E45" i="7"/>
  <c r="F45" i="7"/>
  <c r="G45" i="7"/>
  <c r="C46" i="7"/>
  <c r="D46" i="7"/>
  <c r="E46" i="7"/>
  <c r="F46" i="7"/>
  <c r="G46" i="7"/>
  <c r="C47" i="7"/>
  <c r="D47" i="7"/>
  <c r="E47" i="7"/>
  <c r="F47" i="7"/>
  <c r="G47" i="7"/>
  <c r="C48" i="7"/>
  <c r="D48" i="7"/>
  <c r="E48" i="7"/>
  <c r="F48" i="7"/>
  <c r="G48" i="7"/>
  <c r="C49" i="7"/>
  <c r="D49" i="7"/>
  <c r="E49" i="7"/>
  <c r="F49" i="7"/>
  <c r="G49" i="7"/>
  <c r="C50" i="7"/>
  <c r="D50" i="7"/>
  <c r="E50" i="7"/>
  <c r="F50" i="7"/>
  <c r="G50" i="7"/>
  <c r="C51" i="7"/>
  <c r="D51" i="7"/>
  <c r="E51" i="7"/>
  <c r="F51" i="7"/>
  <c r="G51" i="7"/>
  <c r="C52" i="7"/>
  <c r="D52" i="7"/>
  <c r="E52" i="7"/>
  <c r="F52" i="7"/>
  <c r="G52" i="7"/>
  <c r="C53" i="7"/>
  <c r="D53" i="7"/>
  <c r="E53" i="7"/>
  <c r="F53" i="7"/>
  <c r="G53" i="7"/>
  <c r="C54" i="7"/>
  <c r="D54" i="7"/>
  <c r="E54" i="7"/>
  <c r="F54" i="7"/>
  <c r="G54" i="7"/>
  <c r="C55" i="7"/>
  <c r="D55" i="7"/>
  <c r="E55" i="7"/>
  <c r="F55" i="7"/>
  <c r="G55" i="7"/>
  <c r="C56" i="7"/>
  <c r="D56" i="7"/>
  <c r="E56" i="7"/>
  <c r="F56" i="7"/>
  <c r="G56" i="7"/>
  <c r="C57" i="7"/>
  <c r="D57" i="7"/>
  <c r="E57" i="7"/>
  <c r="F57" i="7"/>
  <c r="G57" i="7"/>
  <c r="C58" i="7"/>
  <c r="D58" i="7"/>
  <c r="E58" i="7"/>
  <c r="F58" i="7"/>
  <c r="G58" i="7"/>
  <c r="C59" i="7"/>
  <c r="D59" i="7"/>
  <c r="E59" i="7"/>
  <c r="F59" i="7"/>
  <c r="G59" i="7"/>
  <c r="C60" i="7"/>
  <c r="D60" i="7"/>
  <c r="E60" i="7"/>
  <c r="F60" i="7"/>
  <c r="G60" i="7"/>
  <c r="C61" i="7"/>
  <c r="D61" i="7"/>
  <c r="E61" i="7"/>
  <c r="F61" i="7"/>
  <c r="G61" i="7"/>
  <c r="C62" i="7"/>
  <c r="D62" i="7"/>
  <c r="E62" i="7"/>
  <c r="F62" i="7"/>
  <c r="G62" i="7"/>
  <c r="C63" i="7"/>
  <c r="D63" i="7"/>
  <c r="E63" i="7"/>
  <c r="F63" i="7"/>
  <c r="G63" i="7"/>
  <c r="C64" i="7"/>
  <c r="D64" i="7"/>
  <c r="E64" i="7"/>
  <c r="F64" i="7"/>
  <c r="G64" i="7"/>
  <c r="C65" i="7"/>
  <c r="D65" i="7"/>
  <c r="E65" i="7"/>
  <c r="F65" i="7"/>
  <c r="G65" i="7"/>
  <c r="C66" i="7"/>
  <c r="D66" i="7"/>
  <c r="E66" i="7"/>
  <c r="F66" i="7"/>
  <c r="G66" i="7"/>
  <c r="C67" i="7"/>
  <c r="D67" i="7"/>
  <c r="E67" i="7"/>
  <c r="F67" i="7"/>
  <c r="G67" i="7"/>
  <c r="C68" i="7"/>
  <c r="D68" i="7"/>
  <c r="E68" i="7"/>
  <c r="F68" i="7"/>
  <c r="G68" i="7"/>
  <c r="C69" i="7"/>
  <c r="D69" i="7"/>
  <c r="E69" i="7"/>
  <c r="F69" i="7"/>
  <c r="G69" i="7"/>
  <c r="C70" i="7"/>
  <c r="D70" i="7"/>
  <c r="E70" i="7"/>
  <c r="F70" i="7"/>
  <c r="G70" i="7"/>
  <c r="C71" i="7"/>
  <c r="D71" i="7"/>
  <c r="E71" i="7"/>
  <c r="F71" i="7"/>
  <c r="G71" i="7"/>
  <c r="C72" i="7"/>
  <c r="D72" i="7"/>
  <c r="E72" i="7"/>
  <c r="F72" i="7"/>
  <c r="G72" i="7"/>
  <c r="C73" i="7"/>
  <c r="D73" i="7"/>
  <c r="E73" i="7"/>
  <c r="F73" i="7"/>
  <c r="G73" i="7"/>
  <c r="C74" i="7"/>
  <c r="D74" i="7"/>
  <c r="E74" i="7"/>
  <c r="F74" i="7"/>
  <c r="G74" i="7"/>
  <c r="C75" i="7"/>
  <c r="D75" i="7"/>
  <c r="E75" i="7"/>
  <c r="F75" i="7"/>
  <c r="G75" i="7"/>
  <c r="C76" i="7"/>
  <c r="D76" i="7"/>
  <c r="E76" i="7"/>
  <c r="F76" i="7"/>
  <c r="G76" i="7"/>
  <c r="C77" i="7"/>
  <c r="D77" i="7"/>
  <c r="E77" i="7"/>
  <c r="F77" i="7"/>
  <c r="G77" i="7"/>
  <c r="C78" i="7"/>
  <c r="D78" i="7"/>
  <c r="E78" i="7"/>
  <c r="F78" i="7"/>
  <c r="G78" i="7"/>
  <c r="C79" i="7"/>
  <c r="D79" i="7"/>
  <c r="E79" i="7"/>
  <c r="F79" i="7"/>
  <c r="G79" i="7"/>
  <c r="C80" i="7"/>
  <c r="D80" i="7"/>
  <c r="E80" i="7"/>
  <c r="F80" i="7"/>
  <c r="G80" i="7"/>
  <c r="C81" i="7"/>
  <c r="D81" i="7"/>
  <c r="E81" i="7"/>
  <c r="F81" i="7"/>
  <c r="G81" i="7"/>
  <c r="C82" i="7"/>
  <c r="D82" i="7"/>
  <c r="E82" i="7"/>
  <c r="F82" i="7"/>
  <c r="G82" i="7"/>
  <c r="C83" i="7"/>
  <c r="D83" i="7"/>
  <c r="E83" i="7"/>
  <c r="F83" i="7"/>
  <c r="G83" i="7"/>
  <c r="C84" i="7"/>
  <c r="D84" i="7"/>
  <c r="E84" i="7"/>
  <c r="F84" i="7"/>
  <c r="G84" i="7"/>
  <c r="C85" i="7"/>
  <c r="D85" i="7"/>
  <c r="E85" i="7"/>
  <c r="F85" i="7"/>
  <c r="G85" i="7"/>
  <c r="C86" i="7"/>
  <c r="D86" i="7"/>
  <c r="E86" i="7"/>
  <c r="F86" i="7"/>
  <c r="G86" i="7"/>
  <c r="C87" i="7"/>
  <c r="D87" i="7"/>
  <c r="E87" i="7"/>
  <c r="F87" i="7"/>
  <c r="G87" i="7"/>
  <c r="C88" i="7"/>
  <c r="D88" i="7"/>
  <c r="E88" i="7"/>
  <c r="F88" i="7"/>
  <c r="G88" i="7"/>
  <c r="C89" i="7"/>
  <c r="D89" i="7"/>
  <c r="E89" i="7"/>
  <c r="F89" i="7"/>
  <c r="G89" i="7"/>
  <c r="C90" i="7"/>
  <c r="D90" i="7"/>
  <c r="E90" i="7"/>
  <c r="F90" i="7"/>
  <c r="G90" i="7"/>
  <c r="C91" i="7"/>
  <c r="D91" i="7"/>
  <c r="E91" i="7"/>
  <c r="F91" i="7"/>
  <c r="G91" i="7"/>
  <c r="C92" i="7"/>
  <c r="D92" i="7"/>
  <c r="E92" i="7"/>
  <c r="F92" i="7"/>
  <c r="G92" i="7"/>
  <c r="C93" i="7"/>
  <c r="D93" i="7"/>
  <c r="E93" i="7"/>
  <c r="F93" i="7"/>
  <c r="G93" i="7"/>
  <c r="C94" i="7"/>
  <c r="D94" i="7"/>
  <c r="E94" i="7"/>
  <c r="F94" i="7"/>
  <c r="G94" i="7"/>
  <c r="C95" i="7"/>
  <c r="D95" i="7"/>
  <c r="E95" i="7"/>
  <c r="F95" i="7"/>
  <c r="G95" i="7"/>
  <c r="C96" i="7"/>
  <c r="D96" i="7"/>
  <c r="E96" i="7"/>
  <c r="F96" i="7"/>
  <c r="G96" i="7"/>
  <c r="C97" i="7"/>
  <c r="D97" i="7"/>
  <c r="E97" i="7"/>
  <c r="F97" i="7"/>
  <c r="G97" i="7"/>
  <c r="C98" i="7"/>
  <c r="D98" i="7"/>
  <c r="E98" i="7"/>
  <c r="F98" i="7"/>
  <c r="G98" i="7"/>
  <c r="C99" i="7"/>
  <c r="D99" i="7"/>
  <c r="E99" i="7"/>
  <c r="F99" i="7"/>
  <c r="G99" i="7"/>
  <c r="C100" i="7"/>
  <c r="D100" i="7"/>
  <c r="E100" i="7"/>
  <c r="F100" i="7"/>
  <c r="G100" i="7"/>
  <c r="C101" i="7"/>
  <c r="D101" i="7"/>
  <c r="E101" i="7"/>
  <c r="F101" i="7"/>
  <c r="G101" i="7"/>
  <c r="C102" i="7"/>
  <c r="D102" i="7"/>
  <c r="E102" i="7"/>
  <c r="F102" i="7"/>
  <c r="G102" i="7"/>
  <c r="C103" i="7"/>
  <c r="D103" i="7"/>
  <c r="E103" i="7"/>
  <c r="F103" i="7"/>
  <c r="G103" i="7"/>
  <c r="C104" i="7"/>
  <c r="D104" i="7"/>
  <c r="E104" i="7"/>
  <c r="F104" i="7"/>
  <c r="G104" i="7"/>
  <c r="C105" i="7"/>
  <c r="D105" i="7"/>
  <c r="E105" i="7"/>
  <c r="F105" i="7"/>
  <c r="G105" i="7"/>
  <c r="C106" i="7"/>
  <c r="D106" i="7"/>
  <c r="E106" i="7"/>
  <c r="F106" i="7"/>
  <c r="G106" i="7"/>
  <c r="C107" i="7"/>
  <c r="D107" i="7"/>
  <c r="E107" i="7"/>
  <c r="F107" i="7"/>
  <c r="G107" i="7"/>
  <c r="C108" i="7"/>
  <c r="D108" i="7"/>
  <c r="E108" i="7"/>
  <c r="F108" i="7"/>
  <c r="G108" i="7"/>
  <c r="C109" i="7"/>
  <c r="D109" i="7"/>
  <c r="E109" i="7"/>
  <c r="F109" i="7"/>
  <c r="G109" i="7"/>
  <c r="C110" i="7"/>
  <c r="D110" i="7"/>
  <c r="E110" i="7"/>
  <c r="F110" i="7"/>
  <c r="G110" i="7"/>
  <c r="C111" i="7"/>
  <c r="D111" i="7"/>
  <c r="E111" i="7"/>
  <c r="F111" i="7"/>
  <c r="G111" i="7"/>
  <c r="C112" i="7"/>
  <c r="D112" i="7"/>
  <c r="E112" i="7"/>
  <c r="F112" i="7"/>
  <c r="G112" i="7"/>
  <c r="C113" i="7"/>
  <c r="D113" i="7"/>
  <c r="E113" i="7"/>
  <c r="F113" i="7"/>
  <c r="G113" i="7"/>
  <c r="C114" i="7"/>
  <c r="D114" i="7"/>
  <c r="E114" i="7"/>
  <c r="F114" i="7"/>
  <c r="G114" i="7"/>
  <c r="C115" i="7"/>
  <c r="D115" i="7"/>
  <c r="E115" i="7"/>
  <c r="F115" i="7"/>
  <c r="G115" i="7"/>
  <c r="C116" i="7"/>
  <c r="D116" i="7"/>
  <c r="E116" i="7"/>
  <c r="F116" i="7"/>
  <c r="G116" i="7"/>
  <c r="C117" i="7"/>
  <c r="D117" i="7"/>
  <c r="E117" i="7"/>
  <c r="F117" i="7"/>
  <c r="G117" i="7"/>
  <c r="C118" i="7"/>
  <c r="D118" i="7"/>
  <c r="E118" i="7"/>
  <c r="F118" i="7"/>
  <c r="G118" i="7"/>
  <c r="C119" i="7"/>
  <c r="D119" i="7"/>
  <c r="E119" i="7"/>
  <c r="F119" i="7"/>
  <c r="G119" i="7"/>
  <c r="C120" i="7"/>
  <c r="D120" i="7"/>
  <c r="E120" i="7"/>
  <c r="F120" i="7"/>
  <c r="G120" i="7"/>
  <c r="C121" i="7"/>
  <c r="D121" i="7"/>
  <c r="E121" i="7"/>
  <c r="F121" i="7"/>
  <c r="G121" i="7"/>
  <c r="C122" i="7"/>
  <c r="D122" i="7"/>
  <c r="E122" i="7"/>
  <c r="F122" i="7"/>
  <c r="G122" i="7"/>
  <c r="C123" i="7"/>
  <c r="D123" i="7"/>
  <c r="E123" i="7"/>
  <c r="F123" i="7"/>
  <c r="G123" i="7"/>
  <c r="C124" i="7"/>
  <c r="D124" i="7"/>
  <c r="E124" i="7"/>
  <c r="F124" i="7"/>
  <c r="G124" i="7"/>
  <c r="C125" i="7"/>
  <c r="D125" i="7"/>
  <c r="E125" i="7"/>
  <c r="F125" i="7"/>
  <c r="G125" i="7"/>
  <c r="C126" i="7"/>
  <c r="D126" i="7"/>
  <c r="E126" i="7"/>
  <c r="F126" i="7"/>
  <c r="G126" i="7"/>
  <c r="C127" i="7"/>
  <c r="D127" i="7"/>
  <c r="E127" i="7"/>
  <c r="F127" i="7"/>
  <c r="G127" i="7"/>
  <c r="C128" i="7"/>
  <c r="D128" i="7"/>
  <c r="E128" i="7"/>
  <c r="F128" i="7"/>
  <c r="G128" i="7"/>
  <c r="C129" i="7"/>
  <c r="D129" i="7"/>
  <c r="E129" i="7"/>
  <c r="F129" i="7"/>
  <c r="G129" i="7"/>
  <c r="C130" i="7"/>
  <c r="D130" i="7"/>
  <c r="E130" i="7"/>
  <c r="F130" i="7"/>
  <c r="G130" i="7"/>
  <c r="C131" i="7"/>
  <c r="D131" i="7"/>
  <c r="E131" i="7"/>
  <c r="F131" i="7"/>
  <c r="G131" i="7"/>
  <c r="C132" i="7"/>
  <c r="D132" i="7"/>
  <c r="E132" i="7"/>
  <c r="F132" i="7"/>
  <c r="G132" i="7"/>
  <c r="C133" i="7"/>
  <c r="D133" i="7"/>
  <c r="E133" i="7"/>
  <c r="F133" i="7"/>
  <c r="G133" i="7"/>
  <c r="C134" i="7"/>
  <c r="D134" i="7"/>
  <c r="E134" i="7"/>
  <c r="F134" i="7"/>
  <c r="G134" i="7"/>
  <c r="C135" i="7"/>
  <c r="D135" i="7"/>
  <c r="E135" i="7"/>
  <c r="F135" i="7"/>
  <c r="G135" i="7"/>
  <c r="C136" i="7"/>
  <c r="D136" i="7"/>
  <c r="E136" i="7"/>
  <c r="F136" i="7"/>
  <c r="G136" i="7"/>
  <c r="C137" i="7"/>
  <c r="D137" i="7"/>
  <c r="E137" i="7"/>
  <c r="F137" i="7"/>
  <c r="G137" i="7"/>
  <c r="C138" i="7"/>
  <c r="D138" i="7"/>
  <c r="E138" i="7"/>
  <c r="F138" i="7"/>
  <c r="G138" i="7"/>
  <c r="C139" i="7"/>
  <c r="D139" i="7"/>
  <c r="E139" i="7"/>
  <c r="F139" i="7"/>
  <c r="G139" i="7"/>
  <c r="C140" i="7"/>
  <c r="D140" i="7"/>
  <c r="E140" i="7"/>
  <c r="F140" i="7"/>
  <c r="G140" i="7"/>
  <c r="C141" i="7"/>
  <c r="D141" i="7"/>
  <c r="E141" i="7"/>
  <c r="F141" i="7"/>
  <c r="G141" i="7"/>
  <c r="C142" i="7"/>
  <c r="D142" i="7"/>
  <c r="E142" i="7"/>
  <c r="F142" i="7"/>
  <c r="G142" i="7"/>
  <c r="C143" i="7"/>
  <c r="D143" i="7"/>
  <c r="E143" i="7"/>
  <c r="F143" i="7"/>
  <c r="G143" i="7"/>
  <c r="C144" i="7"/>
  <c r="D144" i="7"/>
  <c r="E144" i="7"/>
  <c r="F144" i="7"/>
  <c r="G144" i="7"/>
  <c r="C145" i="7"/>
  <c r="D145" i="7"/>
  <c r="E145" i="7"/>
  <c r="F145" i="7"/>
  <c r="G145" i="7"/>
  <c r="C146" i="7"/>
  <c r="D146" i="7"/>
  <c r="E146" i="7"/>
  <c r="F146" i="7"/>
  <c r="G146" i="7"/>
  <c r="C147" i="7"/>
  <c r="D147" i="7"/>
  <c r="E147" i="7"/>
  <c r="F147" i="7"/>
  <c r="G147" i="7"/>
  <c r="C148" i="7"/>
  <c r="D148" i="7"/>
  <c r="E148" i="7"/>
  <c r="F148" i="7"/>
  <c r="G148" i="7"/>
  <c r="C149" i="7"/>
  <c r="D149" i="7"/>
  <c r="E149" i="7"/>
  <c r="F149" i="7"/>
  <c r="G149" i="7"/>
  <c r="C150" i="7"/>
  <c r="D150" i="7"/>
  <c r="E150" i="7"/>
  <c r="F150" i="7"/>
  <c r="G150" i="7"/>
  <c r="C151" i="7"/>
  <c r="D151" i="7"/>
  <c r="E151" i="7"/>
  <c r="F151" i="7"/>
  <c r="G151" i="7"/>
  <c r="C152" i="7"/>
  <c r="D152" i="7"/>
  <c r="E152" i="7"/>
  <c r="F152" i="7"/>
  <c r="G152" i="7"/>
  <c r="C153" i="7"/>
  <c r="D153" i="7"/>
  <c r="E153" i="7"/>
  <c r="F153" i="7"/>
  <c r="G153" i="7"/>
  <c r="C154" i="7"/>
  <c r="D154" i="7"/>
  <c r="E154" i="7"/>
  <c r="F154" i="7"/>
  <c r="G154" i="7"/>
  <c r="C155" i="7"/>
  <c r="D155" i="7"/>
  <c r="E155" i="7"/>
  <c r="F155" i="7"/>
  <c r="G155" i="7"/>
  <c r="C156" i="7"/>
  <c r="D156" i="7"/>
  <c r="E156" i="7"/>
  <c r="F156" i="7"/>
  <c r="G156" i="7"/>
  <c r="C157" i="7"/>
  <c r="D157" i="7"/>
  <c r="E157" i="7"/>
  <c r="F157" i="7"/>
  <c r="G157" i="7"/>
  <c r="C158" i="7"/>
  <c r="D158" i="7"/>
  <c r="E158" i="7"/>
  <c r="F158" i="7"/>
  <c r="G158" i="7"/>
  <c r="C159" i="7"/>
  <c r="D159" i="7"/>
  <c r="E159" i="7"/>
  <c r="F159" i="7"/>
  <c r="G159" i="7"/>
  <c r="C160" i="7"/>
  <c r="D160" i="7"/>
  <c r="E160" i="7"/>
  <c r="F160" i="7"/>
  <c r="G160" i="7"/>
  <c r="C161" i="7"/>
  <c r="D161" i="7"/>
  <c r="E161" i="7"/>
  <c r="F161" i="7"/>
  <c r="G161" i="7"/>
  <c r="C162" i="7"/>
  <c r="D162" i="7"/>
  <c r="E162" i="7"/>
  <c r="F162" i="7"/>
  <c r="G162" i="7"/>
  <c r="C163" i="7"/>
  <c r="D163" i="7"/>
  <c r="E163" i="7"/>
  <c r="F163" i="7"/>
  <c r="G163" i="7"/>
  <c r="C164" i="7"/>
  <c r="D164" i="7"/>
  <c r="E164" i="7"/>
  <c r="F164" i="7"/>
  <c r="G164" i="7"/>
  <c r="C165" i="7"/>
  <c r="D165" i="7"/>
  <c r="E165" i="7"/>
  <c r="F165" i="7"/>
  <c r="G165" i="7"/>
  <c r="C166" i="7"/>
  <c r="D166" i="7"/>
  <c r="E166" i="7"/>
  <c r="F166" i="7"/>
  <c r="G166" i="7"/>
  <c r="C167" i="7"/>
  <c r="D167" i="7"/>
  <c r="E167" i="7"/>
  <c r="F167" i="7"/>
  <c r="G167" i="7"/>
  <c r="C168" i="7"/>
  <c r="D168" i="7"/>
  <c r="E168" i="7"/>
  <c r="F168" i="7"/>
  <c r="G168" i="7"/>
  <c r="C169" i="7"/>
  <c r="D169" i="7"/>
  <c r="E169" i="7"/>
  <c r="F169" i="7"/>
  <c r="G169" i="7"/>
  <c r="C170" i="7"/>
  <c r="D170" i="7"/>
  <c r="E170" i="7"/>
  <c r="F170" i="7"/>
  <c r="G170" i="7"/>
  <c r="C171" i="7"/>
  <c r="D171" i="7"/>
  <c r="E171" i="7"/>
  <c r="F171" i="7"/>
  <c r="G171" i="7"/>
  <c r="C172" i="7"/>
  <c r="D172" i="7"/>
  <c r="E172" i="7"/>
  <c r="F172" i="7"/>
  <c r="G172" i="7"/>
  <c r="C173" i="7"/>
  <c r="D173" i="7"/>
  <c r="E173" i="7"/>
  <c r="F173" i="7"/>
  <c r="G173" i="7"/>
  <c r="C174" i="7"/>
  <c r="D174" i="7"/>
  <c r="E174" i="7"/>
  <c r="F174" i="7"/>
  <c r="G174" i="7"/>
  <c r="C175" i="7"/>
  <c r="D175" i="7"/>
  <c r="E175" i="7"/>
  <c r="F175" i="7"/>
  <c r="G175" i="7"/>
  <c r="C176" i="7"/>
  <c r="D176" i="7"/>
  <c r="E176" i="7"/>
  <c r="F176" i="7"/>
  <c r="G176" i="7"/>
  <c r="C177" i="7"/>
  <c r="D177" i="7"/>
  <c r="E177" i="7"/>
  <c r="F177" i="7"/>
  <c r="G177" i="7"/>
  <c r="C178" i="7"/>
  <c r="D178" i="7"/>
  <c r="E178" i="7"/>
  <c r="F178" i="7"/>
  <c r="G178" i="7"/>
  <c r="C179" i="7"/>
  <c r="D179" i="7"/>
  <c r="E179" i="7"/>
  <c r="F179" i="7"/>
  <c r="G179" i="7"/>
  <c r="C180" i="7"/>
  <c r="D180" i="7"/>
  <c r="E180" i="7"/>
  <c r="F180" i="7"/>
  <c r="G180" i="7"/>
  <c r="C181" i="7"/>
  <c r="D181" i="7"/>
  <c r="E181" i="7"/>
  <c r="F181" i="7"/>
  <c r="G181" i="7"/>
  <c r="C182" i="7"/>
  <c r="D182" i="7"/>
  <c r="E182" i="7"/>
  <c r="F182" i="7"/>
  <c r="G182" i="7"/>
  <c r="C183" i="7"/>
  <c r="D183" i="7"/>
  <c r="E183" i="7"/>
  <c r="F183" i="7"/>
  <c r="G183" i="7"/>
  <c r="C184" i="7"/>
  <c r="D184" i="7"/>
  <c r="E184" i="7"/>
  <c r="F184" i="7"/>
  <c r="G184" i="7"/>
  <c r="C185" i="7"/>
  <c r="D185" i="7"/>
  <c r="E185" i="7"/>
  <c r="F185" i="7"/>
  <c r="G185" i="7"/>
  <c r="C186" i="7"/>
  <c r="D186" i="7"/>
  <c r="E186" i="7"/>
  <c r="F186" i="7"/>
  <c r="G186" i="7"/>
  <c r="C187" i="7"/>
  <c r="D187" i="7"/>
  <c r="E187" i="7"/>
  <c r="F187" i="7"/>
  <c r="G187" i="7"/>
  <c r="C188" i="7"/>
  <c r="D188" i="7"/>
  <c r="E188" i="7"/>
  <c r="F188" i="7"/>
  <c r="G188" i="7"/>
  <c r="C189" i="7"/>
  <c r="D189" i="7"/>
  <c r="E189" i="7"/>
  <c r="F189" i="7"/>
  <c r="G189" i="7"/>
  <c r="C190" i="7"/>
  <c r="D190" i="7"/>
  <c r="E190" i="7"/>
  <c r="F190" i="7"/>
  <c r="G190" i="7"/>
  <c r="C191" i="7"/>
  <c r="D191" i="7"/>
  <c r="E191" i="7"/>
  <c r="F191" i="7"/>
  <c r="G191" i="7"/>
  <c r="C192" i="7"/>
  <c r="D192" i="7"/>
  <c r="E192" i="7"/>
  <c r="F192" i="7"/>
  <c r="G192" i="7"/>
  <c r="C193" i="7"/>
  <c r="D193" i="7"/>
  <c r="E193" i="7"/>
  <c r="F193" i="7"/>
  <c r="G193" i="7"/>
  <c r="C194" i="7"/>
  <c r="D194" i="7"/>
  <c r="E194" i="7"/>
  <c r="F194" i="7"/>
  <c r="G194" i="7"/>
  <c r="C195" i="7"/>
  <c r="D195" i="7"/>
  <c r="E195" i="7"/>
  <c r="F195" i="7"/>
  <c r="G195" i="7"/>
  <c r="C196" i="7"/>
  <c r="D196" i="7"/>
  <c r="E196" i="7"/>
  <c r="F196" i="7"/>
  <c r="G196" i="7"/>
  <c r="C197" i="7"/>
  <c r="D197" i="7"/>
  <c r="E197" i="7"/>
  <c r="F197" i="7"/>
  <c r="G197" i="7"/>
  <c r="C198" i="7"/>
  <c r="D198" i="7"/>
  <c r="E198" i="7"/>
  <c r="F198" i="7"/>
  <c r="G198" i="7"/>
  <c r="C199" i="7"/>
  <c r="D199" i="7"/>
  <c r="E199" i="7"/>
  <c r="F199" i="7"/>
  <c r="G199" i="7"/>
  <c r="C200" i="7"/>
  <c r="D200" i="7"/>
  <c r="E200" i="7"/>
  <c r="F200" i="7"/>
  <c r="G200" i="7"/>
  <c r="C201" i="7"/>
  <c r="D201" i="7"/>
  <c r="E201" i="7"/>
  <c r="F201" i="7"/>
  <c r="G201" i="7"/>
  <c r="C202" i="7"/>
  <c r="D202" i="7"/>
  <c r="E202" i="7"/>
  <c r="F202" i="7"/>
  <c r="G202" i="7"/>
  <c r="C203" i="7"/>
  <c r="D203" i="7"/>
  <c r="E203" i="7"/>
  <c r="F203" i="7"/>
  <c r="G203" i="7"/>
  <c r="C204" i="7"/>
  <c r="D204" i="7"/>
  <c r="E204" i="7"/>
  <c r="F204" i="7"/>
  <c r="G204" i="7"/>
  <c r="C205" i="7"/>
  <c r="D205" i="7"/>
  <c r="E205" i="7"/>
  <c r="F205" i="7"/>
  <c r="G205" i="7"/>
  <c r="C206" i="7"/>
  <c r="D206" i="7"/>
  <c r="E206" i="7"/>
  <c r="F206" i="7"/>
  <c r="G206" i="7"/>
  <c r="C207" i="7"/>
  <c r="D207" i="7"/>
  <c r="E207" i="7"/>
  <c r="F207" i="7"/>
  <c r="G207" i="7"/>
  <c r="C208" i="7"/>
  <c r="D208" i="7"/>
  <c r="E208" i="7"/>
  <c r="F208" i="7"/>
  <c r="G208" i="7"/>
  <c r="C209" i="7"/>
  <c r="D209" i="7"/>
  <c r="E209" i="7"/>
  <c r="F209" i="7"/>
  <c r="G209" i="7"/>
  <c r="C210" i="7"/>
  <c r="D210" i="7"/>
  <c r="E210" i="7"/>
  <c r="F210" i="7"/>
  <c r="G210" i="7"/>
  <c r="C211" i="7"/>
  <c r="D211" i="7"/>
  <c r="E211" i="7"/>
  <c r="F211" i="7"/>
  <c r="G211" i="7"/>
  <c r="C212" i="7"/>
  <c r="D212" i="7"/>
  <c r="E212" i="7"/>
  <c r="F212" i="7"/>
  <c r="G212" i="7"/>
  <c r="C213" i="7"/>
  <c r="D213" i="7"/>
  <c r="E213" i="7"/>
  <c r="F213" i="7"/>
  <c r="G213" i="7"/>
  <c r="C214" i="7"/>
  <c r="D214" i="7"/>
  <c r="E214" i="7"/>
  <c r="F214" i="7"/>
  <c r="G214" i="7"/>
  <c r="C215" i="7"/>
  <c r="D215" i="7"/>
  <c r="E215" i="7"/>
  <c r="F215" i="7"/>
  <c r="G215" i="7"/>
  <c r="C216" i="7"/>
  <c r="D216" i="7"/>
  <c r="E216" i="7"/>
  <c r="F216" i="7"/>
  <c r="G216" i="7"/>
  <c r="C217" i="7"/>
  <c r="D217" i="7"/>
  <c r="E217" i="7"/>
  <c r="F217" i="7"/>
  <c r="G217" i="7"/>
  <c r="C218" i="7"/>
  <c r="D218" i="7"/>
  <c r="E218" i="7"/>
  <c r="F218" i="7"/>
  <c r="G218" i="7"/>
  <c r="C219" i="7"/>
  <c r="D219" i="7"/>
  <c r="E219" i="7"/>
  <c r="F219" i="7"/>
  <c r="G219" i="7"/>
  <c r="C220" i="7"/>
  <c r="D220" i="7"/>
  <c r="E220" i="7"/>
  <c r="F220" i="7"/>
  <c r="G220" i="7"/>
  <c r="C221" i="7"/>
  <c r="D221" i="7"/>
  <c r="E221" i="7"/>
  <c r="F221" i="7"/>
  <c r="G221" i="7"/>
  <c r="C222" i="7"/>
  <c r="D222" i="7"/>
  <c r="E222" i="7"/>
  <c r="F222" i="7"/>
  <c r="G222" i="7"/>
  <c r="C223" i="7"/>
  <c r="D223" i="7"/>
  <c r="E223" i="7"/>
  <c r="F223" i="7"/>
  <c r="G223" i="7"/>
  <c r="C224" i="7"/>
  <c r="D224" i="7"/>
  <c r="E224" i="7"/>
  <c r="F224" i="7"/>
  <c r="G224" i="7"/>
  <c r="C225" i="7"/>
  <c r="D225" i="7"/>
  <c r="E225" i="7"/>
  <c r="F225" i="7"/>
  <c r="G225" i="7"/>
  <c r="C226" i="7"/>
  <c r="D226" i="7"/>
  <c r="E226" i="7"/>
  <c r="F226" i="7"/>
  <c r="G226" i="7"/>
  <c r="C227" i="7"/>
  <c r="D227" i="7"/>
  <c r="E227" i="7"/>
  <c r="F227" i="7"/>
  <c r="G227" i="7"/>
  <c r="C228" i="7"/>
  <c r="D228" i="7"/>
  <c r="E228" i="7"/>
  <c r="F228" i="7"/>
  <c r="G228" i="7"/>
  <c r="C229" i="7"/>
  <c r="D229" i="7"/>
  <c r="E229" i="7"/>
  <c r="F229" i="7"/>
  <c r="G229" i="7"/>
  <c r="C230" i="7"/>
  <c r="D230" i="7"/>
  <c r="E230" i="7"/>
  <c r="F230" i="7"/>
  <c r="G230" i="7"/>
  <c r="C231" i="7"/>
  <c r="D231" i="7"/>
  <c r="E231" i="7"/>
  <c r="F231" i="7"/>
  <c r="G231" i="7"/>
  <c r="C232" i="7"/>
  <c r="D232" i="7"/>
  <c r="E232" i="7"/>
  <c r="F232" i="7"/>
  <c r="G232" i="7"/>
  <c r="C233" i="7"/>
  <c r="D233" i="7"/>
  <c r="E233" i="7"/>
  <c r="F233" i="7"/>
  <c r="G233" i="7"/>
  <c r="C234" i="7"/>
  <c r="D234" i="7"/>
  <c r="E234" i="7"/>
  <c r="F234" i="7"/>
  <c r="G234" i="7"/>
  <c r="C235" i="7"/>
  <c r="D235" i="7"/>
  <c r="E235" i="7"/>
  <c r="F235" i="7"/>
  <c r="G235" i="7"/>
  <c r="C236" i="7"/>
  <c r="D236" i="7"/>
  <c r="E236" i="7"/>
  <c r="F236" i="7"/>
  <c r="G236" i="7"/>
  <c r="C237" i="7"/>
  <c r="D237" i="7"/>
  <c r="E237" i="7"/>
  <c r="F237" i="7"/>
  <c r="G237" i="7"/>
  <c r="C238" i="7"/>
  <c r="D238" i="7"/>
  <c r="E238" i="7"/>
  <c r="F238" i="7"/>
  <c r="G238" i="7"/>
  <c r="C239" i="7"/>
  <c r="D239" i="7"/>
  <c r="E239" i="7"/>
  <c r="F239" i="7"/>
  <c r="G239" i="7"/>
  <c r="C240" i="7"/>
  <c r="D240" i="7"/>
  <c r="E240" i="7"/>
  <c r="F240" i="7"/>
  <c r="G240" i="7"/>
  <c r="C241" i="7"/>
  <c r="D241" i="7"/>
  <c r="E241" i="7"/>
  <c r="F241" i="7"/>
  <c r="G241" i="7"/>
  <c r="C242" i="7"/>
  <c r="D242" i="7"/>
  <c r="E242" i="7"/>
  <c r="F242" i="7"/>
  <c r="G242" i="7"/>
  <c r="C243" i="7"/>
  <c r="D243" i="7"/>
  <c r="E243" i="7"/>
  <c r="F243" i="7"/>
  <c r="G243" i="7"/>
  <c r="C244" i="7"/>
  <c r="D244" i="7"/>
  <c r="E244" i="7"/>
  <c r="F244" i="7"/>
  <c r="G244" i="7"/>
  <c r="C245" i="7"/>
  <c r="D245" i="7"/>
  <c r="E245" i="7"/>
  <c r="F245" i="7"/>
  <c r="G245" i="7"/>
  <c r="C246" i="7"/>
  <c r="D246" i="7"/>
  <c r="E246" i="7"/>
  <c r="F246" i="7"/>
  <c r="G246" i="7"/>
  <c r="C247" i="7"/>
  <c r="D247" i="7"/>
  <c r="E247" i="7"/>
  <c r="F247" i="7"/>
  <c r="G247" i="7"/>
  <c r="C248" i="7"/>
  <c r="D248" i="7"/>
  <c r="E248" i="7"/>
  <c r="F248" i="7"/>
  <c r="G248" i="7"/>
  <c r="C249" i="7"/>
  <c r="D249" i="7"/>
  <c r="E249" i="7"/>
  <c r="F249" i="7"/>
  <c r="G249" i="7"/>
  <c r="C250" i="7"/>
  <c r="D250" i="7"/>
  <c r="E250" i="7"/>
  <c r="F250" i="7"/>
  <c r="G250" i="7"/>
  <c r="C251" i="7"/>
  <c r="D251" i="7"/>
  <c r="E251" i="7"/>
  <c r="F251" i="7"/>
  <c r="G251" i="7"/>
  <c r="C252" i="7"/>
  <c r="D252" i="7"/>
  <c r="E252" i="7"/>
  <c r="F252" i="7"/>
  <c r="G252" i="7"/>
  <c r="C253" i="7"/>
  <c r="D253" i="7"/>
  <c r="E253" i="7"/>
  <c r="F253" i="7"/>
  <c r="G253" i="7"/>
  <c r="C254" i="7"/>
  <c r="D254" i="7"/>
  <c r="E254" i="7"/>
  <c r="F254" i="7"/>
  <c r="G254" i="7"/>
  <c r="C255" i="7"/>
  <c r="D255" i="7"/>
  <c r="E255" i="7"/>
  <c r="F255" i="7"/>
  <c r="G255" i="7"/>
  <c r="C256" i="7"/>
  <c r="D256" i="7"/>
  <c r="E256" i="7"/>
  <c r="F256" i="7"/>
  <c r="G256" i="7"/>
  <c r="C257" i="7"/>
  <c r="D257" i="7"/>
  <c r="E257" i="7"/>
  <c r="F257" i="7"/>
  <c r="G257" i="7"/>
  <c r="C258" i="7"/>
  <c r="D258" i="7"/>
  <c r="E258" i="7"/>
  <c r="F258" i="7"/>
  <c r="G258" i="7"/>
  <c r="C259" i="7"/>
  <c r="D259" i="7"/>
  <c r="E259" i="7"/>
  <c r="F259" i="7"/>
  <c r="G259" i="7"/>
  <c r="C260" i="7"/>
  <c r="D260" i="7"/>
  <c r="E260" i="7"/>
  <c r="F260" i="7"/>
  <c r="G260" i="7"/>
  <c r="C261" i="7"/>
  <c r="D261" i="7"/>
  <c r="E261" i="7"/>
  <c r="F261" i="7"/>
  <c r="G261" i="7"/>
  <c r="C262" i="7"/>
  <c r="D262" i="7"/>
  <c r="E262" i="7"/>
  <c r="F262" i="7"/>
  <c r="G262" i="7"/>
  <c r="C263" i="7"/>
  <c r="D263" i="7"/>
  <c r="E263" i="7"/>
  <c r="F263" i="7"/>
  <c r="G263" i="7"/>
  <c r="C264" i="7"/>
  <c r="D264" i="7"/>
  <c r="E264" i="7"/>
  <c r="F264" i="7"/>
  <c r="G264" i="7"/>
  <c r="C265" i="7"/>
  <c r="D265" i="7"/>
  <c r="E265" i="7"/>
  <c r="F265" i="7"/>
  <c r="G265" i="7"/>
  <c r="C266" i="7"/>
  <c r="D266" i="7"/>
  <c r="E266" i="7"/>
  <c r="F266" i="7"/>
  <c r="G266" i="7"/>
  <c r="C267" i="7"/>
  <c r="D267" i="7"/>
  <c r="E267" i="7"/>
  <c r="F267" i="7"/>
  <c r="G267" i="7"/>
  <c r="C268" i="7"/>
  <c r="D268" i="7"/>
  <c r="E268" i="7"/>
  <c r="F268" i="7"/>
  <c r="G268" i="7"/>
  <c r="C269" i="7"/>
  <c r="D269" i="7"/>
  <c r="E269" i="7"/>
  <c r="F269" i="7"/>
  <c r="G269" i="7"/>
  <c r="C270" i="7"/>
  <c r="D270" i="7"/>
  <c r="E270" i="7"/>
  <c r="F270" i="7"/>
  <c r="G270" i="7"/>
  <c r="C271" i="7"/>
  <c r="D271" i="7"/>
  <c r="E271" i="7"/>
  <c r="F271" i="7"/>
  <c r="G271" i="7"/>
  <c r="C272" i="7"/>
  <c r="D272" i="7"/>
  <c r="E272" i="7"/>
  <c r="F272" i="7"/>
  <c r="G272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269" i="7"/>
  <c r="B270" i="7"/>
  <c r="B271" i="7"/>
  <c r="B272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17" i="7"/>
  <c r="F18" i="7"/>
  <c r="D18" i="7"/>
  <c r="F19" i="7"/>
  <c r="D19" i="7"/>
  <c r="F20" i="7"/>
  <c r="D20" i="7"/>
  <c r="F21" i="7"/>
  <c r="D21" i="7"/>
  <c r="F17" i="7"/>
  <c r="F16" i="7"/>
  <c r="D17" i="7"/>
  <c r="D16" i="7"/>
  <c r="B8" i="7"/>
  <c r="BT5" i="5"/>
  <c r="BS5" i="5"/>
  <c r="BS6" i="5"/>
  <c r="BP4" i="5"/>
  <c r="BQ4" i="5"/>
  <c r="BR4" i="5"/>
  <c r="BS4" i="5"/>
  <c r="BT4" i="5"/>
  <c r="F6" i="4"/>
  <c r="F5" i="4"/>
  <c r="C16" i="4"/>
  <c r="M41" i="2"/>
  <c r="M38" i="2"/>
  <c r="M44" i="2"/>
  <c r="D7" i="4"/>
  <c r="D9" i="4"/>
  <c r="D13" i="4"/>
  <c r="D16" i="4"/>
  <c r="D20" i="4"/>
  <c r="B16" i="4"/>
  <c r="B20" i="4"/>
  <c r="D19" i="4"/>
  <c r="B19" i="4"/>
  <c r="BS83" i="5"/>
  <c r="BQ23" i="5"/>
  <c r="BQ26" i="5"/>
  <c r="BQ88" i="5"/>
  <c r="BQ13" i="5"/>
  <c r="BQ14" i="5"/>
  <c r="BQ15" i="5"/>
  <c r="BQ16" i="5"/>
  <c r="BQ17" i="5"/>
  <c r="BQ20" i="5"/>
  <c r="BQ21" i="5"/>
  <c r="BQ22" i="5"/>
  <c r="BQ24" i="5"/>
  <c r="BQ25" i="5"/>
  <c r="BQ27" i="5"/>
  <c r="BQ28" i="5"/>
  <c r="BQ29" i="5"/>
  <c r="BQ30" i="5"/>
  <c r="BQ31" i="5"/>
  <c r="BQ32" i="5"/>
  <c r="BQ33" i="5"/>
  <c r="BQ34" i="5"/>
  <c r="BQ35" i="5"/>
  <c r="BQ36" i="5"/>
  <c r="BQ37" i="5"/>
  <c r="BQ38" i="5"/>
  <c r="BQ40" i="5"/>
  <c r="BQ81" i="5"/>
  <c r="BQ82" i="5"/>
  <c r="BQ85" i="5"/>
  <c r="BQ90" i="5"/>
  <c r="BQ6" i="5"/>
  <c r="BQ91" i="5"/>
  <c r="BR88" i="5"/>
  <c r="BR85" i="5"/>
  <c r="BR86" i="5"/>
  <c r="BR90" i="5"/>
  <c r="BR6" i="5"/>
  <c r="BR91" i="5"/>
  <c r="BS88" i="5"/>
  <c r="BS89" i="5"/>
  <c r="BS18" i="5"/>
  <c r="BS85" i="5"/>
  <c r="BS86" i="5"/>
  <c r="BS90" i="5"/>
  <c r="M51" i="2"/>
  <c r="BS91" i="5"/>
  <c r="M53" i="2"/>
  <c r="BT6" i="5"/>
  <c r="BT88" i="5"/>
  <c r="BT89" i="5"/>
  <c r="BT18" i="5"/>
  <c r="BT83" i="5"/>
  <c r="BT85" i="5"/>
  <c r="BT86" i="5"/>
  <c r="BT90" i="5"/>
  <c r="BT91" i="5"/>
  <c r="BP10" i="5"/>
  <c r="BP9" i="5"/>
  <c r="BP11" i="5"/>
  <c r="BP90" i="5"/>
  <c r="BP6" i="5"/>
  <c r="BP91" i="5"/>
  <c r="CB85" i="5"/>
  <c r="CJ93" i="5"/>
  <c r="BU6" i="5"/>
  <c r="BU8" i="5"/>
  <c r="BU9" i="5"/>
  <c r="BU10" i="5"/>
  <c r="BU11" i="5"/>
  <c r="BU12" i="5"/>
  <c r="BU13" i="5"/>
  <c r="BU14" i="5"/>
  <c r="BU15" i="5"/>
  <c r="BU16" i="5"/>
  <c r="BU17" i="5"/>
  <c r="BU18" i="5"/>
  <c r="BU19" i="5"/>
  <c r="BU20" i="5"/>
  <c r="BU21" i="5"/>
  <c r="BU22" i="5"/>
  <c r="BU23" i="5"/>
  <c r="BU24" i="5"/>
  <c r="BU25" i="5"/>
  <c r="BU26" i="5"/>
  <c r="BU27" i="5"/>
  <c r="BU28" i="5"/>
  <c r="BU29" i="5"/>
  <c r="BU30" i="5"/>
  <c r="BU31" i="5"/>
  <c r="BU32" i="5"/>
  <c r="BU33" i="5"/>
  <c r="BU34" i="5"/>
  <c r="BU35" i="5"/>
  <c r="BU36" i="5"/>
  <c r="BU37" i="5"/>
  <c r="BU38" i="5"/>
  <c r="BU39" i="5"/>
  <c r="BU40" i="5"/>
  <c r="BU81" i="5"/>
  <c r="BU82" i="5"/>
  <c r="BU83" i="5"/>
  <c r="BU84" i="5"/>
  <c r="BU85" i="5"/>
  <c r="BU86" i="5"/>
  <c r="BU87" i="5"/>
  <c r="BU88" i="5"/>
  <c r="BU89" i="5"/>
  <c r="BU90" i="5"/>
  <c r="BU91" i="5"/>
  <c r="BU92" i="5"/>
  <c r="BU93" i="5"/>
  <c r="BU112" i="5"/>
  <c r="BU113" i="5"/>
  <c r="N51" i="2"/>
  <c r="M49" i="2"/>
  <c r="M47" i="2"/>
  <c r="A11" i="2"/>
  <c r="A12" i="2"/>
  <c r="A13" i="2"/>
  <c r="A22" i="2"/>
  <c r="A23" i="2"/>
  <c r="A25" i="2"/>
  <c r="A26" i="2"/>
  <c r="A32" i="2"/>
  <c r="A33" i="2"/>
  <c r="A34" i="2"/>
  <c r="A35" i="2"/>
  <c r="A37" i="2"/>
  <c r="A38" i="2"/>
  <c r="A41" i="2"/>
  <c r="A44" i="2"/>
  <c r="A45" i="2"/>
  <c r="A47" i="2"/>
  <c r="A49" i="2"/>
  <c r="A51" i="2"/>
  <c r="A53" i="2"/>
  <c r="A55" i="2"/>
  <c r="F11" i="2"/>
  <c r="F12" i="2"/>
  <c r="F23" i="2"/>
  <c r="F29" i="2"/>
  <c r="F27" i="2"/>
  <c r="F31" i="2"/>
  <c r="F30" i="2"/>
  <c r="F32" i="2"/>
  <c r="BO6" i="5"/>
  <c r="BO8" i="5"/>
  <c r="BO9" i="5"/>
  <c r="BO10" i="5"/>
  <c r="BO11" i="5"/>
  <c r="BO12" i="5"/>
  <c r="BO13" i="5"/>
  <c r="BO14" i="5"/>
  <c r="BO15" i="5"/>
  <c r="BO16" i="5"/>
  <c r="BO17" i="5"/>
  <c r="BO18" i="5"/>
  <c r="BO19" i="5"/>
  <c r="BO20" i="5"/>
  <c r="BO21" i="5"/>
  <c r="BO22" i="5"/>
  <c r="BO23" i="5"/>
  <c r="BO24" i="5"/>
  <c r="BO25" i="5"/>
  <c r="BO26" i="5"/>
  <c r="BO27" i="5"/>
  <c r="BO28" i="5"/>
  <c r="BO29" i="5"/>
  <c r="BO30" i="5"/>
  <c r="BO31" i="5"/>
  <c r="BO32" i="5"/>
  <c r="BO33" i="5"/>
  <c r="BO34" i="5"/>
  <c r="BO35" i="5"/>
  <c r="BO36" i="5"/>
  <c r="BO37" i="5"/>
  <c r="BO38" i="5"/>
  <c r="BO39" i="5"/>
  <c r="BO40" i="5"/>
  <c r="BO81" i="5"/>
  <c r="BO82" i="5"/>
  <c r="BO83" i="5"/>
  <c r="BO84" i="5"/>
  <c r="BO85" i="5"/>
  <c r="BO86" i="5"/>
  <c r="BO87" i="5"/>
  <c r="BO88" i="5"/>
  <c r="BO89" i="5"/>
  <c r="BO90" i="5"/>
  <c r="BO92" i="5"/>
  <c r="BO5" i="5"/>
  <c r="D9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<sst xmlns="http://schemas.openxmlformats.org/spreadsheetml/2006/main" count="444" uniqueCount="297">
  <si>
    <t>Désignation</t>
  </si>
  <si>
    <t>Qté</t>
  </si>
  <si>
    <t>Pu</t>
  </si>
  <si>
    <t>Montant</t>
  </si>
  <si>
    <t>Forfait</t>
  </si>
  <si>
    <t>Total</t>
  </si>
  <si>
    <t>Location de Terrain</t>
  </si>
  <si>
    <t>Défrichage</t>
  </si>
  <si>
    <t>Produits  Phytosanitaires</t>
  </si>
  <si>
    <t>Travaux</t>
  </si>
  <si>
    <t>Herbicides</t>
  </si>
  <si>
    <t>Unités</t>
  </si>
  <si>
    <t>Petit Materiel &amp; Outillage</t>
  </si>
  <si>
    <t>Ho/jr</t>
  </si>
  <si>
    <t>Nº</t>
  </si>
  <si>
    <t>Taches</t>
  </si>
  <si>
    <t>Durée</t>
  </si>
  <si>
    <t>Jour</t>
  </si>
  <si>
    <t>Début</t>
  </si>
  <si>
    <t>Fin</t>
  </si>
  <si>
    <t>Defrichage</t>
  </si>
  <si>
    <t>Sarclage 1</t>
  </si>
  <si>
    <t>Sarclage 2</t>
  </si>
  <si>
    <t>Barres</t>
  </si>
  <si>
    <t>Sachet 1kg</t>
  </si>
  <si>
    <t>m</t>
  </si>
  <si>
    <t>Transport</t>
  </si>
  <si>
    <t>3 jours de Travail avec 2 ho/ jrs</t>
  </si>
  <si>
    <t xml:space="preserve">14 récoltes: 2 Ho/jour * </t>
  </si>
  <si>
    <t>5 jours de travail par semaine pour 3 mois(4 sem/mois * 3)</t>
  </si>
  <si>
    <t>Sacs</t>
  </si>
  <si>
    <t xml:space="preserve">14 recoltes poir un total de 50 sacs </t>
  </si>
  <si>
    <t>sacs</t>
  </si>
  <si>
    <t>Boite de 500ml</t>
  </si>
  <si>
    <t>Boite de 100ml</t>
  </si>
  <si>
    <t>Boite de 200ml</t>
  </si>
  <si>
    <t>Récapitulatif</t>
  </si>
  <si>
    <t>Location</t>
  </si>
  <si>
    <t>Préparation Terrain</t>
  </si>
  <si>
    <t>Irrigation</t>
  </si>
  <si>
    <t>Semences</t>
  </si>
  <si>
    <t>Produits phytosanitaires</t>
  </si>
  <si>
    <t>Petit Matériel &amp; outillages</t>
  </si>
  <si>
    <t>Carburant &amp; lubrifiant</t>
  </si>
  <si>
    <t>Carburant</t>
  </si>
  <si>
    <t>l</t>
  </si>
  <si>
    <t>2 irrigation / sem : Durée 1h (1l/ irrigation); 1l*2*4*3=24l</t>
  </si>
  <si>
    <t>1e vidande par mois</t>
  </si>
  <si>
    <t>Ventes prévisionnelles</t>
  </si>
  <si>
    <t>Charges exploitation</t>
  </si>
  <si>
    <t>Total ventes Prévisionnelles</t>
  </si>
  <si>
    <t>Début Activités</t>
  </si>
  <si>
    <t>juin</t>
  </si>
  <si>
    <t>juillet</t>
  </si>
  <si>
    <t>nb sacs</t>
  </si>
  <si>
    <t>nb sacs/R</t>
  </si>
  <si>
    <t>Pv moyen</t>
  </si>
  <si>
    <t>Ca/R</t>
  </si>
  <si>
    <t>CATotal</t>
  </si>
  <si>
    <t>CA juin</t>
  </si>
  <si>
    <t>CA juillet</t>
  </si>
  <si>
    <t>2500 m²</t>
  </si>
  <si>
    <t>Unité</t>
  </si>
  <si>
    <t>semaines</t>
  </si>
  <si>
    <t>Solde d'exploitation</t>
  </si>
  <si>
    <t>Rendement Théorique</t>
  </si>
  <si>
    <t>Rendement Potentiel</t>
  </si>
  <si>
    <t>Conditionnement</t>
  </si>
  <si>
    <t>Nb sacs  Total</t>
  </si>
  <si>
    <t>Nb Récolte</t>
  </si>
  <si>
    <t>Rendement /10 m² (kg)</t>
  </si>
  <si>
    <t>Supreficie Plantée (m²)</t>
  </si>
  <si>
    <t>Taux de perte</t>
  </si>
  <si>
    <t>Poids Moyen Sacs (kg)</t>
  </si>
  <si>
    <t>Nb  sacs Moyen / Récolte</t>
  </si>
  <si>
    <t>CA Total</t>
  </si>
  <si>
    <t>CA / Récolte</t>
  </si>
  <si>
    <t>déplacement</t>
  </si>
  <si>
    <t>Apport Personnel</t>
  </si>
  <si>
    <t>lubrifiant</t>
  </si>
  <si>
    <t>Recettes Prévisionnelles</t>
  </si>
  <si>
    <t>Investissement</t>
  </si>
  <si>
    <t>Hypothèse Basse</t>
  </si>
  <si>
    <t>Hypothèse Moyenne</t>
  </si>
  <si>
    <t>Hypothèse Haute</t>
  </si>
  <si>
    <t>Debut des Activités</t>
  </si>
  <si>
    <t>Recettes Hors Exploitation</t>
  </si>
  <si>
    <t>Total Recettes Hors Exploitation</t>
  </si>
  <si>
    <t>Total Depenses Hors Exploitation</t>
  </si>
  <si>
    <t>Solde Hors Exploitation</t>
  </si>
  <si>
    <t>Montant Emprunté</t>
  </si>
  <si>
    <t>Différé</t>
  </si>
  <si>
    <t>Taux % (an)</t>
  </si>
  <si>
    <t>Durée (Mois)</t>
  </si>
  <si>
    <t>Periode Remboursement</t>
  </si>
  <si>
    <t>Mensualités</t>
  </si>
  <si>
    <t>Principal</t>
  </si>
  <si>
    <t>Intérêt</t>
  </si>
  <si>
    <t>Restant Dû</t>
  </si>
  <si>
    <t>Remboursement de l'emprunt</t>
  </si>
  <si>
    <t>Paramètres</t>
  </si>
  <si>
    <t>Date du prêt</t>
  </si>
  <si>
    <t>Date Debut Remboursement</t>
  </si>
  <si>
    <t>Date</t>
  </si>
  <si>
    <t>mois</t>
  </si>
  <si>
    <t>Compte d'exploitation Prévisionnel</t>
  </si>
  <si>
    <t>I- Chiffre D'affaires (CA)</t>
  </si>
  <si>
    <t>II - Charges d'exploitation (CE)</t>
  </si>
  <si>
    <t>III - Excédent Brut D'exploitation (EBE)</t>
  </si>
  <si>
    <t>IV - Résultat d'exploitation (RE)</t>
  </si>
  <si>
    <t>V - Résultat Net (RN)</t>
  </si>
  <si>
    <t>VI - CASH FLOW</t>
  </si>
  <si>
    <t>Tableau d'amortissement</t>
  </si>
  <si>
    <t>Tableau d'amortissement avec différé</t>
  </si>
  <si>
    <t>Plan de Financement</t>
  </si>
  <si>
    <t>Budget de Tresorerie (Decoupage Hebdomadaire)</t>
  </si>
  <si>
    <t>Budget de Tresorerie Mensuel</t>
  </si>
  <si>
    <t>Piment</t>
  </si>
  <si>
    <t>Mois</t>
  </si>
  <si>
    <t>Aubergine Longue Violette</t>
  </si>
  <si>
    <t xml:space="preserve">Piment Big Sun </t>
  </si>
  <si>
    <t>Boite de 50 g</t>
  </si>
  <si>
    <t>Creuset des Poquets</t>
  </si>
  <si>
    <t>Carburant &amp;   Maintenance</t>
  </si>
  <si>
    <t>Déplacement</t>
  </si>
  <si>
    <t>Récolte Aubergine</t>
  </si>
  <si>
    <t>Récolte Piment</t>
  </si>
  <si>
    <t>Lubrifiant</t>
  </si>
  <si>
    <t>Recolte</t>
  </si>
  <si>
    <t xml:space="preserve"> Sarclage 1</t>
  </si>
  <si>
    <t>Confection des planches de pépinière</t>
  </si>
  <si>
    <t>Pulvérisateurs</t>
  </si>
  <si>
    <t>Arrosoirs</t>
  </si>
  <si>
    <t>Machette</t>
  </si>
  <si>
    <t>Daba sarclage</t>
  </si>
  <si>
    <t>Lime</t>
  </si>
  <si>
    <t>sacs (recolte)</t>
  </si>
  <si>
    <t>Tuyaux aspiration</t>
  </si>
  <si>
    <t>Tuyaux refoulement</t>
  </si>
  <si>
    <t>Divers ( coude, T , Réducteur, ...)</t>
  </si>
  <si>
    <t>Tuyaux Diam 75</t>
  </si>
  <si>
    <t>Tuyaux diam 32</t>
  </si>
  <si>
    <t>Foltron</t>
  </si>
  <si>
    <t>Engrais</t>
  </si>
  <si>
    <t>biozyme</t>
  </si>
  <si>
    <t>Insecticides</t>
  </si>
  <si>
    <t>Cypercal 50 Ec</t>
  </si>
  <si>
    <t>Viper 46 Ec</t>
  </si>
  <si>
    <t>Fongicides</t>
  </si>
  <si>
    <t>Psycho</t>
  </si>
  <si>
    <t>Banko plus</t>
  </si>
  <si>
    <t>Charges Prévisionnelles 2500 m2 Aubergine &amp; Piment</t>
  </si>
  <si>
    <t>Fientes de Volailles (Amendements de fond)</t>
  </si>
  <si>
    <t>Piment Big Sun</t>
  </si>
  <si>
    <t>Sacs de 70kg</t>
  </si>
  <si>
    <t>PV Moyen Aubergine</t>
  </si>
  <si>
    <t>CA Piment</t>
  </si>
  <si>
    <t>PV Moyen Piment</t>
  </si>
  <si>
    <t>CA TOTAL</t>
  </si>
  <si>
    <t>%</t>
  </si>
  <si>
    <t>Petit Matériel &amp; outillage</t>
  </si>
  <si>
    <t>Transport Récolte</t>
  </si>
  <si>
    <t>Frais Généraux</t>
  </si>
  <si>
    <t>Transport Déplacement</t>
  </si>
  <si>
    <t>Total Charges</t>
  </si>
  <si>
    <t>Répartition des charges par Nature</t>
  </si>
  <si>
    <t>Coût d'exploitation par culture</t>
  </si>
  <si>
    <t>Aubergine</t>
  </si>
  <si>
    <t>produits Phytosanitaires</t>
  </si>
  <si>
    <t>Emballages</t>
  </si>
  <si>
    <t>Confection des Planches de pépinière
Aubergine &amp; Piment</t>
  </si>
  <si>
    <t>Semis Pépinière
Aubergine &amp; Piment</t>
  </si>
  <si>
    <t>Repiquage Piment</t>
  </si>
  <si>
    <t>Remplacement des plants Morts Aubergine</t>
  </si>
  <si>
    <t>Remplacement des plants Morts Piment</t>
  </si>
  <si>
    <t>Levée Aubergine
Pose Ombriere</t>
  </si>
  <si>
    <t>Levée Piment
Pose Ombriere</t>
  </si>
  <si>
    <t>Traitement Insecticide Pépinière 
Aubergine &amp; Piment</t>
  </si>
  <si>
    <t>Traitement Insecticide 2 Pépinière Aubergine &amp; Piment 
Traitement Fongicide 
Apport Engrais NPK (coulage)</t>
  </si>
  <si>
    <t>Confection des poquets de repiquage Aubergine</t>
  </si>
  <si>
    <t>Confection des poquets de repiquage Piment</t>
  </si>
  <si>
    <t>Repiquage Aubergine</t>
  </si>
  <si>
    <t>Traitement Insecticide 1
Traitement Fongicide 1</t>
  </si>
  <si>
    <t>Traitement Insecticide 2
Traitement Fongicide 2</t>
  </si>
  <si>
    <t>Traitement Engrais Foliaire 1
Biostimulant de croissance Foltron</t>
  </si>
  <si>
    <t>Traitement Insecticide 3
Traitement Fongicide 3</t>
  </si>
  <si>
    <t>Apport Engrais granulés Aubergine</t>
  </si>
  <si>
    <t>Traitement Herbicide</t>
  </si>
  <si>
    <t>Traitement Engrais Foliaire 1 
Biostimulants de Production Biozyme</t>
  </si>
  <si>
    <t>Traitement Engrais Foliaire 2
Biostimulants de Production Biozyme</t>
  </si>
  <si>
    <t>Traitement Engrais Foliaire 3
Biostimulants de Production Biozyme</t>
  </si>
  <si>
    <t>Traitement Engrais Foliaire 4
Biostimulants de Production Biozyme</t>
  </si>
  <si>
    <t>Sarclage 3</t>
  </si>
  <si>
    <t>Installation Système d'irrigation</t>
  </si>
  <si>
    <t>Total Charges d'exploitation</t>
  </si>
  <si>
    <t>Ventes Aubergine</t>
  </si>
  <si>
    <t>Ventes Piment</t>
  </si>
  <si>
    <t>Matériel d'irrigation</t>
  </si>
  <si>
    <t>Tuyauterie</t>
  </si>
  <si>
    <t xml:space="preserve"> Accessoires</t>
  </si>
  <si>
    <t>Trésorerie Prévisionnelle sur 08 Mois d'activités</t>
  </si>
  <si>
    <t>Travaux (MO Occasionnelle)</t>
  </si>
  <si>
    <t>Besoin en Fonds de Roulement d'exploitation</t>
  </si>
  <si>
    <t>Mois d'activités Pris en compte ds le BFR</t>
  </si>
  <si>
    <t>NPK Spécial Maraîchers 12.22.22</t>
  </si>
  <si>
    <t>Sacs de 50 kg</t>
  </si>
  <si>
    <t>VO</t>
  </si>
  <si>
    <t>Periode An1 (mois)</t>
  </si>
  <si>
    <t>Date d'acquisition</t>
  </si>
  <si>
    <t>Mois Prorata</t>
  </si>
  <si>
    <t>Immobilisations corporelles</t>
  </si>
  <si>
    <t>Matériel d'irrigation (Motopompe)</t>
  </si>
  <si>
    <t>Total Investissement</t>
  </si>
  <si>
    <t>Matériel Commercial (Balance)</t>
  </si>
  <si>
    <t>Fut de 200 l</t>
  </si>
  <si>
    <t>Frais Bancaires</t>
  </si>
  <si>
    <t>ouverture Compte  (Microcred)</t>
  </si>
  <si>
    <t>frais de tenue de compte</t>
  </si>
  <si>
    <t>Salaires</t>
  </si>
  <si>
    <t>Coût d'exploitation</t>
  </si>
  <si>
    <t>I. Besoins (Emplois)</t>
  </si>
  <si>
    <t>Remboursement Subvention / Emprunt</t>
  </si>
  <si>
    <t>Prélèvement Promoteur* (10% Résultat)</t>
  </si>
  <si>
    <t>Total Emplois</t>
  </si>
  <si>
    <t>II. Ressources</t>
  </si>
  <si>
    <t>CAF</t>
  </si>
  <si>
    <t>Subventions / Emprunt</t>
  </si>
  <si>
    <t>Total Ressources</t>
  </si>
  <si>
    <t>Solde</t>
  </si>
  <si>
    <t>Solde Cumulé</t>
  </si>
  <si>
    <t>* Prélèvement promoteur est égale a 10% des bénéfices</t>
  </si>
  <si>
    <t>Dépenses  Hors exploitation</t>
  </si>
  <si>
    <t>Total Dépenses Hors Exploitation</t>
  </si>
  <si>
    <t>Variation Totale</t>
  </si>
  <si>
    <t>Report de Trésorerie</t>
  </si>
  <si>
    <t>Solde Fin de Mois</t>
  </si>
  <si>
    <t>Modalités de remboursement</t>
  </si>
  <si>
    <t>Mensuel</t>
  </si>
  <si>
    <t>Trimestriel</t>
  </si>
  <si>
    <t>Taux Annuel</t>
  </si>
  <si>
    <t>Durée en Années</t>
  </si>
  <si>
    <t>Différé (en Années)</t>
  </si>
  <si>
    <t>Nb échéances</t>
  </si>
  <si>
    <t xml:space="preserve">   '- dont différé</t>
  </si>
  <si>
    <t xml:space="preserve">   '- dont Amortissement</t>
  </si>
  <si>
    <t>Remboursement</t>
  </si>
  <si>
    <t xml:space="preserve">   dont Capital</t>
  </si>
  <si>
    <t>Différence</t>
  </si>
  <si>
    <t xml:space="preserve">   dont Intérêts</t>
  </si>
  <si>
    <t>Date de Déblocage</t>
  </si>
  <si>
    <t xml:space="preserve"> - </t>
  </si>
  <si>
    <t>Tableau d'amortissement Remboursement Mensuel</t>
  </si>
  <si>
    <t>Tableau d'amortissement Remboursement Trimestriel</t>
  </si>
  <si>
    <t>30 nov. 2020</t>
  </si>
  <si>
    <t>p</t>
  </si>
  <si>
    <t>Date Début Récolte</t>
  </si>
  <si>
    <t>Biozyme</t>
  </si>
  <si>
    <t>Banko +</t>
  </si>
  <si>
    <t>Nb Traitement</t>
  </si>
  <si>
    <t>Cypercal</t>
  </si>
  <si>
    <t>Viper</t>
  </si>
  <si>
    <t>Yara Mila*</t>
  </si>
  <si>
    <t>Ivory</t>
  </si>
  <si>
    <t>psycho</t>
  </si>
  <si>
    <t>Récolte  Piment 1 (début)</t>
  </si>
  <si>
    <t>Récolte Piment 12 (fin)</t>
  </si>
  <si>
    <t>Récolte Aubergine 1 (Début)</t>
  </si>
  <si>
    <t>Récolte Aubergine 2</t>
  </si>
  <si>
    <t>Récolte Aubergine 3</t>
  </si>
  <si>
    <t>Récolte Aubergine 4</t>
  </si>
  <si>
    <t>Récolte  Aubergine 5</t>
  </si>
  <si>
    <t>Récolte Aubergine 6</t>
  </si>
  <si>
    <t>Récolte Aubergine 7</t>
  </si>
  <si>
    <t>Récolte Aubergine 8</t>
  </si>
  <si>
    <t>Récolte  Piment 2</t>
  </si>
  <si>
    <t>Récolte  Aubergine 9</t>
  </si>
  <si>
    <t>Récolte Piment 3</t>
  </si>
  <si>
    <t>Récolte Aubergine 11</t>
  </si>
  <si>
    <t>Récolte Piment 4</t>
  </si>
  <si>
    <t>Récolte Aubergine 12</t>
  </si>
  <si>
    <t>Récolte  Piment 5</t>
  </si>
  <si>
    <t>Récolte Aubergine 13 (Fin)</t>
  </si>
  <si>
    <t>Récolte Piment 6</t>
  </si>
  <si>
    <t>Récolte  Piment 7</t>
  </si>
  <si>
    <t>Récolte Piment 8</t>
  </si>
  <si>
    <t>Récolte Piment 9</t>
  </si>
  <si>
    <t>Récolte  Piment 10</t>
  </si>
  <si>
    <t>Récolte Piment 11</t>
  </si>
  <si>
    <t>Total Récolte</t>
  </si>
  <si>
    <t>Planning Cultural</t>
  </si>
  <si>
    <t xml:space="preserve"> Traitement Engrais Foliaire 2
Biostimulant de Croissance Foltron</t>
  </si>
  <si>
    <t>Sarclage 1 (Parcelle Entière)</t>
  </si>
  <si>
    <t>Sarclage 2 (Parcelle entière)</t>
  </si>
  <si>
    <t>Sarclage 3 (Parcelle entière)</t>
  </si>
  <si>
    <t>Amortissement</t>
  </si>
  <si>
    <t>Intérêts</t>
  </si>
  <si>
    <t>Impôt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</si>
</sst>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1" formatCode="_-* #,##0_-;\-* #,##0_-;_-* &quot;-&quot;_-;_-@_-"/>
    <numFmt numFmtId="164" formatCode="[$-1300C]d\ mmm\ yyyy;@"/>
    <numFmt numFmtId="165" formatCode="0.0"/>
    <numFmt numFmtId="166" formatCode="[$-1300C]d\ mmmm\ yyyy;@"/>
    <numFmt numFmtId="167" formatCode="_-* #,##0.0_-;\-* #,##0.0_-;_-* &quot;-&quot;_-;_-@_-"/>
    <numFmt numFmtId="168" formatCode="#,##0_ ;[Red]\-#,##0\ 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6"/>
      <name val="Yu Gothic"/>
      <family val="2"/>
      <charset val="128"/>
    </font>
    <font>
      <b/>
      <sz val="11"/>
      <color rgb="FFC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9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theme="1"/>
      </patternFill>
    </fill>
  </fills>
  <borders count="7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/>
      <bottom style="medium">
        <color rgb="FF505050"/>
      </bottom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/>
      <diagonal/>
    </border>
    <border>
      <left style="medium">
        <color rgb="FF505050"/>
      </left>
      <right style="medium">
        <color rgb="FF505050"/>
      </right>
      <top/>
      <bottom/>
      <diagonal/>
    </border>
    <border>
      <left style="medium">
        <color rgb="FF505050"/>
      </left>
      <right style="medium">
        <color rgb="FF505050"/>
      </right>
      <top/>
      <bottom style="medium">
        <color rgb="FF505050"/>
      </bottom>
      <diagonal/>
    </border>
  </borders>
  <cellStyleXfs count="1">
    <xf numFmtId="0" fontId="0" fillId="0" borderId="0"/>
  </cellStyleXfs>
  <cellXfs count="153">
    <xf numFmtId="0" fontId="0" fillId="0" borderId="0" xfId="0"/>
    <xf numFmtId="0" fontId="1" fillId="0" borderId="0" xfId="0" applyFont="1"/>
    <xf numFmtId="41" fontId="0" fillId="0" borderId="0" xfId="0" applyNumberFormat="1" applyAlignment="1">
      <alignment horizontal="center"/>
    </xf>
    <xf numFmtId="41" fontId="2" fillId="0" borderId="0" xfId="0" applyNumberFormat="1" applyFont="1" applyAlignment="1">
      <alignment horizontal="center" wrapText="1"/>
    </xf>
    <xf numFmtId="0" fontId="3" fillId="0" borderId="0" xfId="0" applyFont="1"/>
    <xf numFmtId="41" fontId="1" fillId="0" borderId="0" xfId="0" applyNumberFormat="1" applyFont="1" applyAlignment="1">
      <alignment horizontal="center"/>
    </xf>
    <xf numFmtId="0" fontId="0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41" fontId="0" fillId="0" borderId="0" xfId="0" applyNumberFormat="1" applyAlignment="1">
      <alignment horizontal="center" vertical="center" readingOrder="2"/>
    </xf>
    <xf numFmtId="41" fontId="1" fillId="0" borderId="0" xfId="0" applyNumberFormat="1" applyFont="1" applyAlignment="1">
      <alignment horizontal="center" vertical="center" readingOrder="2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quotePrefix="1" applyAlignment="1"/>
    <xf numFmtId="41" fontId="0" fillId="0" borderId="0" xfId="0" applyNumberFormat="1" applyFont="1" applyAlignment="1">
      <alignment horizontal="center"/>
    </xf>
    <xf numFmtId="41" fontId="0" fillId="0" borderId="0" xfId="0" applyNumberFormat="1"/>
    <xf numFmtId="0" fontId="0" fillId="0" borderId="0" xfId="0" quotePrefix="1" applyAlignment="1">
      <alignment horizontal="left" vertical="center"/>
    </xf>
    <xf numFmtId="41" fontId="2" fillId="0" borderId="0" xfId="0" applyNumberFormat="1" applyFont="1"/>
    <xf numFmtId="41" fontId="1" fillId="0" borderId="0" xfId="0" applyNumberFormat="1" applyFont="1"/>
    <xf numFmtId="0" fontId="7" fillId="0" borderId="0" xfId="0" applyFont="1"/>
    <xf numFmtId="41" fontId="7" fillId="0" borderId="0" xfId="0" applyNumberFormat="1" applyFont="1"/>
    <xf numFmtId="0" fontId="2" fillId="0" borderId="0" xfId="0" applyFont="1" applyAlignment="1">
      <alignment horizontal="center" vertical="center"/>
    </xf>
    <xf numFmtId="17" fontId="1" fillId="0" borderId="0" xfId="0" applyNumberFormat="1" applyFont="1" applyAlignment="1">
      <alignment horizontal="center" vertical="center"/>
    </xf>
    <xf numFmtId="41" fontId="8" fillId="0" borderId="0" xfId="0" quotePrefix="1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5" fontId="0" fillId="0" borderId="0" xfId="0" applyNumberFormat="1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41" fontId="0" fillId="0" borderId="0" xfId="0" applyNumberFormat="1" applyAlignment="1">
      <alignment horizontal="center" vertical="center"/>
    </xf>
    <xf numFmtId="41" fontId="1" fillId="0" borderId="0" xfId="0" applyNumberFormat="1" applyFont="1" applyAlignment="1">
      <alignment horizontal="center" vertical="center" wrapText="1" readingOrder="2"/>
    </xf>
    <xf numFmtId="41" fontId="2" fillId="0" borderId="0" xfId="0" applyNumberFormat="1" applyFont="1" applyAlignment="1">
      <alignment horizontal="center" vertical="center"/>
    </xf>
    <xf numFmtId="41" fontId="0" fillId="0" borderId="0" xfId="0" applyNumberFormat="1" applyAlignment="1">
      <alignment horizontal="left"/>
    </xf>
    <xf numFmtId="41" fontId="8" fillId="0" borderId="0" xfId="0" applyNumberFormat="1" applyFont="1"/>
    <xf numFmtId="0" fontId="1" fillId="0" borderId="0" xfId="0" applyFont="1" applyAlignment="1">
      <alignment horizontal="center" vertical="center" wrapText="1"/>
    </xf>
    <xf numFmtId="0" fontId="8" fillId="0" borderId="0" xfId="0" applyFont="1"/>
    <xf numFmtId="0" fontId="10" fillId="0" borderId="0" xfId="0" applyFont="1"/>
    <xf numFmtId="41" fontId="1" fillId="0" borderId="0" xfId="0" applyNumberFormat="1" applyFont="1" applyAlignment="1">
      <alignment horizontal="center" vertical="center" wrapText="1"/>
    </xf>
    <xf numFmtId="164" fontId="0" fillId="0" borderId="0" xfId="0" applyNumberFormat="1"/>
    <xf numFmtId="17" fontId="1" fillId="0" borderId="0" xfId="0" applyNumberFormat="1" applyFont="1" applyAlignment="1"/>
    <xf numFmtId="0" fontId="1" fillId="0" borderId="0" xfId="0" applyFont="1" applyAlignment="1"/>
    <xf numFmtId="0" fontId="1" fillId="0" borderId="0" xfId="0" applyFont="1" applyAlignment="1">
      <alignment horizontal="center" vertical="center"/>
    </xf>
    <xf numFmtId="0" fontId="11" fillId="0" borderId="0" xfId="0" applyFont="1"/>
    <xf numFmtId="0" fontId="12" fillId="0" borderId="0" xfId="0" applyFont="1"/>
    <xf numFmtId="9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2" borderId="0" xfId="0" applyFill="1"/>
    <xf numFmtId="0" fontId="9" fillId="0" borderId="0" xfId="0" applyFont="1"/>
    <xf numFmtId="0" fontId="2" fillId="0" borderId="0" xfId="0" applyFont="1" applyAlignment="1">
      <alignment horizontal="center" vertical="center"/>
    </xf>
    <xf numFmtId="14" fontId="0" fillId="0" borderId="0" xfId="0" applyNumberFormat="1"/>
    <xf numFmtId="0" fontId="0" fillId="0" borderId="0" xfId="0" quotePrefix="1" applyAlignment="1">
      <alignment horizontal="left" vertical="center" wrapText="1"/>
    </xf>
    <xf numFmtId="0" fontId="0" fillId="0" borderId="0" xfId="0" quotePrefix="1" applyAlignment="1">
      <alignment horizontal="left" wrapText="1"/>
    </xf>
    <xf numFmtId="0" fontId="2" fillId="0" borderId="0" xfId="0" applyFont="1" applyAlignment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41" fontId="3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 vertical="center" readingOrder="2"/>
    </xf>
    <xf numFmtId="0" fontId="0" fillId="0" borderId="0" xfId="0" applyAlignment="1">
      <alignment horizontal="center" wrapText="1"/>
    </xf>
    <xf numFmtId="0" fontId="2" fillId="0" borderId="0" xfId="0" applyFont="1"/>
    <xf numFmtId="9" fontId="0" fillId="0" borderId="0" xfId="0" applyNumberFormat="1" applyAlignment="1">
      <alignment horizontal="center" vertical="center" readingOrder="2"/>
    </xf>
    <xf numFmtId="41" fontId="0" fillId="0" borderId="0" xfId="0" applyNumberFormat="1" applyFont="1"/>
    <xf numFmtId="0" fontId="2" fillId="0" borderId="0" xfId="0" applyFont="1" applyAlignment="1">
      <alignment horizontal="left" vertical="center"/>
    </xf>
    <xf numFmtId="0" fontId="13" fillId="3" borderId="2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center" vertical="center"/>
    </xf>
    <xf numFmtId="164" fontId="14" fillId="0" borderId="0" xfId="0" applyNumberFormat="1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center" wrapText="1"/>
    </xf>
    <xf numFmtId="0" fontId="14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5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164" fontId="15" fillId="0" borderId="0" xfId="0" applyNumberFormat="1" applyFont="1" applyBorder="1" applyAlignment="1">
      <alignment horizontal="center" vertical="center"/>
    </xf>
    <xf numFmtId="164" fontId="1" fillId="0" borderId="0" xfId="0" applyNumberFormat="1" applyFont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41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0" fontId="0" fillId="0" borderId="0" xfId="0" quotePrefix="1" applyAlignment="1">
      <alignment horizontal="left" vertical="center" wrapText="1"/>
    </xf>
    <xf numFmtId="41" fontId="1" fillId="0" borderId="0" xfId="0" applyNumberFormat="1" applyFont="1" applyAlignment="1">
      <alignment horizontal="center" vertical="center"/>
    </xf>
    <xf numFmtId="168" fontId="1" fillId="0" borderId="0" xfId="0" applyNumberFormat="1" applyFont="1"/>
    <xf numFmtId="41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3" fontId="0" fillId="0" borderId="0" xfId="0" applyNumberFormat="1"/>
    <xf numFmtId="3" fontId="1" fillId="0" borderId="0" xfId="0" applyNumberFormat="1" applyFont="1"/>
    <xf numFmtId="0" fontId="1" fillId="0" borderId="0" xfId="0" applyFont="1" applyAlignment="1">
      <alignment horizontal="center" wrapText="1"/>
    </xf>
    <xf numFmtId="3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readingOrder="2"/>
    </xf>
    <xf numFmtId="10" fontId="0" fillId="0" borderId="0" xfId="0" applyNumberFormat="1" applyAlignment="1">
      <alignment horizontal="center" vertical="center" readingOrder="2"/>
    </xf>
    <xf numFmtId="17" fontId="0" fillId="0" borderId="0" xfId="0" applyNumberFormat="1"/>
    <xf numFmtId="10" fontId="0" fillId="0" borderId="0" xfId="0" applyNumberFormat="1"/>
    <xf numFmtId="15" fontId="0" fillId="0" borderId="0" xfId="0" applyNumberFormat="1"/>
    <xf numFmtId="41" fontId="0" fillId="0" borderId="0" xfId="0" applyNumberFormat="1" applyAlignment="1">
      <alignment vertical="center" wrapText="1"/>
    </xf>
    <xf numFmtId="41" fontId="1" fillId="0" borderId="0" xfId="0" applyNumberFormat="1" applyFont="1" applyAlignment="1">
      <alignment vertical="center" wrapText="1"/>
    </xf>
    <xf numFmtId="9" fontId="0" fillId="0" borderId="0" xfId="0" applyNumberFormat="1" applyAlignment="1">
      <alignment vertical="center" wrapText="1"/>
    </xf>
    <xf numFmtId="41" fontId="0" fillId="0" borderId="0" xfId="0" applyNumberFormat="1" applyAlignment="1">
      <alignment horizontal="center" vertical="center" wrapText="1"/>
    </xf>
    <xf numFmtId="41" fontId="2" fillId="0" borderId="0" xfId="0" applyNumberFormat="1" applyFont="1" applyAlignment="1">
      <alignment vertical="center" wrapText="1"/>
    </xf>
    <xf numFmtId="167" fontId="0" fillId="0" borderId="0" xfId="0" applyNumberFormat="1" applyAlignment="1">
      <alignment vertical="center" wrapText="1"/>
    </xf>
    <xf numFmtId="0" fontId="2" fillId="0" borderId="0" xfId="0" applyFont="1" applyAlignment="1">
      <alignment horizontal="center" vertical="center"/>
    </xf>
    <xf numFmtId="41" fontId="0" fillId="0" borderId="0" xfId="0" applyNumberFormat="1" applyAlignment="1">
      <alignment horizontal="left" vertical="center"/>
    </xf>
    <xf numFmtId="0" fontId="13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64" fontId="14" fillId="0" borderId="0" xfId="0" applyNumberFormat="1" applyFont="1" applyAlignment="1">
      <alignment horizontal="left" vertical="center"/>
    </xf>
    <xf numFmtId="164" fontId="15" fillId="0" borderId="0" xfId="0" applyNumberFormat="1" applyFont="1" applyAlignment="1">
      <alignment horizontal="left" vertical="center"/>
    </xf>
    <xf numFmtId="164" fontId="7" fillId="0" borderId="0" xfId="0" applyNumberFormat="1" applyFont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left" vertical="center"/>
    </xf>
    <xf numFmtId="0" fontId="17" fillId="0" borderId="0" xfId="0" applyFont="1" applyBorder="1" applyAlignment="1">
      <alignment horizontal="left" vertical="center" wrapText="1"/>
    </xf>
    <xf numFmtId="0" fontId="17" fillId="0" borderId="0" xfId="0" applyFont="1" applyBorder="1" applyAlignment="1">
      <alignment horizontal="center" vertical="center"/>
    </xf>
    <xf numFmtId="164" fontId="17" fillId="0" borderId="0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left" vertical="center" wrapText="1"/>
    </xf>
    <xf numFmtId="0" fontId="18" fillId="0" borderId="0" xfId="0" applyFont="1" applyBorder="1" applyAlignment="1">
      <alignment horizontal="center" vertical="center"/>
    </xf>
    <xf numFmtId="164" fontId="18" fillId="0" borderId="0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41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0" fillId="0" borderId="0" xfId="0" quotePrefix="1" applyAlignment="1">
      <alignment horizontal="left" vertical="center"/>
    </xf>
    <xf numFmtId="0" fontId="0" fillId="0" borderId="0" xfId="0" quotePrefix="1" applyAlignment="1">
      <alignment horizontal="left" vertical="center" wrapText="1"/>
    </xf>
    <xf numFmtId="0" fontId="0" fillId="0" borderId="0" xfId="0" quotePrefix="1" applyAlignment="1">
      <alignment horizontal="left" wrapText="1"/>
    </xf>
    <xf numFmtId="0" fontId="0" fillId="0" borderId="0" xfId="0" quotePrefix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 /><Relationship Id="rId13" Type="http://schemas.openxmlformats.org/officeDocument/2006/relationships/styles" Target="styles.xml" /><Relationship Id="rId3" Type="http://schemas.openxmlformats.org/officeDocument/2006/relationships/worksheet" Target="worksheets/sheet3.xml" /><Relationship Id="rId7" Type="http://schemas.openxmlformats.org/officeDocument/2006/relationships/worksheet" Target="worksheets/sheet7.xml" /><Relationship Id="rId12" Type="http://schemas.openxmlformats.org/officeDocument/2006/relationships/theme" Target="theme/theme1.xml" /><Relationship Id="rId2" Type="http://schemas.openxmlformats.org/officeDocument/2006/relationships/worksheet" Target="worksheets/sheet2.xml" /><Relationship Id="rId16" Type="http://schemas.openxmlformats.org/officeDocument/2006/relationships/calcChain" Target="calcChain.xml" /><Relationship Id="rId1" Type="http://schemas.openxmlformats.org/officeDocument/2006/relationships/worksheet" Target="worksheets/sheet1.xml" /><Relationship Id="rId6" Type="http://schemas.openxmlformats.org/officeDocument/2006/relationships/worksheet" Target="worksheets/sheet6.xml" /><Relationship Id="rId11" Type="http://schemas.openxmlformats.org/officeDocument/2006/relationships/worksheet" Target="worksheets/sheet11.xml" /><Relationship Id="rId5" Type="http://schemas.openxmlformats.org/officeDocument/2006/relationships/worksheet" Target="worksheets/sheet5.xml" /><Relationship Id="rId15" Type="http://schemas.openxmlformats.org/officeDocument/2006/relationships/sheetMetadata" Target="metadata.xml" /><Relationship Id="rId10" Type="http://schemas.openxmlformats.org/officeDocument/2006/relationships/worksheet" Target="worksheets/sheet10.xml" /><Relationship Id="rId4" Type="http://schemas.openxmlformats.org/officeDocument/2006/relationships/worksheet" Target="worksheets/sheet4.xml" /><Relationship Id="rId9" Type="http://schemas.openxmlformats.org/officeDocument/2006/relationships/worksheet" Target="worksheets/sheet9.xml" /><Relationship Id="rId1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A2082B-6BAA-0C43-A940-F8513C11F2DD}">
  <dimension ref="A1:O94"/>
  <sheetViews>
    <sheetView topLeftCell="B29" zoomScaleNormal="60" zoomScaleSheetLayoutView="100" workbookViewId="0">
      <selection activeCell="C3" sqref="C3"/>
    </sheetView>
  </sheetViews>
  <sheetFormatPr defaultRowHeight="15"/>
  <cols>
    <col min="1" max="1" width="5.91796875" style="8" bestFit="1" customWidth="1"/>
    <col min="2" max="2" width="19.37109375" customWidth="1"/>
    <col min="3" max="3" width="46.2734375" customWidth="1"/>
    <col min="4" max="4" width="10.76171875" bestFit="1" customWidth="1"/>
    <col min="5" max="5" width="12.5078125" bestFit="1" customWidth="1"/>
    <col min="6" max="6" width="15.33203125" customWidth="1"/>
    <col min="7" max="7" width="12.10546875" customWidth="1"/>
    <col min="8" max="8" width="14.796875" customWidth="1"/>
    <col min="9" max="9" width="10.4921875" customWidth="1"/>
    <col min="10" max="10" width="8.33984375" customWidth="1"/>
    <col min="13" max="13" width="18.0234375" bestFit="1" customWidth="1"/>
    <col min="14" max="14" width="11.02734375" bestFit="1" customWidth="1"/>
    <col min="15" max="15" width="12.77734375" bestFit="1" customWidth="1"/>
  </cols>
  <sheetData>
    <row r="1" spans="1:15" ht="28.5" thickBot="1">
      <c r="A1" s="141" t="s">
        <v>289</v>
      </c>
      <c r="B1" s="141"/>
      <c r="C1" s="141"/>
      <c r="D1" s="141"/>
      <c r="E1" s="141"/>
      <c r="F1" s="141"/>
      <c r="G1" s="141"/>
      <c r="H1" s="36" t="s">
        <v>0</v>
      </c>
      <c r="I1" s="39" t="s">
        <v>258</v>
      </c>
      <c r="J1" s="117"/>
      <c r="M1" t="s">
        <v>36</v>
      </c>
    </row>
    <row r="2" spans="1:15" ht="18.75">
      <c r="A2" s="50"/>
      <c r="B2" s="24"/>
      <c r="C2" s="24"/>
      <c r="D2" s="24"/>
      <c r="E2" s="24"/>
      <c r="F2" s="24"/>
      <c r="G2" s="24"/>
      <c r="H2" t="s">
        <v>142</v>
      </c>
      <c r="I2" s="118">
        <f>COUNTIF(C11:C62,"*foltron*")</f>
        <v>2</v>
      </c>
      <c r="J2" s="117"/>
    </row>
    <row r="3" spans="1:15" ht="18.75">
      <c r="A3" s="125" t="s">
        <v>51</v>
      </c>
      <c r="B3" s="124"/>
      <c r="C3" s="123">
        <v>44105</v>
      </c>
      <c r="D3" s="64" t="str">
        <f>"Duree Récolte Aubergine" &amp; " = "&amp;DATEDIF(C4,C5,"d")&amp; " jours"</f>
        <v>Duree Récolte Aubergine = 77 jours</v>
      </c>
      <c r="F3" s="24"/>
      <c r="G3" s="24"/>
      <c r="H3" t="s">
        <v>256</v>
      </c>
      <c r="I3" s="118">
        <f>COUNTIF(C12:C63,"*biozyme*")</f>
        <v>4</v>
      </c>
      <c r="J3" s="117"/>
      <c r="N3" s="8" t="s">
        <v>288</v>
      </c>
      <c r="O3" s="10" t="str">
        <f>TEXT(INDEX(A11:G62,MATCH(C33,C11:C62,0),5),"mmm-yy")</f>
        <v>déc-20</v>
      </c>
    </row>
    <row r="4" spans="1:15" ht="18.75">
      <c r="A4" s="84" t="s">
        <v>266</v>
      </c>
      <c r="B4" s="24"/>
      <c r="C4" s="122">
        <f>INDEX($A$11:$F$62,MATCH(A4,$C$11:$C$62,0),5)</f>
        <v>44187</v>
      </c>
      <c r="D4" s="67"/>
      <c r="F4" s="24"/>
      <c r="G4" s="24"/>
      <c r="H4" t="s">
        <v>259</v>
      </c>
      <c r="I4" s="118">
        <f>COUNTIF(C13:C64,"*Cypercal*")</f>
        <v>0</v>
      </c>
      <c r="J4" s="117"/>
      <c r="M4" t="s">
        <v>255</v>
      </c>
      <c r="N4" s="10" t="str">
        <f>TEXT(INDEX($A$11:$G$62,MATCH(C33,$C$11:$C$62,0),5),"mmm-yy")</f>
        <v>déc-20</v>
      </c>
    </row>
    <row r="5" spans="1:15" ht="18.75">
      <c r="A5" s="84" t="s">
        <v>281</v>
      </c>
      <c r="B5" s="24"/>
      <c r="C5" s="122">
        <f>INDEX($A$11:$F$62,MATCH(A5,$C$11:$C$62,0),5)</f>
        <v>44264</v>
      </c>
      <c r="D5" s="67"/>
      <c r="F5" s="24"/>
      <c r="G5" s="24"/>
      <c r="H5" t="s">
        <v>260</v>
      </c>
      <c r="I5" s="118">
        <f>COUNTIF(C14:C65,"*Viper*")</f>
        <v>0</v>
      </c>
      <c r="J5" s="117"/>
      <c r="M5" t="s">
        <v>125</v>
      </c>
      <c r="N5">
        <f>COUNTIF(C11:C62,"Récolte aubergine *")</f>
        <v>10</v>
      </c>
      <c r="O5">
        <f>COUNTIFS(C11:C62,"Récolte aubergine *",E11:E62,O3)</f>
        <v>0</v>
      </c>
    </row>
    <row r="6" spans="1:15" ht="18.75">
      <c r="A6" s="76" t="s">
        <v>264</v>
      </c>
      <c r="B6" s="54"/>
      <c r="C6" s="121">
        <f>INDEX($A$11:$F$62,MATCH(A6,$C$11:$C$62,0),5)</f>
        <v>44232</v>
      </c>
      <c r="D6" s="64" t="str">
        <f>" Durée Récolte Piment " &amp;" = "&amp;DATEDIF(C6,C7,"d")&amp;" jours"</f>
        <v xml:space="preserve"> Durée Récolte Piment  = 77 jours</v>
      </c>
      <c r="F6" s="54"/>
      <c r="G6" s="54"/>
      <c r="H6" t="s">
        <v>261</v>
      </c>
      <c r="I6" s="118">
        <f>COUNTIF(C15:C66,"*yara mila*")</f>
        <v>0</v>
      </c>
      <c r="J6" s="117"/>
    </row>
    <row r="7" spans="1:15" ht="18.75">
      <c r="A7" s="76" t="s">
        <v>265</v>
      </c>
      <c r="B7" s="54"/>
      <c r="C7" s="121">
        <f>INDEX($A$11:$F$62,MATCH(A7,$C$11:$C$62,0),5)</f>
        <v>44309</v>
      </c>
      <c r="D7" s="67"/>
      <c r="F7" s="54"/>
      <c r="G7" s="54"/>
      <c r="H7" t="s">
        <v>257</v>
      </c>
      <c r="I7" s="118">
        <f>COUNTIF(C16:C67,"*banko +*")</f>
        <v>0</v>
      </c>
      <c r="J7" s="117"/>
    </row>
    <row r="8" spans="1:15" ht="18.75">
      <c r="A8" s="50"/>
      <c r="B8" s="24"/>
      <c r="C8" s="24"/>
      <c r="D8" s="27"/>
      <c r="E8" s="24"/>
      <c r="F8" s="24"/>
      <c r="G8" s="24"/>
      <c r="H8" t="s">
        <v>262</v>
      </c>
      <c r="I8" s="118">
        <f>COUNTIF(C17:C68,"*ivory*")</f>
        <v>0</v>
      </c>
      <c r="J8" s="117"/>
    </row>
    <row r="9" spans="1:15">
      <c r="H9" t="s">
        <v>263</v>
      </c>
      <c r="I9" s="118">
        <f>COUNTIF(C18:C69,"*psycho*")</f>
        <v>0</v>
      </c>
    </row>
    <row r="10" spans="1:15" s="8" customFormat="1">
      <c r="A10" s="65" t="s">
        <v>14</v>
      </c>
      <c r="B10" s="66" t="s">
        <v>17</v>
      </c>
      <c r="C10" s="66" t="s">
        <v>15</v>
      </c>
      <c r="D10" s="66" t="s">
        <v>16</v>
      </c>
      <c r="E10" s="66" t="s">
        <v>18</v>
      </c>
      <c r="F10" s="66" t="s">
        <v>19</v>
      </c>
      <c r="G10" s="119"/>
      <c r="H10" s="119"/>
      <c r="I10" s="119"/>
      <c r="J10" s="119"/>
      <c r="K10" s="120"/>
    </row>
    <row r="11" spans="1:15">
      <c r="A11" s="68">
        <f t="shared" ref="A11:A55" si="0">ROW()-8</f>
        <v>3</v>
      </c>
      <c r="B11" s="69"/>
      <c r="C11" s="126" t="s">
        <v>20</v>
      </c>
      <c r="D11" s="127">
        <v>1</v>
      </c>
      <c r="E11" s="128">
        <f>C3</f>
        <v>44105</v>
      </c>
      <c r="F11" s="128">
        <f>IF($D11=1,$E11+0,$E11+$D11-1)</f>
        <v>44105</v>
      </c>
      <c r="G11" s="72"/>
      <c r="H11" s="72"/>
      <c r="I11" s="72"/>
      <c r="J11" s="72"/>
    </row>
    <row r="12" spans="1:15" ht="27.75">
      <c r="A12" s="68">
        <f t="shared" si="0"/>
        <v>4</v>
      </c>
      <c r="B12" s="69"/>
      <c r="C12" s="72" t="s">
        <v>170</v>
      </c>
      <c r="D12" s="68">
        <v>1</v>
      </c>
      <c r="E12" s="71">
        <f>$E$11+$B12</f>
        <v>44105</v>
      </c>
      <c r="F12" s="71">
        <f>IF($D12=1,$E12+0,$E12+$D12-1)</f>
        <v>44105</v>
      </c>
      <c r="G12" s="72"/>
      <c r="H12" s="72"/>
      <c r="I12" s="72"/>
      <c r="J12" s="72"/>
    </row>
    <row r="13" spans="1:15" ht="27.75">
      <c r="A13" s="68">
        <f t="shared" si="0"/>
        <v>5</v>
      </c>
      <c r="B13" s="69"/>
      <c r="C13" s="130" t="s">
        <v>171</v>
      </c>
      <c r="D13" s="131">
        <v>1</v>
      </c>
      <c r="E13" s="132">
        <f>$E$11+1</f>
        <v>44106</v>
      </c>
      <c r="F13" s="132">
        <f>IF($D13=1,$E13+0,$E13+$D13-1)</f>
        <v>44106</v>
      </c>
      <c r="G13" s="72"/>
      <c r="H13" s="72"/>
      <c r="I13" s="72"/>
      <c r="J13" s="72"/>
    </row>
    <row r="14" spans="1:15" ht="27.75">
      <c r="A14" s="68"/>
      <c r="B14" s="69"/>
      <c r="C14" s="72" t="s">
        <v>175</v>
      </c>
      <c r="D14" s="68">
        <v>1</v>
      </c>
      <c r="E14" s="71">
        <f>E13+7</f>
        <v>44113</v>
      </c>
      <c r="F14" s="71">
        <f t="shared" ref="F14:F20" si="1">IF($D14=1,$E14+0,$E14+$D14-1)</f>
        <v>44113</v>
      </c>
      <c r="G14" s="72"/>
      <c r="H14" s="72"/>
      <c r="I14" s="72"/>
      <c r="J14" s="72"/>
    </row>
    <row r="15" spans="1:15" ht="27.75">
      <c r="A15" s="68"/>
      <c r="B15" s="69"/>
      <c r="C15" s="72" t="s">
        <v>176</v>
      </c>
      <c r="D15" s="68">
        <v>1</v>
      </c>
      <c r="E15" s="71">
        <f>F13+10</f>
        <v>44116</v>
      </c>
      <c r="F15" s="71">
        <f t="shared" si="1"/>
        <v>44116</v>
      </c>
      <c r="G15" s="72"/>
      <c r="H15" s="72"/>
      <c r="I15" s="72"/>
      <c r="J15" s="72"/>
    </row>
    <row r="16" spans="1:15">
      <c r="A16" s="68"/>
      <c r="B16" s="69"/>
      <c r="C16" s="133" t="s">
        <v>187</v>
      </c>
      <c r="D16" s="134">
        <v>2</v>
      </c>
      <c r="E16" s="135">
        <f>E19-7</f>
        <v>44121</v>
      </c>
      <c r="F16" s="135">
        <f t="shared" si="1"/>
        <v>44122</v>
      </c>
      <c r="G16" s="72"/>
      <c r="H16" s="72"/>
      <c r="I16" s="72"/>
      <c r="J16" s="72"/>
    </row>
    <row r="17" spans="1:10" ht="27.75">
      <c r="A17" s="68"/>
      <c r="B17" s="69"/>
      <c r="C17" s="72" t="s">
        <v>177</v>
      </c>
      <c r="D17" s="68">
        <v>1</v>
      </c>
      <c r="E17" s="71">
        <f>F15+5</f>
        <v>44121</v>
      </c>
      <c r="F17" s="71">
        <f t="shared" si="1"/>
        <v>44121</v>
      </c>
      <c r="G17" s="72"/>
      <c r="H17" s="72"/>
      <c r="I17" s="72"/>
      <c r="J17" s="72"/>
    </row>
    <row r="18" spans="1:10" ht="41.25">
      <c r="A18" s="68"/>
      <c r="B18" s="69"/>
      <c r="C18" s="72" t="s">
        <v>178</v>
      </c>
      <c r="D18" s="68">
        <v>1</v>
      </c>
      <c r="E18" s="71">
        <f>F14+15</f>
        <v>44128</v>
      </c>
      <c r="F18" s="71">
        <f t="shared" si="1"/>
        <v>44128</v>
      </c>
      <c r="G18" s="72"/>
      <c r="H18" s="72"/>
      <c r="I18" s="72"/>
      <c r="J18" s="72"/>
    </row>
    <row r="19" spans="1:10">
      <c r="A19" s="68"/>
      <c r="B19" s="69"/>
      <c r="C19" s="136" t="s">
        <v>179</v>
      </c>
      <c r="D19" s="85">
        <v>3</v>
      </c>
      <c r="E19" s="86">
        <f>E18</f>
        <v>44128</v>
      </c>
      <c r="F19" s="86">
        <f t="shared" si="1"/>
        <v>44130</v>
      </c>
      <c r="G19" s="72"/>
      <c r="H19" s="72"/>
      <c r="I19" s="72"/>
      <c r="J19" s="72"/>
    </row>
    <row r="20" spans="1:10">
      <c r="A20" s="68"/>
      <c r="B20" s="69"/>
      <c r="C20" s="137" t="s">
        <v>180</v>
      </c>
      <c r="D20" s="73">
        <v>5</v>
      </c>
      <c r="E20" s="74">
        <f>F19+2</f>
        <v>44132</v>
      </c>
      <c r="F20" s="74">
        <f t="shared" si="1"/>
        <v>44136</v>
      </c>
      <c r="G20" s="72"/>
      <c r="H20" s="72"/>
      <c r="I20" s="72"/>
      <c r="J20" s="72"/>
    </row>
    <row r="21" spans="1:10">
      <c r="A21" s="68">
        <f t="shared" si="0"/>
        <v>13</v>
      </c>
      <c r="B21" s="69"/>
      <c r="C21" s="84" t="s">
        <v>181</v>
      </c>
      <c r="D21" s="85">
        <v>2</v>
      </c>
      <c r="E21" s="86">
        <f>E13+30</f>
        <v>44136</v>
      </c>
      <c r="F21" s="86">
        <f>IF($D21=1,$E21+0,$E21+$D21-1)</f>
        <v>44137</v>
      </c>
      <c r="G21" s="72"/>
      <c r="H21" s="72"/>
      <c r="I21" s="72"/>
      <c r="J21" s="72"/>
    </row>
    <row r="22" spans="1:10">
      <c r="A22" s="68">
        <f t="shared" si="0"/>
        <v>14</v>
      </c>
      <c r="B22" s="68"/>
      <c r="C22" s="129" t="s">
        <v>172</v>
      </c>
      <c r="D22" s="73">
        <v>2</v>
      </c>
      <c r="E22" s="74">
        <f>E13+35</f>
        <v>44141</v>
      </c>
      <c r="F22" s="74">
        <f>IF($D22=1,$E22+0,$E22+$D22-1)</f>
        <v>44142</v>
      </c>
      <c r="G22" s="72"/>
      <c r="H22" s="72"/>
      <c r="I22" s="72"/>
      <c r="J22" s="72"/>
    </row>
    <row r="23" spans="1:10">
      <c r="A23" s="68">
        <f t="shared" si="0"/>
        <v>15</v>
      </c>
      <c r="B23" s="68"/>
      <c r="C23" s="84" t="s">
        <v>173</v>
      </c>
      <c r="D23" s="85">
        <v>1</v>
      </c>
      <c r="E23" s="86">
        <f>F21+10</f>
        <v>44147</v>
      </c>
      <c r="F23" s="86">
        <f>IF($D23=1,$E23+0,$E23+$D23-1)</f>
        <v>44147</v>
      </c>
      <c r="G23" s="72"/>
      <c r="H23" s="72"/>
      <c r="I23" s="72"/>
      <c r="J23" s="72"/>
    </row>
    <row r="24" spans="1:10">
      <c r="A24" s="68"/>
      <c r="B24" s="68"/>
      <c r="C24" s="129" t="s">
        <v>174</v>
      </c>
      <c r="D24" s="73">
        <v>1</v>
      </c>
      <c r="E24" s="74">
        <f>F22+10</f>
        <v>44152</v>
      </c>
      <c r="F24" s="74">
        <f>IF($D24=1,$E24+0,$E24+$D24-1)</f>
        <v>44152</v>
      </c>
      <c r="G24" s="72"/>
      <c r="H24" s="72"/>
      <c r="I24" s="72"/>
      <c r="J24" s="72"/>
    </row>
    <row r="25" spans="1:10" ht="27.75">
      <c r="A25" s="68">
        <f t="shared" si="0"/>
        <v>17</v>
      </c>
      <c r="B25" s="68"/>
      <c r="C25" s="72" t="s">
        <v>182</v>
      </c>
      <c r="D25" s="68">
        <v>1</v>
      </c>
      <c r="E25" s="71">
        <f>$E$22+$B25</f>
        <v>44141</v>
      </c>
      <c r="F25" s="71">
        <f>IF($D25=1,$E25+0,$E25+$D25-1)</f>
        <v>44141</v>
      </c>
      <c r="G25" s="72"/>
      <c r="H25" s="72"/>
      <c r="I25" s="72"/>
      <c r="J25" s="72"/>
    </row>
    <row r="26" spans="1:10" ht="27.75">
      <c r="A26" s="68">
        <f t="shared" si="0"/>
        <v>18</v>
      </c>
      <c r="B26" s="68"/>
      <c r="C26" s="72" t="s">
        <v>184</v>
      </c>
      <c r="D26" s="68">
        <v>1</v>
      </c>
      <c r="E26" s="71">
        <f>$E$22+$B26</f>
        <v>44141</v>
      </c>
      <c r="F26" s="71">
        <f>IF($D26=1,$E26+0,$E26+$D26-1)</f>
        <v>44141</v>
      </c>
      <c r="G26" s="72"/>
      <c r="H26" s="72"/>
      <c r="I26" s="72"/>
      <c r="J26" s="72"/>
    </row>
    <row r="27" spans="1:10" ht="27.75">
      <c r="A27" s="68"/>
      <c r="B27" s="68"/>
      <c r="C27" s="72" t="s">
        <v>290</v>
      </c>
      <c r="D27" s="68">
        <v>1</v>
      </c>
      <c r="E27" s="71">
        <f>F26+10</f>
        <v>44151</v>
      </c>
      <c r="F27" s="71">
        <f>IF($D27=1,$E27+0,$E27+$D27-1)</f>
        <v>44151</v>
      </c>
      <c r="G27" s="72"/>
      <c r="H27" s="72"/>
      <c r="I27" s="72"/>
      <c r="J27" s="72"/>
    </row>
    <row r="28" spans="1:10">
      <c r="A28" s="68"/>
      <c r="B28" s="68"/>
      <c r="C28" s="70" t="s">
        <v>291</v>
      </c>
      <c r="D28" s="68">
        <v>3</v>
      </c>
      <c r="E28" s="71">
        <f>F16+30</f>
        <v>44152</v>
      </c>
      <c r="F28" s="71">
        <f>IF($D28=1,$E28+0,$E28+$D28-1)</f>
        <v>44154</v>
      </c>
      <c r="G28" s="72"/>
      <c r="H28" s="72"/>
      <c r="I28" s="72"/>
      <c r="J28" s="72"/>
    </row>
    <row r="29" spans="1:10" ht="27.75">
      <c r="A29" s="68"/>
      <c r="B29" s="68"/>
      <c r="C29" s="72" t="s">
        <v>183</v>
      </c>
      <c r="D29" s="68">
        <v>1</v>
      </c>
      <c r="E29" s="71">
        <f>F25+15</f>
        <v>44156</v>
      </c>
      <c r="F29" s="71">
        <f>IF($D29=1,$E29+0,$E29+$D29-1)</f>
        <v>44156</v>
      </c>
      <c r="G29" s="72"/>
      <c r="H29" s="72"/>
      <c r="I29" s="72"/>
      <c r="J29" s="72"/>
    </row>
    <row r="30" spans="1:10">
      <c r="A30" s="68"/>
      <c r="B30" s="68"/>
      <c r="C30" s="84" t="s">
        <v>186</v>
      </c>
      <c r="D30" s="85">
        <v>2</v>
      </c>
      <c r="E30" s="86">
        <f>F21+30</f>
        <v>44167</v>
      </c>
      <c r="F30" s="86">
        <f>IF($D30=1,$E30+0,$E30+$D30-1)</f>
        <v>44168</v>
      </c>
      <c r="G30" s="72"/>
      <c r="H30" s="72"/>
      <c r="I30" s="72"/>
      <c r="J30" s="72"/>
    </row>
    <row r="31" spans="1:10" ht="27.75">
      <c r="A31" s="68"/>
      <c r="B31" s="68"/>
      <c r="C31" s="72" t="s">
        <v>185</v>
      </c>
      <c r="D31" s="68">
        <v>1</v>
      </c>
      <c r="E31" s="71">
        <f>E29+15</f>
        <v>44171</v>
      </c>
      <c r="F31" s="71">
        <f>IF($D31=1,$E31+0,$E31+$D31-1)</f>
        <v>44171</v>
      </c>
      <c r="G31" s="72"/>
      <c r="H31" s="72"/>
      <c r="I31" s="72"/>
      <c r="J31" s="72"/>
    </row>
    <row r="32" spans="1:10">
      <c r="A32" s="68">
        <f t="shared" si="0"/>
        <v>24</v>
      </c>
      <c r="B32" s="68"/>
      <c r="C32" s="70" t="s">
        <v>292</v>
      </c>
      <c r="D32" s="68">
        <v>2</v>
      </c>
      <c r="E32" s="71">
        <f>F28+30</f>
        <v>44184</v>
      </c>
      <c r="F32" s="71">
        <f>IF($D32=1,$E32+0,$E32+$D32-1)</f>
        <v>44185</v>
      </c>
      <c r="G32" s="72"/>
      <c r="H32" s="72"/>
      <c r="I32" s="72"/>
      <c r="J32" s="72"/>
    </row>
    <row r="33" spans="1:13">
      <c r="A33" s="68">
        <f t="shared" si="0"/>
        <v>25</v>
      </c>
      <c r="B33" s="68"/>
      <c r="C33" s="84" t="s">
        <v>266</v>
      </c>
      <c r="D33" s="85">
        <v>1</v>
      </c>
      <c r="E33" s="86">
        <f>F22+45</f>
        <v>44187</v>
      </c>
      <c r="F33" s="86">
        <f>IF($D33=1,$E33+0,$E33+$D33-1)</f>
        <v>44187</v>
      </c>
      <c r="G33" s="72"/>
      <c r="H33" s="72"/>
      <c r="I33" s="72"/>
      <c r="J33" s="72"/>
    </row>
    <row r="34" spans="1:13" s="38" customFormat="1" ht="27.75">
      <c r="A34" s="73">
        <f t="shared" si="0"/>
        <v>26</v>
      </c>
      <c r="B34" s="73"/>
      <c r="C34" s="72" t="s">
        <v>188</v>
      </c>
      <c r="D34" s="68">
        <v>1</v>
      </c>
      <c r="E34" s="71">
        <f>F33+1</f>
        <v>44188</v>
      </c>
      <c r="F34" s="71">
        <f>IF($D34=1,$E34+0,$E34+$D34-1)</f>
        <v>44188</v>
      </c>
      <c r="G34" s="75"/>
      <c r="H34" s="75"/>
      <c r="I34" s="75"/>
      <c r="J34" s="75"/>
    </row>
    <row r="35" spans="1:13">
      <c r="A35" s="68">
        <f t="shared" si="0"/>
        <v>27</v>
      </c>
      <c r="B35" s="68"/>
      <c r="C35" s="84" t="s">
        <v>267</v>
      </c>
      <c r="D35" s="85">
        <v>1</v>
      </c>
      <c r="E35" s="86">
        <f>F33+7</f>
        <v>44194</v>
      </c>
      <c r="F35" s="86">
        <f t="shared" ref="F35" si="2">IF($D35=1,$E35+0,$E35+$D35-1)</f>
        <v>44194</v>
      </c>
      <c r="G35" s="72"/>
      <c r="H35" s="72"/>
      <c r="I35" s="72"/>
      <c r="J35" s="72"/>
      <c r="L35" s="1" t="s">
        <v>52</v>
      </c>
      <c r="M35" s="1">
        <v>6</v>
      </c>
    </row>
    <row r="36" spans="1:13" ht="27.75">
      <c r="A36" s="68"/>
      <c r="B36" s="68"/>
      <c r="C36" s="72" t="s">
        <v>189</v>
      </c>
      <c r="D36" s="68">
        <v>1</v>
      </c>
      <c r="E36" s="10">
        <f>F34+10</f>
        <v>44198</v>
      </c>
      <c r="F36" s="71">
        <f>IF($D36=1,$E36+0,$E36+$D36-1)</f>
        <v>44198</v>
      </c>
      <c r="G36" s="72"/>
      <c r="H36" s="72"/>
      <c r="I36" s="72"/>
      <c r="J36" s="72"/>
      <c r="L36" s="1"/>
      <c r="M36" s="1"/>
    </row>
    <row r="37" spans="1:13">
      <c r="A37" s="68">
        <f t="shared" si="0"/>
        <v>29</v>
      </c>
      <c r="B37" s="68"/>
      <c r="C37" s="84" t="s">
        <v>268</v>
      </c>
      <c r="D37" s="85">
        <v>1</v>
      </c>
      <c r="E37" s="86">
        <f>F35+7</f>
        <v>44201</v>
      </c>
      <c r="F37" s="86">
        <f>IF($D37=1,$E37+0,$E37+$D37-1)</f>
        <v>44201</v>
      </c>
      <c r="G37" s="72"/>
      <c r="H37" s="72"/>
      <c r="I37" s="72"/>
      <c r="J37" s="72"/>
      <c r="L37" s="1" t="s">
        <v>53</v>
      </c>
      <c r="M37" s="1">
        <v>8</v>
      </c>
    </row>
    <row r="38" spans="1:13">
      <c r="A38" s="68">
        <f t="shared" si="0"/>
        <v>30</v>
      </c>
      <c r="B38" s="68"/>
      <c r="C38" s="84" t="s">
        <v>269</v>
      </c>
      <c r="D38" s="85">
        <v>1</v>
      </c>
      <c r="E38" s="86">
        <f>F37+7</f>
        <v>44208</v>
      </c>
      <c r="F38" s="86">
        <f>IF($D38=1,$E38+0,$E38+$D38-1)</f>
        <v>44208</v>
      </c>
      <c r="G38" s="72"/>
      <c r="H38" s="72"/>
      <c r="I38" s="72"/>
      <c r="J38" s="72"/>
      <c r="M38">
        <f>SUM(M35:M37)</f>
        <v>14</v>
      </c>
    </row>
    <row r="39" spans="1:13" ht="27.75">
      <c r="A39" s="68"/>
      <c r="B39" s="68"/>
      <c r="C39" s="72" t="s">
        <v>190</v>
      </c>
      <c r="D39" s="68">
        <v>1</v>
      </c>
      <c r="E39" s="10">
        <f>F36+11</f>
        <v>44209</v>
      </c>
      <c r="F39" s="71">
        <f>IF($D39=1,$E39+0,$E39+$D39-1)</f>
        <v>44209</v>
      </c>
      <c r="G39" s="72"/>
      <c r="H39" s="72"/>
      <c r="I39" s="72"/>
      <c r="J39" s="72"/>
    </row>
    <row r="40" spans="1:13">
      <c r="A40" s="68"/>
      <c r="B40" s="68"/>
      <c r="C40" s="80" t="s">
        <v>193</v>
      </c>
      <c r="D40" s="81">
        <v>5</v>
      </c>
      <c r="E40" s="82">
        <f>E39</f>
        <v>44209</v>
      </c>
      <c r="F40" s="83">
        <f>IF($D40=1,$E40+0,$E40+$D40-1)</f>
        <v>44213</v>
      </c>
      <c r="G40" s="72"/>
      <c r="H40" s="72"/>
      <c r="I40" s="72"/>
      <c r="J40" s="72"/>
    </row>
    <row r="41" spans="1:13">
      <c r="A41" s="68">
        <f t="shared" si="0"/>
        <v>33</v>
      </c>
      <c r="B41" s="68"/>
      <c r="C41" s="84" t="s">
        <v>270</v>
      </c>
      <c r="D41" s="85">
        <v>1</v>
      </c>
      <c r="E41" s="86">
        <f>F38+7</f>
        <v>44215</v>
      </c>
      <c r="F41" s="86">
        <f>IF($D41=1,$E41+0,$E41+$D41-1)</f>
        <v>44215</v>
      </c>
      <c r="G41" s="72"/>
      <c r="H41" s="72"/>
      <c r="I41" s="72"/>
      <c r="J41" s="72"/>
      <c r="L41" t="s">
        <v>54</v>
      </c>
      <c r="M41" s="18">
        <f>'Recettes Prev'!C13</f>
        <v>39.464285714285715</v>
      </c>
    </row>
    <row r="42" spans="1:13">
      <c r="A42" s="68"/>
      <c r="B42" s="68"/>
      <c r="C42" t="s">
        <v>293</v>
      </c>
      <c r="D42" s="8">
        <v>2</v>
      </c>
      <c r="E42" s="10">
        <f>F34+30</f>
        <v>44218</v>
      </c>
      <c r="F42" s="71">
        <f>IF($D42=1,$E42+0,$E42+$D42-1)</f>
        <v>44219</v>
      </c>
      <c r="G42" s="72"/>
      <c r="H42" s="72"/>
      <c r="I42" s="72"/>
      <c r="J42" s="72"/>
      <c r="M42" s="18"/>
    </row>
    <row r="43" spans="1:13" ht="27.75">
      <c r="A43" s="68"/>
      <c r="B43" s="68"/>
      <c r="C43" s="72" t="s">
        <v>191</v>
      </c>
      <c r="D43" s="68">
        <v>1</v>
      </c>
      <c r="E43" s="10">
        <f>F39+10</f>
        <v>44219</v>
      </c>
      <c r="F43" s="71">
        <f>IF($D43=1,$E43+0,$E43+$D43-1)</f>
        <v>44219</v>
      </c>
      <c r="G43" s="72"/>
      <c r="H43" s="72"/>
      <c r="I43" s="72"/>
      <c r="J43" s="72"/>
      <c r="M43" s="18"/>
    </row>
    <row r="44" spans="1:13">
      <c r="A44" s="68">
        <f t="shared" si="0"/>
        <v>36</v>
      </c>
      <c r="B44" s="68"/>
      <c r="C44" s="84" t="s">
        <v>271</v>
      </c>
      <c r="D44" s="85">
        <v>1</v>
      </c>
      <c r="E44" s="86">
        <f>F41+7</f>
        <v>44222</v>
      </c>
      <c r="F44" s="86">
        <f>IF($D44=1,$E44+0,$E44+$D44-1)</f>
        <v>44222</v>
      </c>
      <c r="G44" s="72"/>
      <c r="H44" s="72"/>
      <c r="I44" s="72"/>
      <c r="J44" s="72"/>
      <c r="L44" t="s">
        <v>55</v>
      </c>
      <c r="M44" s="28">
        <f>M41/M38</f>
        <v>2.818877551020408</v>
      </c>
    </row>
    <row r="45" spans="1:13">
      <c r="A45" s="68">
        <f t="shared" si="0"/>
        <v>37</v>
      </c>
      <c r="B45" s="68"/>
      <c r="C45" s="84" t="s">
        <v>272</v>
      </c>
      <c r="D45" s="85">
        <v>1</v>
      </c>
      <c r="E45" s="86">
        <f>F44+7</f>
        <v>44229</v>
      </c>
      <c r="F45" s="86">
        <f>IF($D45=1,$E45+0,$E45+$D45-1)</f>
        <v>44229</v>
      </c>
      <c r="G45" s="72"/>
      <c r="H45" s="72"/>
      <c r="I45" s="72"/>
      <c r="J45" s="72"/>
      <c r="L45" t="s">
        <v>56</v>
      </c>
      <c r="M45" s="18">
        <v>5000</v>
      </c>
    </row>
    <row r="46" spans="1:13">
      <c r="A46" s="68"/>
      <c r="B46" s="68"/>
      <c r="C46" s="76" t="s">
        <v>264</v>
      </c>
      <c r="D46" s="73">
        <v>1</v>
      </c>
      <c r="E46" s="74">
        <f>F22+90</f>
        <v>44232</v>
      </c>
      <c r="F46" s="74">
        <f>IF($D46=1,$E46+0,$E46+$D46-1)</f>
        <v>44232</v>
      </c>
      <c r="G46" s="72"/>
      <c r="H46" s="72"/>
      <c r="I46" s="72"/>
      <c r="J46" s="72"/>
      <c r="M46" s="18"/>
    </row>
    <row r="47" spans="1:13">
      <c r="A47" s="68">
        <f t="shared" si="0"/>
        <v>39</v>
      </c>
      <c r="B47" s="68"/>
      <c r="C47" s="84" t="s">
        <v>273</v>
      </c>
      <c r="D47" s="85">
        <v>1</v>
      </c>
      <c r="E47" s="86">
        <f>F45+7</f>
        <v>44236</v>
      </c>
      <c r="F47" s="86">
        <f>IF($D47=1,$E47+0,$E47+$D47-1)</f>
        <v>44236</v>
      </c>
      <c r="G47" s="72"/>
      <c r="H47" s="72"/>
      <c r="I47" s="72"/>
      <c r="J47" s="72"/>
      <c r="L47" t="s">
        <v>57</v>
      </c>
      <c r="M47" s="18">
        <f>M45*M44</f>
        <v>14094.38775510204</v>
      </c>
    </row>
    <row r="48" spans="1:13">
      <c r="A48" s="68"/>
      <c r="B48" s="68"/>
      <c r="C48" s="76" t="s">
        <v>274</v>
      </c>
      <c r="D48" s="78">
        <v>1</v>
      </c>
      <c r="E48" s="79">
        <f>F46+7</f>
        <v>44239</v>
      </c>
      <c r="F48" s="71">
        <f>IF($D48=1,$E48+0,$E48+$D48-1)</f>
        <v>44239</v>
      </c>
      <c r="G48" s="72"/>
      <c r="H48" s="72"/>
      <c r="I48" s="72"/>
      <c r="J48" s="72"/>
      <c r="M48" s="18"/>
    </row>
    <row r="49" spans="1:14">
      <c r="A49" s="68">
        <f t="shared" si="0"/>
        <v>41</v>
      </c>
      <c r="B49" s="68"/>
      <c r="C49" s="84" t="s">
        <v>275</v>
      </c>
      <c r="D49" s="85">
        <v>1</v>
      </c>
      <c r="E49" s="86">
        <f>F47+7</f>
        <v>44243</v>
      </c>
      <c r="F49" s="86">
        <f>IF($D49=1,$E49+0,$E49+$D49-1)</f>
        <v>44243</v>
      </c>
      <c r="G49" s="72"/>
      <c r="H49" s="72"/>
      <c r="I49" s="72"/>
      <c r="J49" s="72"/>
      <c r="L49" s="1" t="s">
        <v>58</v>
      </c>
      <c r="M49" s="21">
        <f>M41*M45</f>
        <v>197321.42857142858</v>
      </c>
    </row>
    <row r="50" spans="1:14">
      <c r="A50" s="68"/>
      <c r="B50" s="68"/>
      <c r="C50" s="76" t="s">
        <v>276</v>
      </c>
      <c r="D50" s="78">
        <v>1</v>
      </c>
      <c r="E50" s="79">
        <f>F48+7</f>
        <v>44246</v>
      </c>
      <c r="F50" s="71">
        <f>IF($D50=1,$E50+0,$E50+$D50-1)</f>
        <v>44246</v>
      </c>
      <c r="G50" s="72"/>
      <c r="H50" s="72"/>
      <c r="I50" s="72"/>
      <c r="J50" s="72"/>
      <c r="L50" s="1"/>
      <c r="M50" s="21"/>
    </row>
    <row r="51" spans="1:14">
      <c r="A51" s="68">
        <f t="shared" si="0"/>
        <v>43</v>
      </c>
      <c r="B51" s="68"/>
      <c r="C51" s="84" t="s">
        <v>277</v>
      </c>
      <c r="D51" s="85">
        <v>1</v>
      </c>
      <c r="E51" s="86">
        <f>F49+7</f>
        <v>44250</v>
      </c>
      <c r="F51" s="86">
        <f>IF($D51=1,$E51+0,$E51+$D51-1)</f>
        <v>44250</v>
      </c>
      <c r="G51" s="72"/>
      <c r="H51" s="72"/>
      <c r="I51" s="72"/>
      <c r="J51" s="72"/>
      <c r="L51" t="s">
        <v>59</v>
      </c>
      <c r="M51" s="18">
        <f>M35*M44*M45</f>
        <v>84566.326530612234</v>
      </c>
      <c r="N51" s="140">
        <f>M51+M53</f>
        <v>197321.42857142855</v>
      </c>
    </row>
    <row r="52" spans="1:14">
      <c r="A52" s="68"/>
      <c r="B52" s="68"/>
      <c r="C52" s="76" t="s">
        <v>278</v>
      </c>
      <c r="D52" s="78">
        <v>1</v>
      </c>
      <c r="E52" s="79">
        <f>F50+7</f>
        <v>44253</v>
      </c>
      <c r="F52" s="71">
        <f>IF($D52=1,$E52+0,$E52+$D52-1)</f>
        <v>44253</v>
      </c>
      <c r="G52" s="72"/>
      <c r="H52" s="72"/>
      <c r="I52" s="72"/>
      <c r="J52" s="72"/>
      <c r="M52" s="18"/>
      <c r="N52" s="140"/>
    </row>
    <row r="53" spans="1:14">
      <c r="A53" s="68">
        <f t="shared" si="0"/>
        <v>45</v>
      </c>
      <c r="B53" s="68"/>
      <c r="C53" s="84" t="s">
        <v>279</v>
      </c>
      <c r="D53" s="85">
        <v>1</v>
      </c>
      <c r="E53" s="86">
        <f>F51+7</f>
        <v>44257</v>
      </c>
      <c r="F53" s="86">
        <f>IF($D53=1,$E53+0,$E53+$D53-1)</f>
        <v>44257</v>
      </c>
      <c r="G53" s="72"/>
      <c r="H53" s="72"/>
      <c r="I53" s="72"/>
      <c r="J53" s="72"/>
      <c r="L53" t="s">
        <v>60</v>
      </c>
      <c r="M53" s="18">
        <f>M37*M44*M45</f>
        <v>112755.10204081632</v>
      </c>
      <c r="N53" s="140"/>
    </row>
    <row r="54" spans="1:14">
      <c r="A54" s="68"/>
      <c r="B54" s="68"/>
      <c r="C54" s="76" t="s">
        <v>280</v>
      </c>
      <c r="D54" s="78">
        <v>1</v>
      </c>
      <c r="E54" s="79">
        <f>F52+7</f>
        <v>44260</v>
      </c>
      <c r="F54" s="71">
        <f>IF($D54=1,$E54+0,$E54+$D54-1)</f>
        <v>44260</v>
      </c>
      <c r="G54" s="72"/>
      <c r="H54" s="72"/>
      <c r="I54" s="72"/>
      <c r="J54" s="72"/>
      <c r="M54" s="18"/>
      <c r="N54" s="55"/>
    </row>
    <row r="55" spans="1:14">
      <c r="A55" s="68">
        <f t="shared" si="0"/>
        <v>47</v>
      </c>
      <c r="B55" s="68"/>
      <c r="C55" s="84" t="s">
        <v>281</v>
      </c>
      <c r="D55" s="85">
        <v>1</v>
      </c>
      <c r="E55" s="86">
        <f>F53+7</f>
        <v>44264</v>
      </c>
      <c r="F55" s="86">
        <f>IF($D55=1,$E55+0,$E55+$D55-1)</f>
        <v>44264</v>
      </c>
      <c r="G55" s="72"/>
      <c r="H55" s="72"/>
      <c r="I55" s="72"/>
      <c r="J55" s="72"/>
    </row>
    <row r="56" spans="1:14">
      <c r="A56" s="73"/>
      <c r="B56" s="76"/>
      <c r="C56" s="76" t="s">
        <v>282</v>
      </c>
      <c r="D56" s="78">
        <v>1</v>
      </c>
      <c r="E56" s="79">
        <f>F54+7</f>
        <v>44267</v>
      </c>
      <c r="F56" s="71">
        <f>IF($D56=1,$E56+0,$E56+$D56-1)</f>
        <v>44267</v>
      </c>
      <c r="G56" s="77"/>
      <c r="H56" s="77"/>
      <c r="I56" s="77"/>
      <c r="J56" s="77"/>
    </row>
    <row r="57" spans="1:14">
      <c r="A57" s="78"/>
      <c r="B57" s="77"/>
      <c r="C57" s="76" t="s">
        <v>283</v>
      </c>
      <c r="D57" s="78">
        <v>1</v>
      </c>
      <c r="E57" s="79">
        <f>F56+7</f>
        <v>44274</v>
      </c>
      <c r="F57" s="71">
        <f>IF($D57=1,$E57+0,$E57+$D57-1)</f>
        <v>44274</v>
      </c>
      <c r="G57" s="77"/>
      <c r="H57" s="77"/>
      <c r="I57" s="77"/>
      <c r="J57" s="77"/>
    </row>
    <row r="58" spans="1:14">
      <c r="A58" s="78"/>
      <c r="B58" s="77"/>
      <c r="C58" s="76" t="s">
        <v>284</v>
      </c>
      <c r="D58" s="78">
        <v>1</v>
      </c>
      <c r="E58" s="79">
        <f>F57+7</f>
        <v>44281</v>
      </c>
      <c r="F58" s="71">
        <f>IF($D58=1,$E58+0,$E58+$D58-1)</f>
        <v>44281</v>
      </c>
      <c r="G58" s="77"/>
      <c r="H58" s="77"/>
      <c r="I58" s="77"/>
      <c r="J58" s="77"/>
    </row>
    <row r="59" spans="1:14">
      <c r="A59" s="78"/>
      <c r="B59" s="77"/>
      <c r="C59" s="76" t="s">
        <v>285</v>
      </c>
      <c r="D59" s="78">
        <v>1</v>
      </c>
      <c r="E59" s="79">
        <f>F58+7</f>
        <v>44288</v>
      </c>
      <c r="F59" s="71">
        <f>IF($D59=1,$E59+0,$E59+$D59-1)</f>
        <v>44288</v>
      </c>
      <c r="G59" s="77"/>
      <c r="H59" s="77"/>
      <c r="I59" s="77"/>
      <c r="J59" s="77"/>
    </row>
    <row r="60" spans="1:14">
      <c r="A60" s="78"/>
      <c r="B60" s="77"/>
      <c r="C60" s="76" t="s">
        <v>286</v>
      </c>
      <c r="D60" s="78">
        <v>1</v>
      </c>
      <c r="E60" s="79">
        <f>F59+7</f>
        <v>44295</v>
      </c>
      <c r="F60" s="71">
        <f>IF($D60=1,$E60+0,$E60+$D60-1)</f>
        <v>44295</v>
      </c>
      <c r="G60" s="77"/>
      <c r="H60" s="77"/>
      <c r="I60" s="77"/>
      <c r="J60" s="77"/>
    </row>
    <row r="61" spans="1:14">
      <c r="A61" s="78"/>
      <c r="B61" s="77"/>
      <c r="C61" s="76" t="s">
        <v>287</v>
      </c>
      <c r="D61" s="78">
        <v>1</v>
      </c>
      <c r="E61" s="79">
        <f>F60+7</f>
        <v>44302</v>
      </c>
      <c r="F61" s="71">
        <f>IF($D61=1,$E61+0,$E61+$D61-1)</f>
        <v>44302</v>
      </c>
      <c r="G61" s="77"/>
      <c r="H61" s="77"/>
      <c r="I61" s="77"/>
      <c r="J61" s="77"/>
    </row>
    <row r="62" spans="1:14">
      <c r="A62" s="78"/>
      <c r="B62" s="77"/>
      <c r="C62" s="76" t="s">
        <v>265</v>
      </c>
      <c r="D62" s="78">
        <v>1</v>
      </c>
      <c r="E62" s="79">
        <f>F61+7</f>
        <v>44309</v>
      </c>
      <c r="F62" s="71">
        <f>IF($D62=1,$E62+0,$E62+$D62-1)</f>
        <v>44309</v>
      </c>
      <c r="G62" s="77"/>
      <c r="H62" s="77"/>
      <c r="I62" s="77"/>
      <c r="J62" s="77"/>
    </row>
    <row r="63" spans="1:14">
      <c r="A63" s="78"/>
      <c r="B63" s="77"/>
      <c r="D63" s="8"/>
      <c r="G63" s="77"/>
      <c r="H63" s="77"/>
      <c r="I63" s="77"/>
      <c r="J63" s="77"/>
    </row>
    <row r="64" spans="1:14">
      <c r="A64" s="78"/>
      <c r="B64" s="77"/>
      <c r="D64" s="8"/>
      <c r="G64" s="77"/>
      <c r="H64" s="77"/>
      <c r="I64" s="77"/>
      <c r="J64" s="77"/>
    </row>
    <row r="65" spans="1:10">
      <c r="A65" s="78"/>
      <c r="B65" s="77"/>
      <c r="D65" s="8"/>
      <c r="G65" s="77"/>
      <c r="H65" s="77"/>
      <c r="I65" s="77"/>
      <c r="J65" s="77"/>
    </row>
    <row r="66" spans="1:10">
      <c r="A66" s="78"/>
      <c r="B66" s="77"/>
      <c r="D66" s="8"/>
      <c r="G66" s="77"/>
      <c r="H66" s="77"/>
      <c r="I66" s="77"/>
      <c r="J66" s="77"/>
    </row>
    <row r="67" spans="1:10">
      <c r="A67" s="78"/>
      <c r="B67" s="77"/>
      <c r="D67" s="8"/>
      <c r="G67" s="77"/>
      <c r="H67" s="77"/>
      <c r="I67" s="77"/>
      <c r="J67" s="77"/>
    </row>
    <row r="68" spans="1:10">
      <c r="A68" s="78"/>
      <c r="B68" s="77"/>
      <c r="C68" s="77"/>
      <c r="D68" s="78"/>
      <c r="E68" s="77"/>
      <c r="F68" s="71"/>
      <c r="G68" s="77"/>
      <c r="H68" s="77"/>
      <c r="I68" s="77"/>
      <c r="J68" s="77"/>
    </row>
    <row r="69" spans="1:10">
      <c r="A69" s="78"/>
      <c r="B69" s="77"/>
      <c r="C69" s="77"/>
      <c r="D69" s="78"/>
      <c r="E69" s="77"/>
      <c r="F69" s="71"/>
      <c r="G69" s="77"/>
      <c r="H69" s="77"/>
      <c r="I69" s="77"/>
      <c r="J69" s="77"/>
    </row>
    <row r="70" spans="1:10">
      <c r="A70" s="78"/>
      <c r="B70" s="77"/>
      <c r="C70" s="77"/>
      <c r="D70" s="78"/>
      <c r="E70" s="77"/>
      <c r="F70" s="71"/>
      <c r="G70" s="77"/>
      <c r="H70" s="77"/>
      <c r="I70" s="77"/>
      <c r="J70" s="77"/>
    </row>
    <row r="71" spans="1:10">
      <c r="A71" s="78"/>
      <c r="B71" s="77"/>
      <c r="C71" s="77"/>
      <c r="D71" s="78"/>
      <c r="E71" s="77"/>
      <c r="F71" s="71"/>
      <c r="G71" s="77"/>
      <c r="H71" s="77"/>
      <c r="I71" s="77"/>
      <c r="J71" s="77"/>
    </row>
    <row r="72" spans="1:10">
      <c r="A72" s="78"/>
      <c r="B72" s="77"/>
      <c r="C72" s="77"/>
      <c r="D72" s="78"/>
      <c r="E72" s="77"/>
      <c r="F72" s="71"/>
      <c r="G72" s="77"/>
      <c r="H72" s="77"/>
      <c r="I72" s="77"/>
      <c r="J72" s="77"/>
    </row>
    <row r="73" spans="1:10">
      <c r="A73" s="78"/>
      <c r="B73" s="77"/>
      <c r="C73" s="77"/>
      <c r="D73" s="78"/>
      <c r="E73" s="77"/>
      <c r="F73" s="71"/>
      <c r="G73" s="77"/>
      <c r="H73" s="77"/>
      <c r="I73" s="77"/>
      <c r="J73" s="77"/>
    </row>
    <row r="74" spans="1:10">
      <c r="A74" s="78"/>
      <c r="B74" s="77"/>
      <c r="C74" s="77"/>
      <c r="D74" s="78"/>
      <c r="E74" s="77"/>
      <c r="F74" s="71"/>
      <c r="G74" s="77"/>
      <c r="H74" s="77"/>
      <c r="I74" s="77"/>
      <c r="J74" s="77"/>
    </row>
    <row r="75" spans="1:10">
      <c r="A75" s="78"/>
      <c r="B75" s="77"/>
      <c r="C75" s="77"/>
      <c r="D75" s="78"/>
      <c r="E75" s="77"/>
      <c r="F75" s="71"/>
      <c r="G75" s="77"/>
      <c r="H75" s="77"/>
      <c r="I75" s="77"/>
      <c r="J75" s="77"/>
    </row>
    <row r="76" spans="1:10">
      <c r="A76" s="78"/>
      <c r="B76" s="77"/>
      <c r="C76" s="77"/>
      <c r="D76" s="78"/>
      <c r="E76" s="77"/>
      <c r="F76" s="71"/>
      <c r="G76" s="77"/>
      <c r="H76" s="77"/>
      <c r="I76" s="77"/>
      <c r="J76" s="77"/>
    </row>
    <row r="77" spans="1:10">
      <c r="A77" s="78"/>
      <c r="B77" s="77"/>
      <c r="C77" s="77"/>
      <c r="D77" s="77"/>
      <c r="E77" s="77"/>
      <c r="F77" s="71"/>
      <c r="G77" s="77"/>
      <c r="H77" s="77"/>
      <c r="I77" s="77"/>
      <c r="J77" s="77"/>
    </row>
    <row r="78" spans="1:10">
      <c r="A78" s="78"/>
      <c r="B78" s="77"/>
      <c r="C78" s="77"/>
      <c r="D78" s="77"/>
      <c r="E78" s="77"/>
      <c r="F78" s="71"/>
      <c r="G78" s="77"/>
      <c r="H78" s="77"/>
      <c r="I78" s="77"/>
      <c r="J78" s="77"/>
    </row>
    <row r="79" spans="1:10">
      <c r="A79" s="78"/>
      <c r="B79" s="77"/>
      <c r="C79" s="77"/>
      <c r="D79" s="77"/>
      <c r="E79" s="77"/>
      <c r="F79" s="71"/>
      <c r="G79" s="77"/>
      <c r="H79" s="77"/>
      <c r="I79" s="77"/>
      <c r="J79" s="77"/>
    </row>
    <row r="80" spans="1:10">
      <c r="A80" s="78"/>
      <c r="B80" s="77"/>
      <c r="C80" s="77"/>
      <c r="D80" s="77"/>
      <c r="E80" s="77"/>
      <c r="F80" s="71"/>
      <c r="G80" s="77"/>
      <c r="H80" s="77"/>
      <c r="I80" s="77"/>
      <c r="J80" s="77"/>
    </row>
    <row r="81" spans="6:6">
      <c r="F81" s="71"/>
    </row>
    <row r="82" spans="6:6">
      <c r="F82" s="71"/>
    </row>
    <row r="83" spans="6:6">
      <c r="F83" s="71"/>
    </row>
    <row r="84" spans="6:6">
      <c r="F84" s="71"/>
    </row>
    <row r="85" spans="6:6">
      <c r="F85" s="71"/>
    </row>
    <row r="86" spans="6:6">
      <c r="F86" s="77"/>
    </row>
    <row r="87" spans="6:6">
      <c r="F87" s="77"/>
    </row>
    <row r="88" spans="6:6">
      <c r="F88" s="77"/>
    </row>
    <row r="89" spans="6:6">
      <c r="F89" s="77"/>
    </row>
    <row r="90" spans="6:6">
      <c r="F90" s="77"/>
    </row>
    <row r="91" spans="6:6">
      <c r="F91" s="77"/>
    </row>
    <row r="92" spans="6:6">
      <c r="F92" s="77"/>
    </row>
    <row r="93" spans="6:6">
      <c r="F93" s="77"/>
    </row>
    <row r="94" spans="6:6">
      <c r="F94" s="77"/>
    </row>
  </sheetData>
  <mergeCells count="2">
    <mergeCell ref="A1:G1"/>
    <mergeCell ref="N51:N53"/>
  </mergeCells>
  <phoneticPr fontId="4" alignment="center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6AAB5-8F2F-1A45-8D5D-BE44A0EE7EED}">
  <dimension ref="A1:N26"/>
  <sheetViews>
    <sheetView zoomScaleNormal="60" zoomScaleSheetLayoutView="100" workbookViewId="0">
      <selection activeCell="E27" sqref="E27"/>
    </sheetView>
  </sheetViews>
  <sheetFormatPr defaultRowHeight="15"/>
  <cols>
    <col min="1" max="1" width="36.3203125" customWidth="1"/>
    <col min="5" max="5" width="9.68359375" bestFit="1" customWidth="1"/>
    <col min="12" max="12" width="9.4140625" bestFit="1" customWidth="1"/>
    <col min="14" max="14" width="9.14453125" bestFit="1" customWidth="1"/>
  </cols>
  <sheetData>
    <row r="1" spans="1:14">
      <c r="A1" s="49" t="s">
        <v>114</v>
      </c>
    </row>
    <row r="4" spans="1:14">
      <c r="B4" s="8"/>
      <c r="C4" s="8"/>
      <c r="D4" s="8"/>
      <c r="E4" s="8"/>
      <c r="F4" s="8"/>
      <c r="G4" s="8"/>
      <c r="H4" s="8"/>
      <c r="I4" s="8"/>
      <c r="J4" s="8"/>
    </row>
    <row r="5" spans="1:14">
      <c r="B5" s="25">
        <f>Planning!C3</f>
        <v>44105</v>
      </c>
      <c r="C5" s="25">
        <f>EDATE(B5,1)</f>
        <v>44136</v>
      </c>
      <c r="D5" s="25">
        <f t="shared" ref="D5:I5" si="0">EDATE(C5,1)</f>
        <v>44166</v>
      </c>
      <c r="E5" s="25">
        <f t="shared" si="0"/>
        <v>44197</v>
      </c>
      <c r="F5" s="25">
        <f t="shared" si="0"/>
        <v>44228</v>
      </c>
      <c r="G5" s="25">
        <f t="shared" si="0"/>
        <v>44256</v>
      </c>
      <c r="H5" s="25">
        <f t="shared" si="0"/>
        <v>44287</v>
      </c>
      <c r="I5" s="25">
        <f t="shared" si="0"/>
        <v>44317</v>
      </c>
      <c r="J5" s="25"/>
      <c r="K5" s="108"/>
      <c r="L5" s="108"/>
      <c r="M5" s="108"/>
    </row>
    <row r="6" spans="1:14">
      <c r="A6" s="1" t="s">
        <v>220</v>
      </c>
    </row>
    <row r="7" spans="1:14">
      <c r="A7" s="4" t="s">
        <v>210</v>
      </c>
      <c r="B7" s="18"/>
      <c r="C7" s="18"/>
      <c r="D7" s="18"/>
      <c r="E7" s="18"/>
      <c r="F7" s="18"/>
      <c r="G7" s="18"/>
      <c r="H7" s="18"/>
      <c r="I7" s="18"/>
      <c r="J7" s="18"/>
      <c r="N7" s="102"/>
    </row>
    <row r="8" spans="1:14">
      <c r="A8" s="45" t="str">
        <f>Investissement!A7</f>
        <v>Matériel d'irrigation (Motopompe)</v>
      </c>
      <c r="B8" s="18">
        <f>IF(MONTH(INDEX(Planning!$A$11:$F$62,MATCH(Planning!$C$40,Planning!$C$11:$C$62,0),5))=MONTH(B$5),Investissement!$D7,0)</f>
        <v>0</v>
      </c>
      <c r="C8" s="18">
        <f>IF(MONTH(INDEX(Planning!$A$11:$F$62,MATCH(Planning!$C$40,Planning!$C$11:$C$62,0),5))=MONTH(C$5),Investissement!$D7,0)</f>
        <v>0</v>
      </c>
      <c r="D8" s="18">
        <f>IF(MONTH(INDEX(Planning!$A$11:$F$62,MATCH(Planning!$C$40,Planning!$C$11:$C$62,0),5))=MONTH(D$5),Investissement!$D7,0)</f>
        <v>0</v>
      </c>
      <c r="E8" s="18">
        <f>IF(MONTH(INDEX(Planning!$A$11:$F$62,MATCH(Planning!$C$40,Planning!$C$11:$C$62,0),5))=MONTH(E$5),Investissement!$D7,0)</f>
        <v>120000</v>
      </c>
      <c r="F8" s="18">
        <f>IF(MONTH(INDEX(Planning!$A$11:$F$62,MATCH(Planning!$C$40,Planning!$C$11:$C$62,0),5))=MONTH(F$5),Investissement!$D7,0)</f>
        <v>0</v>
      </c>
      <c r="G8" s="18">
        <f>IF(MONTH(INDEX(Planning!$A$11:$F$62,MATCH(Planning!$C$40,Planning!$C$11:$C$62,0),5))=MONTH(G$5),Investissement!$D7,0)</f>
        <v>0</v>
      </c>
      <c r="H8" s="18">
        <f>IF(MONTH(INDEX(Planning!$A$11:$F$62,MATCH(Planning!$C$40,Planning!$C$11:$C$62,0),5))=MONTH(H$5),Investissement!$D7,0)</f>
        <v>0</v>
      </c>
      <c r="I8" s="18">
        <f>IF(MONTH(INDEX(Planning!$A$11:$F$62,MATCH(Planning!$C$40,Planning!$C$11:$C$62,0),5))=MONTH(I$5),Investissement!$D7,0)</f>
        <v>0</v>
      </c>
      <c r="J8" s="18"/>
      <c r="N8" s="102"/>
    </row>
    <row r="9" spans="1:14">
      <c r="A9" s="45" t="str">
        <f>Investissement!A8</f>
        <v>Matériel Commercial (Balance)</v>
      </c>
      <c r="B9" s="18">
        <f>IF(MONTH(INDEX(Planning!$A$11:$F$62,MATCH(Planning!$C$33,Planning!$C$11:$C$62,0),5))=MONTH(B$5),Investissement!$D8,0)</f>
        <v>0</v>
      </c>
      <c r="C9" s="18">
        <f>IF(MONTH(INDEX(Planning!$A$11:$F$62,MATCH(Planning!$C$33,Planning!$C$11:$C$62,0),5))=MONTH(C$5),Investissement!$D8,0)</f>
        <v>0</v>
      </c>
      <c r="D9" s="18">
        <f>IF(MONTH(INDEX(Planning!$A$11:$F$62,MATCH(Planning!$C$33,Planning!$C$11:$C$62,0),5))=MONTH(D$5),Investissement!$D8,0)</f>
        <v>60000</v>
      </c>
      <c r="E9" s="18">
        <f>IF(MONTH(INDEX(Planning!$A$11:$F$62,MATCH(Planning!$C$33,Planning!$C$11:$C$62,0),5))=MONTH(E$5),Investissement!$D8,0)</f>
        <v>0</v>
      </c>
      <c r="F9" s="18">
        <f>IF(MONTH(INDEX(Planning!$A$11:$F$62,MATCH(Planning!$C$33,Planning!$C$11:$C$62,0),5))=MONTH(F$5),Investissement!$D8,0)</f>
        <v>0</v>
      </c>
      <c r="G9" s="18">
        <f>IF(MONTH(INDEX(Planning!$A$11:$F$62,MATCH(Planning!$C$33,Planning!$C$11:$C$62,0),5))=MONTH(G$5),Investissement!$D8,0)</f>
        <v>0</v>
      </c>
      <c r="H9" s="18">
        <f>IF(MONTH(INDEX(Planning!$A$11:$F$62,MATCH(Planning!$C$33,Planning!$C$11:$C$62,0),5))=MONTH(H$5),Investissement!$D8,0)</f>
        <v>0</v>
      </c>
      <c r="I9" s="18">
        <f>IF(MONTH(INDEX(Planning!$A$11:$F$62,MATCH(Planning!$C$33,Planning!$C$11:$C$62,0),5))=MONTH(I$5),Investissement!$D8,0)</f>
        <v>0</v>
      </c>
      <c r="J9" s="18"/>
      <c r="N9" s="102"/>
    </row>
    <row r="10" spans="1:14">
      <c r="A10" s="45" t="str">
        <f>Investissement!A9</f>
        <v>Fut de 200 l</v>
      </c>
      <c r="B10" s="18">
        <f>IF(MONTH(INDEX(Planning!$A$11:$F$62,MATCH(Planning!$C$40,Planning!$C$11:$C$62,0),5))=MONTH(B$5),Investissement!$D9,0)</f>
        <v>0</v>
      </c>
      <c r="C10" s="18">
        <f>IF(MONTH(INDEX(Planning!$A$11:$F$62,MATCH(Planning!$C$40,Planning!$C$11:$C$62,0),5))=MONTH(C$5),Investissement!$D9,0)</f>
        <v>0</v>
      </c>
      <c r="D10" s="18">
        <f>IF(MONTH(INDEX(Planning!$A$11:$F$62,MATCH(Planning!$C$40,Planning!$C$11:$C$62,0),5))=MONTH(D$5),Investissement!$D9,0)</f>
        <v>0</v>
      </c>
      <c r="E10" s="18">
        <f>IF(MONTH(INDEX(Planning!$A$11:$F$62,MATCH(Planning!$C$40,Planning!$C$11:$C$62,0),5))=MONTH(E$5),Investissement!$D9,0)</f>
        <v>40000</v>
      </c>
      <c r="F10" s="18">
        <f>IF(MONTH(INDEX(Planning!$A$11:$F$62,MATCH(Planning!$C$40,Planning!$C$11:$C$62,0),5))=MONTH(F$5),Investissement!$D9,0)</f>
        <v>0</v>
      </c>
      <c r="G10" s="18">
        <f>IF(MONTH(INDEX(Planning!$A$11:$F$62,MATCH(Planning!$C$40,Planning!$C$11:$C$62,0),5))=MONTH(G$5),Investissement!$D9,0)</f>
        <v>0</v>
      </c>
      <c r="H10" s="18">
        <f>IF(MONTH(INDEX(Planning!$A$11:$F$62,MATCH(Planning!$C$40,Planning!$C$11:$C$62,0),5))=MONTH(H$5),Investissement!$D9,0)</f>
        <v>0</v>
      </c>
      <c r="I10" s="18">
        <f>IF(MONTH(INDEX(Planning!$A$11:$F$62,MATCH(Planning!$C$40,Planning!$C$11:$C$62,0),5))=MONTH(I$5),Investissement!$D9,0)</f>
        <v>0</v>
      </c>
      <c r="J10" s="18"/>
      <c r="N10" s="102"/>
    </row>
    <row r="11" spans="1:14">
      <c r="A11" s="45" t="str">
        <f>Investissement!A10</f>
        <v>Installation Système d'irrigation</v>
      </c>
      <c r="B11" s="18">
        <f>IF(MONTH(INDEX(Planning!$A$11:$F$62,MATCH(Planning!$C$40,Planning!$C$11:$C$62,0),5))=MONTH(B$5),Investissement!$D10,0)</f>
        <v>0</v>
      </c>
      <c r="C11" s="18">
        <f>IF(MONTH(INDEX(Planning!$A$11:$F$62,MATCH(Planning!$C$40,Planning!$C$11:$C$62,0),5))=MONTH(C$5),Investissement!$D10,0)</f>
        <v>0</v>
      </c>
      <c r="D11" s="18">
        <f>IF(MONTH(INDEX(Planning!$A$11:$F$62,MATCH(Planning!$C$40,Planning!$C$11:$C$62,0),5))=MONTH(D$5),Investissement!$D10,0)</f>
        <v>0</v>
      </c>
      <c r="E11" s="18">
        <f>IF(MONTH(INDEX(Planning!$A$11:$F$62,MATCH(Planning!$C$40,Planning!$C$11:$C$62,0),5))=MONTH(E$5),Investissement!$D10,0)</f>
        <v>50000</v>
      </c>
      <c r="F11" s="18">
        <f>IF(MONTH(INDEX(Planning!$A$11:$F$62,MATCH(Planning!$C$40,Planning!$C$11:$C$62,0),5))=MONTH(F$5),Investissement!$D10,0)</f>
        <v>0</v>
      </c>
      <c r="G11" s="18">
        <f>IF(MONTH(INDEX(Planning!$A$11:$F$62,MATCH(Planning!$C$40,Planning!$C$11:$C$62,0),5))=MONTH(G$5),Investissement!$D10,0)</f>
        <v>0</v>
      </c>
      <c r="H11" s="18">
        <f>IF(MONTH(INDEX(Planning!$A$11:$F$62,MATCH(Planning!$C$40,Planning!$C$11:$C$62,0),5))=MONTH(H$5),Investissement!$D10,0)</f>
        <v>0</v>
      </c>
      <c r="I11" s="18">
        <f>IF(MONTH(INDEX(Planning!$A$11:$F$62,MATCH(Planning!$C$40,Planning!$C$11:$C$62,0),5))=MONTH(I$5),Investissement!$D10,0)</f>
        <v>0</v>
      </c>
      <c r="J11" s="18"/>
      <c r="N11" s="102"/>
    </row>
    <row r="12" spans="1:14">
      <c r="A12" s="45" t="s">
        <v>221</v>
      </c>
      <c r="B12" s="18">
        <f>IF(INDEX(Planning!$A$11:$F$62,MATCH(Planning!$C$40,Planning!$C$11:$C$62,0),5)=B$5,Investissement!$D11,0)</f>
        <v>0</v>
      </c>
      <c r="C12" s="18">
        <f>IF(INDEX(Planning!$A$11:$F$62,MATCH(Planning!$C$40,Planning!$C$11:$C$62,0),5)=C$5,Investissement!$D11,0)</f>
        <v>0</v>
      </c>
      <c r="D12" s="18">
        <f>IF(INDEX(Planning!$A$11:$F$62,MATCH(Planning!$C$40,Planning!$C$11:$C$62,0),5)=D$5,Investissement!$D11,0)</f>
        <v>0</v>
      </c>
      <c r="E12" s="18">
        <f>IF(INDEX(Planning!$A$11:$F$62,MATCH(Planning!$C$40,Planning!$C$11:$C$62,0),5)=E$5,Investissement!$D11,0)</f>
        <v>0</v>
      </c>
      <c r="F12" s="18">
        <f>IF(INDEX(Planning!$A$11:$F$62,MATCH(Planning!$C$40,Planning!$C$11:$C$62,0),5)=F$5,Investissement!$D11,0)</f>
        <v>0</v>
      </c>
      <c r="G12" s="18">
        <f>IF(INDEX(Planning!$A$11:$F$62,MATCH(Planning!$C$40,Planning!$C$11:$C$62,0),5)=G$5,Investissement!$D11,0)</f>
        <v>0</v>
      </c>
      <c r="H12" s="18">
        <f>IF(INDEX(Planning!$A$11:$F$62,MATCH(Planning!$C$40,Planning!$C$11:$C$62,0),5)=H$5,Investissement!$D11,0)</f>
        <v>0</v>
      </c>
      <c r="I12" s="18">
        <f>IF(INDEX(Planning!$A$11:$F$62,MATCH(Planning!$C$40,Planning!$C$11:$C$62,0),5)=I$5,Investissement!$D11,0)</f>
        <v>0</v>
      </c>
      <c r="J12" s="18"/>
      <c r="N12" s="102"/>
    </row>
    <row r="13" spans="1:14">
      <c r="A13" s="45" t="s">
        <v>222</v>
      </c>
      <c r="B13" s="18">
        <f>IF(INDEX(Planning!$A$11:$F$62,MATCH(Planning!$C$40,Planning!$C$11:$C$62,0),5)=B$5,Investissement!$D12,0)</f>
        <v>0</v>
      </c>
      <c r="C13" s="18">
        <f>IF(INDEX(Planning!$A$11:$F$62,MATCH(Planning!$C$40,Planning!$C$11:$C$62,0),5)=C$5,Investissement!$D12,0)</f>
        <v>0</v>
      </c>
      <c r="D13" s="18">
        <f>IF(INDEX(Planning!$A$11:$F$62,MATCH(Planning!$C$40,Planning!$C$11:$C$62,0),5)=D$5,Investissement!$D12,0)</f>
        <v>0</v>
      </c>
      <c r="E13" s="18">
        <f>IF(INDEX(Planning!$A$11:$F$62,MATCH(Planning!$C$40,Planning!$C$11:$C$62,0),5)=E$5,Investissement!$D12,0)</f>
        <v>0</v>
      </c>
      <c r="F13" s="18">
        <f>IF(INDEX(Planning!$A$11:$F$62,MATCH(Planning!$C$40,Planning!$C$11:$C$62,0),5)=F$5,Investissement!$D12,0)</f>
        <v>0</v>
      </c>
      <c r="G13" s="18">
        <f>IF(INDEX(Planning!$A$11:$F$62,MATCH(Planning!$C$40,Planning!$C$11:$C$62,0),5)=G$5,Investissement!$D12,0)</f>
        <v>0</v>
      </c>
      <c r="H13" s="18">
        <f>IF(INDEX(Planning!$A$11:$F$62,MATCH(Planning!$C$40,Planning!$C$11:$C$62,0),5)=H$5,Investissement!$D12,0)</f>
        <v>0</v>
      </c>
      <c r="I13" s="18">
        <f>IF(INDEX(Planning!$A$11:$F$62,MATCH(Planning!$C$40,Planning!$C$11:$C$62,0),5)=I$5,Investissement!$D12,0)</f>
        <v>0</v>
      </c>
      <c r="J13" s="18"/>
      <c r="M13" s="102"/>
      <c r="N13" s="102"/>
    </row>
    <row r="14" spans="1:14">
      <c r="A14" s="1" t="s">
        <v>223</v>
      </c>
      <c r="B14" s="21">
        <f>SUM(B8:B13)</f>
        <v>0</v>
      </c>
      <c r="C14" s="21">
        <f t="shared" ref="C14:I14" si="1">SUM(C8:C13)</f>
        <v>0</v>
      </c>
      <c r="D14" s="21">
        <f t="shared" si="1"/>
        <v>60000</v>
      </c>
      <c r="E14" s="21">
        <f t="shared" si="1"/>
        <v>210000</v>
      </c>
      <c r="F14" s="21">
        <f t="shared" si="1"/>
        <v>0</v>
      </c>
      <c r="G14" s="21">
        <f t="shared" si="1"/>
        <v>0</v>
      </c>
      <c r="H14" s="21">
        <f t="shared" si="1"/>
        <v>0</v>
      </c>
      <c r="I14" s="21">
        <f t="shared" si="1"/>
        <v>0</v>
      </c>
      <c r="J14" s="21"/>
      <c r="M14" s="102"/>
      <c r="N14" s="102"/>
    </row>
    <row r="15" spans="1:14">
      <c r="A15" s="1" t="s">
        <v>224</v>
      </c>
    </row>
    <row r="16" spans="1:14">
      <c r="A16" s="45" t="s">
        <v>225</v>
      </c>
    </row>
    <row r="17" spans="1:14">
      <c r="A17" s="45" t="s">
        <v>78</v>
      </c>
      <c r="B17" s="102"/>
      <c r="N17" s="102"/>
    </row>
    <row r="18" spans="1:14">
      <c r="A18" s="45" t="s">
        <v>226</v>
      </c>
      <c r="B18" s="102"/>
      <c r="D18" s="102"/>
      <c r="F18" s="102"/>
      <c r="N18" s="102"/>
    </row>
    <row r="19" spans="1:14">
      <c r="A19" s="1" t="s">
        <v>227</v>
      </c>
      <c r="B19" s="21">
        <f>SUM(B16:B18)</f>
        <v>0</v>
      </c>
      <c r="C19" s="21">
        <f t="shared" ref="C19:I19" si="2">SUM(C16:C18)</f>
        <v>0</v>
      </c>
      <c r="D19" s="21">
        <f t="shared" si="2"/>
        <v>0</v>
      </c>
      <c r="E19" s="21">
        <f t="shared" si="2"/>
        <v>0</v>
      </c>
      <c r="F19" s="21">
        <f t="shared" si="2"/>
        <v>0</v>
      </c>
      <c r="G19" s="21">
        <f t="shared" si="2"/>
        <v>0</v>
      </c>
      <c r="H19" s="21">
        <f t="shared" si="2"/>
        <v>0</v>
      </c>
      <c r="I19" s="21">
        <f t="shared" si="2"/>
        <v>0</v>
      </c>
      <c r="J19" s="21"/>
      <c r="N19" s="102"/>
    </row>
    <row r="20" spans="1:14">
      <c r="A20" s="1" t="s">
        <v>228</v>
      </c>
      <c r="B20" s="21">
        <f>B19-B14</f>
        <v>0</v>
      </c>
      <c r="C20" s="21">
        <f t="shared" ref="C20:I20" si="3">C19-C14</f>
        <v>0</v>
      </c>
      <c r="D20" s="21">
        <f t="shared" si="3"/>
        <v>-60000</v>
      </c>
      <c r="E20" s="21">
        <f t="shared" si="3"/>
        <v>-210000</v>
      </c>
      <c r="F20" s="21">
        <f t="shared" si="3"/>
        <v>0</v>
      </c>
      <c r="G20" s="21">
        <f t="shared" si="3"/>
        <v>0</v>
      </c>
      <c r="H20" s="21">
        <f t="shared" si="3"/>
        <v>0</v>
      </c>
      <c r="I20" s="21">
        <f t="shared" si="3"/>
        <v>0</v>
      </c>
      <c r="J20" s="21"/>
      <c r="M20" s="102"/>
      <c r="N20" s="102"/>
    </row>
    <row r="21" spans="1:14">
      <c r="A21" s="1" t="s">
        <v>229</v>
      </c>
      <c r="B21" s="21">
        <f>B20</f>
        <v>0</v>
      </c>
      <c r="C21" s="21">
        <f>B21+C20</f>
        <v>0</v>
      </c>
      <c r="D21" s="21">
        <f t="shared" ref="D21:I21" si="4">C21+D20</f>
        <v>-60000</v>
      </c>
      <c r="E21" s="21">
        <f t="shared" si="4"/>
        <v>-270000</v>
      </c>
      <c r="F21" s="21">
        <f t="shared" si="4"/>
        <v>-270000</v>
      </c>
      <c r="G21" s="21">
        <f t="shared" si="4"/>
        <v>-270000</v>
      </c>
      <c r="H21" s="21">
        <f t="shared" si="4"/>
        <v>-270000</v>
      </c>
      <c r="I21" s="21">
        <f t="shared" si="4"/>
        <v>-270000</v>
      </c>
      <c r="J21" s="18"/>
      <c r="K21" s="102"/>
      <c r="L21" s="102"/>
      <c r="M21" s="102"/>
    </row>
    <row r="26" spans="1:14">
      <c r="A26" t="s">
        <v>230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2AF86-0872-8048-B3BA-27867F2A9E25}">
  <dimension ref="A1:K14"/>
  <sheetViews>
    <sheetView tabSelected="1" topLeftCell="D9" zoomScaleNormal="60" zoomScaleSheetLayoutView="100" workbookViewId="0">
      <selection activeCell="I19" sqref="I19"/>
    </sheetView>
  </sheetViews>
  <sheetFormatPr defaultRowHeight="15"/>
  <cols>
    <col min="1" max="1" width="38.875" bestFit="1" customWidth="1"/>
    <col min="2" max="2" width="6.1875" customWidth="1"/>
    <col min="3" max="4" width="12.10546875" customWidth="1"/>
    <col min="5" max="5" width="5.91796875" bestFit="1" customWidth="1"/>
    <col min="6" max="6" width="9.953125" customWidth="1"/>
    <col min="7" max="7" width="6.45703125" bestFit="1" customWidth="1"/>
    <col min="8" max="9" width="7.6640625" bestFit="1" customWidth="1"/>
    <col min="10" max="10" width="13.1796875" customWidth="1"/>
    <col min="11" max="11" width="11.97265625" bestFit="1" customWidth="1"/>
  </cols>
  <sheetData>
    <row r="1" spans="1:11">
      <c r="A1" t="s">
        <v>81</v>
      </c>
      <c r="J1" s="51">
        <v>44196</v>
      </c>
      <c r="K1" t="str">
        <f>TEXT(J1,"mmm-yy")</f>
        <v>déc-20</v>
      </c>
    </row>
    <row r="5" spans="1:11" ht="28.5" thickBot="1">
      <c r="A5" s="29" t="s">
        <v>0</v>
      </c>
      <c r="B5" s="100" t="s">
        <v>1</v>
      </c>
      <c r="C5" s="100" t="s">
        <v>2</v>
      </c>
      <c r="D5" s="100" t="s">
        <v>206</v>
      </c>
      <c r="E5" s="100" t="s">
        <v>16</v>
      </c>
      <c r="F5" s="104" t="s">
        <v>207</v>
      </c>
      <c r="G5" s="100">
        <f>YEAR(Planning!C3)</f>
        <v>2020</v>
      </c>
      <c r="H5" s="100">
        <f>G5+1</f>
        <v>2021</v>
      </c>
      <c r="I5" s="139">
        <f>H5+1</f>
        <v>2022</v>
      </c>
      <c r="J5" s="36" t="s">
        <v>208</v>
      </c>
      <c r="K5" s="100" t="s">
        <v>209</v>
      </c>
    </row>
    <row r="6" spans="1:11">
      <c r="A6" s="1" t="s">
        <v>210</v>
      </c>
      <c r="D6" s="102"/>
      <c r="J6" s="150" cm="1">
        <f t="array" ref="J6">SUMPRODUCT(('Plan de financement'!$A$7:$A$13=$A6)*(ISNUMBER('Plan de financement'!$B$7:$I$13))*'Plan de financement'!$B$5:$I$5)</f>
        <v>0</v>
      </c>
    </row>
    <row r="7" spans="1:11">
      <c r="A7" s="45" t="s">
        <v>211</v>
      </c>
      <c r="B7" s="8">
        <v>1</v>
      </c>
      <c r="C7" s="102">
        <v>120000</v>
      </c>
      <c r="D7" s="102">
        <f>C7*B7</f>
        <v>120000</v>
      </c>
      <c r="E7" s="8">
        <v>3</v>
      </c>
      <c r="F7" s="8">
        <v>2</v>
      </c>
      <c r="G7" s="105">
        <f>(SLN(D7,0,E7))*F7/12</f>
        <v>6666.666666666667</v>
      </c>
      <c r="H7" s="102">
        <f>SLN(D7,0,E7)</f>
        <v>40000</v>
      </c>
      <c r="I7" s="102">
        <f>SLN(D7,0,E7)</f>
        <v>40000</v>
      </c>
      <c r="J7" s="151" cm="1">
        <f t="array" ref="J7">SUMPRODUCT(('Plan de financement'!$A$7:$A$13=$A7)*(ISNUMBER('Plan de financement'!$B$7:$I$13))*'Plan de financement'!$B$5:$I$5)</f>
        <v>353692</v>
      </c>
      <c r="K7" s="8" t="e">
        <f>DATEDIF(J7,$K$1,"m")</f>
        <v>#NUM!</v>
      </c>
    </row>
    <row r="8" spans="1:11">
      <c r="A8" s="45" t="s">
        <v>213</v>
      </c>
      <c r="B8" s="8">
        <v>1</v>
      </c>
      <c r="C8" s="102">
        <v>60000</v>
      </c>
      <c r="D8" s="102">
        <f t="shared" ref="D8:D10" si="0">C8*B8</f>
        <v>60000</v>
      </c>
      <c r="E8" s="8">
        <v>3</v>
      </c>
      <c r="F8" s="8">
        <v>4</v>
      </c>
      <c r="G8" s="105">
        <f t="shared" ref="G8:G10" si="1">(SLN(D8,0,E8))*F8/12</f>
        <v>6666.666666666667</v>
      </c>
      <c r="H8" s="102">
        <f t="shared" ref="H8:H9" si="2">SLN(D8,0,E8)</f>
        <v>20000</v>
      </c>
      <c r="I8" s="102">
        <f t="shared" ref="I8:I10" si="3">SLN(D8,0,E8)</f>
        <v>20000</v>
      </c>
      <c r="J8" s="151" cm="1">
        <f t="array" ref="J8">SUMPRODUCT(('Plan de financement'!$A$7:$A$13=$A8)*(ISNUMBER('Plan de financement'!$B$7:$I$13))*'Plan de financement'!$B$5:$I$5)</f>
        <v>353692</v>
      </c>
      <c r="K8" s="8" t="e">
        <f t="shared" ref="K8:K14" si="4">DATEDIF(J8,$K$1,"m")</f>
        <v>#NUM!</v>
      </c>
    </row>
    <row r="9" spans="1:11">
      <c r="A9" s="45" t="s">
        <v>214</v>
      </c>
      <c r="B9" s="8">
        <v>2</v>
      </c>
      <c r="C9" s="102">
        <v>20000</v>
      </c>
      <c r="D9" s="102">
        <f t="shared" si="0"/>
        <v>40000</v>
      </c>
      <c r="E9" s="8">
        <v>3</v>
      </c>
      <c r="F9" s="8">
        <v>2</v>
      </c>
      <c r="G9" s="105">
        <f t="shared" si="1"/>
        <v>2222.2222222222222</v>
      </c>
      <c r="H9" s="102">
        <f t="shared" si="2"/>
        <v>13333.333333333334</v>
      </c>
      <c r="I9" s="102">
        <f t="shared" si="3"/>
        <v>13333.333333333334</v>
      </c>
      <c r="J9" s="151" cm="1">
        <f t="array" ref="J9">SUMPRODUCT(('Plan de financement'!$A$7:$A$13=$A9)*(ISNUMBER('Plan de financement'!$B$7:$I$13))*'Plan de financement'!$B$5:$I$5)</f>
        <v>353692</v>
      </c>
      <c r="K9" s="8" t="e">
        <f t="shared" si="4"/>
        <v>#NUM!</v>
      </c>
    </row>
    <row r="10" spans="1:11">
      <c r="A10" s="45" t="s">
        <v>193</v>
      </c>
      <c r="B10" s="8">
        <v>1</v>
      </c>
      <c r="C10" s="102">
        <v>50000</v>
      </c>
      <c r="D10" s="102">
        <f t="shared" si="0"/>
        <v>50000</v>
      </c>
      <c r="E10" s="8">
        <v>2</v>
      </c>
      <c r="F10" s="8">
        <v>2</v>
      </c>
      <c r="G10" s="105">
        <f t="shared" si="1"/>
        <v>4166.666666666667</v>
      </c>
      <c r="H10" s="102">
        <f>SLN(D10,0,E10)</f>
        <v>25000</v>
      </c>
      <c r="I10" s="102">
        <f t="shared" si="3"/>
        <v>25000</v>
      </c>
      <c r="J10" s="151" cm="1">
        <f t="array" ref="J10">SUMPRODUCT(('Plan de financement'!$A$7:$A$13=$A10)*(ISNUMBER('Plan de financement'!$B$7:$I$13))*'Plan de financement'!$B$5:$I$5)</f>
        <v>353692</v>
      </c>
      <c r="K10" s="8" t="e">
        <f t="shared" si="4"/>
        <v>#NUM!</v>
      </c>
    </row>
    <row r="11" spans="1:11" ht="15.75" thickBot="1">
      <c r="A11" s="1" t="s">
        <v>212</v>
      </c>
      <c r="D11" s="103">
        <f>SUM(D7:D10)</f>
        <v>270000</v>
      </c>
      <c r="G11" s="103">
        <f>SUM(G7:G10)</f>
        <v>19722.222222222223</v>
      </c>
      <c r="H11" s="103">
        <f t="shared" ref="H11:I11" si="5">SUM(H7:H10)</f>
        <v>98333.333333333328</v>
      </c>
      <c r="I11" s="103">
        <f t="shared" si="5"/>
        <v>98333.333333333328</v>
      </c>
      <c r="J11" s="152"/>
      <c r="K11" s="8"/>
    </row>
    <row r="12" spans="1:11">
      <c r="K12" s="8"/>
    </row>
    <row r="13" spans="1:11">
      <c r="K13" s="8"/>
    </row>
    <row r="14" spans="1:11">
      <c r="K14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A9C85D-765C-F54B-B097-9E2BF74F5EC8}">
  <dimension ref="A1:F43"/>
  <sheetViews>
    <sheetView topLeftCell="C1" zoomScaleNormal="60" zoomScaleSheetLayoutView="100" workbookViewId="0">
      <selection activeCell="B43" sqref="B43"/>
    </sheetView>
  </sheetViews>
  <sheetFormatPr defaultRowHeight="15"/>
  <cols>
    <col min="1" max="1" width="23.9453125" bestFit="1" customWidth="1"/>
    <col min="2" max="2" width="10.4921875" style="111" customWidth="1"/>
    <col min="3" max="3" width="9.953125" style="111" customWidth="1"/>
    <col min="4" max="4" width="10.22265625" style="111" customWidth="1"/>
  </cols>
  <sheetData>
    <row r="1" spans="1:6">
      <c r="A1" t="s">
        <v>80</v>
      </c>
    </row>
    <row r="3" spans="1:6" ht="55.5" customHeight="1">
      <c r="B3" s="39" t="s">
        <v>82</v>
      </c>
      <c r="C3" s="39" t="s">
        <v>83</v>
      </c>
      <c r="D3" s="39" t="s">
        <v>84</v>
      </c>
    </row>
    <row r="4" spans="1:6">
      <c r="A4" s="1" t="s">
        <v>119</v>
      </c>
      <c r="B4" s="112"/>
      <c r="C4" s="112"/>
      <c r="D4" s="112"/>
    </row>
    <row r="5" spans="1:6">
      <c r="A5" t="s">
        <v>70</v>
      </c>
      <c r="B5" s="111">
        <v>25</v>
      </c>
      <c r="C5" s="116">
        <f>(B5+D5)/2</f>
        <v>32.5</v>
      </c>
      <c r="D5" s="111">
        <v>40</v>
      </c>
      <c r="F5">
        <f>14*10000/10</f>
        <v>14000</v>
      </c>
    </row>
    <row r="6" spans="1:6">
      <c r="A6" t="s">
        <v>71</v>
      </c>
      <c r="B6" s="111">
        <v>1000</v>
      </c>
      <c r="C6" s="111">
        <v>1000</v>
      </c>
      <c r="D6" s="111">
        <v>1000</v>
      </c>
      <c r="F6">
        <f>22*10000/10</f>
        <v>22000</v>
      </c>
    </row>
    <row r="7" spans="1:6">
      <c r="A7" t="s">
        <v>65</v>
      </c>
      <c r="B7" s="111">
        <f>B6*B5/10</f>
        <v>2500</v>
      </c>
      <c r="C7" s="111">
        <f>C6*C5/10</f>
        <v>3250</v>
      </c>
      <c r="D7" s="111">
        <f t="shared" ref="D7" si="0">D6*D5/10</f>
        <v>4000</v>
      </c>
    </row>
    <row r="8" spans="1:6">
      <c r="A8" t="s">
        <v>72</v>
      </c>
      <c r="B8" s="113">
        <v>0.15</v>
      </c>
      <c r="C8" s="113">
        <v>0.15</v>
      </c>
      <c r="D8" s="113">
        <v>0.15</v>
      </c>
    </row>
    <row r="9" spans="1:6">
      <c r="A9" t="s">
        <v>66</v>
      </c>
      <c r="B9" s="39">
        <f>B7-(B7*B8)</f>
        <v>2125</v>
      </c>
      <c r="C9" s="39">
        <f t="shared" ref="C9:D9" si="1">C7-(C7*C8)</f>
        <v>2762.5</v>
      </c>
      <c r="D9" s="39">
        <f t="shared" si="1"/>
        <v>3400</v>
      </c>
    </row>
    <row r="11" spans="1:6" ht="27.75">
      <c r="A11" t="s">
        <v>67</v>
      </c>
      <c r="B11" s="114" t="s">
        <v>154</v>
      </c>
      <c r="C11" s="114" t="str">
        <f>B11</f>
        <v>Sacs de 70kg</v>
      </c>
      <c r="D11" s="114" t="str">
        <f>C11</f>
        <v>Sacs de 70kg</v>
      </c>
    </row>
    <row r="12" spans="1:6">
      <c r="A12" t="s">
        <v>73</v>
      </c>
      <c r="B12" s="111">
        <v>70</v>
      </c>
      <c r="C12" s="111">
        <f>B12</f>
        <v>70</v>
      </c>
      <c r="D12" s="111">
        <f>C12</f>
        <v>70</v>
      </c>
    </row>
    <row r="13" spans="1:6">
      <c r="A13" t="s">
        <v>68</v>
      </c>
      <c r="B13" s="111">
        <f>B9/B12</f>
        <v>30.357142857142858</v>
      </c>
      <c r="C13" s="111">
        <f t="shared" ref="C13:D13" si="2">C9/C12</f>
        <v>39.464285714285715</v>
      </c>
      <c r="D13" s="111">
        <f t="shared" si="2"/>
        <v>48.571428571428569</v>
      </c>
    </row>
    <row r="15" spans="1:6">
      <c r="A15" t="s">
        <v>69</v>
      </c>
      <c r="B15" s="111">
        <v>12</v>
      </c>
      <c r="C15" s="111">
        <f>B15</f>
        <v>12</v>
      </c>
      <c r="D15" s="111">
        <f>C15</f>
        <v>12</v>
      </c>
    </row>
    <row r="16" spans="1:6">
      <c r="A16" t="s">
        <v>74</v>
      </c>
      <c r="B16" s="111">
        <f>B13/B15</f>
        <v>2.5297619047619047</v>
      </c>
      <c r="C16" s="111">
        <f t="shared" ref="C16:D16" si="3">C13/C15</f>
        <v>3.2886904761904763</v>
      </c>
      <c r="D16" s="111">
        <f t="shared" si="3"/>
        <v>4.0476190476190474</v>
      </c>
    </row>
    <row r="18" spans="1:5">
      <c r="A18" s="1" t="s">
        <v>155</v>
      </c>
      <c r="B18" s="112">
        <v>4000</v>
      </c>
      <c r="C18" s="112">
        <f>(B18+D18)/2</f>
        <v>4500</v>
      </c>
      <c r="D18" s="112">
        <v>5000</v>
      </c>
    </row>
    <row r="19" spans="1:5">
      <c r="A19" s="1" t="s">
        <v>75</v>
      </c>
      <c r="B19" s="112">
        <f>B13*B18</f>
        <v>121428.57142857143</v>
      </c>
      <c r="C19" s="112">
        <f t="shared" ref="C19:D19" si="4">C13*C18</f>
        <v>177589.28571428571</v>
      </c>
      <c r="D19" s="112">
        <f t="shared" si="4"/>
        <v>242857.14285714284</v>
      </c>
    </row>
    <row r="20" spans="1:5">
      <c r="A20" s="1" t="s">
        <v>76</v>
      </c>
      <c r="B20" s="112">
        <f>B18*B16</f>
        <v>10119.047619047618</v>
      </c>
      <c r="C20" s="112">
        <f t="shared" ref="C20:D20" si="5">C18*C16</f>
        <v>14799.107142857143</v>
      </c>
      <c r="D20" s="112">
        <f t="shared" si="5"/>
        <v>20238.095238095237</v>
      </c>
    </row>
    <row r="22" spans="1:5" ht="34.5" customHeight="1">
      <c r="B22" s="39" t="s">
        <v>82</v>
      </c>
      <c r="C22" s="39" t="s">
        <v>83</v>
      </c>
      <c r="D22" s="39" t="s">
        <v>84</v>
      </c>
      <c r="E22" s="60"/>
    </row>
    <row r="23" spans="1:5">
      <c r="A23" s="1" t="s">
        <v>153</v>
      </c>
      <c r="B23" s="112"/>
      <c r="C23" s="112"/>
      <c r="D23" s="112"/>
    </row>
    <row r="24" spans="1:5">
      <c r="A24" t="s">
        <v>70</v>
      </c>
      <c r="B24" s="111">
        <v>8</v>
      </c>
      <c r="C24" s="111">
        <f>(B24+D24)/2</f>
        <v>11.5</v>
      </c>
      <c r="D24" s="111">
        <v>15</v>
      </c>
    </row>
    <row r="25" spans="1:5">
      <c r="A25" t="s">
        <v>71</v>
      </c>
      <c r="B25" s="111">
        <v>1500</v>
      </c>
      <c r="C25" s="111">
        <f>B25</f>
        <v>1500</v>
      </c>
      <c r="D25" s="111">
        <f>C25</f>
        <v>1500</v>
      </c>
    </row>
    <row r="26" spans="1:5">
      <c r="A26" t="s">
        <v>65</v>
      </c>
      <c r="B26" s="111">
        <f>B25*B24/10</f>
        <v>1200</v>
      </c>
      <c r="C26" s="111">
        <f t="shared" ref="C26:D26" si="6">C25*C24/10</f>
        <v>1725</v>
      </c>
      <c r="D26" s="111">
        <f t="shared" si="6"/>
        <v>2250</v>
      </c>
    </row>
    <row r="27" spans="1:5">
      <c r="A27" t="s">
        <v>72</v>
      </c>
      <c r="B27" s="113">
        <v>0.15</v>
      </c>
      <c r="C27" s="113">
        <f>B27</f>
        <v>0.15</v>
      </c>
      <c r="D27" s="113">
        <f>C27</f>
        <v>0.15</v>
      </c>
    </row>
    <row r="28" spans="1:5">
      <c r="A28" s="1" t="s">
        <v>66</v>
      </c>
      <c r="B28" s="112">
        <f>B26-(B26*B27)</f>
        <v>1020</v>
      </c>
      <c r="C28" s="112">
        <f t="shared" ref="C28:D28" si="7">C26-(C26*C27)</f>
        <v>1466.25</v>
      </c>
      <c r="D28" s="112">
        <f t="shared" si="7"/>
        <v>1912.5</v>
      </c>
    </row>
    <row r="30" spans="1:5" ht="27.75">
      <c r="A30" s="88" t="s">
        <v>67</v>
      </c>
      <c r="B30" s="114" t="s">
        <v>154</v>
      </c>
      <c r="C30" s="114" t="str">
        <f>B30</f>
        <v>Sacs de 70kg</v>
      </c>
      <c r="D30" s="114" t="str">
        <f>C30</f>
        <v>Sacs de 70kg</v>
      </c>
    </row>
    <row r="31" spans="1:5">
      <c r="A31" s="88" t="s">
        <v>73</v>
      </c>
      <c r="B31" s="111">
        <v>30</v>
      </c>
      <c r="C31" s="111">
        <f>B31</f>
        <v>30</v>
      </c>
      <c r="D31" s="111">
        <f>C31</f>
        <v>30</v>
      </c>
    </row>
    <row r="32" spans="1:5">
      <c r="A32" s="88" t="s">
        <v>68</v>
      </c>
      <c r="B32" s="111">
        <f>B28/B31</f>
        <v>34</v>
      </c>
      <c r="C32" s="111">
        <f t="shared" ref="C32:D32" si="8">C28/C31</f>
        <v>48.875</v>
      </c>
      <c r="D32" s="111">
        <f t="shared" si="8"/>
        <v>63.75</v>
      </c>
    </row>
    <row r="33" spans="1:4">
      <c r="A33" s="88"/>
    </row>
    <row r="34" spans="1:4">
      <c r="A34" s="88" t="s">
        <v>69</v>
      </c>
      <c r="B34" s="111">
        <v>12</v>
      </c>
      <c r="C34" s="111">
        <f>B34</f>
        <v>12</v>
      </c>
      <c r="D34" s="111">
        <f>C34</f>
        <v>12</v>
      </c>
    </row>
    <row r="35" spans="1:4">
      <c r="A35" s="88" t="s">
        <v>74</v>
      </c>
      <c r="B35" s="111">
        <f>B32/B34</f>
        <v>2.8333333333333335</v>
      </c>
      <c r="C35" s="111">
        <f t="shared" ref="C35:D35" si="9">C32/C34</f>
        <v>4.072916666666667</v>
      </c>
      <c r="D35" s="111">
        <f t="shared" si="9"/>
        <v>5.3125</v>
      </c>
    </row>
    <row r="37" spans="1:4">
      <c r="A37" s="1" t="s">
        <v>157</v>
      </c>
      <c r="B37" s="112">
        <v>8000</v>
      </c>
      <c r="C37" s="112">
        <f>(B37+D37)/2</f>
        <v>10000</v>
      </c>
      <c r="D37" s="112">
        <v>12000</v>
      </c>
    </row>
    <row r="38" spans="1:4">
      <c r="A38" s="1" t="s">
        <v>156</v>
      </c>
      <c r="B38" s="112">
        <f>B32*B37</f>
        <v>272000</v>
      </c>
      <c r="C38" s="112">
        <f t="shared" ref="C38:D38" si="10">C32*C37</f>
        <v>488750</v>
      </c>
      <c r="D38" s="112">
        <f t="shared" si="10"/>
        <v>765000</v>
      </c>
    </row>
    <row r="39" spans="1:4">
      <c r="A39" s="1" t="s">
        <v>76</v>
      </c>
      <c r="B39" s="112">
        <f>B37*B35</f>
        <v>22666.666666666668</v>
      </c>
      <c r="C39" s="112">
        <f t="shared" ref="C39:D39" si="11">C37*C35</f>
        <v>40729.166666666672</v>
      </c>
      <c r="D39" s="112">
        <f t="shared" si="11"/>
        <v>63750</v>
      </c>
    </row>
    <row r="43" spans="1:4" ht="18.75">
      <c r="A43" s="61" t="s">
        <v>158</v>
      </c>
      <c r="B43" s="115">
        <f>C38+C19</f>
        <v>666339.28571428568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541245-9FAF-D546-B0FC-90CA1DFEB6CE}">
  <dimension ref="A1:L131"/>
  <sheetViews>
    <sheetView topLeftCell="A60" zoomScaleNormal="60" zoomScaleSheetLayoutView="100" workbookViewId="0">
      <selection activeCell="A111" sqref="A111"/>
    </sheetView>
  </sheetViews>
  <sheetFormatPr defaultRowHeight="15"/>
  <cols>
    <col min="1" max="1" width="42.77734375" bestFit="1" customWidth="1"/>
    <col min="2" max="2" width="12.64453125" customWidth="1"/>
    <col min="3" max="3" width="11.97265625" style="12" bestFit="1" customWidth="1"/>
    <col min="4" max="4" width="9.68359375" style="2" bestFit="1" customWidth="1"/>
    <col min="5" max="5" width="11.56640625" style="2" bestFit="1" customWidth="1"/>
    <col min="6" max="6" width="9.68359375" bestFit="1" customWidth="1"/>
    <col min="12" max="12" width="10.76171875" bestFit="1" customWidth="1"/>
  </cols>
  <sheetData>
    <row r="1" spans="1:8" ht="18.75">
      <c r="A1" s="143" t="s">
        <v>151</v>
      </c>
      <c r="B1" s="143"/>
      <c r="C1" s="143"/>
      <c r="D1" s="143"/>
      <c r="E1" s="143"/>
      <c r="F1" s="143"/>
    </row>
    <row r="2" spans="1:8">
      <c r="F2" s="16" t="s">
        <v>4</v>
      </c>
      <c r="G2" s="16"/>
      <c r="H2" s="16"/>
    </row>
    <row r="3" spans="1:8">
      <c r="A3" s="1" t="s">
        <v>0</v>
      </c>
      <c r="B3" s="7" t="s">
        <v>11</v>
      </c>
      <c r="C3" s="13" t="s">
        <v>1</v>
      </c>
      <c r="D3" s="5" t="s">
        <v>2</v>
      </c>
      <c r="E3" s="5" t="s">
        <v>3</v>
      </c>
      <c r="F3" s="16"/>
      <c r="G3" s="16"/>
      <c r="H3" s="16"/>
    </row>
    <row r="4" spans="1:8">
      <c r="A4" s="1" t="s">
        <v>6</v>
      </c>
      <c r="B4" s="1" t="s">
        <v>61</v>
      </c>
      <c r="C4" s="59">
        <v>1</v>
      </c>
      <c r="D4" s="2">
        <v>20000</v>
      </c>
      <c r="E4" s="5">
        <f>C4*D4</f>
        <v>20000</v>
      </c>
      <c r="F4" s="16"/>
      <c r="G4" s="16"/>
      <c r="H4" s="16"/>
    </row>
    <row r="5" spans="1:8">
      <c r="A5" s="1" t="s">
        <v>7</v>
      </c>
      <c r="B5" s="1" t="s">
        <v>61</v>
      </c>
      <c r="C5" s="59">
        <v>1</v>
      </c>
      <c r="D5" s="2">
        <v>10000</v>
      </c>
      <c r="E5" s="5">
        <f>C5*D5</f>
        <v>10000</v>
      </c>
      <c r="F5" s="16"/>
      <c r="G5" s="16"/>
      <c r="H5" s="16"/>
    </row>
    <row r="6" spans="1:8">
      <c r="A6" s="1" t="s">
        <v>10</v>
      </c>
      <c r="B6" s="1" t="s">
        <v>24</v>
      </c>
      <c r="C6" s="59">
        <v>2</v>
      </c>
      <c r="D6" s="2">
        <v>5000</v>
      </c>
      <c r="E6" s="5">
        <f>C6*D6</f>
        <v>10000</v>
      </c>
      <c r="F6" s="16"/>
      <c r="G6" s="16"/>
      <c r="H6" s="16"/>
    </row>
    <row r="7" spans="1:8">
      <c r="A7" s="1" t="s">
        <v>12</v>
      </c>
      <c r="B7" s="1"/>
      <c r="C7" s="59"/>
      <c r="E7" s="5">
        <f>SUBTOTAL(9,E8:E13)</f>
        <v>45800</v>
      </c>
      <c r="F7" s="16"/>
      <c r="G7" s="16"/>
      <c r="H7" s="16"/>
    </row>
    <row r="8" spans="1:8">
      <c r="A8" s="6" t="s">
        <v>131</v>
      </c>
      <c r="B8" s="1" t="s">
        <v>62</v>
      </c>
      <c r="C8" s="59">
        <v>2</v>
      </c>
      <c r="D8" s="2">
        <v>10000</v>
      </c>
      <c r="E8" s="17">
        <f>C8*D8</f>
        <v>20000</v>
      </c>
      <c r="F8" s="16"/>
      <c r="G8" s="16"/>
      <c r="H8" s="16"/>
    </row>
    <row r="9" spans="1:8">
      <c r="A9" s="6" t="s">
        <v>132</v>
      </c>
      <c r="B9" s="1" t="s">
        <v>62</v>
      </c>
      <c r="C9" s="59">
        <v>1</v>
      </c>
      <c r="D9" s="2">
        <v>4000</v>
      </c>
      <c r="E9" s="17">
        <f t="shared" ref="E9:E13" si="0">C9*D9</f>
        <v>4000</v>
      </c>
      <c r="F9" s="16"/>
      <c r="G9" s="16"/>
      <c r="H9" s="16"/>
    </row>
    <row r="10" spans="1:8">
      <c r="A10" s="6" t="s">
        <v>133</v>
      </c>
      <c r="B10" s="1" t="s">
        <v>62</v>
      </c>
      <c r="C10" s="59">
        <v>1</v>
      </c>
      <c r="D10" s="2">
        <v>2000</v>
      </c>
      <c r="E10" s="17">
        <f t="shared" si="0"/>
        <v>2000</v>
      </c>
      <c r="F10" s="16"/>
      <c r="G10" s="16"/>
      <c r="H10" s="16"/>
    </row>
    <row r="11" spans="1:8">
      <c r="A11" s="6" t="s">
        <v>134</v>
      </c>
      <c r="B11" s="1" t="s">
        <v>62</v>
      </c>
      <c r="C11" s="59">
        <v>2</v>
      </c>
      <c r="D11" s="2">
        <v>500</v>
      </c>
      <c r="E11" s="17">
        <f t="shared" si="0"/>
        <v>1000</v>
      </c>
      <c r="F11" s="16"/>
      <c r="G11" s="16"/>
      <c r="H11" s="16"/>
    </row>
    <row r="12" spans="1:8">
      <c r="A12" s="6" t="s">
        <v>135</v>
      </c>
      <c r="B12" s="1" t="s">
        <v>62</v>
      </c>
      <c r="C12" s="59">
        <v>1</v>
      </c>
      <c r="D12" s="2">
        <v>1000</v>
      </c>
      <c r="E12" s="17">
        <f t="shared" si="0"/>
        <v>1000</v>
      </c>
      <c r="F12" s="16"/>
      <c r="G12" s="16"/>
      <c r="H12" s="16"/>
    </row>
    <row r="13" spans="1:8">
      <c r="A13" s="6" t="s">
        <v>136</v>
      </c>
      <c r="B13" s="1" t="s">
        <v>32</v>
      </c>
      <c r="C13" s="59">
        <f>ROUNDUP(C69+C70,0)</f>
        <v>89</v>
      </c>
      <c r="D13" s="2">
        <v>200</v>
      </c>
      <c r="E13" s="17">
        <f t="shared" si="0"/>
        <v>17800</v>
      </c>
      <c r="F13" s="16"/>
      <c r="G13" s="16"/>
      <c r="H13" s="16"/>
    </row>
    <row r="14" spans="1:8">
      <c r="A14" s="1" t="s">
        <v>197</v>
      </c>
      <c r="B14" s="1"/>
      <c r="C14" s="59"/>
      <c r="E14" s="5">
        <f>E16+E17+E18+E20+E21</f>
        <v>65000</v>
      </c>
      <c r="F14" s="16"/>
      <c r="G14" s="16"/>
      <c r="H14" s="16"/>
    </row>
    <row r="15" spans="1:8">
      <c r="A15" s="4" t="s">
        <v>199</v>
      </c>
      <c r="B15" s="4"/>
      <c r="C15" s="59"/>
      <c r="E15" s="5">
        <f>SUBTOTAL(9,E16:E18)</f>
        <v>40000</v>
      </c>
      <c r="F15" s="147"/>
      <c r="G15" s="147"/>
      <c r="H15" s="147"/>
    </row>
    <row r="16" spans="1:8">
      <c r="A16" t="s">
        <v>137</v>
      </c>
      <c r="B16" t="s">
        <v>25</v>
      </c>
      <c r="C16" s="59">
        <v>1</v>
      </c>
      <c r="D16" s="2">
        <v>10000</v>
      </c>
      <c r="E16" s="2">
        <f>C16*D16</f>
        <v>10000</v>
      </c>
      <c r="F16" s="147"/>
      <c r="G16" s="147"/>
      <c r="H16" s="147"/>
    </row>
    <row r="17" spans="1:8">
      <c r="A17" t="s">
        <v>138</v>
      </c>
      <c r="B17" t="s">
        <v>25</v>
      </c>
      <c r="C17" s="59">
        <v>10</v>
      </c>
      <c r="D17" s="2">
        <v>2000</v>
      </c>
      <c r="E17" s="2">
        <f t="shared" ref="E17:E37" si="1">C17*D17</f>
        <v>20000</v>
      </c>
      <c r="F17" s="147"/>
      <c r="G17" s="147"/>
      <c r="H17" s="147"/>
    </row>
    <row r="18" spans="1:8">
      <c r="A18" t="s">
        <v>139</v>
      </c>
      <c r="B18" t="s">
        <v>4</v>
      </c>
      <c r="C18" s="59">
        <v>1</v>
      </c>
      <c r="D18" s="2">
        <v>10000</v>
      </c>
      <c r="E18" s="2">
        <f t="shared" si="1"/>
        <v>10000</v>
      </c>
      <c r="F18" s="147"/>
      <c r="G18" s="147"/>
      <c r="H18" s="147"/>
    </row>
    <row r="19" spans="1:8">
      <c r="A19" s="4" t="s">
        <v>198</v>
      </c>
      <c r="B19" s="4"/>
      <c r="C19" s="59"/>
      <c r="E19" s="5">
        <f>SUBTOTAL(9,E20:E21)</f>
        <v>25000</v>
      </c>
      <c r="F19" s="16"/>
      <c r="G19" s="16"/>
      <c r="H19" s="16"/>
    </row>
    <row r="20" spans="1:8">
      <c r="A20" t="s">
        <v>140</v>
      </c>
      <c r="B20" t="s">
        <v>23</v>
      </c>
      <c r="C20" s="59">
        <v>4</v>
      </c>
      <c r="D20" s="2">
        <v>2500</v>
      </c>
      <c r="E20" s="2">
        <f>C20*D20</f>
        <v>10000</v>
      </c>
      <c r="F20" s="16"/>
      <c r="G20" s="16"/>
      <c r="H20" s="16"/>
    </row>
    <row r="21" spans="1:8">
      <c r="A21" t="s">
        <v>141</v>
      </c>
      <c r="B21" t="s">
        <v>23</v>
      </c>
      <c r="C21" s="59">
        <v>10</v>
      </c>
      <c r="D21" s="2">
        <v>1500</v>
      </c>
      <c r="E21" s="2">
        <f t="shared" si="1"/>
        <v>15000</v>
      </c>
      <c r="F21" s="16"/>
      <c r="G21" s="16"/>
      <c r="H21" s="16"/>
    </row>
    <row r="22" spans="1:8">
      <c r="A22" s="1" t="s">
        <v>40</v>
      </c>
      <c r="B22" s="1"/>
      <c r="C22" s="59"/>
      <c r="E22" s="5">
        <f>SUBTOTAL(9,E23:E24)</f>
        <v>25000</v>
      </c>
      <c r="F22" s="16"/>
      <c r="G22" s="16"/>
      <c r="H22" s="16"/>
    </row>
    <row r="23" spans="1:8">
      <c r="A23" s="45" t="s">
        <v>119</v>
      </c>
      <c r="B23" s="1" t="s">
        <v>121</v>
      </c>
      <c r="C23" s="59">
        <v>1</v>
      </c>
      <c r="D23" s="2">
        <v>10000</v>
      </c>
      <c r="E23" s="5">
        <f>C23*D23</f>
        <v>10000</v>
      </c>
      <c r="F23" s="16"/>
      <c r="G23" s="16"/>
      <c r="H23" s="16"/>
    </row>
    <row r="24" spans="1:8">
      <c r="A24" s="45" t="s">
        <v>120</v>
      </c>
      <c r="B24" s="1" t="s">
        <v>121</v>
      </c>
      <c r="C24" s="59">
        <v>1</v>
      </c>
      <c r="D24" s="2">
        <v>15000</v>
      </c>
      <c r="E24" s="5">
        <f t="shared" si="1"/>
        <v>15000</v>
      </c>
      <c r="F24" s="16"/>
      <c r="G24" s="16"/>
      <c r="H24" s="16"/>
    </row>
    <row r="25" spans="1:8">
      <c r="A25" s="1" t="s">
        <v>8</v>
      </c>
      <c r="B25" s="1"/>
      <c r="C25" s="59"/>
      <c r="E25" s="55">
        <f>E26+E38</f>
        <v>74000</v>
      </c>
      <c r="F25" s="16"/>
      <c r="G25" s="16"/>
      <c r="H25" s="16"/>
    </row>
    <row r="26" spans="1:8">
      <c r="A26" s="4" t="s">
        <v>119</v>
      </c>
      <c r="B26" s="1"/>
      <c r="C26" s="59"/>
      <c r="E26" s="5">
        <f>SUM(E27,E32,E35)</f>
        <v>37000</v>
      </c>
      <c r="F26" s="16"/>
      <c r="G26" s="16"/>
      <c r="H26" s="16"/>
    </row>
    <row r="27" spans="1:8">
      <c r="A27" s="4" t="s">
        <v>143</v>
      </c>
      <c r="C27" s="59"/>
      <c r="E27" s="58">
        <f>SUBTOTAL(9,E28:E31)</f>
        <v>25500</v>
      </c>
      <c r="F27" s="16"/>
      <c r="G27" s="16"/>
      <c r="H27" s="16"/>
    </row>
    <row r="28" spans="1:8">
      <c r="A28" s="45" t="s">
        <v>152</v>
      </c>
      <c r="B28" t="s">
        <v>30</v>
      </c>
      <c r="C28" s="59">
        <v>1</v>
      </c>
      <c r="D28" s="2">
        <v>500</v>
      </c>
      <c r="E28" s="17">
        <f>C28*D28</f>
        <v>500</v>
      </c>
      <c r="F28" s="16"/>
      <c r="G28" s="16"/>
      <c r="H28" s="16"/>
    </row>
    <row r="29" spans="1:8">
      <c r="A29" t="s">
        <v>142</v>
      </c>
      <c r="B29" t="s">
        <v>33</v>
      </c>
      <c r="C29" s="59">
        <v>1</v>
      </c>
      <c r="D29" s="2">
        <v>4000</v>
      </c>
      <c r="E29" s="2">
        <f t="shared" si="1"/>
        <v>4000</v>
      </c>
      <c r="F29" s="16"/>
      <c r="G29" s="16"/>
      <c r="H29" s="16"/>
    </row>
    <row r="30" spans="1:8">
      <c r="A30" t="s">
        <v>144</v>
      </c>
      <c r="B30" t="s">
        <v>33</v>
      </c>
      <c r="C30" s="59">
        <v>1</v>
      </c>
      <c r="D30" s="2">
        <v>4000</v>
      </c>
      <c r="E30" s="2">
        <f t="shared" si="1"/>
        <v>4000</v>
      </c>
      <c r="F30" s="16"/>
      <c r="G30" s="16"/>
      <c r="H30" s="16"/>
    </row>
    <row r="31" spans="1:8">
      <c r="A31" t="s">
        <v>204</v>
      </c>
      <c r="B31" t="s">
        <v>205</v>
      </c>
      <c r="C31" s="59">
        <v>1</v>
      </c>
      <c r="D31" s="2">
        <v>17000</v>
      </c>
      <c r="E31" s="2">
        <f t="shared" si="1"/>
        <v>17000</v>
      </c>
      <c r="F31" s="16"/>
      <c r="G31" s="16"/>
      <c r="H31" s="16"/>
    </row>
    <row r="32" spans="1:8">
      <c r="A32" s="4" t="s">
        <v>145</v>
      </c>
      <c r="C32" s="59"/>
      <c r="E32" s="58">
        <f>SUM(E33:E34)</f>
        <v>5500</v>
      </c>
      <c r="F32" s="16"/>
      <c r="G32" s="16"/>
      <c r="H32" s="16"/>
    </row>
    <row r="33" spans="1:12">
      <c r="A33" t="s">
        <v>146</v>
      </c>
      <c r="B33" t="s">
        <v>34</v>
      </c>
      <c r="C33" s="59">
        <v>2</v>
      </c>
      <c r="D33" s="2">
        <v>1000</v>
      </c>
      <c r="E33" s="2">
        <f t="shared" si="1"/>
        <v>2000</v>
      </c>
      <c r="F33" s="16"/>
      <c r="G33" s="16"/>
      <c r="H33" s="16"/>
    </row>
    <row r="34" spans="1:12">
      <c r="A34" t="s">
        <v>147</v>
      </c>
      <c r="B34" t="s">
        <v>35</v>
      </c>
      <c r="C34" s="59">
        <v>1</v>
      </c>
      <c r="D34" s="2">
        <v>3500</v>
      </c>
      <c r="E34" s="2">
        <f t="shared" si="1"/>
        <v>3500</v>
      </c>
      <c r="F34" s="16"/>
      <c r="G34" s="16"/>
      <c r="H34" s="16"/>
    </row>
    <row r="35" spans="1:12">
      <c r="A35" s="4" t="s">
        <v>148</v>
      </c>
      <c r="C35" s="59"/>
      <c r="E35" s="58">
        <f>SUM(E36:E37)</f>
        <v>6000</v>
      </c>
      <c r="F35" s="16"/>
      <c r="G35" s="16"/>
      <c r="H35" s="16"/>
      <c r="L35" s="51">
        <v>43935</v>
      </c>
    </row>
    <row r="36" spans="1:12">
      <c r="A36" t="s">
        <v>149</v>
      </c>
      <c r="B36" t="s">
        <v>35</v>
      </c>
      <c r="C36" s="59">
        <v>1</v>
      </c>
      <c r="D36" s="2">
        <v>3500</v>
      </c>
      <c r="E36" s="2">
        <f t="shared" si="1"/>
        <v>3500</v>
      </c>
      <c r="F36" s="16"/>
      <c r="G36" s="16"/>
      <c r="H36" s="16"/>
    </row>
    <row r="37" spans="1:12">
      <c r="A37" t="s">
        <v>150</v>
      </c>
      <c r="B37" t="s">
        <v>35</v>
      </c>
      <c r="C37" s="59">
        <v>1</v>
      </c>
      <c r="D37" s="2">
        <v>2500</v>
      </c>
      <c r="E37" s="2">
        <f t="shared" si="1"/>
        <v>2500</v>
      </c>
      <c r="F37" s="16"/>
      <c r="G37" s="16"/>
      <c r="H37" s="16"/>
    </row>
    <row r="38" spans="1:12">
      <c r="A38" s="4" t="s">
        <v>120</v>
      </c>
      <c r="B38" s="1"/>
      <c r="C38" s="59"/>
      <c r="E38" s="5">
        <f>SUM(E39,E44,E47)</f>
        <v>37000</v>
      </c>
      <c r="F38" s="16"/>
      <c r="G38" s="16"/>
      <c r="H38" s="16"/>
    </row>
    <row r="39" spans="1:12">
      <c r="A39" s="4" t="s">
        <v>143</v>
      </c>
      <c r="C39" s="59"/>
      <c r="E39" s="58">
        <f>SUBTOTAL(9,E40:E43)</f>
        <v>25500</v>
      </c>
      <c r="F39" s="16"/>
      <c r="G39" s="16"/>
      <c r="H39" s="16"/>
    </row>
    <row r="40" spans="1:12">
      <c r="A40" s="45" t="s">
        <v>152</v>
      </c>
      <c r="B40" t="s">
        <v>32</v>
      </c>
      <c r="C40" s="59">
        <v>1</v>
      </c>
      <c r="D40" s="2">
        <v>500</v>
      </c>
      <c r="E40" s="17">
        <f>C40*D40</f>
        <v>500</v>
      </c>
      <c r="F40" s="16"/>
      <c r="G40" s="16"/>
      <c r="H40" s="16"/>
    </row>
    <row r="41" spans="1:12">
      <c r="A41" t="s">
        <v>142</v>
      </c>
      <c r="B41" t="s">
        <v>33</v>
      </c>
      <c r="C41" s="59">
        <v>1</v>
      </c>
      <c r="D41" s="2">
        <v>4000</v>
      </c>
      <c r="E41" s="2">
        <f t="shared" ref="E41:E49" si="2">C41*D41</f>
        <v>4000</v>
      </c>
      <c r="F41" s="16"/>
      <c r="G41" s="16"/>
      <c r="H41" s="16"/>
    </row>
    <row r="42" spans="1:12">
      <c r="A42" t="s">
        <v>144</v>
      </c>
      <c r="B42" t="s">
        <v>33</v>
      </c>
      <c r="C42" s="59">
        <v>1</v>
      </c>
      <c r="D42" s="2">
        <v>4000</v>
      </c>
      <c r="E42" s="2">
        <f t="shared" si="2"/>
        <v>4000</v>
      </c>
      <c r="F42" s="16"/>
      <c r="G42" s="16"/>
      <c r="H42" s="16"/>
    </row>
    <row r="43" spans="1:12">
      <c r="A43" t="s">
        <v>204</v>
      </c>
      <c r="B43" t="s">
        <v>205</v>
      </c>
      <c r="C43" s="59">
        <v>1</v>
      </c>
      <c r="D43" s="2">
        <v>17000</v>
      </c>
      <c r="E43" s="2">
        <f t="shared" si="2"/>
        <v>17000</v>
      </c>
      <c r="F43" s="16"/>
      <c r="G43" s="16"/>
      <c r="H43" s="16"/>
    </row>
    <row r="44" spans="1:12">
      <c r="A44" s="4" t="s">
        <v>145</v>
      </c>
      <c r="C44" s="59"/>
      <c r="E44" s="58">
        <f>SUM(E45:E46)</f>
        <v>5500</v>
      </c>
      <c r="F44" s="16"/>
      <c r="G44" s="16"/>
      <c r="H44" s="16"/>
    </row>
    <row r="45" spans="1:12">
      <c r="A45" t="s">
        <v>146</v>
      </c>
      <c r="B45" t="s">
        <v>34</v>
      </c>
      <c r="C45" s="59">
        <v>2</v>
      </c>
      <c r="D45" s="2">
        <v>1000</v>
      </c>
      <c r="E45" s="2">
        <f t="shared" ref="E45:E49" si="3">C45*D45</f>
        <v>2000</v>
      </c>
      <c r="F45" s="16"/>
      <c r="G45" s="16"/>
      <c r="H45" s="16"/>
    </row>
    <row r="46" spans="1:12">
      <c r="A46" t="s">
        <v>147</v>
      </c>
      <c r="B46" t="s">
        <v>35</v>
      </c>
      <c r="C46" s="59">
        <v>1</v>
      </c>
      <c r="D46" s="2">
        <v>3500</v>
      </c>
      <c r="E46" s="2">
        <f t="shared" si="3"/>
        <v>3500</v>
      </c>
      <c r="F46" s="16"/>
      <c r="G46" s="16"/>
      <c r="H46" s="16"/>
    </row>
    <row r="47" spans="1:12">
      <c r="A47" s="4" t="s">
        <v>148</v>
      </c>
      <c r="C47" s="59"/>
      <c r="E47" s="58">
        <f>SUM(E48:E49)</f>
        <v>6000</v>
      </c>
      <c r="F47" s="16"/>
      <c r="G47" s="16"/>
      <c r="H47" s="16"/>
    </row>
    <row r="48" spans="1:12">
      <c r="A48" t="s">
        <v>149</v>
      </c>
      <c r="B48" t="s">
        <v>35</v>
      </c>
      <c r="C48" s="59">
        <v>1</v>
      </c>
      <c r="D48" s="2">
        <v>3500</v>
      </c>
      <c r="E48" s="2">
        <f t="shared" ref="E48:E49" si="4">C48*D48</f>
        <v>3500</v>
      </c>
      <c r="F48" s="16"/>
      <c r="G48" s="16"/>
      <c r="H48" s="16"/>
    </row>
    <row r="49" spans="1:8">
      <c r="A49" t="s">
        <v>150</v>
      </c>
      <c r="B49" t="s">
        <v>35</v>
      </c>
      <c r="C49" s="59">
        <v>1</v>
      </c>
      <c r="D49" s="2">
        <v>2500</v>
      </c>
      <c r="E49" s="2">
        <f t="shared" si="4"/>
        <v>2500</v>
      </c>
      <c r="F49" s="16"/>
      <c r="G49" s="16"/>
      <c r="H49" s="16"/>
    </row>
    <row r="50" spans="1:8">
      <c r="A50" s="1" t="s">
        <v>201</v>
      </c>
      <c r="B50" s="1"/>
      <c r="C50" s="59"/>
      <c r="E50" s="5">
        <f>SUM(E51,E57)</f>
        <v>175000</v>
      </c>
      <c r="F50" s="16"/>
      <c r="G50" s="16"/>
      <c r="H50" s="16"/>
    </row>
    <row r="51" spans="1:8">
      <c r="A51" s="4" t="s">
        <v>119</v>
      </c>
      <c r="B51" s="1"/>
      <c r="C51" s="59"/>
      <c r="E51" s="58">
        <f>SUBTOTAL(9,E52:E56)</f>
        <v>72500</v>
      </c>
      <c r="F51" s="16"/>
      <c r="G51" s="16"/>
      <c r="H51" s="16"/>
    </row>
    <row r="52" spans="1:8">
      <c r="A52" s="45" t="s">
        <v>130</v>
      </c>
      <c r="B52" s="57" t="s">
        <v>13</v>
      </c>
      <c r="C52" s="59">
        <v>1</v>
      </c>
      <c r="D52" s="2">
        <v>2500</v>
      </c>
      <c r="E52" s="2">
        <f>C52*D52</f>
        <v>2500</v>
      </c>
      <c r="F52" s="16"/>
      <c r="G52" s="16"/>
      <c r="H52" s="16"/>
    </row>
    <row r="53" spans="1:8">
      <c r="A53" s="45" t="s">
        <v>122</v>
      </c>
      <c r="B53" s="57" t="s">
        <v>13</v>
      </c>
      <c r="C53" s="59">
        <f>2*2</f>
        <v>4</v>
      </c>
      <c r="D53" s="2">
        <v>2500</v>
      </c>
      <c r="E53" s="2">
        <f>C53*D53</f>
        <v>10000</v>
      </c>
      <c r="F53" s="16"/>
      <c r="G53" s="16"/>
      <c r="H53" s="16"/>
    </row>
    <row r="54" spans="1:8">
      <c r="A54" s="45" t="s">
        <v>21</v>
      </c>
      <c r="B54" s="57" t="s">
        <v>13</v>
      </c>
      <c r="C54" s="59">
        <f>2*2</f>
        <v>4</v>
      </c>
      <c r="D54" s="2">
        <v>2500</v>
      </c>
      <c r="E54" s="2">
        <f t="shared" ref="E54:E70" si="5">C54*D54</f>
        <v>10000</v>
      </c>
      <c r="F54" s="144" t="s">
        <v>27</v>
      </c>
      <c r="G54" s="144"/>
      <c r="H54" s="144"/>
    </row>
    <row r="55" spans="1:8">
      <c r="A55" s="45" t="s">
        <v>22</v>
      </c>
      <c r="B55" s="57" t="s">
        <v>13</v>
      </c>
      <c r="C55" s="59">
        <f>2*2</f>
        <v>4</v>
      </c>
      <c r="D55" s="2">
        <v>2500</v>
      </c>
      <c r="E55" s="2">
        <f t="shared" si="5"/>
        <v>10000</v>
      </c>
      <c r="F55" s="144"/>
      <c r="G55" s="144"/>
      <c r="H55" s="144"/>
    </row>
    <row r="56" spans="1:8">
      <c r="A56" s="45" t="s">
        <v>128</v>
      </c>
      <c r="B56" s="57" t="s">
        <v>13</v>
      </c>
      <c r="C56" s="59">
        <f>2*8</f>
        <v>16</v>
      </c>
      <c r="D56" s="2">
        <v>2500</v>
      </c>
      <c r="E56" s="2">
        <f>C56*D56</f>
        <v>40000</v>
      </c>
      <c r="F56" s="145" t="s">
        <v>28</v>
      </c>
      <c r="G56" s="145"/>
      <c r="H56" s="145"/>
    </row>
    <row r="57" spans="1:8">
      <c r="A57" s="4" t="s">
        <v>120</v>
      </c>
      <c r="B57" s="6"/>
      <c r="C57" s="59"/>
      <c r="E57" s="58">
        <f>SUBTOTAL(9,E58:E63)</f>
        <v>102500</v>
      </c>
      <c r="F57" s="52"/>
      <c r="G57" s="52"/>
      <c r="H57" s="52"/>
    </row>
    <row r="58" spans="1:8">
      <c r="A58" s="45" t="s">
        <v>130</v>
      </c>
      <c r="B58" s="57" t="s">
        <v>13</v>
      </c>
      <c r="C58" s="59">
        <v>1</v>
      </c>
      <c r="D58" s="2">
        <v>2500</v>
      </c>
      <c r="E58" s="2">
        <f>C58*D58</f>
        <v>2500</v>
      </c>
      <c r="F58" s="52"/>
      <c r="G58" s="52"/>
      <c r="H58" s="52"/>
    </row>
    <row r="59" spans="1:8">
      <c r="A59" s="45" t="s">
        <v>122</v>
      </c>
      <c r="B59" s="57" t="s">
        <v>13</v>
      </c>
      <c r="C59" s="59">
        <f>2*3</f>
        <v>6</v>
      </c>
      <c r="D59" s="2">
        <v>2500</v>
      </c>
      <c r="E59" s="2">
        <f>C59*D59</f>
        <v>15000</v>
      </c>
      <c r="F59" s="52"/>
      <c r="G59" s="52"/>
      <c r="H59" s="52"/>
    </row>
    <row r="60" spans="1:8">
      <c r="A60" s="45" t="s">
        <v>129</v>
      </c>
      <c r="B60" s="57" t="s">
        <v>13</v>
      </c>
      <c r="C60" s="59">
        <v>6</v>
      </c>
      <c r="D60" s="2">
        <v>2500</v>
      </c>
      <c r="E60" s="2">
        <f t="shared" ref="E60:E63" si="6">C60*D60</f>
        <v>15000</v>
      </c>
      <c r="F60" s="52"/>
      <c r="G60" s="52"/>
      <c r="H60" s="52"/>
    </row>
    <row r="61" spans="1:8">
      <c r="A61" s="45" t="s">
        <v>22</v>
      </c>
      <c r="B61" s="57" t="s">
        <v>13</v>
      </c>
      <c r="C61" s="59">
        <v>6</v>
      </c>
      <c r="D61" s="2">
        <v>2500</v>
      </c>
      <c r="E61" s="2">
        <f t="shared" si="6"/>
        <v>15000</v>
      </c>
      <c r="F61" s="52"/>
      <c r="G61" s="52"/>
      <c r="H61" s="52"/>
    </row>
    <row r="62" spans="1:8">
      <c r="A62" s="45" t="s">
        <v>192</v>
      </c>
      <c r="B62" s="57" t="s">
        <v>13</v>
      </c>
      <c r="C62" s="59">
        <v>6</v>
      </c>
      <c r="D62" s="2">
        <v>2500</v>
      </c>
      <c r="E62" s="2">
        <f t="shared" si="6"/>
        <v>15000</v>
      </c>
      <c r="F62" s="96"/>
      <c r="G62" s="96"/>
      <c r="H62" s="96"/>
    </row>
    <row r="63" spans="1:8">
      <c r="A63" s="45" t="s">
        <v>128</v>
      </c>
      <c r="B63" s="57" t="s">
        <v>13</v>
      </c>
      <c r="C63" s="59">
        <f>2*8</f>
        <v>16</v>
      </c>
      <c r="D63" s="2">
        <v>2500</v>
      </c>
      <c r="E63" s="2">
        <f>C63*D63</f>
        <v>40000</v>
      </c>
      <c r="F63" s="52"/>
      <c r="G63" s="52"/>
      <c r="H63" s="52"/>
    </row>
    <row r="64" spans="1:8">
      <c r="A64" s="4" t="s">
        <v>123</v>
      </c>
      <c r="B64" s="57"/>
      <c r="C64" s="59"/>
      <c r="E64" s="5">
        <f>SUM(E65:E66)</f>
        <v>0</v>
      </c>
      <c r="F64" s="19"/>
      <c r="G64" s="19"/>
      <c r="H64" s="19"/>
    </row>
    <row r="65" spans="1:8">
      <c r="A65" s="45" t="s">
        <v>44</v>
      </c>
      <c r="B65" s="57" t="s">
        <v>45</v>
      </c>
      <c r="C65" s="59"/>
      <c r="D65" s="2">
        <v>700</v>
      </c>
      <c r="E65" s="2">
        <f t="shared" si="5"/>
        <v>0</v>
      </c>
      <c r="F65" s="147" t="s">
        <v>46</v>
      </c>
      <c r="G65" s="147"/>
      <c r="H65" s="147"/>
    </row>
    <row r="66" spans="1:8">
      <c r="A66" s="45" t="s">
        <v>127</v>
      </c>
      <c r="B66" s="57" t="s">
        <v>45</v>
      </c>
      <c r="C66" s="59"/>
      <c r="D66" s="2">
        <v>1500</v>
      </c>
      <c r="E66" s="2">
        <f t="shared" si="5"/>
        <v>0</v>
      </c>
      <c r="F66" s="144" t="s">
        <v>47</v>
      </c>
      <c r="G66" s="144"/>
      <c r="H66" s="144"/>
    </row>
    <row r="67" spans="1:8">
      <c r="A67" s="4" t="s">
        <v>26</v>
      </c>
      <c r="B67" s="7"/>
      <c r="C67" s="59"/>
      <c r="E67" s="5">
        <f>SUBTOTAL(9,E68:E70)</f>
        <v>107800</v>
      </c>
      <c r="F67" s="16"/>
      <c r="G67" s="16"/>
      <c r="H67" s="16"/>
    </row>
    <row r="68" spans="1:8">
      <c r="A68" s="45" t="s">
        <v>124</v>
      </c>
      <c r="B68" s="56" t="s">
        <v>63</v>
      </c>
      <c r="C68" s="59">
        <v>30</v>
      </c>
      <c r="D68" s="2">
        <v>3000</v>
      </c>
      <c r="E68" s="2">
        <f t="shared" si="5"/>
        <v>90000</v>
      </c>
      <c r="F68" s="146" t="s">
        <v>29</v>
      </c>
      <c r="G68" s="146"/>
      <c r="H68" s="146"/>
    </row>
    <row r="69" spans="1:8">
      <c r="A69" s="45" t="s">
        <v>125</v>
      </c>
      <c r="B69" s="56" t="s">
        <v>30</v>
      </c>
      <c r="C69" s="59">
        <f>ROUNDUP('Recettes Prev'!C13,0)</f>
        <v>40</v>
      </c>
      <c r="D69" s="2">
        <v>200</v>
      </c>
      <c r="E69" s="2">
        <f t="shared" si="5"/>
        <v>8000</v>
      </c>
      <c r="F69" s="146" t="s">
        <v>31</v>
      </c>
      <c r="G69" s="146"/>
      <c r="H69" s="146"/>
    </row>
    <row r="70" spans="1:8">
      <c r="A70" s="45" t="s">
        <v>126</v>
      </c>
      <c r="B70" s="56" t="s">
        <v>30</v>
      </c>
      <c r="C70" s="59">
        <f>ROUNDUP('Recettes Prev'!C32,0)</f>
        <v>49</v>
      </c>
      <c r="D70" s="2">
        <v>200</v>
      </c>
      <c r="E70" s="2">
        <f t="shared" si="5"/>
        <v>9800</v>
      </c>
      <c r="F70" s="53"/>
      <c r="G70" s="53"/>
      <c r="H70" s="53"/>
    </row>
    <row r="71" spans="1:8">
      <c r="A71" s="4" t="s">
        <v>218</v>
      </c>
      <c r="B71" s="56" t="s">
        <v>118</v>
      </c>
      <c r="C71" s="106">
        <v>8</v>
      </c>
      <c r="D71" s="2">
        <v>50000</v>
      </c>
      <c r="E71" s="5">
        <f>C71*D71</f>
        <v>400000</v>
      </c>
      <c r="F71" s="16"/>
      <c r="G71" s="16"/>
      <c r="H71" s="16"/>
    </row>
    <row r="72" spans="1:8">
      <c r="A72" s="4" t="s">
        <v>215</v>
      </c>
      <c r="B72" s="56"/>
      <c r="E72" s="5">
        <f>SUM(E73:E74)</f>
        <v>29000</v>
      </c>
      <c r="F72" s="16"/>
      <c r="G72" s="16"/>
      <c r="H72" s="16"/>
    </row>
    <row r="73" spans="1:8">
      <c r="A73" s="45" t="s">
        <v>216</v>
      </c>
      <c r="B73" s="56"/>
      <c r="C73" s="59">
        <v>1</v>
      </c>
      <c r="D73" s="2">
        <v>25000</v>
      </c>
      <c r="E73" s="5">
        <f>C73*D73</f>
        <v>25000</v>
      </c>
      <c r="F73" s="16"/>
      <c r="G73" s="16"/>
      <c r="H73" s="16"/>
    </row>
    <row r="74" spans="1:8">
      <c r="A74" s="45" t="s">
        <v>217</v>
      </c>
      <c r="B74" s="56" t="s">
        <v>118</v>
      </c>
      <c r="C74" s="59">
        <v>8</v>
      </c>
      <c r="D74" s="2">
        <v>500</v>
      </c>
      <c r="E74" s="5">
        <f>C74*D74</f>
        <v>4000</v>
      </c>
      <c r="F74" s="16"/>
      <c r="G74" s="16"/>
      <c r="H74" s="16"/>
    </row>
    <row r="75" spans="1:8">
      <c r="A75" s="45"/>
      <c r="B75" s="56"/>
      <c r="F75" s="16"/>
      <c r="G75" s="16"/>
      <c r="H75" s="16"/>
    </row>
    <row r="76" spans="1:8" ht="18.75">
      <c r="A76" s="142" t="s">
        <v>5</v>
      </c>
      <c r="B76" s="142"/>
      <c r="C76" s="142"/>
      <c r="D76" s="142"/>
      <c r="E76" s="3">
        <f>E67+E50+E25+E22+E7+E6+E5+E4+E71+E72</f>
        <v>896600</v>
      </c>
      <c r="F76" s="26">
        <f>IF(E76&lt;&gt;BUDGET!BL81,E76-BUDGET!BL81,"")</f>
        <v>-439420.23809523904</v>
      </c>
      <c r="G76" s="16"/>
      <c r="H76" s="16"/>
    </row>
    <row r="79" spans="1:8" ht="18.75">
      <c r="A79" s="15" t="s">
        <v>36</v>
      </c>
      <c r="B79" s="15" t="s">
        <v>3</v>
      </c>
      <c r="C79" s="13" t="s">
        <v>159</v>
      </c>
    </row>
    <row r="80" spans="1:8">
      <c r="A80" s="1" t="s">
        <v>37</v>
      </c>
      <c r="B80" s="18">
        <f>E4</f>
        <v>20000</v>
      </c>
      <c r="C80" s="107">
        <f>B80/$B$91</f>
        <v>2.0798668885191347E-2</v>
      </c>
    </row>
    <row r="81" spans="1:5">
      <c r="A81" s="1" t="s">
        <v>38</v>
      </c>
      <c r="B81" s="18">
        <f>E5+E6</f>
        <v>20000</v>
      </c>
      <c r="C81" s="107">
        <f t="shared" ref="C81:C91" si="7">B81/$B$91</f>
        <v>2.0798668885191347E-2</v>
      </c>
    </row>
    <row r="82" spans="1:5">
      <c r="A82" s="1" t="s">
        <v>39</v>
      </c>
      <c r="B82" s="18">
        <f>E14</f>
        <v>65000</v>
      </c>
      <c r="C82" s="107">
        <f t="shared" si="7"/>
        <v>6.7595673876871876E-2</v>
      </c>
    </row>
    <row r="83" spans="1:5">
      <c r="A83" s="1" t="s">
        <v>40</v>
      </c>
      <c r="B83" s="18">
        <f>E22</f>
        <v>25000</v>
      </c>
      <c r="C83" s="107">
        <f t="shared" si="7"/>
        <v>2.5998336106489186E-2</v>
      </c>
    </row>
    <row r="84" spans="1:5">
      <c r="A84" s="1" t="s">
        <v>41</v>
      </c>
      <c r="B84" s="18">
        <f>E25</f>
        <v>74000</v>
      </c>
      <c r="C84" s="107">
        <f t="shared" si="7"/>
        <v>7.6955074875207988E-2</v>
      </c>
    </row>
    <row r="85" spans="1:5">
      <c r="A85" s="1" t="s">
        <v>9</v>
      </c>
      <c r="B85" s="18">
        <f>E50</f>
        <v>175000</v>
      </c>
      <c r="C85" s="107">
        <f t="shared" si="7"/>
        <v>0.1819883527454243</v>
      </c>
    </row>
    <row r="86" spans="1:5">
      <c r="A86" s="1" t="s">
        <v>26</v>
      </c>
      <c r="B86" s="18">
        <f>E67</f>
        <v>107800</v>
      </c>
      <c r="C86" s="107">
        <f t="shared" si="7"/>
        <v>0.11210482529118136</v>
      </c>
    </row>
    <row r="87" spans="1:5">
      <c r="A87" s="1" t="s">
        <v>42</v>
      </c>
      <c r="B87" s="18">
        <f>E7</f>
        <v>45800</v>
      </c>
      <c r="C87" s="107">
        <f t="shared" si="7"/>
        <v>4.7628951747088186E-2</v>
      </c>
    </row>
    <row r="88" spans="1:5">
      <c r="A88" s="1" t="s">
        <v>43</v>
      </c>
      <c r="B88" s="18">
        <f>E64</f>
        <v>0</v>
      </c>
      <c r="C88" s="107">
        <f t="shared" si="7"/>
        <v>0</v>
      </c>
    </row>
    <row r="89" spans="1:5">
      <c r="A89" s="4" t="s">
        <v>218</v>
      </c>
      <c r="B89" s="18">
        <f>E71</f>
        <v>400000</v>
      </c>
      <c r="C89" s="107">
        <f t="shared" si="7"/>
        <v>0.41597337770382697</v>
      </c>
    </row>
    <row r="90" spans="1:5">
      <c r="A90" s="4" t="s">
        <v>215</v>
      </c>
      <c r="B90" s="18">
        <f>E72</f>
        <v>29000</v>
      </c>
      <c r="C90" s="107">
        <f t="shared" si="7"/>
        <v>3.0158069883527455E-2</v>
      </c>
    </row>
    <row r="91" spans="1:5" ht="18.75">
      <c r="A91" s="14" t="s">
        <v>5</v>
      </c>
      <c r="B91" s="20">
        <f>SUM(B80:B90)</f>
        <v>961600</v>
      </c>
      <c r="C91" s="62">
        <f>B91/$B$91</f>
        <v>1</v>
      </c>
      <c r="D91" s="2">
        <f>B91-E76</f>
        <v>65000</v>
      </c>
    </row>
    <row r="93" spans="1:5" s="8" customFormat="1">
      <c r="A93" s="29" t="s">
        <v>165</v>
      </c>
      <c r="B93" s="30"/>
      <c r="C93" s="32"/>
      <c r="D93" s="31"/>
      <c r="E93" s="31"/>
    </row>
    <row r="94" spans="1:5" s="8" customFormat="1">
      <c r="A94" s="29"/>
      <c r="B94" s="43"/>
      <c r="C94" s="32"/>
      <c r="D94" s="31"/>
      <c r="E94" s="31"/>
    </row>
    <row r="95" spans="1:5">
      <c r="A95" s="1" t="s">
        <v>219</v>
      </c>
      <c r="B95" s="21">
        <f>SUBTOTAL(9,B96:B102)</f>
        <v>357600</v>
      </c>
      <c r="C95" s="107">
        <f>B95/B108</f>
        <v>0.39884006245817533</v>
      </c>
    </row>
    <row r="96" spans="1:5">
      <c r="A96" s="6" t="s">
        <v>38</v>
      </c>
      <c r="B96" s="63">
        <f>E5+E6</f>
        <v>20000</v>
      </c>
    </row>
    <row r="97" spans="1:4">
      <c r="A97" t="s">
        <v>40</v>
      </c>
      <c r="B97" s="18">
        <f>E22</f>
        <v>25000</v>
      </c>
    </row>
    <row r="98" spans="1:4">
      <c r="A98" t="s">
        <v>41</v>
      </c>
      <c r="B98" s="18">
        <f>E25</f>
        <v>74000</v>
      </c>
    </row>
    <row r="99" spans="1:4">
      <c r="A99" t="s">
        <v>160</v>
      </c>
      <c r="B99" s="18">
        <f>E7</f>
        <v>45800</v>
      </c>
    </row>
    <row r="100" spans="1:4">
      <c r="A100" t="s">
        <v>9</v>
      </c>
      <c r="B100" s="18">
        <f>E50</f>
        <v>175000</v>
      </c>
    </row>
    <row r="101" spans="1:4">
      <c r="A101" t="s">
        <v>44</v>
      </c>
      <c r="B101" s="18">
        <f>E64</f>
        <v>0</v>
      </c>
      <c r="D101" s="34"/>
    </row>
    <row r="102" spans="1:4">
      <c r="A102" t="s">
        <v>161</v>
      </c>
      <c r="B102" s="18">
        <f>E69+E70</f>
        <v>17800</v>
      </c>
    </row>
    <row r="103" spans="1:4">
      <c r="A103" s="1" t="s">
        <v>162</v>
      </c>
      <c r="B103" s="21">
        <f>SUBTOTAL(9,B104:B107)</f>
        <v>539000</v>
      </c>
      <c r="C103" s="107">
        <f>B103/B108</f>
        <v>0.60115993754182462</v>
      </c>
    </row>
    <row r="104" spans="1:4">
      <c r="A104" s="6" t="s">
        <v>218</v>
      </c>
      <c r="B104" s="63">
        <f>B89</f>
        <v>400000</v>
      </c>
      <c r="C104" s="107"/>
    </row>
    <row r="105" spans="1:4">
      <c r="A105" s="6" t="s">
        <v>215</v>
      </c>
      <c r="B105" s="63">
        <f>B90</f>
        <v>29000</v>
      </c>
      <c r="C105" s="107"/>
    </row>
    <row r="106" spans="1:4">
      <c r="A106" s="6" t="s">
        <v>37</v>
      </c>
      <c r="B106" s="63">
        <f>E4</f>
        <v>20000</v>
      </c>
    </row>
    <row r="107" spans="1:4">
      <c r="A107" t="s">
        <v>163</v>
      </c>
      <c r="B107" s="18">
        <f>E68</f>
        <v>90000</v>
      </c>
    </row>
    <row r="108" spans="1:4" ht="18.75">
      <c r="A108" s="54" t="s">
        <v>164</v>
      </c>
      <c r="B108" s="20">
        <f>B103+B95</f>
        <v>896600</v>
      </c>
      <c r="C108" s="62">
        <f>B108/B108</f>
        <v>1</v>
      </c>
    </row>
    <row r="110" spans="1:4">
      <c r="A110" s="1" t="s">
        <v>219</v>
      </c>
      <c r="B110" s="46">
        <f>C95</f>
        <v>0.39884006245817533</v>
      </c>
    </row>
    <row r="111" spans="1:4">
      <c r="A111" s="1" t="s">
        <v>254</v>
      </c>
      <c r="B111" s="62">
        <f>C103</f>
        <v>0.60115993754182462</v>
      </c>
    </row>
    <row r="112" spans="1:4">
      <c r="A112" s="37"/>
      <c r="B112" s="12"/>
    </row>
    <row r="113" spans="1:2">
      <c r="A113" s="37" t="s">
        <v>166</v>
      </c>
    </row>
    <row r="114" spans="1:2">
      <c r="A114" s="37" t="s">
        <v>167</v>
      </c>
    </row>
    <row r="115" spans="1:2">
      <c r="A115" s="6" t="s">
        <v>37</v>
      </c>
      <c r="B115" s="18">
        <f>E4*1000/2500</f>
        <v>8000</v>
      </c>
    </row>
    <row r="116" spans="1:2">
      <c r="A116" s="6" t="s">
        <v>38</v>
      </c>
      <c r="B116" s="18">
        <f>(E5+E6)*1000/2500</f>
        <v>8000</v>
      </c>
    </row>
    <row r="117" spans="1:2">
      <c r="A117" t="s">
        <v>40</v>
      </c>
      <c r="B117" s="18">
        <f>E23</f>
        <v>10000</v>
      </c>
    </row>
    <row r="118" spans="1:2">
      <c r="A118" t="s">
        <v>168</v>
      </c>
      <c r="B118" s="18">
        <f>E26</f>
        <v>37000</v>
      </c>
    </row>
    <row r="119" spans="1:2">
      <c r="A119" t="s">
        <v>9</v>
      </c>
      <c r="B119" s="18">
        <f>E51</f>
        <v>72500</v>
      </c>
    </row>
    <row r="120" spans="1:2">
      <c r="A120" t="s">
        <v>169</v>
      </c>
      <c r="B120" s="18">
        <f>(C13-C70)*D70</f>
        <v>8000</v>
      </c>
    </row>
    <row r="121" spans="1:2">
      <c r="A121" t="s">
        <v>161</v>
      </c>
      <c r="B121" s="18">
        <f>E69</f>
        <v>8000</v>
      </c>
    </row>
    <row r="122" spans="1:2">
      <c r="A122" t="s">
        <v>124</v>
      </c>
    </row>
    <row r="123" spans="1:2">
      <c r="A123" s="37" t="s">
        <v>117</v>
      </c>
    </row>
    <row r="124" spans="1:2">
      <c r="A124" s="6" t="s">
        <v>37</v>
      </c>
    </row>
    <row r="125" spans="1:2">
      <c r="A125" s="6" t="s">
        <v>38</v>
      </c>
    </row>
    <row r="126" spans="1:2">
      <c r="A126" t="s">
        <v>40</v>
      </c>
    </row>
    <row r="127" spans="1:2">
      <c r="A127" t="s">
        <v>168</v>
      </c>
    </row>
    <row r="128" spans="1:2">
      <c r="A128" t="s">
        <v>9</v>
      </c>
    </row>
    <row r="129" spans="1:1">
      <c r="A129" t="s">
        <v>169</v>
      </c>
    </row>
    <row r="130" spans="1:1">
      <c r="A130" t="s">
        <v>161</v>
      </c>
    </row>
    <row r="131" spans="1:1">
      <c r="A131" t="s">
        <v>124</v>
      </c>
    </row>
  </sheetData>
  <mergeCells count="9">
    <mergeCell ref="A76:D76"/>
    <mergeCell ref="A1:F1"/>
    <mergeCell ref="F54:H55"/>
    <mergeCell ref="F56:H56"/>
    <mergeCell ref="F68:H68"/>
    <mergeCell ref="F69:H69"/>
    <mergeCell ref="F65:H65"/>
    <mergeCell ref="F66:H66"/>
    <mergeCell ref="F15:H18"/>
  </mergeCells>
  <phoneticPr fontId="4" alignment="center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8621EB-8456-924E-A0FA-CCAA57B37F13}">
  <dimension ref="B1:CJ143"/>
  <sheetViews>
    <sheetView topLeftCell="B3" zoomScaleNormal="60" zoomScaleSheetLayoutView="100" workbookViewId="0">
      <selection activeCell="C86" sqref="C86"/>
    </sheetView>
  </sheetViews>
  <sheetFormatPr defaultRowHeight="18.75"/>
  <cols>
    <col min="2" max="2" width="43.046875" style="88" bestFit="1" customWidth="1"/>
    <col min="3" max="4" width="12.23828125" bestFit="1" customWidth="1"/>
    <col min="5" max="6" width="11.43359375" bestFit="1" customWidth="1"/>
    <col min="7" max="9" width="12.5078125" bestFit="1" customWidth="1"/>
    <col min="10" max="10" width="13.44921875" customWidth="1"/>
    <col min="11" max="11" width="13.71875" customWidth="1"/>
    <col min="12" max="12" width="13.1796875" customWidth="1"/>
    <col min="13" max="13" width="12.9140625" customWidth="1"/>
    <col min="14" max="14" width="11.56640625" style="22" customWidth="1"/>
    <col min="15" max="15" width="12.9140625" customWidth="1"/>
    <col min="16" max="16" width="13.71875" customWidth="1"/>
    <col min="17" max="17" width="12.375" customWidth="1"/>
    <col min="18" max="18" width="13.44921875" customWidth="1"/>
    <col min="19" max="19" width="11.703125" bestFit="1" customWidth="1"/>
    <col min="20" max="63" width="11.703125" customWidth="1"/>
    <col min="64" max="64" width="10.4921875" style="1" bestFit="1" customWidth="1"/>
    <col min="67" max="67" width="30.265625" bestFit="1" customWidth="1"/>
    <col min="68" max="68" width="9.14453125" bestFit="1" customWidth="1"/>
    <col min="69" max="69" width="9.68359375" bestFit="1" customWidth="1"/>
    <col min="71" max="72" width="9.68359375" bestFit="1" customWidth="1"/>
    <col min="73" max="73" width="12.9140625" style="20" bestFit="1" customWidth="1"/>
    <col min="80" max="80" width="12.5078125" bestFit="1" customWidth="1"/>
  </cols>
  <sheetData>
    <row r="1" spans="2:73">
      <c r="B1" s="88" t="s">
        <v>115</v>
      </c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  <c r="S1">
        <v>17</v>
      </c>
      <c r="T1">
        <v>18</v>
      </c>
      <c r="U1">
        <v>19</v>
      </c>
      <c r="V1">
        <v>20</v>
      </c>
      <c r="W1">
        <v>21</v>
      </c>
      <c r="X1">
        <v>22</v>
      </c>
      <c r="Y1">
        <v>23</v>
      </c>
      <c r="Z1">
        <v>24</v>
      </c>
      <c r="AA1">
        <v>25</v>
      </c>
      <c r="AB1">
        <v>26</v>
      </c>
      <c r="AC1">
        <v>27</v>
      </c>
      <c r="AD1">
        <v>28</v>
      </c>
      <c r="AE1">
        <v>29</v>
      </c>
      <c r="AF1">
        <v>30</v>
      </c>
      <c r="BO1" t="s">
        <v>116</v>
      </c>
    </row>
    <row r="2" spans="2:73">
      <c r="B2" s="88" t="s">
        <v>85</v>
      </c>
      <c r="C2" s="40">
        <f>Planning!C3</f>
        <v>44105</v>
      </c>
    </row>
    <row r="3" spans="2:73">
      <c r="C3" s="42"/>
      <c r="D3" s="41"/>
      <c r="E3" s="42"/>
      <c r="F3" s="42"/>
      <c r="G3" s="42"/>
      <c r="H3" s="41"/>
      <c r="I3" s="42"/>
      <c r="J3" s="42"/>
      <c r="K3" s="42"/>
      <c r="L3" s="41"/>
      <c r="M3" s="42"/>
      <c r="N3" s="42"/>
      <c r="O3" s="42"/>
      <c r="P3" s="41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42"/>
      <c r="AJ3" s="42"/>
      <c r="AK3" s="42"/>
      <c r="AL3" s="42"/>
      <c r="AM3" s="42"/>
      <c r="AN3" s="42"/>
      <c r="AO3" s="42"/>
      <c r="AP3" s="42"/>
      <c r="AQ3" s="42"/>
      <c r="AR3" s="42"/>
      <c r="AS3" s="42"/>
      <c r="AT3" s="42"/>
      <c r="AU3" s="42"/>
      <c r="AV3" s="42"/>
      <c r="AW3" s="42"/>
      <c r="AX3" s="42"/>
      <c r="AY3" s="42"/>
      <c r="AZ3" s="42"/>
      <c r="BA3" s="42"/>
      <c r="BB3" s="42"/>
      <c r="BC3" s="42"/>
      <c r="BD3" s="42"/>
      <c r="BE3" s="42"/>
      <c r="BF3" s="42"/>
      <c r="BG3" s="42"/>
      <c r="BH3" s="42"/>
      <c r="BI3" s="42"/>
      <c r="BJ3" s="42"/>
      <c r="BK3" s="42"/>
    </row>
    <row r="4" spans="2:73">
      <c r="B4" s="89" t="s">
        <v>0</v>
      </c>
      <c r="C4" s="87">
        <f>C2</f>
        <v>44105</v>
      </c>
      <c r="D4" s="87">
        <f t="shared" ref="D4:S4" si="0">C4+7</f>
        <v>44112</v>
      </c>
      <c r="E4" s="87">
        <f t="shared" si="0"/>
        <v>44119</v>
      </c>
      <c r="F4" s="87">
        <f t="shared" si="0"/>
        <v>44126</v>
      </c>
      <c r="G4" s="87">
        <f t="shared" si="0"/>
        <v>44133</v>
      </c>
      <c r="H4" s="87">
        <f t="shared" si="0"/>
        <v>44140</v>
      </c>
      <c r="I4" s="87">
        <f t="shared" si="0"/>
        <v>44147</v>
      </c>
      <c r="J4" s="87">
        <f t="shared" si="0"/>
        <v>44154</v>
      </c>
      <c r="K4" s="87">
        <f t="shared" si="0"/>
        <v>44161</v>
      </c>
      <c r="L4" s="87">
        <f t="shared" si="0"/>
        <v>44168</v>
      </c>
      <c r="M4" s="87">
        <f t="shared" si="0"/>
        <v>44175</v>
      </c>
      <c r="N4" s="87">
        <f t="shared" si="0"/>
        <v>44182</v>
      </c>
      <c r="O4" s="87">
        <f t="shared" si="0"/>
        <v>44189</v>
      </c>
      <c r="P4" s="87">
        <f t="shared" si="0"/>
        <v>44196</v>
      </c>
      <c r="Q4" s="87">
        <f t="shared" si="0"/>
        <v>44203</v>
      </c>
      <c r="R4" s="87">
        <f t="shared" si="0"/>
        <v>44210</v>
      </c>
      <c r="S4" s="87">
        <f t="shared" si="0"/>
        <v>44217</v>
      </c>
      <c r="T4" s="87">
        <f t="shared" ref="T4" si="1">S4+7</f>
        <v>44224</v>
      </c>
      <c r="U4" s="87">
        <f t="shared" ref="U4" si="2">T4+7</f>
        <v>44231</v>
      </c>
      <c r="V4" s="87">
        <f t="shared" ref="V4" si="3">U4+7</f>
        <v>44238</v>
      </c>
      <c r="W4" s="87">
        <f t="shared" ref="W4" si="4">V4+7</f>
        <v>44245</v>
      </c>
      <c r="X4" s="87">
        <f t="shared" ref="X4" si="5">W4+7</f>
        <v>44252</v>
      </c>
      <c r="Y4" s="87">
        <f t="shared" ref="Y4" si="6">X4+7</f>
        <v>44259</v>
      </c>
      <c r="Z4" s="87">
        <f t="shared" ref="Z4" si="7">Y4+7</f>
        <v>44266</v>
      </c>
      <c r="AA4" s="87">
        <f t="shared" ref="AA4" si="8">Z4+7</f>
        <v>44273</v>
      </c>
      <c r="AB4" s="87">
        <f t="shared" ref="AB4" si="9">AA4+7</f>
        <v>44280</v>
      </c>
      <c r="AC4" s="87">
        <f t="shared" ref="AC4" si="10">AB4+7</f>
        <v>44287</v>
      </c>
      <c r="AD4" s="87">
        <f t="shared" ref="AD4" si="11">AC4+7</f>
        <v>44294</v>
      </c>
      <c r="AE4" s="87">
        <f t="shared" ref="AE4" si="12">AD4+7</f>
        <v>44301</v>
      </c>
      <c r="AF4" s="87">
        <f t="shared" ref="AF4" si="13">AE4+7</f>
        <v>44308</v>
      </c>
      <c r="AG4" s="87">
        <f t="shared" ref="AG4" si="14">AF4+7</f>
        <v>44315</v>
      </c>
      <c r="AH4" s="87" t="s">
        <v>5</v>
      </c>
      <c r="AI4" s="40"/>
      <c r="AJ4" s="40">
        <f t="shared" ref="AJ4" si="15">AG4+7</f>
        <v>44322</v>
      </c>
      <c r="AK4" s="40">
        <f t="shared" ref="AK4" si="16">AJ4+7</f>
        <v>44329</v>
      </c>
      <c r="AL4" s="40">
        <f t="shared" ref="AL4" si="17">AK4+7</f>
        <v>44336</v>
      </c>
      <c r="AM4" s="40">
        <f t="shared" ref="AM4" si="18">AL4+7</f>
        <v>44343</v>
      </c>
      <c r="AN4" s="40">
        <f t="shared" ref="AN4" si="19">AM4+7</f>
        <v>44350</v>
      </c>
      <c r="AO4" s="40">
        <f t="shared" ref="AO4" si="20">AN4+7</f>
        <v>44357</v>
      </c>
      <c r="AP4" s="40">
        <f t="shared" ref="AP4" si="21">AO4+7</f>
        <v>44364</v>
      </c>
      <c r="AQ4" s="40">
        <f t="shared" ref="AQ4" si="22">AP4+7</f>
        <v>44371</v>
      </c>
      <c r="AR4" s="40">
        <f t="shared" ref="AR4" si="23">AQ4+7</f>
        <v>44378</v>
      </c>
      <c r="AS4" s="40">
        <f t="shared" ref="AS4" si="24">AR4+7</f>
        <v>44385</v>
      </c>
      <c r="AT4" s="40">
        <f t="shared" ref="AT4" si="25">AS4+7</f>
        <v>44392</v>
      </c>
      <c r="AU4" s="40">
        <f t="shared" ref="AU4" si="26">AT4+7</f>
        <v>44399</v>
      </c>
      <c r="AV4" s="40">
        <f t="shared" ref="AV4" si="27">AU4+7</f>
        <v>44406</v>
      </c>
      <c r="AW4" s="40">
        <f t="shared" ref="AW4" si="28">AV4+7</f>
        <v>44413</v>
      </c>
      <c r="AX4" s="40">
        <f t="shared" ref="AX4" si="29">AW4+7</f>
        <v>44420</v>
      </c>
      <c r="AY4" s="40">
        <f t="shared" ref="AY4" si="30">AX4+7</f>
        <v>44427</v>
      </c>
      <c r="AZ4" s="40">
        <f t="shared" ref="AZ4" si="31">AY4+7</f>
        <v>44434</v>
      </c>
      <c r="BA4" s="40">
        <f t="shared" ref="BA4" si="32">AZ4+7</f>
        <v>44441</v>
      </c>
      <c r="BB4" s="40">
        <f t="shared" ref="BB4" si="33">BA4+7</f>
        <v>44448</v>
      </c>
      <c r="BC4" s="40">
        <f t="shared" ref="BC4" si="34">BB4+7</f>
        <v>44455</v>
      </c>
      <c r="BD4" s="40">
        <f t="shared" ref="BD4" si="35">BC4+7</f>
        <v>44462</v>
      </c>
      <c r="BE4" s="40">
        <f t="shared" ref="BE4" si="36">BD4+7</f>
        <v>44469</v>
      </c>
      <c r="BF4" s="40">
        <f t="shared" ref="BF4" si="37">BE4+7</f>
        <v>44476</v>
      </c>
      <c r="BG4" s="40">
        <f t="shared" ref="BG4" si="38">BF4+7</f>
        <v>44483</v>
      </c>
      <c r="BH4" s="40">
        <f t="shared" ref="BH4" si="39">BG4+7</f>
        <v>44490</v>
      </c>
      <c r="BI4" s="40">
        <f t="shared" ref="BI4" si="40">BH4+7</f>
        <v>44497</v>
      </c>
      <c r="BJ4" s="40">
        <f t="shared" ref="BJ4:BK4" si="41">BI4+7</f>
        <v>44504</v>
      </c>
      <c r="BK4" s="40">
        <f t="shared" si="41"/>
        <v>44511</v>
      </c>
      <c r="BL4" s="43" t="s">
        <v>5</v>
      </c>
      <c r="BO4" s="1" t="s">
        <v>0</v>
      </c>
      <c r="BP4" s="25">
        <f>C2</f>
        <v>44105</v>
      </c>
      <c r="BQ4" s="25">
        <f>BP4+30</f>
        <v>44135</v>
      </c>
      <c r="BR4" s="25">
        <f t="shared" ref="BR4:BT4" si="42">BQ4+30</f>
        <v>44165</v>
      </c>
      <c r="BS4" s="25">
        <f t="shared" si="42"/>
        <v>44195</v>
      </c>
      <c r="BT4" s="25">
        <f t="shared" si="42"/>
        <v>44225</v>
      </c>
      <c r="BU4" s="33" t="s">
        <v>5</v>
      </c>
    </row>
    <row r="5" spans="2:73" ht="13.5" customHeight="1">
      <c r="B5" s="89" t="s">
        <v>48</v>
      </c>
      <c r="N5" s="23"/>
      <c r="AG5" s="23"/>
      <c r="AH5" s="93">
        <f>SUM(C5:AG5)</f>
        <v>0</v>
      </c>
      <c r="AI5" s="23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  <c r="BL5" s="21">
        <f>SUM(C5:BK5)</f>
        <v>0</v>
      </c>
      <c r="BO5" s="29" t="str">
        <f>B5</f>
        <v>Ventes prévisionnelles</v>
      </c>
      <c r="BS5" s="18">
        <f>SUM(N5:R5)</f>
        <v>0</v>
      </c>
      <c r="BT5" s="18">
        <f>S6</f>
        <v>14799.107142857143</v>
      </c>
    </row>
    <row r="6" spans="2:73" ht="13.5" customHeight="1">
      <c r="B6" s="90" t="s">
        <v>195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23"/>
      <c r="O6" s="63">
        <f>'Recettes Prev'!C20</f>
        <v>14799.107142857143</v>
      </c>
      <c r="P6" s="63">
        <f>O6</f>
        <v>14799.107142857143</v>
      </c>
      <c r="Q6" s="63">
        <f t="shared" ref="Q6:Z6" si="43">P6</f>
        <v>14799.107142857143</v>
      </c>
      <c r="R6" s="63">
        <f t="shared" si="43"/>
        <v>14799.107142857143</v>
      </c>
      <c r="S6" s="63">
        <f t="shared" si="43"/>
        <v>14799.107142857143</v>
      </c>
      <c r="T6" s="63">
        <f t="shared" si="43"/>
        <v>14799.107142857143</v>
      </c>
      <c r="U6" s="63">
        <f t="shared" si="43"/>
        <v>14799.107142857143</v>
      </c>
      <c r="V6" s="63">
        <f t="shared" si="43"/>
        <v>14799.107142857143</v>
      </c>
      <c r="W6" s="63">
        <f t="shared" si="43"/>
        <v>14799.107142857143</v>
      </c>
      <c r="X6" s="63">
        <f t="shared" si="43"/>
        <v>14799.107142857143</v>
      </c>
      <c r="Y6" s="63">
        <f t="shared" si="43"/>
        <v>14799.107142857143</v>
      </c>
      <c r="Z6" s="63">
        <f t="shared" si="43"/>
        <v>14799.107142857143</v>
      </c>
      <c r="AA6" s="23"/>
      <c r="AB6" s="23"/>
      <c r="AC6" s="23"/>
      <c r="AD6" s="23"/>
      <c r="AE6" s="23"/>
      <c r="AF6" s="23"/>
      <c r="AG6" s="18"/>
      <c r="AH6" s="93">
        <f t="shared" ref="AH6:AH70" si="44">SUM(C6:AG6)</f>
        <v>177589.28571428568</v>
      </c>
      <c r="BL6" s="21">
        <f t="shared" ref="BL6:BL99" si="45">SUM(C6:BK6)</f>
        <v>355178.57142857136</v>
      </c>
      <c r="BO6" s="29" t="str">
        <f>B8</f>
        <v>Total ventes Prévisionnelles</v>
      </c>
      <c r="BP6" s="21">
        <f>SUM(BP5:BP5)</f>
        <v>0</v>
      </c>
      <c r="BQ6" s="21">
        <f>SUM(BQ5:BQ5)</f>
        <v>0</v>
      </c>
      <c r="BR6" s="21">
        <f>SUM(BR5:BR5)</f>
        <v>0</v>
      </c>
      <c r="BS6" s="21">
        <f>SUM(BS5:BS5)</f>
        <v>0</v>
      </c>
      <c r="BT6" s="21">
        <f>SUM(BT5:BT5)</f>
        <v>14799.107142857143</v>
      </c>
      <c r="BU6" s="20">
        <f>SUM(BP6:BT6)</f>
        <v>14799.107142857143</v>
      </c>
    </row>
    <row r="7" spans="2:73" ht="13.5" customHeight="1">
      <c r="B7" s="90" t="s">
        <v>196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23"/>
      <c r="O7" s="18"/>
      <c r="P7" s="18"/>
      <c r="Q7" s="18"/>
      <c r="R7" s="18"/>
      <c r="S7" s="18"/>
      <c r="T7" s="18"/>
      <c r="U7" s="18">
        <f>'Recettes Prev'!C39</f>
        <v>40729.166666666672</v>
      </c>
      <c r="V7" s="18">
        <f>U7</f>
        <v>40729.166666666672</v>
      </c>
      <c r="W7" s="18">
        <f t="shared" ref="W7:AF7" si="46">V7</f>
        <v>40729.166666666672</v>
      </c>
      <c r="X7" s="18">
        <f t="shared" si="46"/>
        <v>40729.166666666672</v>
      </c>
      <c r="Y7" s="18">
        <f t="shared" si="46"/>
        <v>40729.166666666672</v>
      </c>
      <c r="Z7" s="18">
        <f t="shared" si="46"/>
        <v>40729.166666666672</v>
      </c>
      <c r="AA7" s="18">
        <f>Z7</f>
        <v>40729.166666666672</v>
      </c>
      <c r="AB7" s="18">
        <f t="shared" si="46"/>
        <v>40729.166666666672</v>
      </c>
      <c r="AC7" s="18">
        <f t="shared" si="46"/>
        <v>40729.166666666672</v>
      </c>
      <c r="AD7" s="18">
        <f t="shared" si="46"/>
        <v>40729.166666666672</v>
      </c>
      <c r="AE7" s="18">
        <f t="shared" si="46"/>
        <v>40729.166666666672</v>
      </c>
      <c r="AF7" s="18">
        <f t="shared" si="46"/>
        <v>40729.166666666672</v>
      </c>
      <c r="AG7" s="18"/>
      <c r="AH7" s="93">
        <f t="shared" si="44"/>
        <v>488750.00000000017</v>
      </c>
      <c r="BL7" s="21"/>
      <c r="BO7" s="29"/>
      <c r="BP7" s="21"/>
      <c r="BQ7" s="21"/>
      <c r="BR7" s="21"/>
      <c r="BS7" s="21"/>
      <c r="BT7" s="21"/>
    </row>
    <row r="8" spans="2:73" ht="13.5" customHeight="1">
      <c r="B8" s="89" t="s">
        <v>50</v>
      </c>
      <c r="C8" s="21">
        <f>SUM(C6:C7)</f>
        <v>0</v>
      </c>
      <c r="D8" s="21">
        <f t="shared" ref="D8:AG8" si="47">SUM(D6:D7)</f>
        <v>0</v>
      </c>
      <c r="E8" s="21">
        <f t="shared" si="47"/>
        <v>0</v>
      </c>
      <c r="F8" s="21">
        <f t="shared" si="47"/>
        <v>0</v>
      </c>
      <c r="G8" s="21">
        <f t="shared" si="47"/>
        <v>0</v>
      </c>
      <c r="H8" s="21">
        <f t="shared" si="47"/>
        <v>0</v>
      </c>
      <c r="I8" s="21">
        <f t="shared" si="47"/>
        <v>0</v>
      </c>
      <c r="J8" s="21">
        <f t="shared" si="47"/>
        <v>0</v>
      </c>
      <c r="K8" s="21">
        <f t="shared" si="47"/>
        <v>0</v>
      </c>
      <c r="L8" s="21">
        <f t="shared" si="47"/>
        <v>0</v>
      </c>
      <c r="M8" s="21">
        <f t="shared" si="47"/>
        <v>0</v>
      </c>
      <c r="N8" s="21">
        <f t="shared" si="47"/>
        <v>0</v>
      </c>
      <c r="O8" s="21">
        <f t="shared" si="47"/>
        <v>14799.107142857143</v>
      </c>
      <c r="P8" s="21">
        <f t="shared" si="47"/>
        <v>14799.107142857143</v>
      </c>
      <c r="Q8" s="21">
        <f t="shared" si="47"/>
        <v>14799.107142857143</v>
      </c>
      <c r="R8" s="21">
        <f t="shared" si="47"/>
        <v>14799.107142857143</v>
      </c>
      <c r="S8" s="21">
        <f t="shared" si="47"/>
        <v>14799.107142857143</v>
      </c>
      <c r="T8" s="21">
        <f t="shared" si="47"/>
        <v>14799.107142857143</v>
      </c>
      <c r="U8" s="21">
        <f t="shared" si="47"/>
        <v>55528.273809523816</v>
      </c>
      <c r="V8" s="21">
        <f t="shared" si="47"/>
        <v>55528.273809523816</v>
      </c>
      <c r="W8" s="21">
        <f t="shared" si="47"/>
        <v>55528.273809523816</v>
      </c>
      <c r="X8" s="21">
        <f t="shared" si="47"/>
        <v>55528.273809523816</v>
      </c>
      <c r="Y8" s="21">
        <f t="shared" si="47"/>
        <v>55528.273809523816</v>
      </c>
      <c r="Z8" s="21">
        <f t="shared" si="47"/>
        <v>55528.273809523816</v>
      </c>
      <c r="AA8" s="21">
        <f t="shared" si="47"/>
        <v>40729.166666666672</v>
      </c>
      <c r="AB8" s="21">
        <f t="shared" si="47"/>
        <v>40729.166666666672</v>
      </c>
      <c r="AC8" s="21">
        <f t="shared" si="47"/>
        <v>40729.166666666672</v>
      </c>
      <c r="AD8" s="21">
        <f t="shared" si="47"/>
        <v>40729.166666666672</v>
      </c>
      <c r="AE8" s="21">
        <f t="shared" si="47"/>
        <v>40729.166666666672</v>
      </c>
      <c r="AF8" s="21">
        <f t="shared" si="47"/>
        <v>40729.166666666672</v>
      </c>
      <c r="AG8" s="21">
        <f t="shared" si="47"/>
        <v>0</v>
      </c>
      <c r="AH8" s="93">
        <f>SUM(C8:AG8)</f>
        <v>666339.28571428556</v>
      </c>
      <c r="BL8" s="21">
        <f t="shared" si="45"/>
        <v>1332678.5714285711</v>
      </c>
      <c r="BO8" s="29" t="str">
        <f>B9</f>
        <v>Charges exploitation</v>
      </c>
      <c r="BU8" s="20">
        <f>SUM(BP8:BT8)</f>
        <v>0</v>
      </c>
    </row>
    <row r="9" spans="2:73" ht="13.5" customHeight="1">
      <c r="B9" s="89" t="s">
        <v>49</v>
      </c>
      <c r="AH9" s="93">
        <f t="shared" si="44"/>
        <v>0</v>
      </c>
      <c r="BL9" s="21">
        <f t="shared" si="45"/>
        <v>0</v>
      </c>
      <c r="BO9" s="11" t="str">
        <f>B10</f>
        <v>Location de Terrain</v>
      </c>
      <c r="BP9" s="18">
        <f>BL10</f>
        <v>40000</v>
      </c>
      <c r="BU9" s="20">
        <f>SUM(BP9:BT9)</f>
        <v>40000</v>
      </c>
    </row>
    <row r="10" spans="2:73" ht="13.5" customHeight="1">
      <c r="B10" s="89" t="str">
        <f>'Charges exploitation'!A4</f>
        <v>Location de Terrain</v>
      </c>
      <c r="C10" s="18">
        <f>'Charges exploitation'!E4</f>
        <v>20000</v>
      </c>
      <c r="AH10" s="93">
        <f t="shared" si="44"/>
        <v>20000</v>
      </c>
      <c r="BL10" s="21">
        <f t="shared" si="45"/>
        <v>40000</v>
      </c>
      <c r="BO10" s="11" t="str">
        <f>B11</f>
        <v>Défrichage</v>
      </c>
      <c r="BP10" s="18">
        <f>BL11</f>
        <v>20000</v>
      </c>
      <c r="BU10" s="20">
        <f>SUM(BP10:BT10)</f>
        <v>20000</v>
      </c>
    </row>
    <row r="11" spans="2:73" ht="13.5" customHeight="1">
      <c r="B11" s="89" t="str">
        <f>'Charges exploitation'!A5</f>
        <v>Défrichage</v>
      </c>
      <c r="C11" s="18">
        <f>'Charges exploitation'!E5</f>
        <v>10000</v>
      </c>
      <c r="AH11" s="93">
        <f t="shared" si="44"/>
        <v>10000</v>
      </c>
      <c r="BL11" s="21">
        <f t="shared" si="45"/>
        <v>20000</v>
      </c>
      <c r="BO11" s="11" t="str">
        <f>B12</f>
        <v>Herbicides</v>
      </c>
      <c r="BP11" s="18">
        <f>BL12</f>
        <v>20000</v>
      </c>
      <c r="BU11" s="20">
        <f>SUM(BP11:BT11)</f>
        <v>20000</v>
      </c>
    </row>
    <row r="12" spans="2:73" ht="13.5" customHeight="1">
      <c r="B12" s="89" t="str">
        <f>'Charges exploitation'!A6</f>
        <v>Herbicides</v>
      </c>
      <c r="C12" s="18">
        <f>'Charges exploitation'!E6</f>
        <v>10000</v>
      </c>
      <c r="E12" s="18"/>
      <c r="AH12" s="93">
        <f t="shared" si="44"/>
        <v>10000</v>
      </c>
      <c r="BL12" s="21">
        <f t="shared" si="45"/>
        <v>20000</v>
      </c>
      <c r="BO12" s="11" t="str">
        <f>B13</f>
        <v>Petit Materiel &amp; Outillage</v>
      </c>
      <c r="BU12" s="20">
        <f>SUM(BP12:BT12)</f>
        <v>0</v>
      </c>
    </row>
    <row r="13" spans="2:73" ht="13.5" customHeight="1">
      <c r="B13" s="89" t="str">
        <f>'Charges exploitation'!A7</f>
        <v>Petit Materiel &amp; Outillage</v>
      </c>
      <c r="C13" s="21">
        <f>SUM(C14:C19)</f>
        <v>28000</v>
      </c>
      <c r="D13" s="21">
        <f t="shared" ref="D13:AG13" si="48">SUM(D14:D19)</f>
        <v>0</v>
      </c>
      <c r="E13" s="21">
        <f t="shared" si="48"/>
        <v>0</v>
      </c>
      <c r="F13" s="21">
        <f t="shared" si="48"/>
        <v>0</v>
      </c>
      <c r="G13" s="21">
        <f t="shared" si="48"/>
        <v>0</v>
      </c>
      <c r="H13" s="21">
        <f t="shared" si="48"/>
        <v>0</v>
      </c>
      <c r="I13" s="21">
        <f t="shared" si="48"/>
        <v>0</v>
      </c>
      <c r="J13" s="21">
        <f t="shared" si="48"/>
        <v>0</v>
      </c>
      <c r="K13" s="21">
        <f t="shared" si="48"/>
        <v>0</v>
      </c>
      <c r="L13" s="21">
        <f t="shared" si="48"/>
        <v>0</v>
      </c>
      <c r="M13" s="21">
        <f t="shared" si="48"/>
        <v>0</v>
      </c>
      <c r="N13" s="21">
        <f t="shared" si="48"/>
        <v>0</v>
      </c>
      <c r="O13" s="21">
        <f t="shared" si="48"/>
        <v>657.7380952380953</v>
      </c>
      <c r="P13" s="21">
        <f t="shared" si="48"/>
        <v>657.7380952380953</v>
      </c>
      <c r="Q13" s="21">
        <f t="shared" si="48"/>
        <v>657.7380952380953</v>
      </c>
      <c r="R13" s="21">
        <f t="shared" si="48"/>
        <v>657.7380952380953</v>
      </c>
      <c r="S13" s="21">
        <f t="shared" si="48"/>
        <v>657.7380952380953</v>
      </c>
      <c r="T13" s="21">
        <f t="shared" si="48"/>
        <v>657.7380952380953</v>
      </c>
      <c r="U13" s="21">
        <f t="shared" si="48"/>
        <v>1472.3214285714287</v>
      </c>
      <c r="V13" s="21">
        <f t="shared" si="48"/>
        <v>1472.3214285714287</v>
      </c>
      <c r="W13" s="21">
        <f t="shared" si="48"/>
        <v>1472.3214285714287</v>
      </c>
      <c r="X13" s="21">
        <f t="shared" si="48"/>
        <v>1472.3214285714287</v>
      </c>
      <c r="Y13" s="21">
        <f t="shared" si="48"/>
        <v>1472.3214285714287</v>
      </c>
      <c r="Z13" s="21">
        <f t="shared" si="48"/>
        <v>814.58333333333337</v>
      </c>
      <c r="AA13" s="21">
        <f t="shared" si="48"/>
        <v>814.58333333333337</v>
      </c>
      <c r="AB13" s="21">
        <f t="shared" si="48"/>
        <v>814.58333333333337</v>
      </c>
      <c r="AC13" s="21">
        <f t="shared" si="48"/>
        <v>814.58333333333337</v>
      </c>
      <c r="AD13" s="21">
        <f t="shared" si="48"/>
        <v>814.58333333333337</v>
      </c>
      <c r="AE13" s="21">
        <f t="shared" si="48"/>
        <v>814.58333333333337</v>
      </c>
      <c r="AF13" s="21">
        <f t="shared" si="48"/>
        <v>814.58333333333337</v>
      </c>
      <c r="AG13" s="21">
        <f t="shared" si="48"/>
        <v>0</v>
      </c>
      <c r="AH13" s="93">
        <f t="shared" si="44"/>
        <v>45010.11904761906</v>
      </c>
      <c r="BL13" s="21">
        <f t="shared" si="45"/>
        <v>90020.238095238121</v>
      </c>
      <c r="BO13" s="11" t="str">
        <f>B14</f>
        <v>Pulvérisateurs</v>
      </c>
      <c r="BQ13" s="18">
        <f>BL14</f>
        <v>40000</v>
      </c>
      <c r="BU13" s="20">
        <f>SUM(BP13:BT13)</f>
        <v>40000</v>
      </c>
    </row>
    <row r="14" spans="2:73" ht="13.5" customHeight="1">
      <c r="B14" s="91" t="str">
        <f>'Charges exploitation'!A8</f>
        <v>Pulvérisateurs</v>
      </c>
      <c r="C14" s="18">
        <f>'Charges exploitation'!E8</f>
        <v>20000</v>
      </c>
      <c r="E14" s="18"/>
      <c r="AH14" s="93">
        <f t="shared" si="44"/>
        <v>20000</v>
      </c>
      <c r="BL14" s="21">
        <f t="shared" si="45"/>
        <v>40000</v>
      </c>
      <c r="BO14" s="11" t="str">
        <f>B15</f>
        <v>Arrosoirs</v>
      </c>
      <c r="BQ14" s="18">
        <f>BL15</f>
        <v>8000</v>
      </c>
      <c r="BU14" s="20">
        <f>SUM(BP14:BT14)</f>
        <v>8000</v>
      </c>
    </row>
    <row r="15" spans="2:73" ht="13.5" customHeight="1">
      <c r="B15" s="91" t="str">
        <f>'Charges exploitation'!A9</f>
        <v>Arrosoirs</v>
      </c>
      <c r="C15" s="18">
        <f>'Charges exploitation'!E9</f>
        <v>4000</v>
      </c>
      <c r="E15" s="18"/>
      <c r="AH15" s="93">
        <f t="shared" si="44"/>
        <v>4000</v>
      </c>
      <c r="BL15" s="21">
        <f t="shared" si="45"/>
        <v>8000</v>
      </c>
      <c r="BO15" s="11" t="str">
        <f>B16</f>
        <v>Machette</v>
      </c>
      <c r="BQ15" s="18">
        <f>BL16</f>
        <v>4000</v>
      </c>
      <c r="BU15" s="20">
        <f>SUM(BP15:BT15)</f>
        <v>4000</v>
      </c>
    </row>
    <row r="16" spans="2:73" ht="13.5" customHeight="1">
      <c r="B16" s="91" t="str">
        <f>'Charges exploitation'!A10</f>
        <v>Machette</v>
      </c>
      <c r="C16" s="18">
        <f>'Charges exploitation'!E10</f>
        <v>2000</v>
      </c>
      <c r="E16" s="18"/>
      <c r="AH16" s="93">
        <f t="shared" si="44"/>
        <v>2000</v>
      </c>
      <c r="BL16" s="21">
        <f t="shared" si="45"/>
        <v>4000</v>
      </c>
      <c r="BO16" s="11" t="str">
        <f>B17</f>
        <v>Daba sarclage</v>
      </c>
      <c r="BQ16" s="18">
        <f>BL17</f>
        <v>2000</v>
      </c>
      <c r="BU16" s="20">
        <f>SUM(BP16:BT16)</f>
        <v>2000</v>
      </c>
    </row>
    <row r="17" spans="2:73" ht="13.5" customHeight="1">
      <c r="B17" s="91" t="str">
        <f>'Charges exploitation'!A11</f>
        <v>Daba sarclage</v>
      </c>
      <c r="C17" s="18">
        <f>'Charges exploitation'!E11</f>
        <v>1000</v>
      </c>
      <c r="E17" s="18"/>
      <c r="AH17" s="93">
        <f t="shared" si="44"/>
        <v>1000</v>
      </c>
      <c r="BL17" s="21">
        <f t="shared" si="45"/>
        <v>2000</v>
      </c>
      <c r="BO17" s="11" t="str">
        <f>B18</f>
        <v>Lime</v>
      </c>
      <c r="BQ17" s="18">
        <f>BL18</f>
        <v>2000</v>
      </c>
      <c r="BU17" s="20">
        <f>SUM(BP17:BT17)</f>
        <v>2000</v>
      </c>
    </row>
    <row r="18" spans="2:73" ht="13.5" customHeight="1">
      <c r="B18" s="91" t="str">
        <f>'Charges exploitation'!A12</f>
        <v>Lime</v>
      </c>
      <c r="C18" s="18">
        <f>'Charges exploitation'!E12</f>
        <v>1000</v>
      </c>
      <c r="E18" s="18"/>
      <c r="AH18" s="93">
        <f t="shared" si="44"/>
        <v>1000</v>
      </c>
      <c r="BL18" s="21">
        <f t="shared" si="45"/>
        <v>2000</v>
      </c>
      <c r="BO18" s="11" t="str">
        <f>B19</f>
        <v>sacs (recolte)</v>
      </c>
      <c r="BS18" s="18">
        <f>N19+O19</f>
        <v>657.7380952380953</v>
      </c>
      <c r="BT18" s="18">
        <f>SUM(P19:S19)</f>
        <v>2630.9523809523812</v>
      </c>
      <c r="BU18" s="20">
        <f>SUM(BP18:BT18)</f>
        <v>3288.6904761904766</v>
      </c>
    </row>
    <row r="19" spans="2:73" ht="13.5" customHeight="1">
      <c r="B19" s="91" t="str">
        <f>'Charges exploitation'!A13</f>
        <v>sacs (recolte)</v>
      </c>
      <c r="E19" s="18"/>
      <c r="N19" s="23"/>
      <c r="O19" s="18">
        <f>('Recettes Prev'!C16*'Charges exploitation'!D13)</f>
        <v>657.7380952380953</v>
      </c>
      <c r="P19" s="18">
        <f>O19</f>
        <v>657.7380952380953</v>
      </c>
      <c r="Q19" s="18">
        <f t="shared" ref="Q19:Z19" si="49">P19</f>
        <v>657.7380952380953</v>
      </c>
      <c r="R19" s="18">
        <f t="shared" si="49"/>
        <v>657.7380952380953</v>
      </c>
      <c r="S19" s="18">
        <f t="shared" si="49"/>
        <v>657.7380952380953</v>
      </c>
      <c r="T19" s="18">
        <f t="shared" si="49"/>
        <v>657.7380952380953</v>
      </c>
      <c r="U19" s="18">
        <f>T19+('Recettes Prev'!C35*'Charges exploitation'!D13)</f>
        <v>1472.3214285714287</v>
      </c>
      <c r="V19" s="18">
        <f t="shared" si="49"/>
        <v>1472.3214285714287</v>
      </c>
      <c r="W19" s="18">
        <f t="shared" si="49"/>
        <v>1472.3214285714287</v>
      </c>
      <c r="X19" s="18">
        <f t="shared" si="49"/>
        <v>1472.3214285714287</v>
      </c>
      <c r="Y19" s="18">
        <f t="shared" si="49"/>
        <v>1472.3214285714287</v>
      </c>
      <c r="Z19" s="18">
        <f>('Recettes Prev'!C35*'Charges exploitation'!D13)</f>
        <v>814.58333333333337</v>
      </c>
      <c r="AA19" s="18">
        <f>Z19</f>
        <v>814.58333333333337</v>
      </c>
      <c r="AB19" s="18">
        <f t="shared" ref="AB19:AF19" si="50">AA19</f>
        <v>814.58333333333337</v>
      </c>
      <c r="AC19" s="18">
        <f t="shared" si="50"/>
        <v>814.58333333333337</v>
      </c>
      <c r="AD19" s="18">
        <f t="shared" si="50"/>
        <v>814.58333333333337</v>
      </c>
      <c r="AE19" s="18">
        <f t="shared" si="50"/>
        <v>814.58333333333337</v>
      </c>
      <c r="AF19" s="18">
        <f t="shared" si="50"/>
        <v>814.58333333333337</v>
      </c>
      <c r="AG19" s="18"/>
      <c r="AH19" s="93">
        <f t="shared" si="44"/>
        <v>17010.119047619053</v>
      </c>
      <c r="AI19" s="18">
        <f>AH19-'Charges exploitation'!E13</f>
        <v>-789.88095238094684</v>
      </c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21">
        <f t="shared" si="45"/>
        <v>33230.357142857159</v>
      </c>
      <c r="BO19" s="11" t="str">
        <f>B89</f>
        <v>Immobilisations corporelles</v>
      </c>
      <c r="BU19" s="20">
        <f>SUM(BP19:BT19)</f>
        <v>0</v>
      </c>
    </row>
    <row r="20" spans="2:73" ht="13.5" customHeight="1">
      <c r="B20" s="89" t="str">
        <f>'Charges exploitation'!A14</f>
        <v>Matériel d'irrigation</v>
      </c>
      <c r="C20" s="21">
        <f>C21+C25</f>
        <v>0</v>
      </c>
      <c r="D20" s="21">
        <f t="shared" ref="D20:AG20" si="51">D21+D25</f>
        <v>0</v>
      </c>
      <c r="E20" s="21">
        <f t="shared" si="51"/>
        <v>0</v>
      </c>
      <c r="F20" s="21">
        <f t="shared" si="51"/>
        <v>0</v>
      </c>
      <c r="G20" s="21">
        <f t="shared" si="51"/>
        <v>0</v>
      </c>
      <c r="H20" s="21">
        <f t="shared" si="51"/>
        <v>0</v>
      </c>
      <c r="I20" s="21">
        <f t="shared" si="51"/>
        <v>0</v>
      </c>
      <c r="J20" s="21">
        <f t="shared" si="51"/>
        <v>0</v>
      </c>
      <c r="K20" s="21">
        <f t="shared" si="51"/>
        <v>0</v>
      </c>
      <c r="L20" s="21">
        <f t="shared" si="51"/>
        <v>0</v>
      </c>
      <c r="M20" s="21">
        <f t="shared" si="51"/>
        <v>0</v>
      </c>
      <c r="N20" s="21">
        <f t="shared" si="51"/>
        <v>0</v>
      </c>
      <c r="O20" s="21">
        <f t="shared" si="51"/>
        <v>0</v>
      </c>
      <c r="P20" s="21">
        <f t="shared" si="51"/>
        <v>0</v>
      </c>
      <c r="Q20" s="21">
        <f t="shared" si="51"/>
        <v>0</v>
      </c>
      <c r="R20" s="21">
        <f t="shared" si="51"/>
        <v>0</v>
      </c>
      <c r="S20" s="21">
        <f t="shared" si="51"/>
        <v>65000</v>
      </c>
      <c r="T20" s="21">
        <f t="shared" si="51"/>
        <v>0</v>
      </c>
      <c r="U20" s="21">
        <f t="shared" si="51"/>
        <v>0</v>
      </c>
      <c r="V20" s="21">
        <f t="shared" si="51"/>
        <v>0</v>
      </c>
      <c r="W20" s="21">
        <f t="shared" si="51"/>
        <v>0</v>
      </c>
      <c r="X20" s="21">
        <f t="shared" si="51"/>
        <v>0</v>
      </c>
      <c r="Y20" s="21">
        <f t="shared" si="51"/>
        <v>0</v>
      </c>
      <c r="Z20" s="21">
        <f t="shared" si="51"/>
        <v>0</v>
      </c>
      <c r="AA20" s="21">
        <f t="shared" si="51"/>
        <v>0</v>
      </c>
      <c r="AB20" s="21">
        <f t="shared" si="51"/>
        <v>0</v>
      </c>
      <c r="AC20" s="21">
        <f t="shared" si="51"/>
        <v>0</v>
      </c>
      <c r="AD20" s="21">
        <f t="shared" si="51"/>
        <v>0</v>
      </c>
      <c r="AE20" s="21">
        <f t="shared" si="51"/>
        <v>0</v>
      </c>
      <c r="AF20" s="21">
        <f t="shared" si="51"/>
        <v>0</v>
      </c>
      <c r="AG20" s="21">
        <f t="shared" si="51"/>
        <v>0</v>
      </c>
      <c r="AH20" s="93">
        <f t="shared" si="44"/>
        <v>65000</v>
      </c>
      <c r="BL20" s="21">
        <f t="shared" si="45"/>
        <v>130000</v>
      </c>
      <c r="BO20" s="11" t="str">
        <f>B90</f>
        <v>Matériel d'irrigation (Motopompe)</v>
      </c>
      <c r="BQ20" s="18">
        <f>E90</f>
        <v>0</v>
      </c>
      <c r="BU20" s="20">
        <f>SUM(BP20:BT20)</f>
        <v>0</v>
      </c>
    </row>
    <row r="21" spans="2:73" ht="13.5" customHeight="1">
      <c r="B21" s="89" t="str">
        <f>'Charges exploitation'!A15</f>
        <v xml:space="preserve"> Accessoires</v>
      </c>
      <c r="C21" s="21">
        <f>SUM(C22:C24)</f>
        <v>0</v>
      </c>
      <c r="D21" s="21">
        <f t="shared" ref="D21:AG21" si="52">SUM(D22:D24)</f>
        <v>0</v>
      </c>
      <c r="E21" s="21">
        <f t="shared" si="52"/>
        <v>0</v>
      </c>
      <c r="F21" s="21">
        <f t="shared" si="52"/>
        <v>0</v>
      </c>
      <c r="G21" s="21">
        <f t="shared" si="52"/>
        <v>0</v>
      </c>
      <c r="H21" s="21">
        <f t="shared" si="52"/>
        <v>0</v>
      </c>
      <c r="I21" s="21">
        <f t="shared" si="52"/>
        <v>0</v>
      </c>
      <c r="J21" s="21">
        <f t="shared" si="52"/>
        <v>0</v>
      </c>
      <c r="K21" s="21">
        <f t="shared" si="52"/>
        <v>0</v>
      </c>
      <c r="L21" s="21">
        <f t="shared" si="52"/>
        <v>0</v>
      </c>
      <c r="M21" s="21">
        <f t="shared" si="52"/>
        <v>0</v>
      </c>
      <c r="N21" s="21">
        <f t="shared" si="52"/>
        <v>0</v>
      </c>
      <c r="O21" s="21">
        <f t="shared" si="52"/>
        <v>0</v>
      </c>
      <c r="P21" s="21">
        <f t="shared" si="52"/>
        <v>0</v>
      </c>
      <c r="Q21" s="21">
        <f t="shared" si="52"/>
        <v>0</v>
      </c>
      <c r="R21" s="21">
        <f t="shared" si="52"/>
        <v>0</v>
      </c>
      <c r="S21" s="21">
        <f t="shared" si="52"/>
        <v>40000</v>
      </c>
      <c r="T21" s="21">
        <f t="shared" si="52"/>
        <v>0</v>
      </c>
      <c r="U21" s="21">
        <f t="shared" si="52"/>
        <v>0</v>
      </c>
      <c r="V21" s="21">
        <f t="shared" si="52"/>
        <v>0</v>
      </c>
      <c r="W21" s="21">
        <f t="shared" si="52"/>
        <v>0</v>
      </c>
      <c r="X21" s="21">
        <f t="shared" si="52"/>
        <v>0</v>
      </c>
      <c r="Y21" s="21">
        <f t="shared" si="52"/>
        <v>0</v>
      </c>
      <c r="Z21" s="21">
        <f t="shared" si="52"/>
        <v>0</v>
      </c>
      <c r="AA21" s="21">
        <f t="shared" si="52"/>
        <v>0</v>
      </c>
      <c r="AB21" s="21">
        <f t="shared" si="52"/>
        <v>0</v>
      </c>
      <c r="AC21" s="21">
        <f t="shared" si="52"/>
        <v>0</v>
      </c>
      <c r="AD21" s="21">
        <f t="shared" si="52"/>
        <v>0</v>
      </c>
      <c r="AE21" s="21">
        <f t="shared" si="52"/>
        <v>0</v>
      </c>
      <c r="AF21" s="21">
        <f t="shared" si="52"/>
        <v>0</v>
      </c>
      <c r="AG21" s="21">
        <f t="shared" si="52"/>
        <v>0</v>
      </c>
      <c r="AH21" s="93">
        <f t="shared" si="44"/>
        <v>40000</v>
      </c>
      <c r="BL21" s="21">
        <f t="shared" si="45"/>
        <v>80000</v>
      </c>
      <c r="BO21" s="11" t="str">
        <f>B92</f>
        <v>Fut de 200 l</v>
      </c>
      <c r="BQ21" s="18">
        <f>E92</f>
        <v>0</v>
      </c>
      <c r="BU21" s="20">
        <f>SUM(BP21:BT21)</f>
        <v>0</v>
      </c>
    </row>
    <row r="22" spans="2:73" ht="13.5" customHeight="1">
      <c r="B22" s="91" t="str">
        <f>'Charges exploitation'!A16</f>
        <v>Tuyaux aspiration</v>
      </c>
      <c r="F22" s="18"/>
      <c r="S22" s="18">
        <f>'Charges exploitation'!E16</f>
        <v>10000</v>
      </c>
      <c r="AH22" s="93">
        <f t="shared" si="44"/>
        <v>10000</v>
      </c>
      <c r="BL22" s="21">
        <f t="shared" si="45"/>
        <v>20000</v>
      </c>
      <c r="BO22" s="11" t="str">
        <f>B93</f>
        <v>Installation Système d'irrigation</v>
      </c>
      <c r="BQ22" s="18">
        <f>E93</f>
        <v>0</v>
      </c>
      <c r="BU22" s="20">
        <f>SUM(BP22:BT22)</f>
        <v>0</v>
      </c>
    </row>
    <row r="23" spans="2:73" ht="13.5" customHeight="1">
      <c r="B23" s="91" t="str">
        <f>'Charges exploitation'!A17</f>
        <v>Tuyaux refoulement</v>
      </c>
      <c r="F23" s="18"/>
      <c r="S23" s="18">
        <f>'Charges exploitation'!E17</f>
        <v>20000</v>
      </c>
      <c r="AH23" s="93">
        <f t="shared" si="44"/>
        <v>20000</v>
      </c>
      <c r="BL23" s="21">
        <f t="shared" si="45"/>
        <v>40000</v>
      </c>
      <c r="BO23" s="11" t="e">
        <f>#REF!</f>
        <v>#REF!</v>
      </c>
      <c r="BQ23" s="18" t="e">
        <f>#REF!</f>
        <v>#REF!</v>
      </c>
      <c r="BU23" s="20" t="e">
        <f>SUM(BP23:BT23)</f>
        <v>#REF!</v>
      </c>
    </row>
    <row r="24" spans="2:73" ht="13.5" customHeight="1">
      <c r="B24" s="91" t="str">
        <f>'Charges exploitation'!A18</f>
        <v>Divers ( coude, T , Réducteur, ...)</v>
      </c>
      <c r="F24" s="18"/>
      <c r="S24" s="18">
        <f>'Charges exploitation'!E18</f>
        <v>10000</v>
      </c>
      <c r="AH24" s="93">
        <f t="shared" si="44"/>
        <v>10000</v>
      </c>
      <c r="BL24" s="21">
        <f t="shared" si="45"/>
        <v>20000</v>
      </c>
      <c r="BO24" s="11" t="e">
        <f>#REF!</f>
        <v>#REF!</v>
      </c>
      <c r="BQ24" s="18" t="e">
        <f>#REF!</f>
        <v>#REF!</v>
      </c>
      <c r="BU24" s="20" t="e">
        <f>SUM(BP24:BT24)</f>
        <v>#REF!</v>
      </c>
    </row>
    <row r="25" spans="2:73" ht="13.5" customHeight="1">
      <c r="B25" s="89" t="str">
        <f>'Charges exploitation'!A19</f>
        <v>Tuyauterie</v>
      </c>
      <c r="C25" s="21">
        <f>SUM(C26:C27)</f>
        <v>0</v>
      </c>
      <c r="D25" s="21">
        <f t="shared" ref="D25:AG25" si="53">SUM(D26:D27)</f>
        <v>0</v>
      </c>
      <c r="E25" s="21">
        <f t="shared" si="53"/>
        <v>0</v>
      </c>
      <c r="F25" s="21">
        <f t="shared" si="53"/>
        <v>0</v>
      </c>
      <c r="G25" s="21">
        <f t="shared" si="53"/>
        <v>0</v>
      </c>
      <c r="H25" s="21">
        <f t="shared" si="53"/>
        <v>0</v>
      </c>
      <c r="I25" s="21">
        <f t="shared" si="53"/>
        <v>0</v>
      </c>
      <c r="J25" s="21">
        <f t="shared" si="53"/>
        <v>0</v>
      </c>
      <c r="K25" s="21">
        <f t="shared" si="53"/>
        <v>0</v>
      </c>
      <c r="L25" s="21">
        <f t="shared" si="53"/>
        <v>0</v>
      </c>
      <c r="M25" s="21">
        <f t="shared" si="53"/>
        <v>0</v>
      </c>
      <c r="N25" s="21">
        <f t="shared" si="53"/>
        <v>0</v>
      </c>
      <c r="O25" s="21">
        <f t="shared" si="53"/>
        <v>0</v>
      </c>
      <c r="P25" s="21">
        <f t="shared" si="53"/>
        <v>0</v>
      </c>
      <c r="Q25" s="21">
        <f t="shared" si="53"/>
        <v>0</v>
      </c>
      <c r="R25" s="21">
        <f t="shared" si="53"/>
        <v>0</v>
      </c>
      <c r="S25" s="21">
        <f t="shared" si="53"/>
        <v>25000</v>
      </c>
      <c r="T25" s="21">
        <f t="shared" si="53"/>
        <v>0</v>
      </c>
      <c r="U25" s="21">
        <f t="shared" si="53"/>
        <v>0</v>
      </c>
      <c r="V25" s="21">
        <f t="shared" si="53"/>
        <v>0</v>
      </c>
      <c r="W25" s="21">
        <f t="shared" si="53"/>
        <v>0</v>
      </c>
      <c r="X25" s="21">
        <f t="shared" si="53"/>
        <v>0</v>
      </c>
      <c r="Y25" s="21">
        <f t="shared" si="53"/>
        <v>0</v>
      </c>
      <c r="Z25" s="21">
        <f t="shared" si="53"/>
        <v>0</v>
      </c>
      <c r="AA25" s="21">
        <f t="shared" si="53"/>
        <v>0</v>
      </c>
      <c r="AB25" s="21">
        <f t="shared" si="53"/>
        <v>0</v>
      </c>
      <c r="AC25" s="21">
        <f t="shared" si="53"/>
        <v>0</v>
      </c>
      <c r="AD25" s="21">
        <f t="shared" si="53"/>
        <v>0</v>
      </c>
      <c r="AE25" s="21">
        <f t="shared" si="53"/>
        <v>0</v>
      </c>
      <c r="AF25" s="21">
        <f t="shared" si="53"/>
        <v>0</v>
      </c>
      <c r="AG25" s="21">
        <f t="shared" si="53"/>
        <v>0</v>
      </c>
      <c r="AH25" s="93">
        <f t="shared" si="44"/>
        <v>25000</v>
      </c>
      <c r="BL25" s="21">
        <f t="shared" si="45"/>
        <v>50000</v>
      </c>
      <c r="BO25" s="11" t="e">
        <f>#REF!</f>
        <v>#REF!</v>
      </c>
      <c r="BQ25" s="18" t="e">
        <f>#REF!</f>
        <v>#REF!</v>
      </c>
      <c r="BU25" s="20" t="e">
        <f>SUM(BP25:BT25)</f>
        <v>#REF!</v>
      </c>
    </row>
    <row r="26" spans="2:73" ht="13.5" customHeight="1">
      <c r="B26" s="91" t="str">
        <f>'Charges exploitation'!A20</f>
        <v>Tuyaux Diam 75</v>
      </c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23"/>
      <c r="O26" s="18"/>
      <c r="P26" s="18"/>
      <c r="Q26" s="18"/>
      <c r="R26" s="18"/>
      <c r="S26" s="18">
        <f>'Charges exploitation'!E20</f>
        <v>10000</v>
      </c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93">
        <f t="shared" si="44"/>
        <v>10000</v>
      </c>
      <c r="BL26" s="21">
        <f t="shared" si="45"/>
        <v>20000</v>
      </c>
      <c r="BO26" s="11" t="e">
        <f>#REF!</f>
        <v>#REF!</v>
      </c>
      <c r="BQ26" s="18" t="e">
        <f>#REF!</f>
        <v>#REF!</v>
      </c>
      <c r="BU26" s="20" t="e">
        <f>SUM(BP26:BT26)</f>
        <v>#REF!</v>
      </c>
    </row>
    <row r="27" spans="2:73" ht="13.5" customHeight="1">
      <c r="B27" s="91" t="str">
        <f>'Charges exploitation'!A21</f>
        <v>Tuyaux diam 32</v>
      </c>
      <c r="F27" s="18"/>
      <c r="S27" s="18">
        <f>'Charges exploitation'!E21</f>
        <v>15000</v>
      </c>
      <c r="AH27" s="93">
        <f t="shared" si="44"/>
        <v>15000</v>
      </c>
      <c r="BL27" s="21">
        <f t="shared" si="45"/>
        <v>30000</v>
      </c>
      <c r="BO27" s="11" t="e">
        <f>#REF!</f>
        <v>#REF!</v>
      </c>
      <c r="BQ27" s="18" t="e">
        <f>#REF!</f>
        <v>#REF!</v>
      </c>
      <c r="BU27" s="20" t="e">
        <f>SUM(BP27:BT27)</f>
        <v>#REF!</v>
      </c>
    </row>
    <row r="28" spans="2:73" ht="13.5" customHeight="1">
      <c r="B28" s="89" t="str">
        <f>'Charges exploitation'!A22</f>
        <v>Semences</v>
      </c>
      <c r="C28" s="21">
        <f>SUM(C29:C30)</f>
        <v>25000</v>
      </c>
      <c r="F28" s="18"/>
      <c r="AH28" s="93">
        <f t="shared" si="44"/>
        <v>25000</v>
      </c>
      <c r="BL28" s="21">
        <f t="shared" si="45"/>
        <v>50000</v>
      </c>
      <c r="BO28" s="11" t="e">
        <f>#REF!</f>
        <v>#REF!</v>
      </c>
      <c r="BQ28" s="18" t="e">
        <f>#REF!</f>
        <v>#REF!</v>
      </c>
      <c r="BU28" s="20" t="e">
        <f>SUM(BP28:BT28)</f>
        <v>#REF!</v>
      </c>
    </row>
    <row r="29" spans="2:73" ht="13.5" customHeight="1">
      <c r="B29" s="91" t="str">
        <f>'Charges exploitation'!A23</f>
        <v>Aubergine Longue Violette</v>
      </c>
      <c r="C29" s="18">
        <f>'Charges exploitation'!E23</f>
        <v>10000</v>
      </c>
      <c r="F29" s="18"/>
      <c r="AH29" s="93">
        <f t="shared" si="44"/>
        <v>10000</v>
      </c>
      <c r="BL29" s="21">
        <f t="shared" si="45"/>
        <v>20000</v>
      </c>
      <c r="BO29" s="11" t="str">
        <f>B21</f>
        <v xml:space="preserve"> Accessoires</v>
      </c>
      <c r="BQ29" s="18">
        <f>F21</f>
        <v>0</v>
      </c>
      <c r="BU29" s="20">
        <f>SUM(BP29:BT29)</f>
        <v>0</v>
      </c>
    </row>
    <row r="30" spans="2:73" ht="13.5" customHeight="1">
      <c r="B30" s="91" t="str">
        <f>'Charges exploitation'!A24</f>
        <v xml:space="preserve">Piment Big Sun </v>
      </c>
      <c r="C30" s="18">
        <f>'Charges exploitation'!E24</f>
        <v>15000</v>
      </c>
      <c r="F30" s="18"/>
      <c r="AH30" s="93">
        <f t="shared" si="44"/>
        <v>15000</v>
      </c>
      <c r="BL30" s="21">
        <f t="shared" si="45"/>
        <v>30000</v>
      </c>
      <c r="BO30" s="11" t="str">
        <f>B22</f>
        <v>Tuyaux aspiration</v>
      </c>
      <c r="BQ30" s="18">
        <f>F22</f>
        <v>0</v>
      </c>
      <c r="BU30" s="20">
        <f>SUM(BP30:BT30)</f>
        <v>0</v>
      </c>
    </row>
    <row r="31" spans="2:73" ht="13.5" customHeight="1">
      <c r="B31" s="89" t="str">
        <f>'Charges exploitation'!A25</f>
        <v>Produits  Phytosanitaires</v>
      </c>
      <c r="C31" s="21">
        <f>C32+C44</f>
        <v>81500</v>
      </c>
      <c r="D31" s="21">
        <f t="shared" ref="D31:AG31" si="54">D32+D44</f>
        <v>0</v>
      </c>
      <c r="E31" s="21">
        <f t="shared" si="54"/>
        <v>0</v>
      </c>
      <c r="F31" s="21">
        <f t="shared" si="54"/>
        <v>0</v>
      </c>
      <c r="G31" s="21">
        <f t="shared" si="54"/>
        <v>0</v>
      </c>
      <c r="H31" s="21">
        <f t="shared" si="54"/>
        <v>0</v>
      </c>
      <c r="I31" s="21">
        <f t="shared" si="54"/>
        <v>0</v>
      </c>
      <c r="J31" s="21">
        <f t="shared" si="54"/>
        <v>0</v>
      </c>
      <c r="K31" s="21">
        <f t="shared" si="54"/>
        <v>0</v>
      </c>
      <c r="L31" s="21">
        <f t="shared" si="54"/>
        <v>0</v>
      </c>
      <c r="M31" s="21">
        <f t="shared" si="54"/>
        <v>0</v>
      </c>
      <c r="N31" s="21">
        <f t="shared" si="54"/>
        <v>0</v>
      </c>
      <c r="O31" s="21">
        <f t="shared" si="54"/>
        <v>0</v>
      </c>
      <c r="P31" s="21">
        <f t="shared" si="54"/>
        <v>0</v>
      </c>
      <c r="Q31" s="21">
        <f t="shared" si="54"/>
        <v>0</v>
      </c>
      <c r="R31" s="21">
        <f t="shared" si="54"/>
        <v>0</v>
      </c>
      <c r="S31" s="21">
        <f t="shared" si="54"/>
        <v>0</v>
      </c>
      <c r="T31" s="21">
        <f t="shared" si="54"/>
        <v>0</v>
      </c>
      <c r="U31" s="21">
        <f t="shared" si="54"/>
        <v>0</v>
      </c>
      <c r="V31" s="21">
        <f t="shared" si="54"/>
        <v>0</v>
      </c>
      <c r="W31" s="21">
        <f t="shared" si="54"/>
        <v>0</v>
      </c>
      <c r="X31" s="21">
        <f t="shared" si="54"/>
        <v>0</v>
      </c>
      <c r="Y31" s="21">
        <f t="shared" si="54"/>
        <v>0</v>
      </c>
      <c r="Z31" s="21">
        <f t="shared" si="54"/>
        <v>0</v>
      </c>
      <c r="AA31" s="21">
        <f t="shared" si="54"/>
        <v>0</v>
      </c>
      <c r="AB31" s="21">
        <f t="shared" si="54"/>
        <v>0</v>
      </c>
      <c r="AC31" s="21">
        <f t="shared" si="54"/>
        <v>0</v>
      </c>
      <c r="AD31" s="21">
        <f t="shared" si="54"/>
        <v>0</v>
      </c>
      <c r="AE31" s="21">
        <f t="shared" si="54"/>
        <v>0</v>
      </c>
      <c r="AF31" s="21">
        <f t="shared" si="54"/>
        <v>0</v>
      </c>
      <c r="AG31" s="21">
        <f t="shared" si="54"/>
        <v>0</v>
      </c>
      <c r="AH31" s="93">
        <f t="shared" si="44"/>
        <v>81500</v>
      </c>
      <c r="BL31" s="21">
        <f t="shared" si="45"/>
        <v>163000</v>
      </c>
      <c r="BO31" s="11" t="str">
        <f>B23</f>
        <v>Tuyaux refoulement</v>
      </c>
      <c r="BQ31" s="18">
        <f>F23</f>
        <v>0</v>
      </c>
      <c r="BU31" s="20">
        <f>SUM(BP31:BT31)</f>
        <v>0</v>
      </c>
    </row>
    <row r="32" spans="2:73" ht="13.5" customHeight="1">
      <c r="B32" s="92" t="str">
        <f>'Charges exploitation'!A26</f>
        <v>Aubergine Longue Violette</v>
      </c>
      <c r="C32" s="21">
        <f>C33+C38+C41</f>
        <v>44500</v>
      </c>
      <c r="D32" s="21">
        <f t="shared" ref="D32:AG32" si="55">D33+D38+D41</f>
        <v>0</v>
      </c>
      <c r="E32" s="21">
        <f t="shared" si="55"/>
        <v>0</v>
      </c>
      <c r="F32" s="21">
        <f t="shared" si="55"/>
        <v>0</v>
      </c>
      <c r="G32" s="21">
        <f t="shared" si="55"/>
        <v>0</v>
      </c>
      <c r="H32" s="21">
        <f t="shared" si="55"/>
        <v>0</v>
      </c>
      <c r="I32" s="21">
        <f t="shared" si="55"/>
        <v>0</v>
      </c>
      <c r="J32" s="21">
        <f t="shared" si="55"/>
        <v>0</v>
      </c>
      <c r="K32" s="21">
        <f t="shared" si="55"/>
        <v>0</v>
      </c>
      <c r="L32" s="21">
        <f t="shared" si="55"/>
        <v>0</v>
      </c>
      <c r="M32" s="21">
        <f t="shared" si="55"/>
        <v>0</v>
      </c>
      <c r="N32" s="21">
        <f t="shared" si="55"/>
        <v>0</v>
      </c>
      <c r="O32" s="21">
        <f t="shared" si="55"/>
        <v>0</v>
      </c>
      <c r="P32" s="21">
        <f t="shared" si="55"/>
        <v>0</v>
      </c>
      <c r="Q32" s="21">
        <f t="shared" si="55"/>
        <v>0</v>
      </c>
      <c r="R32" s="21">
        <f t="shared" si="55"/>
        <v>0</v>
      </c>
      <c r="S32" s="21">
        <f t="shared" si="55"/>
        <v>0</v>
      </c>
      <c r="T32" s="21">
        <f t="shared" si="55"/>
        <v>0</v>
      </c>
      <c r="U32" s="21">
        <f t="shared" si="55"/>
        <v>0</v>
      </c>
      <c r="V32" s="21">
        <f t="shared" si="55"/>
        <v>0</v>
      </c>
      <c r="W32" s="21">
        <f t="shared" si="55"/>
        <v>0</v>
      </c>
      <c r="X32" s="21">
        <f t="shared" si="55"/>
        <v>0</v>
      </c>
      <c r="Y32" s="21">
        <f t="shared" si="55"/>
        <v>0</v>
      </c>
      <c r="Z32" s="21">
        <f t="shared" si="55"/>
        <v>0</v>
      </c>
      <c r="AA32" s="21">
        <f t="shared" si="55"/>
        <v>0</v>
      </c>
      <c r="AB32" s="21">
        <f t="shared" si="55"/>
        <v>0</v>
      </c>
      <c r="AC32" s="21">
        <f t="shared" si="55"/>
        <v>0</v>
      </c>
      <c r="AD32" s="21">
        <f t="shared" si="55"/>
        <v>0</v>
      </c>
      <c r="AE32" s="21">
        <f t="shared" si="55"/>
        <v>0</v>
      </c>
      <c r="AF32" s="21">
        <f t="shared" si="55"/>
        <v>0</v>
      </c>
      <c r="AG32" s="21">
        <f t="shared" si="55"/>
        <v>0</v>
      </c>
      <c r="AH32" s="93">
        <f t="shared" si="44"/>
        <v>44500</v>
      </c>
      <c r="BL32" s="21">
        <f t="shared" si="45"/>
        <v>89000</v>
      </c>
      <c r="BO32" s="11" t="str">
        <f>B24</f>
        <v>Divers ( coude, T , Réducteur, ...)</v>
      </c>
      <c r="BQ32" s="18">
        <f>F24</f>
        <v>0</v>
      </c>
      <c r="BU32" s="20">
        <f>SUM(BP32:BT32)</f>
        <v>0</v>
      </c>
    </row>
    <row r="33" spans="2:73" ht="13.5" customHeight="1">
      <c r="B33" s="92" t="str">
        <f>'Charges exploitation'!A27</f>
        <v>Engrais</v>
      </c>
      <c r="C33" s="21">
        <f>SUM(C34:C37)</f>
        <v>33000</v>
      </c>
      <c r="D33" s="21">
        <f t="shared" ref="D33:AG33" si="56">SUM(D34:D37)</f>
        <v>0</v>
      </c>
      <c r="E33" s="21">
        <f t="shared" si="56"/>
        <v>0</v>
      </c>
      <c r="F33" s="21">
        <f t="shared" si="56"/>
        <v>0</v>
      </c>
      <c r="G33" s="21">
        <f t="shared" si="56"/>
        <v>0</v>
      </c>
      <c r="H33" s="21">
        <f t="shared" si="56"/>
        <v>0</v>
      </c>
      <c r="I33" s="21">
        <f t="shared" si="56"/>
        <v>0</v>
      </c>
      <c r="J33" s="21">
        <f t="shared" si="56"/>
        <v>0</v>
      </c>
      <c r="K33" s="21">
        <f t="shared" si="56"/>
        <v>0</v>
      </c>
      <c r="L33" s="21">
        <f t="shared" si="56"/>
        <v>0</v>
      </c>
      <c r="M33" s="21">
        <f t="shared" si="56"/>
        <v>0</v>
      </c>
      <c r="N33" s="21">
        <f t="shared" si="56"/>
        <v>0</v>
      </c>
      <c r="O33" s="21">
        <f t="shared" si="56"/>
        <v>0</v>
      </c>
      <c r="P33" s="21">
        <f t="shared" si="56"/>
        <v>0</v>
      </c>
      <c r="Q33" s="21">
        <f t="shared" si="56"/>
        <v>0</v>
      </c>
      <c r="R33" s="21">
        <f t="shared" si="56"/>
        <v>0</v>
      </c>
      <c r="S33" s="21">
        <f t="shared" si="56"/>
        <v>0</v>
      </c>
      <c r="T33" s="21">
        <f t="shared" si="56"/>
        <v>0</v>
      </c>
      <c r="U33" s="21">
        <f t="shared" si="56"/>
        <v>0</v>
      </c>
      <c r="V33" s="21">
        <f t="shared" si="56"/>
        <v>0</v>
      </c>
      <c r="W33" s="21">
        <f t="shared" si="56"/>
        <v>0</v>
      </c>
      <c r="X33" s="21">
        <f t="shared" si="56"/>
        <v>0</v>
      </c>
      <c r="Y33" s="21">
        <f t="shared" si="56"/>
        <v>0</v>
      </c>
      <c r="Z33" s="21">
        <f t="shared" si="56"/>
        <v>0</v>
      </c>
      <c r="AA33" s="21">
        <f t="shared" si="56"/>
        <v>0</v>
      </c>
      <c r="AB33" s="21">
        <f t="shared" si="56"/>
        <v>0</v>
      </c>
      <c r="AC33" s="21">
        <f t="shared" si="56"/>
        <v>0</v>
      </c>
      <c r="AD33" s="21">
        <f t="shared" si="56"/>
        <v>0</v>
      </c>
      <c r="AE33" s="21">
        <f t="shared" si="56"/>
        <v>0</v>
      </c>
      <c r="AF33" s="21">
        <f t="shared" si="56"/>
        <v>0</v>
      </c>
      <c r="AG33" s="21">
        <f t="shared" si="56"/>
        <v>0</v>
      </c>
      <c r="AH33" s="93">
        <f t="shared" si="44"/>
        <v>33000</v>
      </c>
      <c r="BL33" s="21">
        <f t="shared" si="45"/>
        <v>66000</v>
      </c>
      <c r="BO33" s="11" t="str">
        <f>B25</f>
        <v>Tuyauterie</v>
      </c>
      <c r="BQ33" s="18">
        <f>F25</f>
        <v>0</v>
      </c>
      <c r="BU33" s="20">
        <f>SUM(BP33:BT33)</f>
        <v>0</v>
      </c>
    </row>
    <row r="34" spans="2:73" ht="13.5" customHeight="1">
      <c r="B34" s="91" t="str">
        <f>'Charges exploitation'!A28</f>
        <v>Fientes de Volailles (Amendements de fond)</v>
      </c>
      <c r="C34" s="21">
        <f>C35+C47</f>
        <v>8000</v>
      </c>
      <c r="D34" s="21">
        <f t="shared" ref="D34" si="57">D35+D47</f>
        <v>0</v>
      </c>
      <c r="E34" s="21">
        <f t="shared" ref="E34" si="58">E35+E47</f>
        <v>0</v>
      </c>
      <c r="F34" s="21">
        <f t="shared" ref="F34" si="59">F35+F47</f>
        <v>0</v>
      </c>
      <c r="G34" s="21">
        <f t="shared" ref="G34" si="60">G35+G47</f>
        <v>0</v>
      </c>
      <c r="H34" s="21">
        <f t="shared" ref="H34" si="61">H35+H47</f>
        <v>0</v>
      </c>
      <c r="I34" s="21">
        <f t="shared" ref="I34" si="62">I35+I47</f>
        <v>0</v>
      </c>
      <c r="J34" s="21">
        <f t="shared" ref="J34" si="63">J35+J47</f>
        <v>0</v>
      </c>
      <c r="K34" s="21">
        <f t="shared" ref="K34" si="64">K35+K47</f>
        <v>0</v>
      </c>
      <c r="L34" s="21">
        <f t="shared" ref="L34" si="65">L35+L47</f>
        <v>0</v>
      </c>
      <c r="M34" s="21">
        <f t="shared" ref="M34" si="66">M35+M47</f>
        <v>0</v>
      </c>
      <c r="N34" s="21">
        <f t="shared" ref="N34" si="67">N35+N47</f>
        <v>0</v>
      </c>
      <c r="O34" s="21">
        <f t="shared" ref="O34" si="68">O35+O47</f>
        <v>0</v>
      </c>
      <c r="P34" s="21">
        <f t="shared" ref="P34" si="69">P35+P47</f>
        <v>0</v>
      </c>
      <c r="Q34" s="21">
        <f t="shared" ref="Q34" si="70">Q35+Q47</f>
        <v>0</v>
      </c>
      <c r="R34" s="21">
        <f t="shared" ref="R34" si="71">R35+R47</f>
        <v>0</v>
      </c>
      <c r="S34" s="21">
        <f t="shared" ref="S34" si="72">S35+S47</f>
        <v>0</v>
      </c>
      <c r="T34" s="21">
        <f t="shared" ref="T34" si="73">T35+T47</f>
        <v>0</v>
      </c>
      <c r="U34" s="21">
        <f t="shared" ref="U34" si="74">U35+U47</f>
        <v>0</v>
      </c>
      <c r="V34" s="21">
        <f t="shared" ref="V34" si="75">V35+V47</f>
        <v>0</v>
      </c>
      <c r="W34" s="21">
        <f t="shared" ref="W34" si="76">W35+W47</f>
        <v>0</v>
      </c>
      <c r="X34" s="21">
        <f t="shared" ref="X34" si="77">X35+X47</f>
        <v>0</v>
      </c>
      <c r="Y34" s="21">
        <f t="shared" ref="Y34" si="78">Y35+Y47</f>
        <v>0</v>
      </c>
      <c r="Z34" s="21">
        <f t="shared" ref="Z34" si="79">Z35+Z47</f>
        <v>0</v>
      </c>
      <c r="AA34" s="21">
        <f t="shared" ref="AA34" si="80">AA35+AA47</f>
        <v>0</v>
      </c>
      <c r="AB34" s="21">
        <f t="shared" ref="AB34" si="81">AB35+AB47</f>
        <v>0</v>
      </c>
      <c r="AC34" s="21">
        <f t="shared" ref="AC34" si="82">AC35+AC47</f>
        <v>0</v>
      </c>
      <c r="AD34" s="21">
        <f t="shared" ref="AD34" si="83">AD35+AD47</f>
        <v>0</v>
      </c>
      <c r="AE34" s="21">
        <f t="shared" ref="AE34" si="84">AE35+AE47</f>
        <v>0</v>
      </c>
      <c r="AF34" s="21">
        <f t="shared" ref="AF34" si="85">AF35+AF47</f>
        <v>0</v>
      </c>
      <c r="AG34" s="21">
        <f t="shared" ref="AG34" si="86">AG35+AG47</f>
        <v>0</v>
      </c>
      <c r="AH34" s="93">
        <f t="shared" si="44"/>
        <v>8000</v>
      </c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21">
        <f t="shared" si="45"/>
        <v>16000</v>
      </c>
      <c r="BO34" s="11" t="str">
        <f>B26</f>
        <v>Tuyaux Diam 75</v>
      </c>
      <c r="BQ34" s="18">
        <f>F26</f>
        <v>0</v>
      </c>
      <c r="BU34" s="20">
        <f>SUM(BP34:BT34)</f>
        <v>0</v>
      </c>
    </row>
    <row r="35" spans="2:73" ht="13.5" customHeight="1">
      <c r="B35" s="91" t="str">
        <f>'Charges exploitation'!A29</f>
        <v>Foltron</v>
      </c>
      <c r="C35" s="18">
        <f>'Charges exploitation'!E29</f>
        <v>4000</v>
      </c>
      <c r="AH35" s="93">
        <f t="shared" si="44"/>
        <v>4000</v>
      </c>
      <c r="BL35" s="21">
        <f t="shared" si="45"/>
        <v>8000</v>
      </c>
      <c r="BO35" s="11" t="str">
        <f>B27</f>
        <v>Tuyaux diam 32</v>
      </c>
      <c r="BQ35" s="18">
        <f>F27</f>
        <v>0</v>
      </c>
      <c r="BU35" s="20">
        <f>SUM(BP35:BT35)</f>
        <v>0</v>
      </c>
    </row>
    <row r="36" spans="2:73" ht="13.5" customHeight="1">
      <c r="B36" s="91" t="str">
        <f>'Charges exploitation'!A30</f>
        <v>biozyme</v>
      </c>
      <c r="C36" s="18">
        <f>'Charges exploitation'!E30</f>
        <v>4000</v>
      </c>
      <c r="F36" s="18"/>
      <c r="G36" s="18"/>
      <c r="H36" s="18"/>
      <c r="I36" s="18"/>
      <c r="J36" s="18"/>
      <c r="K36" s="18"/>
      <c r="L36" s="18"/>
      <c r="M36" s="18"/>
      <c r="N36" s="35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93">
        <f t="shared" si="44"/>
        <v>4000</v>
      </c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21">
        <f t="shared" si="45"/>
        <v>8000</v>
      </c>
      <c r="BO36" s="11" t="e">
        <f>#REF!</f>
        <v>#REF!</v>
      </c>
      <c r="BQ36" s="18" t="e">
        <f>#REF!</f>
        <v>#REF!</v>
      </c>
      <c r="BU36" s="20" t="e">
        <f>SUM(BP36:BT36)</f>
        <v>#REF!</v>
      </c>
    </row>
    <row r="37" spans="2:73" ht="13.5" customHeight="1">
      <c r="B37" s="91" t="str">
        <f>'Charges exploitation'!A31</f>
        <v>NPK Spécial Maraîchers 12.22.22</v>
      </c>
      <c r="C37" s="18">
        <f>'Charges exploitation'!E31</f>
        <v>17000</v>
      </c>
      <c r="F37" s="18"/>
      <c r="G37" s="18"/>
      <c r="H37" s="18"/>
      <c r="I37" s="18"/>
      <c r="J37" s="18"/>
      <c r="K37" s="18"/>
      <c r="L37" s="18"/>
      <c r="M37" s="18"/>
      <c r="N37" s="35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93">
        <f t="shared" si="44"/>
        <v>17000</v>
      </c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21">
        <f t="shared" si="45"/>
        <v>34000</v>
      </c>
      <c r="BO37" s="11" t="str">
        <f>B28</f>
        <v>Semences</v>
      </c>
      <c r="BQ37" s="18">
        <f>F28</f>
        <v>0</v>
      </c>
      <c r="BU37" s="20">
        <f>SUM(BP37:BT37)</f>
        <v>0</v>
      </c>
    </row>
    <row r="38" spans="2:73" ht="13.5" customHeight="1">
      <c r="B38" s="92" t="str">
        <f>'Charges exploitation'!A32</f>
        <v>Insecticides</v>
      </c>
      <c r="C38" s="21">
        <f>SUM(C39:C40)</f>
        <v>5500</v>
      </c>
      <c r="D38" s="21">
        <f t="shared" ref="D38:AG38" si="87">SUM(D39:D40)</f>
        <v>0</v>
      </c>
      <c r="E38" s="21">
        <f t="shared" si="87"/>
        <v>0</v>
      </c>
      <c r="F38" s="21">
        <f t="shared" si="87"/>
        <v>0</v>
      </c>
      <c r="G38" s="21">
        <f t="shared" si="87"/>
        <v>0</v>
      </c>
      <c r="H38" s="21">
        <f t="shared" si="87"/>
        <v>0</v>
      </c>
      <c r="I38" s="21">
        <f t="shared" si="87"/>
        <v>0</v>
      </c>
      <c r="J38" s="21">
        <f t="shared" si="87"/>
        <v>0</v>
      </c>
      <c r="K38" s="21">
        <f t="shared" si="87"/>
        <v>0</v>
      </c>
      <c r="L38" s="21">
        <f t="shared" si="87"/>
        <v>0</v>
      </c>
      <c r="M38" s="21">
        <f t="shared" si="87"/>
        <v>0</v>
      </c>
      <c r="N38" s="21">
        <f t="shared" si="87"/>
        <v>0</v>
      </c>
      <c r="O38" s="21">
        <f t="shared" si="87"/>
        <v>0</v>
      </c>
      <c r="P38" s="21">
        <f t="shared" si="87"/>
        <v>0</v>
      </c>
      <c r="Q38" s="21">
        <f t="shared" si="87"/>
        <v>0</v>
      </c>
      <c r="R38" s="21">
        <f t="shared" si="87"/>
        <v>0</v>
      </c>
      <c r="S38" s="21">
        <f t="shared" si="87"/>
        <v>0</v>
      </c>
      <c r="T38" s="21">
        <f t="shared" si="87"/>
        <v>0</v>
      </c>
      <c r="U38" s="21">
        <f t="shared" si="87"/>
        <v>0</v>
      </c>
      <c r="V38" s="21">
        <f t="shared" si="87"/>
        <v>0</v>
      </c>
      <c r="W38" s="21">
        <f t="shared" si="87"/>
        <v>0</v>
      </c>
      <c r="X38" s="21">
        <f t="shared" si="87"/>
        <v>0</v>
      </c>
      <c r="Y38" s="21">
        <f t="shared" si="87"/>
        <v>0</v>
      </c>
      <c r="Z38" s="21">
        <f t="shared" si="87"/>
        <v>0</v>
      </c>
      <c r="AA38" s="21">
        <f t="shared" si="87"/>
        <v>0</v>
      </c>
      <c r="AB38" s="21">
        <f t="shared" si="87"/>
        <v>0</v>
      </c>
      <c r="AC38" s="21">
        <f t="shared" si="87"/>
        <v>0</v>
      </c>
      <c r="AD38" s="21">
        <f t="shared" si="87"/>
        <v>0</v>
      </c>
      <c r="AE38" s="21">
        <f t="shared" si="87"/>
        <v>0</v>
      </c>
      <c r="AF38" s="21">
        <f t="shared" si="87"/>
        <v>0</v>
      </c>
      <c r="AG38" s="21">
        <f t="shared" si="87"/>
        <v>0</v>
      </c>
      <c r="AH38" s="93">
        <f t="shared" si="44"/>
        <v>5500</v>
      </c>
      <c r="BL38" s="21">
        <f t="shared" si="45"/>
        <v>11000</v>
      </c>
      <c r="BO38" s="11" t="str">
        <f>B29</f>
        <v>Aubergine Longue Violette</v>
      </c>
      <c r="BQ38" s="18">
        <f>F29</f>
        <v>0</v>
      </c>
      <c r="BU38" s="20">
        <f>SUM(BP38:BT38)</f>
        <v>0</v>
      </c>
    </row>
    <row r="39" spans="2:73" ht="13.5" customHeight="1">
      <c r="B39" s="91" t="str">
        <f>'Charges exploitation'!A33</f>
        <v>Cypercal 50 Ec</v>
      </c>
      <c r="C39" s="18">
        <f>'Charges exploitation'!E33</f>
        <v>2000</v>
      </c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35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93">
        <f t="shared" si="44"/>
        <v>2000</v>
      </c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21">
        <f t="shared" si="45"/>
        <v>4000</v>
      </c>
      <c r="BO39" s="11" t="str">
        <f>B30</f>
        <v xml:space="preserve">Piment Big Sun </v>
      </c>
      <c r="BQ39" s="18"/>
      <c r="BU39" s="20">
        <f>SUM(BP39:BT39)</f>
        <v>0</v>
      </c>
    </row>
    <row r="40" spans="2:73" ht="13.5" customHeight="1">
      <c r="B40" s="91" t="str">
        <f>'Charges exploitation'!A34</f>
        <v>Viper 46 Ec</v>
      </c>
      <c r="C40" s="18">
        <f>'Charges exploitation'!E34</f>
        <v>3500</v>
      </c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93">
        <f t="shared" si="44"/>
        <v>3500</v>
      </c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23"/>
      <c r="AT40" s="23"/>
      <c r="AU40" s="23"/>
      <c r="AV40" s="23"/>
      <c r="AW40" s="23"/>
      <c r="AX40" s="23"/>
      <c r="AY40" s="23"/>
      <c r="AZ40" s="23"/>
      <c r="BA40" s="23"/>
      <c r="BB40" s="23"/>
      <c r="BC40" s="23"/>
      <c r="BD40" s="23"/>
      <c r="BE40" s="23"/>
      <c r="BF40" s="23"/>
      <c r="BG40" s="23"/>
      <c r="BH40" s="23"/>
      <c r="BI40" s="23"/>
      <c r="BJ40" s="23"/>
      <c r="BK40" s="23"/>
      <c r="BL40" s="21">
        <f t="shared" si="45"/>
        <v>7000</v>
      </c>
      <c r="BO40" s="11" t="str">
        <f>B31</f>
        <v>Produits  Phytosanitaires</v>
      </c>
      <c r="BQ40" s="18">
        <f>F31</f>
        <v>0</v>
      </c>
      <c r="BU40" s="20">
        <f>SUM(BP40:BT40)</f>
        <v>0</v>
      </c>
    </row>
    <row r="41" spans="2:73" ht="13.5" customHeight="1">
      <c r="B41" s="89" t="str">
        <f>'Charges exploitation'!A35</f>
        <v>Fongicides</v>
      </c>
      <c r="C41" s="21">
        <f>SUM(C42:C43)</f>
        <v>6000</v>
      </c>
      <c r="D41" s="21">
        <f t="shared" ref="D41:AG41" si="88">SUM(D42:D43)</f>
        <v>0</v>
      </c>
      <c r="E41" s="21">
        <f t="shared" si="88"/>
        <v>0</v>
      </c>
      <c r="F41" s="21">
        <f t="shared" si="88"/>
        <v>0</v>
      </c>
      <c r="G41" s="21">
        <f t="shared" si="88"/>
        <v>0</v>
      </c>
      <c r="H41" s="21">
        <f t="shared" si="88"/>
        <v>0</v>
      </c>
      <c r="I41" s="21">
        <f t="shared" si="88"/>
        <v>0</v>
      </c>
      <c r="J41" s="21">
        <f t="shared" si="88"/>
        <v>0</v>
      </c>
      <c r="K41" s="21">
        <f t="shared" si="88"/>
        <v>0</v>
      </c>
      <c r="L41" s="21">
        <f t="shared" si="88"/>
        <v>0</v>
      </c>
      <c r="M41" s="21">
        <f t="shared" si="88"/>
        <v>0</v>
      </c>
      <c r="N41" s="21">
        <f t="shared" si="88"/>
        <v>0</v>
      </c>
      <c r="O41" s="21">
        <f t="shared" si="88"/>
        <v>0</v>
      </c>
      <c r="P41" s="21">
        <f t="shared" si="88"/>
        <v>0</v>
      </c>
      <c r="Q41" s="21">
        <f t="shared" si="88"/>
        <v>0</v>
      </c>
      <c r="R41" s="21">
        <f t="shared" si="88"/>
        <v>0</v>
      </c>
      <c r="S41" s="21">
        <f t="shared" si="88"/>
        <v>0</v>
      </c>
      <c r="T41" s="21">
        <f t="shared" si="88"/>
        <v>0</v>
      </c>
      <c r="U41" s="21">
        <f t="shared" si="88"/>
        <v>0</v>
      </c>
      <c r="V41" s="21">
        <f t="shared" si="88"/>
        <v>0</v>
      </c>
      <c r="W41" s="21">
        <f t="shared" si="88"/>
        <v>0</v>
      </c>
      <c r="X41" s="21">
        <f t="shared" si="88"/>
        <v>0</v>
      </c>
      <c r="Y41" s="21">
        <f t="shared" si="88"/>
        <v>0</v>
      </c>
      <c r="Z41" s="21">
        <f t="shared" si="88"/>
        <v>0</v>
      </c>
      <c r="AA41" s="21">
        <f t="shared" si="88"/>
        <v>0</v>
      </c>
      <c r="AB41" s="21">
        <f t="shared" si="88"/>
        <v>0</v>
      </c>
      <c r="AC41" s="21">
        <f t="shared" si="88"/>
        <v>0</v>
      </c>
      <c r="AD41" s="21">
        <f t="shared" si="88"/>
        <v>0</v>
      </c>
      <c r="AE41" s="21">
        <f t="shared" si="88"/>
        <v>0</v>
      </c>
      <c r="AF41" s="21">
        <f t="shared" si="88"/>
        <v>0</v>
      </c>
      <c r="AG41" s="21">
        <f t="shared" si="88"/>
        <v>0</v>
      </c>
      <c r="AH41" s="93">
        <f t="shared" si="44"/>
        <v>6000</v>
      </c>
      <c r="AI41" s="23"/>
      <c r="AJ41" s="23"/>
      <c r="AK41" s="23"/>
      <c r="AL41" s="23"/>
      <c r="AM41" s="23"/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23"/>
      <c r="AZ41" s="23"/>
      <c r="BA41" s="23"/>
      <c r="BB41" s="23"/>
      <c r="BC41" s="23"/>
      <c r="BD41" s="23"/>
      <c r="BE41" s="23"/>
      <c r="BF41" s="23"/>
      <c r="BG41" s="23"/>
      <c r="BH41" s="23"/>
      <c r="BI41" s="23"/>
      <c r="BJ41" s="23"/>
      <c r="BK41" s="23"/>
      <c r="BL41" s="21"/>
      <c r="BO41" s="11"/>
      <c r="BQ41" s="18"/>
    </row>
    <row r="42" spans="2:73" ht="13.5" customHeight="1">
      <c r="B42" s="91" t="str">
        <f>'Charges exploitation'!A36</f>
        <v>Psycho</v>
      </c>
      <c r="C42" s="18">
        <f>'Charges exploitation'!E36</f>
        <v>3500</v>
      </c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93">
        <f t="shared" si="44"/>
        <v>3500</v>
      </c>
      <c r="AI42" s="23"/>
      <c r="AJ42" s="23"/>
      <c r="AK42" s="23"/>
      <c r="AL42" s="23"/>
      <c r="AM42" s="23"/>
      <c r="AN42" s="23"/>
      <c r="AO42" s="23"/>
      <c r="AP42" s="23"/>
      <c r="AQ42" s="23"/>
      <c r="AR42" s="23"/>
      <c r="AS42" s="23"/>
      <c r="AT42" s="23"/>
      <c r="AU42" s="23"/>
      <c r="AV42" s="23"/>
      <c r="AW42" s="23"/>
      <c r="AX42" s="23"/>
      <c r="AY42" s="23"/>
      <c r="AZ42" s="23"/>
      <c r="BA42" s="23"/>
      <c r="BB42" s="23"/>
      <c r="BC42" s="23"/>
      <c r="BD42" s="23"/>
      <c r="BE42" s="23"/>
      <c r="BF42" s="23"/>
      <c r="BG42" s="23"/>
      <c r="BH42" s="23"/>
      <c r="BI42" s="23"/>
      <c r="BJ42" s="23"/>
      <c r="BK42" s="23"/>
      <c r="BL42" s="21"/>
      <c r="BO42" s="11"/>
      <c r="BQ42" s="18"/>
    </row>
    <row r="43" spans="2:73" ht="13.5" customHeight="1">
      <c r="B43" s="91" t="str">
        <f>'Charges exploitation'!A37</f>
        <v>Banko plus</v>
      </c>
      <c r="C43" s="18">
        <f>'Charges exploitation'!E37</f>
        <v>2500</v>
      </c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93">
        <f t="shared" si="44"/>
        <v>2500</v>
      </c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23"/>
      <c r="AZ43" s="23"/>
      <c r="BA43" s="23"/>
      <c r="BB43" s="23"/>
      <c r="BC43" s="23"/>
      <c r="BD43" s="23"/>
      <c r="BE43" s="23"/>
      <c r="BF43" s="23"/>
      <c r="BG43" s="23"/>
      <c r="BH43" s="23"/>
      <c r="BI43" s="23"/>
      <c r="BJ43" s="23"/>
      <c r="BK43" s="23"/>
      <c r="BL43" s="21"/>
      <c r="BO43" s="11"/>
      <c r="BQ43" s="18"/>
    </row>
    <row r="44" spans="2:73" ht="13.5" customHeight="1">
      <c r="B44" s="89" t="str">
        <f>'Charges exploitation'!A38</f>
        <v xml:space="preserve">Piment Big Sun </v>
      </c>
      <c r="C44" s="21">
        <f>C45+C50+C53</f>
        <v>37000</v>
      </c>
      <c r="D44" s="21">
        <f t="shared" ref="D44:AG44" si="89">D45+D50+D53</f>
        <v>0</v>
      </c>
      <c r="E44" s="21">
        <f t="shared" si="89"/>
        <v>0</v>
      </c>
      <c r="F44" s="21">
        <f t="shared" si="89"/>
        <v>0</v>
      </c>
      <c r="G44" s="21">
        <f t="shared" si="89"/>
        <v>0</v>
      </c>
      <c r="H44" s="21">
        <f t="shared" si="89"/>
        <v>0</v>
      </c>
      <c r="I44" s="21">
        <f t="shared" si="89"/>
        <v>0</v>
      </c>
      <c r="J44" s="21">
        <f t="shared" si="89"/>
        <v>0</v>
      </c>
      <c r="K44" s="21">
        <f t="shared" si="89"/>
        <v>0</v>
      </c>
      <c r="L44" s="21">
        <f t="shared" si="89"/>
        <v>0</v>
      </c>
      <c r="M44" s="21">
        <f t="shared" si="89"/>
        <v>0</v>
      </c>
      <c r="N44" s="21">
        <f t="shared" si="89"/>
        <v>0</v>
      </c>
      <c r="O44" s="21">
        <f t="shared" si="89"/>
        <v>0</v>
      </c>
      <c r="P44" s="21">
        <f t="shared" si="89"/>
        <v>0</v>
      </c>
      <c r="Q44" s="21">
        <f t="shared" si="89"/>
        <v>0</v>
      </c>
      <c r="R44" s="21">
        <f t="shared" si="89"/>
        <v>0</v>
      </c>
      <c r="S44" s="21">
        <f t="shared" si="89"/>
        <v>0</v>
      </c>
      <c r="T44" s="21">
        <f t="shared" si="89"/>
        <v>0</v>
      </c>
      <c r="U44" s="21">
        <f t="shared" si="89"/>
        <v>0</v>
      </c>
      <c r="V44" s="21">
        <f t="shared" si="89"/>
        <v>0</v>
      </c>
      <c r="W44" s="21">
        <f t="shared" si="89"/>
        <v>0</v>
      </c>
      <c r="X44" s="21">
        <f t="shared" si="89"/>
        <v>0</v>
      </c>
      <c r="Y44" s="21">
        <f t="shared" si="89"/>
        <v>0</v>
      </c>
      <c r="Z44" s="21">
        <f t="shared" si="89"/>
        <v>0</v>
      </c>
      <c r="AA44" s="21">
        <f t="shared" si="89"/>
        <v>0</v>
      </c>
      <c r="AB44" s="21">
        <f t="shared" si="89"/>
        <v>0</v>
      </c>
      <c r="AC44" s="21">
        <f t="shared" si="89"/>
        <v>0</v>
      </c>
      <c r="AD44" s="21">
        <f t="shared" si="89"/>
        <v>0</v>
      </c>
      <c r="AE44" s="21">
        <f t="shared" si="89"/>
        <v>0</v>
      </c>
      <c r="AF44" s="21">
        <f t="shared" si="89"/>
        <v>0</v>
      </c>
      <c r="AG44" s="21">
        <f t="shared" si="89"/>
        <v>0</v>
      </c>
      <c r="AH44" s="93">
        <f t="shared" si="44"/>
        <v>37000</v>
      </c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23"/>
      <c r="AT44" s="23"/>
      <c r="AU44" s="23"/>
      <c r="AV44" s="23"/>
      <c r="AW44" s="23"/>
      <c r="AX44" s="23"/>
      <c r="AY44" s="23"/>
      <c r="AZ44" s="23"/>
      <c r="BA44" s="23"/>
      <c r="BB44" s="23"/>
      <c r="BC44" s="23"/>
      <c r="BD44" s="23"/>
      <c r="BE44" s="23"/>
      <c r="BF44" s="23"/>
      <c r="BG44" s="23"/>
      <c r="BH44" s="23"/>
      <c r="BI44" s="23"/>
      <c r="BJ44" s="23"/>
      <c r="BK44" s="23"/>
      <c r="BL44" s="21"/>
      <c r="BO44" s="11"/>
      <c r="BQ44" s="18"/>
    </row>
    <row r="45" spans="2:73" ht="13.5" customHeight="1">
      <c r="B45" s="92" t="str">
        <f>'Charges exploitation'!A39</f>
        <v>Engrais</v>
      </c>
      <c r="C45" s="21">
        <f>SUM(C46:C49)</f>
        <v>25500</v>
      </c>
      <c r="D45" s="21">
        <f t="shared" ref="D45:AG45" si="90">SUM(D46:D49)</f>
        <v>0</v>
      </c>
      <c r="E45" s="21">
        <f t="shared" si="90"/>
        <v>0</v>
      </c>
      <c r="F45" s="21">
        <f t="shared" si="90"/>
        <v>0</v>
      </c>
      <c r="G45" s="21">
        <f t="shared" si="90"/>
        <v>0</v>
      </c>
      <c r="H45" s="21">
        <f t="shared" si="90"/>
        <v>0</v>
      </c>
      <c r="I45" s="21">
        <f t="shared" si="90"/>
        <v>0</v>
      </c>
      <c r="J45" s="21">
        <f t="shared" si="90"/>
        <v>0</v>
      </c>
      <c r="K45" s="21">
        <f t="shared" si="90"/>
        <v>0</v>
      </c>
      <c r="L45" s="21">
        <f t="shared" si="90"/>
        <v>0</v>
      </c>
      <c r="M45" s="21">
        <f t="shared" si="90"/>
        <v>0</v>
      </c>
      <c r="N45" s="21">
        <f t="shared" si="90"/>
        <v>0</v>
      </c>
      <c r="O45" s="21">
        <f t="shared" si="90"/>
        <v>0</v>
      </c>
      <c r="P45" s="21">
        <f t="shared" si="90"/>
        <v>0</v>
      </c>
      <c r="Q45" s="21">
        <f t="shared" si="90"/>
        <v>0</v>
      </c>
      <c r="R45" s="21">
        <f t="shared" si="90"/>
        <v>0</v>
      </c>
      <c r="S45" s="21">
        <f t="shared" si="90"/>
        <v>0</v>
      </c>
      <c r="T45" s="21">
        <f t="shared" si="90"/>
        <v>0</v>
      </c>
      <c r="U45" s="21">
        <f t="shared" si="90"/>
        <v>0</v>
      </c>
      <c r="V45" s="21">
        <f t="shared" si="90"/>
        <v>0</v>
      </c>
      <c r="W45" s="21">
        <f t="shared" si="90"/>
        <v>0</v>
      </c>
      <c r="X45" s="21">
        <f t="shared" si="90"/>
        <v>0</v>
      </c>
      <c r="Y45" s="21">
        <f t="shared" si="90"/>
        <v>0</v>
      </c>
      <c r="Z45" s="21">
        <f t="shared" si="90"/>
        <v>0</v>
      </c>
      <c r="AA45" s="21">
        <f t="shared" si="90"/>
        <v>0</v>
      </c>
      <c r="AB45" s="21">
        <f t="shared" si="90"/>
        <v>0</v>
      </c>
      <c r="AC45" s="21">
        <f t="shared" si="90"/>
        <v>0</v>
      </c>
      <c r="AD45" s="21">
        <f t="shared" si="90"/>
        <v>0</v>
      </c>
      <c r="AE45" s="21">
        <f t="shared" si="90"/>
        <v>0</v>
      </c>
      <c r="AF45" s="21">
        <f t="shared" si="90"/>
        <v>0</v>
      </c>
      <c r="AG45" s="21">
        <f t="shared" si="90"/>
        <v>0</v>
      </c>
      <c r="AH45" s="93">
        <f t="shared" si="44"/>
        <v>25500</v>
      </c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23"/>
      <c r="AT45" s="23"/>
      <c r="AU45" s="23"/>
      <c r="AV45" s="23"/>
      <c r="AW45" s="23"/>
      <c r="AX45" s="23"/>
      <c r="AY45" s="23"/>
      <c r="AZ45" s="23"/>
      <c r="BA45" s="23"/>
      <c r="BB45" s="23"/>
      <c r="BC45" s="23"/>
      <c r="BD45" s="23"/>
      <c r="BE45" s="23"/>
      <c r="BF45" s="23"/>
      <c r="BG45" s="23"/>
      <c r="BH45" s="23"/>
      <c r="BI45" s="23"/>
      <c r="BJ45" s="23"/>
      <c r="BK45" s="23"/>
      <c r="BL45" s="21"/>
      <c r="BO45" s="11"/>
      <c r="BQ45" s="18"/>
    </row>
    <row r="46" spans="2:73" ht="13.5" customHeight="1">
      <c r="B46" s="91" t="str">
        <f>'Charges exploitation'!A40</f>
        <v>Fientes de Volailles (Amendements de fond)</v>
      </c>
      <c r="C46" s="18">
        <f>'Charges exploitation'!E40</f>
        <v>500</v>
      </c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93">
        <f t="shared" si="44"/>
        <v>500</v>
      </c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23"/>
      <c r="BD46" s="23"/>
      <c r="BE46" s="23"/>
      <c r="BF46" s="23"/>
      <c r="BG46" s="23"/>
      <c r="BH46" s="23"/>
      <c r="BI46" s="23"/>
      <c r="BJ46" s="23"/>
      <c r="BK46" s="23"/>
      <c r="BL46" s="21"/>
      <c r="BO46" s="11"/>
      <c r="BQ46" s="18"/>
    </row>
    <row r="47" spans="2:73" ht="13.5" customHeight="1">
      <c r="B47" s="91" t="str">
        <f>'Charges exploitation'!A41</f>
        <v>Foltron</v>
      </c>
      <c r="C47" s="18">
        <f>'Charges exploitation'!E41</f>
        <v>4000</v>
      </c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93">
        <f t="shared" si="44"/>
        <v>4000</v>
      </c>
      <c r="AI47" s="23"/>
      <c r="AJ47" s="23"/>
      <c r="AK47" s="23"/>
      <c r="AL47" s="23"/>
      <c r="AM47" s="23"/>
      <c r="AN47" s="23"/>
      <c r="AO47" s="23"/>
      <c r="AP47" s="23"/>
      <c r="AQ47" s="23"/>
      <c r="AR47" s="23"/>
      <c r="AS47" s="23"/>
      <c r="AT47" s="23"/>
      <c r="AU47" s="23"/>
      <c r="AV47" s="23"/>
      <c r="AW47" s="23"/>
      <c r="AX47" s="23"/>
      <c r="AY47" s="23"/>
      <c r="AZ47" s="23"/>
      <c r="BA47" s="23"/>
      <c r="BB47" s="23"/>
      <c r="BC47" s="23"/>
      <c r="BD47" s="23"/>
      <c r="BE47" s="23"/>
      <c r="BF47" s="23"/>
      <c r="BG47" s="23"/>
      <c r="BH47" s="23"/>
      <c r="BI47" s="23"/>
      <c r="BJ47" s="23"/>
      <c r="BK47" s="23"/>
      <c r="BL47" s="21"/>
      <c r="BO47" s="11"/>
      <c r="BQ47" s="18"/>
    </row>
    <row r="48" spans="2:73" ht="13.5" customHeight="1">
      <c r="B48" s="91" t="str">
        <f>'Charges exploitation'!A42</f>
        <v>biozyme</v>
      </c>
      <c r="C48" s="18">
        <f>'Charges exploitation'!E42</f>
        <v>4000</v>
      </c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93">
        <f t="shared" si="44"/>
        <v>4000</v>
      </c>
      <c r="AI48" s="23"/>
      <c r="AJ48" s="23"/>
      <c r="AK48" s="23"/>
      <c r="AL48" s="23"/>
      <c r="AM48" s="23"/>
      <c r="AN48" s="23"/>
      <c r="AO48" s="23"/>
      <c r="AP48" s="23"/>
      <c r="AQ48" s="23"/>
      <c r="AR48" s="23"/>
      <c r="AS48" s="23"/>
      <c r="AT48" s="23"/>
      <c r="AU48" s="23"/>
      <c r="AV48" s="23"/>
      <c r="AW48" s="23"/>
      <c r="AX48" s="23"/>
      <c r="AY48" s="23"/>
      <c r="AZ48" s="23"/>
      <c r="BA48" s="23"/>
      <c r="BB48" s="23"/>
      <c r="BC48" s="23"/>
      <c r="BD48" s="23"/>
      <c r="BE48" s="23"/>
      <c r="BF48" s="23"/>
      <c r="BG48" s="23"/>
      <c r="BH48" s="23"/>
      <c r="BI48" s="23"/>
      <c r="BJ48" s="23"/>
      <c r="BK48" s="23"/>
      <c r="BL48" s="21"/>
      <c r="BO48" s="11"/>
      <c r="BQ48" s="18"/>
    </row>
    <row r="49" spans="2:69" ht="13.5" customHeight="1">
      <c r="B49" s="91" t="str">
        <f>'Charges exploitation'!A43</f>
        <v>NPK Spécial Maraîchers 12.22.22</v>
      </c>
      <c r="C49" s="18">
        <f>'Charges exploitation'!E43</f>
        <v>17000</v>
      </c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93">
        <f t="shared" si="44"/>
        <v>17000</v>
      </c>
      <c r="AI49" s="23"/>
      <c r="AJ49" s="23"/>
      <c r="AK49" s="23"/>
      <c r="AL49" s="23"/>
      <c r="AM49" s="23"/>
      <c r="AN49" s="23"/>
      <c r="AO49" s="23"/>
      <c r="AP49" s="23"/>
      <c r="AQ49" s="23"/>
      <c r="AR49" s="23"/>
      <c r="AS49" s="23"/>
      <c r="AT49" s="23"/>
      <c r="AU49" s="23"/>
      <c r="AV49" s="23"/>
      <c r="AW49" s="23"/>
      <c r="AX49" s="23"/>
      <c r="AY49" s="23"/>
      <c r="AZ49" s="23"/>
      <c r="BA49" s="23"/>
      <c r="BB49" s="23"/>
      <c r="BC49" s="23"/>
      <c r="BD49" s="23"/>
      <c r="BE49" s="23"/>
      <c r="BF49" s="23"/>
      <c r="BG49" s="23"/>
      <c r="BH49" s="23"/>
      <c r="BI49" s="23"/>
      <c r="BJ49" s="23"/>
      <c r="BK49" s="23"/>
      <c r="BL49" s="21"/>
      <c r="BO49" s="11"/>
      <c r="BQ49" s="18"/>
    </row>
    <row r="50" spans="2:69" ht="13.5" customHeight="1">
      <c r="B50" s="92" t="str">
        <f>'Charges exploitation'!A44</f>
        <v>Insecticides</v>
      </c>
      <c r="C50" s="21">
        <f>SUM(C51:C52)</f>
        <v>5500</v>
      </c>
      <c r="D50" s="21">
        <f t="shared" ref="D50:AG50" si="91">SUM(D51:D52)</f>
        <v>0</v>
      </c>
      <c r="E50" s="21">
        <f t="shared" si="91"/>
        <v>0</v>
      </c>
      <c r="F50" s="21">
        <f t="shared" si="91"/>
        <v>0</v>
      </c>
      <c r="G50" s="21">
        <f t="shared" si="91"/>
        <v>0</v>
      </c>
      <c r="H50" s="21">
        <f t="shared" si="91"/>
        <v>0</v>
      </c>
      <c r="I50" s="21">
        <f t="shared" si="91"/>
        <v>0</v>
      </c>
      <c r="J50" s="21">
        <f t="shared" si="91"/>
        <v>0</v>
      </c>
      <c r="K50" s="21">
        <f t="shared" si="91"/>
        <v>0</v>
      </c>
      <c r="L50" s="21">
        <f t="shared" si="91"/>
        <v>0</v>
      </c>
      <c r="M50" s="21">
        <f t="shared" si="91"/>
        <v>0</v>
      </c>
      <c r="N50" s="21">
        <f t="shared" si="91"/>
        <v>0</v>
      </c>
      <c r="O50" s="21">
        <f t="shared" si="91"/>
        <v>0</v>
      </c>
      <c r="P50" s="21">
        <f t="shared" si="91"/>
        <v>0</v>
      </c>
      <c r="Q50" s="21">
        <f t="shared" si="91"/>
        <v>0</v>
      </c>
      <c r="R50" s="21">
        <f t="shared" si="91"/>
        <v>0</v>
      </c>
      <c r="S50" s="21">
        <f t="shared" si="91"/>
        <v>0</v>
      </c>
      <c r="T50" s="21">
        <f t="shared" si="91"/>
        <v>0</v>
      </c>
      <c r="U50" s="21">
        <f t="shared" si="91"/>
        <v>0</v>
      </c>
      <c r="V50" s="21">
        <f t="shared" si="91"/>
        <v>0</v>
      </c>
      <c r="W50" s="21">
        <f t="shared" si="91"/>
        <v>0</v>
      </c>
      <c r="X50" s="21">
        <f t="shared" si="91"/>
        <v>0</v>
      </c>
      <c r="Y50" s="21">
        <f t="shared" si="91"/>
        <v>0</v>
      </c>
      <c r="Z50" s="21">
        <f t="shared" si="91"/>
        <v>0</v>
      </c>
      <c r="AA50" s="21">
        <f t="shared" si="91"/>
        <v>0</v>
      </c>
      <c r="AB50" s="21">
        <f t="shared" si="91"/>
        <v>0</v>
      </c>
      <c r="AC50" s="21">
        <f t="shared" si="91"/>
        <v>0</v>
      </c>
      <c r="AD50" s="21">
        <f t="shared" si="91"/>
        <v>0</v>
      </c>
      <c r="AE50" s="21">
        <f t="shared" si="91"/>
        <v>0</v>
      </c>
      <c r="AF50" s="21">
        <f t="shared" si="91"/>
        <v>0</v>
      </c>
      <c r="AG50" s="21">
        <f t="shared" si="91"/>
        <v>0</v>
      </c>
      <c r="AH50" s="93">
        <f t="shared" si="44"/>
        <v>5500</v>
      </c>
      <c r="AI50" s="23"/>
      <c r="AJ50" s="23"/>
      <c r="AK50" s="23"/>
      <c r="AL50" s="23"/>
      <c r="AM50" s="23"/>
      <c r="AN50" s="23"/>
      <c r="AO50" s="23"/>
      <c r="AP50" s="23"/>
      <c r="AQ50" s="23"/>
      <c r="AR50" s="23"/>
      <c r="AS50" s="23"/>
      <c r="AT50" s="23"/>
      <c r="AU50" s="23"/>
      <c r="AV50" s="23"/>
      <c r="AW50" s="23"/>
      <c r="AX50" s="23"/>
      <c r="AY50" s="23"/>
      <c r="AZ50" s="23"/>
      <c r="BA50" s="23"/>
      <c r="BB50" s="23"/>
      <c r="BC50" s="23"/>
      <c r="BD50" s="23"/>
      <c r="BE50" s="23"/>
      <c r="BF50" s="23"/>
      <c r="BG50" s="23"/>
      <c r="BH50" s="23"/>
      <c r="BI50" s="23"/>
      <c r="BJ50" s="23"/>
      <c r="BK50" s="23"/>
      <c r="BL50" s="21"/>
      <c r="BO50" s="11"/>
      <c r="BQ50" s="18"/>
    </row>
    <row r="51" spans="2:69" ht="13.5" customHeight="1">
      <c r="B51" s="91" t="str">
        <f>'Charges exploitation'!A45</f>
        <v>Cypercal 50 Ec</v>
      </c>
      <c r="C51" s="18">
        <f>'Charges exploitation'!E45</f>
        <v>2000</v>
      </c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93">
        <f t="shared" si="44"/>
        <v>2000</v>
      </c>
      <c r="AI51" s="23"/>
      <c r="AJ51" s="23"/>
      <c r="AK51" s="23"/>
      <c r="AL51" s="23"/>
      <c r="AM51" s="23"/>
      <c r="AN51" s="23"/>
      <c r="AO51" s="23"/>
      <c r="AP51" s="23"/>
      <c r="AQ51" s="23"/>
      <c r="AR51" s="23"/>
      <c r="AS51" s="23"/>
      <c r="AT51" s="23"/>
      <c r="AU51" s="23"/>
      <c r="AV51" s="23"/>
      <c r="AW51" s="23"/>
      <c r="AX51" s="23"/>
      <c r="AY51" s="23"/>
      <c r="AZ51" s="23"/>
      <c r="BA51" s="23"/>
      <c r="BB51" s="23"/>
      <c r="BC51" s="23"/>
      <c r="BD51" s="23"/>
      <c r="BE51" s="23"/>
      <c r="BF51" s="23"/>
      <c r="BG51" s="23"/>
      <c r="BH51" s="23"/>
      <c r="BI51" s="23"/>
      <c r="BJ51" s="23"/>
      <c r="BK51" s="23"/>
      <c r="BL51" s="21"/>
      <c r="BO51" s="11"/>
      <c r="BQ51" s="18"/>
    </row>
    <row r="52" spans="2:69" ht="13.5" customHeight="1">
      <c r="B52" s="91" t="str">
        <f>'Charges exploitation'!A46</f>
        <v>Viper 46 Ec</v>
      </c>
      <c r="C52" s="18">
        <f>'Charges exploitation'!E46</f>
        <v>3500</v>
      </c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93">
        <f t="shared" si="44"/>
        <v>3500</v>
      </c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23"/>
      <c r="AZ52" s="23"/>
      <c r="BA52" s="23"/>
      <c r="BB52" s="23"/>
      <c r="BC52" s="23"/>
      <c r="BD52" s="23"/>
      <c r="BE52" s="23"/>
      <c r="BF52" s="23"/>
      <c r="BG52" s="23"/>
      <c r="BH52" s="23"/>
      <c r="BI52" s="23"/>
      <c r="BJ52" s="23"/>
      <c r="BK52" s="23"/>
      <c r="BL52" s="21"/>
      <c r="BO52" s="11"/>
      <c r="BQ52" s="18"/>
    </row>
    <row r="53" spans="2:69" ht="13.5" customHeight="1">
      <c r="B53" s="92" t="str">
        <f>'Charges exploitation'!A47</f>
        <v>Fongicides</v>
      </c>
      <c r="C53" s="21">
        <f>SUM(C54:C55)</f>
        <v>6000</v>
      </c>
      <c r="D53" s="21">
        <f t="shared" ref="D53:AG53" si="92">SUM(D54:D55)</f>
        <v>0</v>
      </c>
      <c r="E53" s="21">
        <f t="shared" si="92"/>
        <v>0</v>
      </c>
      <c r="F53" s="21">
        <f t="shared" si="92"/>
        <v>0</v>
      </c>
      <c r="G53" s="21">
        <f t="shared" si="92"/>
        <v>0</v>
      </c>
      <c r="H53" s="21">
        <f t="shared" si="92"/>
        <v>0</v>
      </c>
      <c r="I53" s="21">
        <f t="shared" si="92"/>
        <v>0</v>
      </c>
      <c r="J53" s="21">
        <f t="shared" si="92"/>
        <v>0</v>
      </c>
      <c r="K53" s="21">
        <f t="shared" si="92"/>
        <v>0</v>
      </c>
      <c r="L53" s="21">
        <f t="shared" si="92"/>
        <v>0</v>
      </c>
      <c r="M53" s="21">
        <f t="shared" si="92"/>
        <v>0</v>
      </c>
      <c r="N53" s="21">
        <f t="shared" si="92"/>
        <v>0</v>
      </c>
      <c r="O53" s="21">
        <f t="shared" si="92"/>
        <v>0</v>
      </c>
      <c r="P53" s="21">
        <f t="shared" si="92"/>
        <v>0</v>
      </c>
      <c r="Q53" s="21">
        <f t="shared" si="92"/>
        <v>0</v>
      </c>
      <c r="R53" s="21">
        <f t="shared" si="92"/>
        <v>0</v>
      </c>
      <c r="S53" s="21">
        <f t="shared" si="92"/>
        <v>0</v>
      </c>
      <c r="T53" s="21">
        <f t="shared" si="92"/>
        <v>0</v>
      </c>
      <c r="U53" s="21">
        <f t="shared" si="92"/>
        <v>0</v>
      </c>
      <c r="V53" s="21">
        <f t="shared" si="92"/>
        <v>0</v>
      </c>
      <c r="W53" s="21">
        <f t="shared" si="92"/>
        <v>0</v>
      </c>
      <c r="X53" s="21">
        <f t="shared" si="92"/>
        <v>0</v>
      </c>
      <c r="Y53" s="21">
        <f t="shared" si="92"/>
        <v>0</v>
      </c>
      <c r="Z53" s="21">
        <f t="shared" si="92"/>
        <v>0</v>
      </c>
      <c r="AA53" s="21">
        <f t="shared" si="92"/>
        <v>0</v>
      </c>
      <c r="AB53" s="21">
        <f t="shared" si="92"/>
        <v>0</v>
      </c>
      <c r="AC53" s="21">
        <f t="shared" si="92"/>
        <v>0</v>
      </c>
      <c r="AD53" s="21">
        <f t="shared" si="92"/>
        <v>0</v>
      </c>
      <c r="AE53" s="21">
        <f t="shared" si="92"/>
        <v>0</v>
      </c>
      <c r="AF53" s="21">
        <f t="shared" si="92"/>
        <v>0</v>
      </c>
      <c r="AG53" s="21">
        <f t="shared" si="92"/>
        <v>0</v>
      </c>
      <c r="AH53" s="93">
        <f t="shared" si="44"/>
        <v>6000</v>
      </c>
      <c r="AI53" s="23"/>
      <c r="AJ53" s="23"/>
      <c r="AK53" s="23"/>
      <c r="AL53" s="23"/>
      <c r="AM53" s="23"/>
      <c r="AN53" s="23"/>
      <c r="AO53" s="23"/>
      <c r="AP53" s="23"/>
      <c r="AQ53" s="23"/>
      <c r="AR53" s="23"/>
      <c r="AS53" s="23"/>
      <c r="AT53" s="23"/>
      <c r="AU53" s="23"/>
      <c r="AV53" s="23"/>
      <c r="AW53" s="23"/>
      <c r="AX53" s="23"/>
      <c r="AY53" s="23"/>
      <c r="AZ53" s="23"/>
      <c r="BA53" s="23"/>
      <c r="BB53" s="23"/>
      <c r="BC53" s="23"/>
      <c r="BD53" s="23"/>
      <c r="BE53" s="23"/>
      <c r="BF53" s="23"/>
      <c r="BG53" s="23"/>
      <c r="BH53" s="23"/>
      <c r="BI53" s="23"/>
      <c r="BJ53" s="23"/>
      <c r="BK53" s="23"/>
      <c r="BL53" s="21"/>
      <c r="BO53" s="11"/>
      <c r="BQ53" s="18"/>
    </row>
    <row r="54" spans="2:69" ht="13.5" customHeight="1">
      <c r="B54" s="91" t="str">
        <f>'Charges exploitation'!A48</f>
        <v>Psycho</v>
      </c>
      <c r="C54" s="18">
        <f>'Charges exploitation'!E48</f>
        <v>3500</v>
      </c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93">
        <f t="shared" si="44"/>
        <v>3500</v>
      </c>
      <c r="AI54" s="23"/>
      <c r="AJ54" s="23"/>
      <c r="AK54" s="23"/>
      <c r="AL54" s="23"/>
      <c r="AM54" s="23"/>
      <c r="AN54" s="23"/>
      <c r="AO54" s="23"/>
      <c r="AP54" s="23"/>
      <c r="AQ54" s="23"/>
      <c r="AR54" s="23"/>
      <c r="AS54" s="23"/>
      <c r="AT54" s="23"/>
      <c r="AU54" s="23"/>
      <c r="AV54" s="23"/>
      <c r="AW54" s="23"/>
      <c r="AX54" s="23"/>
      <c r="AY54" s="23"/>
      <c r="AZ54" s="23"/>
      <c r="BA54" s="23"/>
      <c r="BB54" s="23"/>
      <c r="BC54" s="23"/>
      <c r="BD54" s="23"/>
      <c r="BE54" s="23"/>
      <c r="BF54" s="23"/>
      <c r="BG54" s="23"/>
      <c r="BH54" s="23"/>
      <c r="BI54" s="23"/>
      <c r="BJ54" s="23"/>
      <c r="BK54" s="23"/>
      <c r="BL54" s="21"/>
      <c r="BO54" s="11"/>
      <c r="BQ54" s="18"/>
    </row>
    <row r="55" spans="2:69" ht="13.5" customHeight="1">
      <c r="B55" s="91" t="str">
        <f>'Charges exploitation'!A49</f>
        <v>Banko plus</v>
      </c>
      <c r="C55" s="18">
        <f>'Charges exploitation'!E49</f>
        <v>2500</v>
      </c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93">
        <f t="shared" si="44"/>
        <v>2500</v>
      </c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23"/>
      <c r="AT55" s="23"/>
      <c r="AU55" s="23"/>
      <c r="AV55" s="23"/>
      <c r="AW55" s="23"/>
      <c r="AX55" s="23"/>
      <c r="AY55" s="23"/>
      <c r="AZ55" s="23"/>
      <c r="BA55" s="23"/>
      <c r="BB55" s="23"/>
      <c r="BC55" s="23"/>
      <c r="BD55" s="23"/>
      <c r="BE55" s="23"/>
      <c r="BF55" s="23"/>
      <c r="BG55" s="23"/>
      <c r="BH55" s="23"/>
      <c r="BI55" s="23"/>
      <c r="BJ55" s="23"/>
      <c r="BK55" s="23"/>
      <c r="BL55" s="21"/>
      <c r="BO55" s="11"/>
      <c r="BQ55" s="18"/>
    </row>
    <row r="56" spans="2:69" ht="13.5" customHeight="1">
      <c r="B56" s="89" t="str">
        <f>'Charges exploitation'!A50</f>
        <v>Travaux (MO Occasionnelle)</v>
      </c>
      <c r="C56" s="21">
        <f>C57+C63</f>
        <v>5000</v>
      </c>
      <c r="D56" s="21">
        <f t="shared" ref="D56:AG56" si="93">D57+D63</f>
        <v>0</v>
      </c>
      <c r="E56" s="21">
        <f t="shared" si="93"/>
        <v>0</v>
      </c>
      <c r="F56" s="21">
        <f t="shared" si="93"/>
        <v>15000</v>
      </c>
      <c r="G56" s="21">
        <f t="shared" si="93"/>
        <v>10000</v>
      </c>
      <c r="H56" s="21">
        <f t="shared" si="93"/>
        <v>0</v>
      </c>
      <c r="I56" s="21">
        <f t="shared" si="93"/>
        <v>25000</v>
      </c>
      <c r="J56" s="21">
        <f t="shared" si="93"/>
        <v>0</v>
      </c>
      <c r="K56" s="21">
        <f t="shared" si="93"/>
        <v>0</v>
      </c>
      <c r="L56" s="21">
        <f t="shared" si="93"/>
        <v>0</v>
      </c>
      <c r="M56" s="21">
        <f t="shared" si="93"/>
        <v>0</v>
      </c>
      <c r="N56" s="21">
        <f t="shared" si="93"/>
        <v>0</v>
      </c>
      <c r="O56" s="21">
        <f t="shared" si="93"/>
        <v>25000</v>
      </c>
      <c r="P56" s="21">
        <f t="shared" si="93"/>
        <v>0</v>
      </c>
      <c r="Q56" s="21">
        <f t="shared" si="93"/>
        <v>0</v>
      </c>
      <c r="R56" s="21">
        <f t="shared" si="93"/>
        <v>0</v>
      </c>
      <c r="S56" s="21">
        <f t="shared" si="93"/>
        <v>15000</v>
      </c>
      <c r="T56" s="21">
        <f t="shared" si="93"/>
        <v>0</v>
      </c>
      <c r="U56" s="21">
        <f t="shared" si="93"/>
        <v>0</v>
      </c>
      <c r="V56" s="21">
        <f t="shared" si="93"/>
        <v>0</v>
      </c>
      <c r="W56" s="21">
        <f t="shared" si="93"/>
        <v>0</v>
      </c>
      <c r="X56" s="21">
        <f t="shared" si="93"/>
        <v>0</v>
      </c>
      <c r="Y56" s="21">
        <f t="shared" si="93"/>
        <v>0</v>
      </c>
      <c r="Z56" s="21">
        <f t="shared" si="93"/>
        <v>0</v>
      </c>
      <c r="AA56" s="21">
        <f t="shared" si="93"/>
        <v>0</v>
      </c>
      <c r="AB56" s="21">
        <f t="shared" si="93"/>
        <v>0</v>
      </c>
      <c r="AC56" s="21">
        <f t="shared" si="93"/>
        <v>0</v>
      </c>
      <c r="AD56" s="21">
        <f t="shared" si="93"/>
        <v>0</v>
      </c>
      <c r="AE56" s="21">
        <f t="shared" si="93"/>
        <v>0</v>
      </c>
      <c r="AF56" s="21">
        <f t="shared" si="93"/>
        <v>0</v>
      </c>
      <c r="AG56" s="21">
        <f t="shared" si="93"/>
        <v>0</v>
      </c>
      <c r="AH56" s="93">
        <f t="shared" si="44"/>
        <v>95000</v>
      </c>
      <c r="AI56" s="23"/>
      <c r="AJ56" s="23"/>
      <c r="AK56" s="23"/>
      <c r="AL56" s="23"/>
      <c r="AM56" s="23"/>
      <c r="AN56" s="23"/>
      <c r="AO56" s="23"/>
      <c r="AP56" s="23"/>
      <c r="AQ56" s="23"/>
      <c r="AR56" s="23"/>
      <c r="AS56" s="23"/>
      <c r="AT56" s="23"/>
      <c r="AU56" s="23"/>
      <c r="AV56" s="23"/>
      <c r="AW56" s="23"/>
      <c r="AX56" s="23"/>
      <c r="AY56" s="23"/>
      <c r="AZ56" s="23"/>
      <c r="BA56" s="23"/>
      <c r="BB56" s="23"/>
      <c r="BC56" s="23"/>
      <c r="BD56" s="23"/>
      <c r="BE56" s="23"/>
      <c r="BF56" s="23"/>
      <c r="BG56" s="23"/>
      <c r="BH56" s="23"/>
      <c r="BI56" s="23"/>
      <c r="BJ56" s="23"/>
      <c r="BK56" s="23"/>
      <c r="BL56" s="21"/>
      <c r="BO56" s="11"/>
      <c r="BQ56" s="18"/>
    </row>
    <row r="57" spans="2:69" ht="13.5" customHeight="1">
      <c r="B57" s="89" t="str">
        <f>'Charges exploitation'!A51</f>
        <v>Aubergine Longue Violette</v>
      </c>
      <c r="C57" s="21">
        <f>SUM(C58:C62)</f>
        <v>2500</v>
      </c>
      <c r="D57" s="21">
        <f t="shared" ref="D57:AG57" si="94">SUM(D58:D62)</f>
        <v>0</v>
      </c>
      <c r="E57" s="21">
        <f t="shared" si="94"/>
        <v>0</v>
      </c>
      <c r="F57" s="21">
        <f t="shared" si="94"/>
        <v>0</v>
      </c>
      <c r="G57" s="21">
        <f>SUM(G59:G62)</f>
        <v>10000</v>
      </c>
      <c r="H57" s="21">
        <f t="shared" si="94"/>
        <v>0</v>
      </c>
      <c r="I57" s="21">
        <f t="shared" si="94"/>
        <v>10000</v>
      </c>
      <c r="J57" s="21">
        <f t="shared" si="94"/>
        <v>0</v>
      </c>
      <c r="K57" s="21">
        <f t="shared" si="94"/>
        <v>0</v>
      </c>
      <c r="L57" s="21">
        <f t="shared" si="94"/>
        <v>0</v>
      </c>
      <c r="M57" s="21">
        <f t="shared" si="94"/>
        <v>0</v>
      </c>
      <c r="N57" s="21">
        <f t="shared" si="94"/>
        <v>0</v>
      </c>
      <c r="O57" s="21">
        <f t="shared" si="94"/>
        <v>10000</v>
      </c>
      <c r="P57" s="21">
        <f t="shared" si="94"/>
        <v>0</v>
      </c>
      <c r="Q57" s="21">
        <f t="shared" si="94"/>
        <v>0</v>
      </c>
      <c r="R57" s="21">
        <f t="shared" si="94"/>
        <v>0</v>
      </c>
      <c r="S57" s="21">
        <f t="shared" si="94"/>
        <v>0</v>
      </c>
      <c r="T57" s="21">
        <f t="shared" si="94"/>
        <v>0</v>
      </c>
      <c r="U57" s="21">
        <f t="shared" si="94"/>
        <v>0</v>
      </c>
      <c r="V57" s="21">
        <f t="shared" si="94"/>
        <v>0</v>
      </c>
      <c r="W57" s="21">
        <f t="shared" si="94"/>
        <v>0</v>
      </c>
      <c r="X57" s="21">
        <f t="shared" si="94"/>
        <v>0</v>
      </c>
      <c r="Y57" s="21">
        <f t="shared" si="94"/>
        <v>0</v>
      </c>
      <c r="Z57" s="21">
        <f t="shared" si="94"/>
        <v>0</v>
      </c>
      <c r="AA57" s="21">
        <f t="shared" si="94"/>
        <v>0</v>
      </c>
      <c r="AB57" s="21">
        <f t="shared" si="94"/>
        <v>0</v>
      </c>
      <c r="AC57" s="21">
        <f t="shared" si="94"/>
        <v>0</v>
      </c>
      <c r="AD57" s="21">
        <f t="shared" si="94"/>
        <v>0</v>
      </c>
      <c r="AE57" s="21">
        <f t="shared" si="94"/>
        <v>0</v>
      </c>
      <c r="AF57" s="21">
        <f t="shared" si="94"/>
        <v>0</v>
      </c>
      <c r="AG57" s="21">
        <f t="shared" si="94"/>
        <v>0</v>
      </c>
      <c r="AH57" s="93">
        <f t="shared" si="44"/>
        <v>32500</v>
      </c>
      <c r="AI57" s="23"/>
      <c r="AJ57" s="23"/>
      <c r="AK57" s="23"/>
      <c r="AL57" s="23"/>
      <c r="AM57" s="23"/>
      <c r="AN57" s="23"/>
      <c r="AO57" s="23"/>
      <c r="AP57" s="23"/>
      <c r="AQ57" s="23"/>
      <c r="AR57" s="23"/>
      <c r="AS57" s="23"/>
      <c r="AT57" s="23"/>
      <c r="AU57" s="23"/>
      <c r="AV57" s="23"/>
      <c r="AW57" s="23"/>
      <c r="AX57" s="23"/>
      <c r="AY57" s="23"/>
      <c r="AZ57" s="23"/>
      <c r="BA57" s="23"/>
      <c r="BB57" s="23"/>
      <c r="BC57" s="23"/>
      <c r="BD57" s="23"/>
      <c r="BE57" s="23"/>
      <c r="BF57" s="23"/>
      <c r="BG57" s="23"/>
      <c r="BH57" s="23"/>
      <c r="BI57" s="23"/>
      <c r="BJ57" s="23"/>
      <c r="BK57" s="23"/>
      <c r="BL57" s="21"/>
      <c r="BO57" s="11"/>
      <c r="BQ57" s="18"/>
    </row>
    <row r="58" spans="2:69" ht="13.5" customHeight="1">
      <c r="B58" s="91" t="str">
        <f>'Charges exploitation'!A52</f>
        <v>Confection des planches de pépinière</v>
      </c>
      <c r="C58" s="18">
        <f>'Charges exploitation'!E52</f>
        <v>2500</v>
      </c>
      <c r="I58" s="18"/>
      <c r="N58" s="23"/>
      <c r="O58" s="6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93">
        <f t="shared" si="44"/>
        <v>2500</v>
      </c>
      <c r="AI58" s="23"/>
      <c r="AJ58" s="23"/>
      <c r="AK58" s="23"/>
      <c r="AL58" s="23"/>
      <c r="AM58" s="23"/>
      <c r="AN58" s="23"/>
      <c r="AO58" s="23"/>
      <c r="AP58" s="23"/>
      <c r="AQ58" s="23"/>
      <c r="AR58" s="23"/>
      <c r="AS58" s="23"/>
      <c r="AT58" s="23"/>
      <c r="AU58" s="23"/>
      <c r="AV58" s="23"/>
      <c r="AW58" s="23"/>
      <c r="AX58" s="23"/>
      <c r="AY58" s="23"/>
      <c r="AZ58" s="23"/>
      <c r="BA58" s="23"/>
      <c r="BB58" s="23"/>
      <c r="BC58" s="23"/>
      <c r="BD58" s="23"/>
      <c r="BE58" s="23"/>
      <c r="BF58" s="23"/>
      <c r="BG58" s="23"/>
      <c r="BH58" s="23"/>
      <c r="BI58" s="23"/>
      <c r="BJ58" s="23"/>
      <c r="BK58" s="23"/>
      <c r="BL58" s="21"/>
      <c r="BO58" s="11"/>
      <c r="BQ58" s="18"/>
    </row>
    <row r="59" spans="2:69" ht="13.5" customHeight="1">
      <c r="B59" s="91" t="str">
        <f>'Charges exploitation'!A53</f>
        <v>Creuset des Poquets</v>
      </c>
      <c r="G59" s="18">
        <f>'Charges exploitation'!E53</f>
        <v>10000</v>
      </c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93">
        <f t="shared" si="44"/>
        <v>10000</v>
      </c>
      <c r="AI59" s="23"/>
      <c r="AJ59" s="23"/>
      <c r="AK59" s="23"/>
      <c r="AL59" s="23"/>
      <c r="AM59" s="23"/>
      <c r="AN59" s="23"/>
      <c r="AO59" s="23"/>
      <c r="AP59" s="23"/>
      <c r="AQ59" s="23"/>
      <c r="AR59" s="23"/>
      <c r="AS59" s="23"/>
      <c r="AT59" s="23"/>
      <c r="AU59" s="23"/>
      <c r="AV59" s="23"/>
      <c r="AW59" s="23"/>
      <c r="AX59" s="23"/>
      <c r="AY59" s="23"/>
      <c r="AZ59" s="23"/>
      <c r="BA59" s="23"/>
      <c r="BB59" s="23"/>
      <c r="BC59" s="23"/>
      <c r="BD59" s="23"/>
      <c r="BE59" s="23"/>
      <c r="BF59" s="23"/>
      <c r="BG59" s="23"/>
      <c r="BH59" s="23"/>
      <c r="BI59" s="23"/>
      <c r="BJ59" s="23"/>
      <c r="BK59" s="23"/>
      <c r="BL59" s="21"/>
      <c r="BO59" s="11"/>
      <c r="BQ59" s="18"/>
    </row>
    <row r="60" spans="2:69" ht="13.5" customHeight="1">
      <c r="B60" s="91" t="str">
        <f>'Charges exploitation'!A54</f>
        <v>Sarclage 1</v>
      </c>
      <c r="I60" s="18">
        <f>'Charges exploitation'!E54</f>
        <v>10000</v>
      </c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95">
        <f t="shared" si="44"/>
        <v>10000</v>
      </c>
      <c r="AI60" s="23"/>
      <c r="AJ60" s="23"/>
      <c r="AK60" s="23"/>
      <c r="AL60" s="23"/>
      <c r="AM60" s="23"/>
      <c r="AN60" s="23"/>
      <c r="AO60" s="23"/>
      <c r="AP60" s="23"/>
      <c r="AQ60" s="23"/>
      <c r="AR60" s="23"/>
      <c r="AS60" s="23"/>
      <c r="AT60" s="23"/>
      <c r="AU60" s="23"/>
      <c r="AV60" s="23"/>
      <c r="AW60" s="23"/>
      <c r="AX60" s="23"/>
      <c r="AY60" s="23"/>
      <c r="AZ60" s="23"/>
      <c r="BA60" s="23"/>
      <c r="BB60" s="23"/>
      <c r="BC60" s="23"/>
      <c r="BD60" s="23"/>
      <c r="BE60" s="23"/>
      <c r="BF60" s="23"/>
      <c r="BG60" s="23"/>
      <c r="BH60" s="23"/>
      <c r="BI60" s="23"/>
      <c r="BJ60" s="23"/>
      <c r="BK60" s="23"/>
      <c r="BL60" s="21"/>
      <c r="BO60" s="11"/>
      <c r="BQ60" s="18"/>
    </row>
    <row r="61" spans="2:69" ht="13.5" customHeight="1">
      <c r="B61" s="91" t="str">
        <f>'Charges exploitation'!A55</f>
        <v>Sarclage 2</v>
      </c>
      <c r="N61" s="23"/>
      <c r="O61" s="63">
        <f>'Charges exploitation'!E55</f>
        <v>10000</v>
      </c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95">
        <f t="shared" si="44"/>
        <v>10000</v>
      </c>
      <c r="AI61" s="23"/>
      <c r="AJ61" s="23"/>
      <c r="AK61" s="23"/>
      <c r="AL61" s="23"/>
      <c r="AM61" s="23"/>
      <c r="AN61" s="23"/>
      <c r="AO61" s="23"/>
      <c r="AP61" s="23"/>
      <c r="AQ61" s="23"/>
      <c r="AR61" s="23"/>
      <c r="AS61" s="23"/>
      <c r="AT61" s="23"/>
      <c r="AU61" s="23"/>
      <c r="AV61" s="23"/>
      <c r="AW61" s="23"/>
      <c r="AX61" s="23"/>
      <c r="AY61" s="23"/>
      <c r="AZ61" s="23"/>
      <c r="BA61" s="23"/>
      <c r="BB61" s="23"/>
      <c r="BC61" s="23"/>
      <c r="BD61" s="23"/>
      <c r="BE61" s="23"/>
      <c r="BF61" s="23"/>
      <c r="BG61" s="23"/>
      <c r="BH61" s="23"/>
      <c r="BI61" s="23"/>
      <c r="BJ61" s="23"/>
      <c r="BK61" s="23"/>
      <c r="BL61" s="21"/>
      <c r="BO61" s="11"/>
      <c r="BQ61" s="18"/>
    </row>
    <row r="62" spans="2:69" ht="13.5" customHeight="1">
      <c r="B62" s="91" t="str">
        <f>'Charges exploitation'!A56</f>
        <v>Recolte</v>
      </c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95">
        <f t="shared" si="44"/>
        <v>0</v>
      </c>
      <c r="AI62" s="23"/>
      <c r="AJ62" s="23"/>
      <c r="AK62" s="23"/>
      <c r="AL62" s="23"/>
      <c r="AM62" s="23"/>
      <c r="AN62" s="23"/>
      <c r="AO62" s="23"/>
      <c r="AP62" s="23"/>
      <c r="AQ62" s="23"/>
      <c r="AR62" s="23"/>
      <c r="AS62" s="23"/>
      <c r="AT62" s="23"/>
      <c r="AU62" s="23"/>
      <c r="AV62" s="23"/>
      <c r="AW62" s="23"/>
      <c r="AX62" s="23"/>
      <c r="AY62" s="23"/>
      <c r="AZ62" s="23"/>
      <c r="BA62" s="23"/>
      <c r="BB62" s="23"/>
      <c r="BC62" s="23"/>
      <c r="BD62" s="23"/>
      <c r="BE62" s="23"/>
      <c r="BF62" s="23"/>
      <c r="BG62" s="23"/>
      <c r="BH62" s="23"/>
      <c r="BI62" s="23"/>
      <c r="BJ62" s="23"/>
      <c r="BK62" s="23"/>
      <c r="BL62" s="21"/>
      <c r="BO62" s="11"/>
      <c r="BQ62" s="18"/>
    </row>
    <row r="63" spans="2:69" ht="13.5" customHeight="1">
      <c r="B63" s="89" t="str">
        <f>'Charges exploitation'!A57</f>
        <v xml:space="preserve">Piment Big Sun </v>
      </c>
      <c r="C63" s="21">
        <f>SUM(C64:C69)</f>
        <v>2500</v>
      </c>
      <c r="D63" s="21">
        <f t="shared" ref="D63:AG63" si="95">SUM(D64:D69)</f>
        <v>0</v>
      </c>
      <c r="E63" s="21">
        <f t="shared" si="95"/>
        <v>0</v>
      </c>
      <c r="F63" s="21">
        <f t="shared" si="95"/>
        <v>15000</v>
      </c>
      <c r="G63" s="21">
        <f t="shared" si="95"/>
        <v>0</v>
      </c>
      <c r="H63" s="21">
        <f t="shared" si="95"/>
        <v>0</v>
      </c>
      <c r="I63" s="21">
        <f t="shared" si="95"/>
        <v>15000</v>
      </c>
      <c r="J63" s="21">
        <f t="shared" si="95"/>
        <v>0</v>
      </c>
      <c r="K63" s="21">
        <f t="shared" si="95"/>
        <v>0</v>
      </c>
      <c r="L63" s="21">
        <f t="shared" si="95"/>
        <v>0</v>
      </c>
      <c r="M63" s="21">
        <f t="shared" si="95"/>
        <v>0</v>
      </c>
      <c r="N63" s="21">
        <f t="shared" si="95"/>
        <v>0</v>
      </c>
      <c r="O63" s="21">
        <f t="shared" si="95"/>
        <v>15000</v>
      </c>
      <c r="P63" s="21">
        <f t="shared" si="95"/>
        <v>0</v>
      </c>
      <c r="Q63" s="21">
        <f t="shared" si="95"/>
        <v>0</v>
      </c>
      <c r="R63" s="21">
        <f t="shared" si="95"/>
        <v>0</v>
      </c>
      <c r="S63" s="21">
        <f t="shared" si="95"/>
        <v>15000</v>
      </c>
      <c r="T63" s="21">
        <f t="shared" si="95"/>
        <v>0</v>
      </c>
      <c r="U63" s="21">
        <f t="shared" si="95"/>
        <v>0</v>
      </c>
      <c r="V63" s="21">
        <f t="shared" si="95"/>
        <v>0</v>
      </c>
      <c r="W63" s="21">
        <f t="shared" si="95"/>
        <v>0</v>
      </c>
      <c r="X63" s="21">
        <f t="shared" si="95"/>
        <v>0</v>
      </c>
      <c r="Y63" s="21">
        <f t="shared" si="95"/>
        <v>0</v>
      </c>
      <c r="Z63" s="21">
        <f t="shared" si="95"/>
        <v>0</v>
      </c>
      <c r="AA63" s="21">
        <f t="shared" si="95"/>
        <v>0</v>
      </c>
      <c r="AB63" s="21">
        <f t="shared" si="95"/>
        <v>0</v>
      </c>
      <c r="AC63" s="21">
        <f t="shared" si="95"/>
        <v>0</v>
      </c>
      <c r="AD63" s="21">
        <f t="shared" si="95"/>
        <v>0</v>
      </c>
      <c r="AE63" s="21">
        <f t="shared" si="95"/>
        <v>0</v>
      </c>
      <c r="AF63" s="21">
        <f t="shared" si="95"/>
        <v>0</v>
      </c>
      <c r="AG63" s="21">
        <f t="shared" si="95"/>
        <v>0</v>
      </c>
      <c r="AH63" s="95">
        <f t="shared" si="44"/>
        <v>62500</v>
      </c>
      <c r="AI63" s="23"/>
      <c r="AJ63" s="23"/>
      <c r="AK63" s="23"/>
      <c r="AL63" s="23"/>
      <c r="AM63" s="23"/>
      <c r="AN63" s="23"/>
      <c r="AO63" s="23"/>
      <c r="AP63" s="23"/>
      <c r="AQ63" s="23"/>
      <c r="AR63" s="23"/>
      <c r="AS63" s="23"/>
      <c r="AT63" s="23"/>
      <c r="AU63" s="23"/>
      <c r="AV63" s="23"/>
      <c r="AW63" s="23"/>
      <c r="AX63" s="23"/>
      <c r="AY63" s="23"/>
      <c r="AZ63" s="23"/>
      <c r="BA63" s="23"/>
      <c r="BB63" s="23"/>
      <c r="BC63" s="23"/>
      <c r="BD63" s="23"/>
      <c r="BE63" s="23"/>
      <c r="BF63" s="23"/>
      <c r="BG63" s="23"/>
      <c r="BH63" s="23"/>
      <c r="BI63" s="23"/>
      <c r="BJ63" s="23"/>
      <c r="BK63" s="23"/>
      <c r="BL63" s="21"/>
      <c r="BO63" s="11"/>
      <c r="BQ63" s="18"/>
    </row>
    <row r="64" spans="2:69" ht="13.5" customHeight="1">
      <c r="B64" s="91" t="str">
        <f>'Charges exploitation'!A58</f>
        <v>Confection des planches de pépinière</v>
      </c>
      <c r="C64" s="18">
        <f>'Charges exploitation'!D58</f>
        <v>2500</v>
      </c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95">
        <f t="shared" si="44"/>
        <v>2500</v>
      </c>
      <c r="AI64" s="23"/>
      <c r="AJ64" s="23"/>
      <c r="AK64" s="23"/>
      <c r="AL64" s="23"/>
      <c r="AM64" s="23"/>
      <c r="AN64" s="23"/>
      <c r="AO64" s="23"/>
      <c r="AP64" s="23"/>
      <c r="AQ64" s="23"/>
      <c r="AR64" s="23"/>
      <c r="AS64" s="23"/>
      <c r="AT64" s="23"/>
      <c r="AU64" s="23"/>
      <c r="AV64" s="23"/>
      <c r="AW64" s="23"/>
      <c r="AX64" s="23"/>
      <c r="AY64" s="23"/>
      <c r="AZ64" s="23"/>
      <c r="BA64" s="23"/>
      <c r="BB64" s="23"/>
      <c r="BC64" s="23"/>
      <c r="BD64" s="23"/>
      <c r="BE64" s="23"/>
      <c r="BF64" s="23"/>
      <c r="BG64" s="23"/>
      <c r="BH64" s="23"/>
      <c r="BI64" s="23"/>
      <c r="BJ64" s="23"/>
      <c r="BK64" s="23"/>
      <c r="BL64" s="21"/>
      <c r="BO64" s="11"/>
      <c r="BQ64" s="18"/>
    </row>
    <row r="65" spans="2:69" ht="13.5" customHeight="1">
      <c r="B65" s="91" t="str">
        <f>'Charges exploitation'!A59</f>
        <v>Creuset des Poquets</v>
      </c>
      <c r="F65" s="18">
        <f>'Charges exploitation'!E59</f>
        <v>15000</v>
      </c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95">
        <f t="shared" si="44"/>
        <v>15000</v>
      </c>
      <c r="AI65" s="23"/>
      <c r="AJ65" s="23"/>
      <c r="AK65" s="23"/>
      <c r="AL65" s="23"/>
      <c r="AM65" s="23"/>
      <c r="AN65" s="23"/>
      <c r="AO65" s="23"/>
      <c r="AP65" s="23"/>
      <c r="AQ65" s="23"/>
      <c r="AR65" s="23"/>
      <c r="AS65" s="23"/>
      <c r="AT65" s="23"/>
      <c r="AU65" s="23"/>
      <c r="AV65" s="23"/>
      <c r="AW65" s="23"/>
      <c r="AX65" s="23"/>
      <c r="AY65" s="23"/>
      <c r="AZ65" s="23"/>
      <c r="BA65" s="23"/>
      <c r="BB65" s="23"/>
      <c r="BC65" s="23"/>
      <c r="BD65" s="23"/>
      <c r="BE65" s="23"/>
      <c r="BF65" s="23"/>
      <c r="BG65" s="23"/>
      <c r="BH65" s="23"/>
      <c r="BI65" s="23"/>
      <c r="BJ65" s="23"/>
      <c r="BK65" s="23"/>
      <c r="BL65" s="21"/>
      <c r="BO65" s="11"/>
      <c r="BQ65" s="18"/>
    </row>
    <row r="66" spans="2:69" ht="13.5" customHeight="1">
      <c r="B66" s="91" t="str">
        <f>'Charges exploitation'!A60</f>
        <v xml:space="preserve"> Sarclage 1</v>
      </c>
      <c r="I66" s="63">
        <f>'Charges exploitation'!E60</f>
        <v>15000</v>
      </c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95">
        <f t="shared" si="44"/>
        <v>15000</v>
      </c>
      <c r="AI66" s="23"/>
      <c r="AJ66" s="23"/>
      <c r="AK66" s="23"/>
      <c r="AL66" s="23"/>
      <c r="AM66" s="23"/>
      <c r="AN66" s="23"/>
      <c r="AO66" s="23"/>
      <c r="AP66" s="23"/>
      <c r="AQ66" s="23"/>
      <c r="AR66" s="23"/>
      <c r="AS66" s="23"/>
      <c r="AT66" s="23"/>
      <c r="AU66" s="23"/>
      <c r="AV66" s="23"/>
      <c r="AW66" s="23"/>
      <c r="AX66" s="23"/>
      <c r="AY66" s="23"/>
      <c r="AZ66" s="23"/>
      <c r="BA66" s="23"/>
      <c r="BB66" s="23"/>
      <c r="BC66" s="23"/>
      <c r="BD66" s="23"/>
      <c r="BE66" s="23"/>
      <c r="BF66" s="23"/>
      <c r="BG66" s="23"/>
      <c r="BH66" s="23"/>
      <c r="BI66" s="23"/>
      <c r="BJ66" s="23"/>
      <c r="BK66" s="23"/>
      <c r="BL66" s="21"/>
      <c r="BO66" s="11"/>
      <c r="BQ66" s="18"/>
    </row>
    <row r="67" spans="2:69" ht="13.5" customHeight="1">
      <c r="B67" s="91" t="str">
        <f>'Charges exploitation'!A61</f>
        <v>Sarclage 2</v>
      </c>
      <c r="N67" s="23"/>
      <c r="O67" s="63">
        <f>'Charges exploitation'!E61</f>
        <v>15000</v>
      </c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95">
        <f>SUM(C67:AG67)</f>
        <v>15000</v>
      </c>
      <c r="AI67" s="23"/>
      <c r="AJ67" s="23"/>
      <c r="AK67" s="23"/>
      <c r="AL67" s="23"/>
      <c r="AM67" s="23"/>
      <c r="AN67" s="23"/>
      <c r="AO67" s="23"/>
      <c r="AP67" s="23"/>
      <c r="AQ67" s="23"/>
      <c r="AR67" s="23"/>
      <c r="AS67" s="23"/>
      <c r="AT67" s="23"/>
      <c r="AU67" s="23"/>
      <c r="AV67" s="23"/>
      <c r="AW67" s="23"/>
      <c r="AX67" s="23"/>
      <c r="AY67" s="23"/>
      <c r="AZ67" s="23"/>
      <c r="BA67" s="23"/>
      <c r="BB67" s="23"/>
      <c r="BC67" s="23"/>
      <c r="BD67" s="23"/>
      <c r="BE67" s="23"/>
      <c r="BF67" s="23"/>
      <c r="BG67" s="23"/>
      <c r="BH67" s="23"/>
      <c r="BI67" s="23"/>
      <c r="BJ67" s="23"/>
      <c r="BK67" s="23"/>
      <c r="BL67" s="21"/>
      <c r="BO67" s="11"/>
      <c r="BQ67" s="18"/>
    </row>
    <row r="68" spans="2:69" ht="13.5" customHeight="1">
      <c r="B68" s="91" t="str">
        <f>'Charges exploitation'!A62</f>
        <v>Sarclage 3</v>
      </c>
      <c r="N68" s="23"/>
      <c r="O68" s="23"/>
      <c r="P68" s="23"/>
      <c r="Q68" s="23"/>
      <c r="R68" s="23"/>
      <c r="S68" s="63">
        <f>'Charges exploitation'!E62</f>
        <v>15000</v>
      </c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97"/>
      <c r="AI68" s="23"/>
      <c r="AJ68" s="23"/>
      <c r="AK68" s="23"/>
      <c r="AL68" s="23"/>
      <c r="AM68" s="23"/>
      <c r="AN68" s="23"/>
      <c r="AO68" s="23"/>
      <c r="AP68" s="23"/>
      <c r="AQ68" s="23"/>
      <c r="AR68" s="23"/>
      <c r="AS68" s="23"/>
      <c r="AT68" s="23"/>
      <c r="AU68" s="23"/>
      <c r="AV68" s="23"/>
      <c r="AW68" s="23"/>
      <c r="AX68" s="23"/>
      <c r="AY68" s="23"/>
      <c r="AZ68" s="23"/>
      <c r="BA68" s="23"/>
      <c r="BB68" s="23"/>
      <c r="BC68" s="23"/>
      <c r="BD68" s="23"/>
      <c r="BE68" s="23"/>
      <c r="BF68" s="23"/>
      <c r="BG68" s="23"/>
      <c r="BH68" s="23"/>
      <c r="BI68" s="23"/>
      <c r="BJ68" s="23"/>
      <c r="BK68" s="23"/>
      <c r="BL68" s="21"/>
      <c r="BO68" s="11"/>
      <c r="BQ68" s="18"/>
    </row>
    <row r="69" spans="2:69" ht="13.5" customHeight="1">
      <c r="B69" s="91" t="str">
        <f>'Charges exploitation'!A63</f>
        <v>Recolte</v>
      </c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95">
        <f t="shared" si="44"/>
        <v>0</v>
      </c>
      <c r="AI69" s="23"/>
      <c r="AJ69" s="23"/>
      <c r="AK69" s="23"/>
      <c r="AL69" s="23"/>
      <c r="AM69" s="23"/>
      <c r="AN69" s="23"/>
      <c r="AO69" s="23"/>
      <c r="AP69" s="23"/>
      <c r="AQ69" s="23"/>
      <c r="AR69" s="23"/>
      <c r="AS69" s="23"/>
      <c r="AT69" s="23"/>
      <c r="AU69" s="23"/>
      <c r="AV69" s="23"/>
      <c r="AW69" s="23"/>
      <c r="AX69" s="23"/>
      <c r="AY69" s="23"/>
      <c r="AZ69" s="23"/>
      <c r="BA69" s="23"/>
      <c r="BB69" s="23"/>
      <c r="BC69" s="23"/>
      <c r="BD69" s="23"/>
      <c r="BE69" s="23"/>
      <c r="BF69" s="23"/>
      <c r="BG69" s="23"/>
      <c r="BH69" s="23"/>
      <c r="BI69" s="23"/>
      <c r="BJ69" s="23"/>
      <c r="BK69" s="23"/>
      <c r="BL69" s="21"/>
      <c r="BO69" s="11"/>
      <c r="BQ69" s="18"/>
    </row>
    <row r="70" spans="2:69" ht="13.5" customHeight="1">
      <c r="B70" s="89" t="str">
        <f>'Charges exploitation'!A64</f>
        <v>Carburant &amp;   Maintenance</v>
      </c>
      <c r="C70" s="21">
        <f>SUM(C71:C72)</f>
        <v>0</v>
      </c>
      <c r="D70" s="21">
        <f t="shared" ref="D70:AG70" si="96">SUM(D71:D72)</f>
        <v>0</v>
      </c>
      <c r="E70" s="21">
        <f t="shared" si="96"/>
        <v>0</v>
      </c>
      <c r="F70" s="21">
        <f t="shared" si="96"/>
        <v>0</v>
      </c>
      <c r="G70" s="21">
        <f t="shared" si="96"/>
        <v>0</v>
      </c>
      <c r="H70" s="21">
        <f t="shared" si="96"/>
        <v>0</v>
      </c>
      <c r="I70" s="21">
        <f t="shared" si="96"/>
        <v>0</v>
      </c>
      <c r="J70" s="21">
        <f t="shared" si="96"/>
        <v>0</v>
      </c>
      <c r="K70" s="21">
        <f t="shared" si="96"/>
        <v>0</v>
      </c>
      <c r="L70" s="21">
        <f t="shared" si="96"/>
        <v>0</v>
      </c>
      <c r="M70" s="21">
        <f t="shared" si="96"/>
        <v>0</v>
      </c>
      <c r="N70" s="21">
        <f t="shared" si="96"/>
        <v>0</v>
      </c>
      <c r="O70" s="21">
        <f t="shared" si="96"/>
        <v>0</v>
      </c>
      <c r="P70" s="21">
        <f t="shared" si="96"/>
        <v>0</v>
      </c>
      <c r="Q70" s="21">
        <f t="shared" si="96"/>
        <v>0</v>
      </c>
      <c r="R70" s="21">
        <f t="shared" si="96"/>
        <v>0</v>
      </c>
      <c r="S70" s="21">
        <f t="shared" si="96"/>
        <v>0</v>
      </c>
      <c r="T70" s="21">
        <f t="shared" si="96"/>
        <v>0</v>
      </c>
      <c r="U70" s="21">
        <f t="shared" si="96"/>
        <v>0</v>
      </c>
      <c r="V70" s="21">
        <f t="shared" si="96"/>
        <v>0</v>
      </c>
      <c r="W70" s="21">
        <f t="shared" si="96"/>
        <v>0</v>
      </c>
      <c r="X70" s="21">
        <f t="shared" si="96"/>
        <v>0</v>
      </c>
      <c r="Y70" s="21">
        <f t="shared" si="96"/>
        <v>0</v>
      </c>
      <c r="Z70" s="21">
        <f t="shared" si="96"/>
        <v>0</v>
      </c>
      <c r="AA70" s="21">
        <f t="shared" si="96"/>
        <v>0</v>
      </c>
      <c r="AB70" s="21">
        <f t="shared" si="96"/>
        <v>0</v>
      </c>
      <c r="AC70" s="21">
        <f t="shared" si="96"/>
        <v>0</v>
      </c>
      <c r="AD70" s="21">
        <f t="shared" si="96"/>
        <v>0</v>
      </c>
      <c r="AE70" s="21">
        <f t="shared" si="96"/>
        <v>0</v>
      </c>
      <c r="AF70" s="21">
        <f t="shared" si="96"/>
        <v>0</v>
      </c>
      <c r="AG70" s="21">
        <f t="shared" si="96"/>
        <v>0</v>
      </c>
      <c r="AH70" s="95">
        <f t="shared" si="44"/>
        <v>0</v>
      </c>
      <c r="AI70" s="23"/>
      <c r="AJ70" s="23"/>
      <c r="AK70" s="23"/>
      <c r="AL70" s="23"/>
      <c r="AM70" s="23"/>
      <c r="AN70" s="23"/>
      <c r="AO70" s="23"/>
      <c r="AP70" s="23"/>
      <c r="AQ70" s="23"/>
      <c r="AR70" s="23"/>
      <c r="AS70" s="23"/>
      <c r="AT70" s="23"/>
      <c r="AU70" s="23"/>
      <c r="AV70" s="23"/>
      <c r="AW70" s="23"/>
      <c r="AX70" s="23"/>
      <c r="AY70" s="23"/>
      <c r="AZ70" s="23"/>
      <c r="BA70" s="23"/>
      <c r="BB70" s="23"/>
      <c r="BC70" s="23"/>
      <c r="BD70" s="23"/>
      <c r="BE70" s="23"/>
      <c r="BF70" s="23"/>
      <c r="BG70" s="23"/>
      <c r="BH70" s="23"/>
      <c r="BI70" s="23"/>
      <c r="BJ70" s="23"/>
      <c r="BK70" s="23"/>
      <c r="BL70" s="21"/>
      <c r="BO70" s="11"/>
      <c r="BQ70" s="18"/>
    </row>
    <row r="71" spans="2:69" ht="13.5" customHeight="1">
      <c r="B71" s="91" t="str">
        <f>'Charges exploitation'!A65</f>
        <v>Carburant</v>
      </c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3"/>
      <c r="AH71" s="95">
        <f t="shared" ref="AH71:AH95" si="97">SUM(C71:AG71)</f>
        <v>0</v>
      </c>
      <c r="AI71" s="23"/>
      <c r="AJ71" s="23"/>
      <c r="AK71" s="23"/>
      <c r="AL71" s="23"/>
      <c r="AM71" s="23"/>
      <c r="AN71" s="23"/>
      <c r="AO71" s="23"/>
      <c r="AP71" s="23"/>
      <c r="AQ71" s="23"/>
      <c r="AR71" s="23"/>
      <c r="AS71" s="23"/>
      <c r="AT71" s="23"/>
      <c r="AU71" s="23"/>
      <c r="AV71" s="23"/>
      <c r="AW71" s="23"/>
      <c r="AX71" s="23"/>
      <c r="AY71" s="23"/>
      <c r="AZ71" s="23"/>
      <c r="BA71" s="23"/>
      <c r="BB71" s="23"/>
      <c r="BC71" s="23"/>
      <c r="BD71" s="23"/>
      <c r="BE71" s="23"/>
      <c r="BF71" s="23"/>
      <c r="BG71" s="23"/>
      <c r="BH71" s="23"/>
      <c r="BI71" s="23"/>
      <c r="BJ71" s="23"/>
      <c r="BK71" s="23"/>
      <c r="BL71" s="21"/>
      <c r="BO71" s="11"/>
      <c r="BQ71" s="18"/>
    </row>
    <row r="72" spans="2:69" ht="13.5" customHeight="1">
      <c r="B72" s="91" t="str">
        <f>'Charges exploitation'!A66</f>
        <v>Lubrifiant</v>
      </c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95">
        <f t="shared" si="97"/>
        <v>0</v>
      </c>
      <c r="AI72" s="23"/>
      <c r="AJ72" s="23"/>
      <c r="AK72" s="23"/>
      <c r="AL72" s="23"/>
      <c r="AM72" s="23"/>
      <c r="AN72" s="23"/>
      <c r="AO72" s="23"/>
      <c r="AP72" s="23"/>
      <c r="AQ72" s="23"/>
      <c r="AR72" s="23"/>
      <c r="AS72" s="23"/>
      <c r="AT72" s="23"/>
      <c r="AU72" s="23"/>
      <c r="AV72" s="23"/>
      <c r="AW72" s="23"/>
      <c r="AX72" s="23"/>
      <c r="AY72" s="23"/>
      <c r="AZ72" s="23"/>
      <c r="BA72" s="23"/>
      <c r="BB72" s="23"/>
      <c r="BC72" s="23"/>
      <c r="BD72" s="23"/>
      <c r="BE72" s="23"/>
      <c r="BF72" s="23"/>
      <c r="BG72" s="23"/>
      <c r="BH72" s="23"/>
      <c r="BI72" s="23"/>
      <c r="BJ72" s="23"/>
      <c r="BK72" s="23"/>
      <c r="BL72" s="21"/>
      <c r="BO72" s="11"/>
      <c r="BQ72" s="18"/>
    </row>
    <row r="73" spans="2:69" ht="13.5" customHeight="1">
      <c r="B73" s="89" t="str">
        <f>'Charges exploitation'!A67</f>
        <v>Transport</v>
      </c>
      <c r="C73" s="21">
        <f>SUM(C74:C76)</f>
        <v>3000</v>
      </c>
      <c r="D73" s="21">
        <f t="shared" ref="D73:AG73" si="98">SUM(D74:D76)</f>
        <v>3000</v>
      </c>
      <c r="E73" s="21">
        <f t="shared" si="98"/>
        <v>3000</v>
      </c>
      <c r="F73" s="21">
        <f t="shared" si="98"/>
        <v>3000</v>
      </c>
      <c r="G73" s="21">
        <f t="shared" si="98"/>
        <v>3000</v>
      </c>
      <c r="H73" s="21">
        <f t="shared" si="98"/>
        <v>3000</v>
      </c>
      <c r="I73" s="21">
        <f t="shared" si="98"/>
        <v>3000</v>
      </c>
      <c r="J73" s="21">
        <f t="shared" si="98"/>
        <v>3000</v>
      </c>
      <c r="K73" s="21">
        <f t="shared" si="98"/>
        <v>3000</v>
      </c>
      <c r="L73" s="21">
        <f t="shared" si="98"/>
        <v>3000</v>
      </c>
      <c r="M73" s="21">
        <f t="shared" si="98"/>
        <v>3000</v>
      </c>
      <c r="N73" s="21">
        <f t="shared" si="98"/>
        <v>3000</v>
      </c>
      <c r="O73" s="21">
        <f t="shared" si="98"/>
        <v>3000</v>
      </c>
      <c r="P73" s="21">
        <f t="shared" si="98"/>
        <v>3000</v>
      </c>
      <c r="Q73" s="21">
        <f t="shared" si="98"/>
        <v>3000</v>
      </c>
      <c r="R73" s="21">
        <f t="shared" si="98"/>
        <v>3000</v>
      </c>
      <c r="S73" s="21">
        <f t="shared" si="98"/>
        <v>3000</v>
      </c>
      <c r="T73" s="21">
        <f t="shared" si="98"/>
        <v>3000</v>
      </c>
      <c r="U73" s="21">
        <f t="shared" si="98"/>
        <v>3000</v>
      </c>
      <c r="V73" s="21">
        <f t="shared" si="98"/>
        <v>3000</v>
      </c>
      <c r="W73" s="21">
        <f t="shared" si="98"/>
        <v>3000</v>
      </c>
      <c r="X73" s="21">
        <f t="shared" si="98"/>
        <v>3000</v>
      </c>
      <c r="Y73" s="21">
        <f t="shared" si="98"/>
        <v>3000</v>
      </c>
      <c r="Z73" s="21">
        <f t="shared" si="98"/>
        <v>3000</v>
      </c>
      <c r="AA73" s="21">
        <f t="shared" si="98"/>
        <v>3000</v>
      </c>
      <c r="AB73" s="21">
        <f t="shared" si="98"/>
        <v>3000</v>
      </c>
      <c r="AC73" s="21">
        <f t="shared" si="98"/>
        <v>3000</v>
      </c>
      <c r="AD73" s="21">
        <f t="shared" si="98"/>
        <v>3000</v>
      </c>
      <c r="AE73" s="21">
        <f t="shared" si="98"/>
        <v>3000</v>
      </c>
      <c r="AF73" s="21">
        <f t="shared" si="98"/>
        <v>3000</v>
      </c>
      <c r="AG73" s="21">
        <f t="shared" si="98"/>
        <v>0</v>
      </c>
      <c r="AH73" s="95">
        <f t="shared" si="97"/>
        <v>90000</v>
      </c>
      <c r="AI73" s="23"/>
      <c r="AJ73" s="23"/>
      <c r="AK73" s="23"/>
      <c r="AL73" s="23"/>
      <c r="AM73" s="23"/>
      <c r="AN73" s="23"/>
      <c r="AO73" s="23"/>
      <c r="AP73" s="23"/>
      <c r="AQ73" s="23"/>
      <c r="AR73" s="23"/>
      <c r="AS73" s="23"/>
      <c r="AT73" s="23"/>
      <c r="AU73" s="23"/>
      <c r="AV73" s="23"/>
      <c r="AW73" s="23"/>
      <c r="AX73" s="23"/>
      <c r="AY73" s="23"/>
      <c r="AZ73" s="23"/>
      <c r="BA73" s="23"/>
      <c r="BB73" s="23"/>
      <c r="BC73" s="23"/>
      <c r="BD73" s="23"/>
      <c r="BE73" s="23"/>
      <c r="BF73" s="23"/>
      <c r="BG73" s="23"/>
      <c r="BH73" s="23"/>
      <c r="BI73" s="23"/>
      <c r="BJ73" s="23"/>
      <c r="BK73" s="23"/>
      <c r="BL73" s="21"/>
      <c r="BO73" s="11"/>
      <c r="BQ73" s="18"/>
    </row>
    <row r="74" spans="2:69" ht="13.5" customHeight="1">
      <c r="B74" s="91" t="str">
        <f>'Charges exploitation'!A68</f>
        <v>Déplacement</v>
      </c>
      <c r="C74" s="18">
        <f>'Charges exploitation'!E68/'Charges exploitation'!C68</f>
        <v>3000</v>
      </c>
      <c r="D74" s="18">
        <f>C74</f>
        <v>3000</v>
      </c>
      <c r="E74" s="18">
        <f t="shared" ref="E74:AG74" si="99">D74</f>
        <v>3000</v>
      </c>
      <c r="F74" s="18">
        <f t="shared" si="99"/>
        <v>3000</v>
      </c>
      <c r="G74" s="18">
        <f t="shared" si="99"/>
        <v>3000</v>
      </c>
      <c r="H74" s="18">
        <f t="shared" si="99"/>
        <v>3000</v>
      </c>
      <c r="I74" s="18">
        <f t="shared" si="99"/>
        <v>3000</v>
      </c>
      <c r="J74" s="18">
        <f t="shared" si="99"/>
        <v>3000</v>
      </c>
      <c r="K74" s="18">
        <f t="shared" si="99"/>
        <v>3000</v>
      </c>
      <c r="L74" s="18">
        <f t="shared" si="99"/>
        <v>3000</v>
      </c>
      <c r="M74" s="18">
        <f t="shared" si="99"/>
        <v>3000</v>
      </c>
      <c r="N74" s="18">
        <f t="shared" si="99"/>
        <v>3000</v>
      </c>
      <c r="O74" s="18">
        <f t="shared" si="99"/>
        <v>3000</v>
      </c>
      <c r="P74" s="18">
        <f t="shared" si="99"/>
        <v>3000</v>
      </c>
      <c r="Q74" s="18">
        <f t="shared" si="99"/>
        <v>3000</v>
      </c>
      <c r="R74" s="18">
        <f t="shared" si="99"/>
        <v>3000</v>
      </c>
      <c r="S74" s="18">
        <f t="shared" si="99"/>
        <v>3000</v>
      </c>
      <c r="T74" s="18">
        <f t="shared" si="99"/>
        <v>3000</v>
      </c>
      <c r="U74" s="18">
        <f t="shared" si="99"/>
        <v>3000</v>
      </c>
      <c r="V74" s="18">
        <f t="shared" si="99"/>
        <v>3000</v>
      </c>
      <c r="W74" s="18">
        <f t="shared" si="99"/>
        <v>3000</v>
      </c>
      <c r="X74" s="18">
        <f t="shared" si="99"/>
        <v>3000</v>
      </c>
      <c r="Y74" s="18">
        <f t="shared" si="99"/>
        <v>3000</v>
      </c>
      <c r="Z74" s="18">
        <f t="shared" si="99"/>
        <v>3000</v>
      </c>
      <c r="AA74" s="18">
        <f t="shared" si="99"/>
        <v>3000</v>
      </c>
      <c r="AB74" s="18">
        <f t="shared" si="99"/>
        <v>3000</v>
      </c>
      <c r="AC74" s="18">
        <f t="shared" si="99"/>
        <v>3000</v>
      </c>
      <c r="AD74" s="18">
        <f t="shared" si="99"/>
        <v>3000</v>
      </c>
      <c r="AE74" s="18">
        <f t="shared" si="99"/>
        <v>3000</v>
      </c>
      <c r="AF74" s="18">
        <f t="shared" si="99"/>
        <v>3000</v>
      </c>
      <c r="AG74" s="18"/>
      <c r="AH74" s="95">
        <f t="shared" si="97"/>
        <v>90000</v>
      </c>
      <c r="AI74" s="23"/>
      <c r="AJ74" s="23"/>
      <c r="AK74" s="23"/>
      <c r="AL74" s="23"/>
      <c r="AM74" s="23"/>
      <c r="AN74" s="23"/>
      <c r="AO74" s="23"/>
      <c r="AP74" s="23"/>
      <c r="AQ74" s="23"/>
      <c r="AR74" s="23"/>
      <c r="AS74" s="23"/>
      <c r="AT74" s="23"/>
      <c r="AU74" s="23"/>
      <c r="AV74" s="23"/>
      <c r="AW74" s="23"/>
      <c r="AX74" s="23"/>
      <c r="AY74" s="23"/>
      <c r="AZ74" s="23"/>
      <c r="BA74" s="23"/>
      <c r="BB74" s="23"/>
      <c r="BC74" s="23"/>
      <c r="BD74" s="23"/>
      <c r="BE74" s="23"/>
      <c r="BF74" s="23"/>
      <c r="BG74" s="23"/>
      <c r="BH74" s="23"/>
      <c r="BI74" s="23"/>
      <c r="BJ74" s="23"/>
      <c r="BK74" s="23"/>
      <c r="BL74" s="21"/>
      <c r="BO74" s="11"/>
      <c r="BQ74" s="18"/>
    </row>
    <row r="75" spans="2:69" ht="13.5" customHeight="1">
      <c r="B75" s="91" t="str">
        <f>'Charges exploitation'!A69</f>
        <v>Récolte Aubergine</v>
      </c>
      <c r="N75" s="23"/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95">
        <f t="shared" si="97"/>
        <v>0</v>
      </c>
      <c r="AI75" s="23"/>
      <c r="AJ75" s="23"/>
      <c r="AK75" s="23"/>
      <c r="AL75" s="23"/>
      <c r="AM75" s="23"/>
      <c r="AN75" s="23"/>
      <c r="AO75" s="23"/>
      <c r="AP75" s="23"/>
      <c r="AQ75" s="23"/>
      <c r="AR75" s="23"/>
      <c r="AS75" s="23"/>
      <c r="AT75" s="23"/>
      <c r="AU75" s="23"/>
      <c r="AV75" s="23"/>
      <c r="AW75" s="23"/>
      <c r="AX75" s="23"/>
      <c r="AY75" s="23"/>
      <c r="AZ75" s="23"/>
      <c r="BA75" s="23"/>
      <c r="BB75" s="23"/>
      <c r="BC75" s="23"/>
      <c r="BD75" s="23"/>
      <c r="BE75" s="23"/>
      <c r="BF75" s="23"/>
      <c r="BG75" s="23"/>
      <c r="BH75" s="23"/>
      <c r="BI75" s="23"/>
      <c r="BJ75" s="23"/>
      <c r="BK75" s="23"/>
      <c r="BL75" s="21"/>
      <c r="BO75" s="11"/>
      <c r="BQ75" s="18"/>
    </row>
    <row r="76" spans="2:69" ht="13.5" customHeight="1">
      <c r="B76" s="91" t="str">
        <f>'Charges exploitation'!A70</f>
        <v>Récolte Piment</v>
      </c>
      <c r="N76" s="23"/>
      <c r="O76" s="23"/>
      <c r="P76" s="23"/>
      <c r="Q76" s="23"/>
      <c r="R76" s="23"/>
      <c r="S76" s="23"/>
      <c r="T76" s="23"/>
      <c r="U76" s="23"/>
      <c r="V76" s="23"/>
      <c r="W76" s="23"/>
      <c r="X76" s="23"/>
      <c r="Y76" s="23"/>
      <c r="Z76" s="23"/>
      <c r="AA76" s="23"/>
      <c r="AB76" s="23"/>
      <c r="AC76" s="23"/>
      <c r="AD76" s="23"/>
      <c r="AE76" s="23"/>
      <c r="AF76" s="23"/>
      <c r="AG76" s="23"/>
      <c r="AH76" s="95">
        <f t="shared" si="97"/>
        <v>0</v>
      </c>
      <c r="AI76" s="23"/>
      <c r="AJ76" s="23"/>
      <c r="AK76" s="23"/>
      <c r="AL76" s="23"/>
      <c r="AM76" s="23"/>
      <c r="AN76" s="23"/>
      <c r="AO76" s="23"/>
      <c r="AP76" s="23"/>
      <c r="AQ76" s="23"/>
      <c r="AR76" s="23"/>
      <c r="AS76" s="23"/>
      <c r="AT76" s="23"/>
      <c r="AU76" s="23"/>
      <c r="AV76" s="23"/>
      <c r="AW76" s="23"/>
      <c r="AX76" s="23"/>
      <c r="AY76" s="23"/>
      <c r="AZ76" s="23"/>
      <c r="BA76" s="23"/>
      <c r="BB76" s="23"/>
      <c r="BC76" s="23"/>
      <c r="BD76" s="23"/>
      <c r="BE76" s="23"/>
      <c r="BF76" s="23"/>
      <c r="BG76" s="23"/>
      <c r="BH76" s="23"/>
      <c r="BI76" s="23"/>
      <c r="BJ76" s="23"/>
      <c r="BK76" s="23"/>
      <c r="BL76" s="21"/>
      <c r="BO76" s="11"/>
      <c r="BQ76" s="18"/>
    </row>
    <row r="77" spans="2:69" ht="13.5" customHeight="1">
      <c r="B77" s="89" t="str">
        <f>'Charges exploitation'!A71</f>
        <v>Salaires</v>
      </c>
      <c r="N77" s="23"/>
      <c r="O77" s="23"/>
      <c r="P77" s="23"/>
      <c r="Q77" s="23"/>
      <c r="R77" s="63">
        <f>'Charges exploitation'!E71/'Charges exploitation'!C71</f>
        <v>50000</v>
      </c>
      <c r="S77" s="23"/>
      <c r="T77" s="23"/>
      <c r="U77" s="23"/>
      <c r="V77" s="63">
        <f>R77</f>
        <v>50000</v>
      </c>
      <c r="W77" s="63"/>
      <c r="X77" s="63"/>
      <c r="Y77" s="63"/>
      <c r="Z77" s="63"/>
      <c r="AA77" s="63">
        <f>V77</f>
        <v>50000</v>
      </c>
      <c r="AB77" s="63"/>
      <c r="AC77" s="63"/>
      <c r="AD77" s="63"/>
      <c r="AE77" s="63">
        <f>AA77</f>
        <v>50000</v>
      </c>
      <c r="AF77" s="23"/>
      <c r="AG77" s="23"/>
      <c r="AH77" s="101">
        <f t="shared" si="97"/>
        <v>200000</v>
      </c>
      <c r="AI77" s="23"/>
      <c r="AJ77" s="23"/>
      <c r="AK77" s="23"/>
      <c r="AL77" s="23"/>
      <c r="AM77" s="23"/>
      <c r="AN77" s="23"/>
      <c r="AO77" s="23"/>
      <c r="AP77" s="23"/>
      <c r="AQ77" s="23"/>
      <c r="AR77" s="23"/>
      <c r="AS77" s="23"/>
      <c r="AT77" s="23"/>
      <c r="AU77" s="23"/>
      <c r="AV77" s="23"/>
      <c r="AW77" s="23"/>
      <c r="AX77" s="23"/>
      <c r="AY77" s="23"/>
      <c r="AZ77" s="23"/>
      <c r="BA77" s="23"/>
      <c r="BB77" s="23"/>
      <c r="BC77" s="23"/>
      <c r="BD77" s="23"/>
      <c r="BE77" s="23"/>
      <c r="BF77" s="23"/>
      <c r="BG77" s="23"/>
      <c r="BH77" s="23"/>
      <c r="BI77" s="23"/>
      <c r="BJ77" s="23"/>
      <c r="BK77" s="23"/>
      <c r="BL77" s="21"/>
      <c r="BO77" s="11"/>
      <c r="BQ77" s="18"/>
    </row>
    <row r="78" spans="2:69" ht="13.5" customHeight="1">
      <c r="B78" s="89" t="str">
        <f>'Charges exploitation'!A72</f>
        <v>Frais Bancaires</v>
      </c>
      <c r="C78" s="21">
        <f>SUM(C79:C80)</f>
        <v>0</v>
      </c>
      <c r="D78" s="21">
        <f t="shared" ref="D78:AG78" si="100">SUM(D79:D80)</f>
        <v>0</v>
      </c>
      <c r="E78" s="21">
        <f t="shared" si="100"/>
        <v>0</v>
      </c>
      <c r="F78" s="21">
        <f t="shared" si="100"/>
        <v>0</v>
      </c>
      <c r="G78" s="21">
        <f t="shared" si="100"/>
        <v>0</v>
      </c>
      <c r="H78" s="21">
        <f t="shared" si="100"/>
        <v>0</v>
      </c>
      <c r="I78" s="21">
        <f t="shared" si="100"/>
        <v>0</v>
      </c>
      <c r="J78" s="21">
        <f t="shared" si="100"/>
        <v>0</v>
      </c>
      <c r="K78" s="21">
        <f t="shared" si="100"/>
        <v>0</v>
      </c>
      <c r="L78" s="21">
        <f t="shared" si="100"/>
        <v>0</v>
      </c>
      <c r="M78" s="21">
        <f t="shared" si="100"/>
        <v>0</v>
      </c>
      <c r="N78" s="21">
        <f t="shared" si="100"/>
        <v>0</v>
      </c>
      <c r="O78" s="21">
        <f t="shared" si="100"/>
        <v>0</v>
      </c>
      <c r="P78" s="21">
        <f t="shared" si="100"/>
        <v>0</v>
      </c>
      <c r="Q78" s="21">
        <f t="shared" si="100"/>
        <v>0</v>
      </c>
      <c r="R78" s="21">
        <f t="shared" si="100"/>
        <v>25000</v>
      </c>
      <c r="S78" s="21">
        <f t="shared" si="100"/>
        <v>0</v>
      </c>
      <c r="T78" s="21">
        <f t="shared" si="100"/>
        <v>0</v>
      </c>
      <c r="U78" s="21">
        <f t="shared" si="100"/>
        <v>0</v>
      </c>
      <c r="V78" s="21">
        <f t="shared" si="100"/>
        <v>500</v>
      </c>
      <c r="W78" s="21">
        <f t="shared" si="100"/>
        <v>0</v>
      </c>
      <c r="X78" s="21">
        <f t="shared" si="100"/>
        <v>0</v>
      </c>
      <c r="Y78" s="21">
        <f t="shared" si="100"/>
        <v>0</v>
      </c>
      <c r="Z78" s="21">
        <f t="shared" si="100"/>
        <v>0</v>
      </c>
      <c r="AA78" s="21">
        <f t="shared" si="100"/>
        <v>500</v>
      </c>
      <c r="AB78" s="21">
        <f t="shared" si="100"/>
        <v>0</v>
      </c>
      <c r="AC78" s="21">
        <f t="shared" si="100"/>
        <v>0</v>
      </c>
      <c r="AD78" s="21">
        <f t="shared" si="100"/>
        <v>0</v>
      </c>
      <c r="AE78" s="21">
        <f t="shared" si="100"/>
        <v>500</v>
      </c>
      <c r="AF78" s="21">
        <f t="shared" si="100"/>
        <v>0</v>
      </c>
      <c r="AG78" s="21">
        <f t="shared" si="100"/>
        <v>0</v>
      </c>
      <c r="AH78" s="101">
        <f t="shared" si="97"/>
        <v>26500</v>
      </c>
      <c r="AI78" s="23"/>
      <c r="AJ78" s="23"/>
      <c r="AK78" s="23"/>
      <c r="AL78" s="23"/>
      <c r="AM78" s="23"/>
      <c r="AN78" s="23"/>
      <c r="AO78" s="23"/>
      <c r="AP78" s="23"/>
      <c r="AQ78" s="23"/>
      <c r="AR78" s="23"/>
      <c r="AS78" s="23"/>
      <c r="AT78" s="23"/>
      <c r="AU78" s="23"/>
      <c r="AV78" s="23"/>
      <c r="AW78" s="23"/>
      <c r="AX78" s="23"/>
      <c r="AY78" s="23"/>
      <c r="AZ78" s="23"/>
      <c r="BA78" s="23"/>
      <c r="BB78" s="23"/>
      <c r="BC78" s="23"/>
      <c r="BD78" s="23"/>
      <c r="BE78" s="23"/>
      <c r="BF78" s="23"/>
      <c r="BG78" s="23"/>
      <c r="BH78" s="23"/>
      <c r="BI78" s="23"/>
      <c r="BJ78" s="23"/>
      <c r="BK78" s="23"/>
      <c r="BL78" s="21"/>
      <c r="BO78" s="11"/>
      <c r="BQ78" s="18"/>
    </row>
    <row r="79" spans="2:69" ht="13.5" customHeight="1">
      <c r="B79" s="91" t="str">
        <f>'Charges exploitation'!A73</f>
        <v>ouverture Compte  (Microcred)</v>
      </c>
      <c r="N79" s="23"/>
      <c r="O79" s="23"/>
      <c r="P79" s="23"/>
      <c r="Q79" s="23"/>
      <c r="R79" s="63">
        <f>'Charges exploitation'!E73</f>
        <v>25000</v>
      </c>
      <c r="S79" s="23"/>
      <c r="T79" s="23"/>
      <c r="U79" s="23"/>
      <c r="V79" s="23"/>
      <c r="W79" s="23"/>
      <c r="X79" s="23"/>
      <c r="Y79" s="23"/>
      <c r="Z79" s="23"/>
      <c r="AA79" s="23"/>
      <c r="AB79" s="23"/>
      <c r="AC79" s="23"/>
      <c r="AD79" s="23"/>
      <c r="AE79" s="23"/>
      <c r="AF79" s="23"/>
      <c r="AG79" s="23"/>
      <c r="AH79" s="101">
        <f t="shared" si="97"/>
        <v>25000</v>
      </c>
      <c r="AI79" s="23"/>
      <c r="AJ79" s="23"/>
      <c r="AK79" s="23"/>
      <c r="AL79" s="23"/>
      <c r="AM79" s="23"/>
      <c r="AN79" s="23"/>
      <c r="AO79" s="23"/>
      <c r="AP79" s="23"/>
      <c r="AQ79" s="23"/>
      <c r="AR79" s="23"/>
      <c r="AS79" s="23"/>
      <c r="AT79" s="23"/>
      <c r="AU79" s="23"/>
      <c r="AV79" s="23"/>
      <c r="AW79" s="23"/>
      <c r="AX79" s="23"/>
      <c r="AY79" s="23"/>
      <c r="AZ79" s="23"/>
      <c r="BA79" s="23"/>
      <c r="BB79" s="23"/>
      <c r="BC79" s="23"/>
      <c r="BD79" s="23"/>
      <c r="BE79" s="23"/>
      <c r="BF79" s="23"/>
      <c r="BG79" s="23"/>
      <c r="BH79" s="23"/>
      <c r="BI79" s="23"/>
      <c r="BJ79" s="23"/>
      <c r="BK79" s="23"/>
      <c r="BL79" s="21"/>
      <c r="BO79" s="11"/>
      <c r="BQ79" s="18"/>
    </row>
    <row r="80" spans="2:69" ht="13.5" customHeight="1">
      <c r="B80" s="91" t="str">
        <f>'Charges exploitation'!A74</f>
        <v>frais de tenue de compte</v>
      </c>
      <c r="N80" s="23"/>
      <c r="O80" s="23"/>
      <c r="P80" s="23"/>
      <c r="Q80" s="23"/>
      <c r="R80" s="23"/>
      <c r="S80" s="23"/>
      <c r="T80" s="23"/>
      <c r="U80" s="23"/>
      <c r="V80" s="63">
        <f>'Charges exploitation'!E74/'Charges exploitation'!C74</f>
        <v>500</v>
      </c>
      <c r="W80" s="63"/>
      <c r="X80" s="63"/>
      <c r="Y80" s="63"/>
      <c r="Z80" s="63"/>
      <c r="AA80" s="63">
        <f>V80</f>
        <v>500</v>
      </c>
      <c r="AB80" s="63"/>
      <c r="AC80" s="63"/>
      <c r="AD80" s="63"/>
      <c r="AE80" s="63">
        <f>AA80</f>
        <v>500</v>
      </c>
      <c r="AF80" s="63"/>
      <c r="AG80" s="63"/>
      <c r="AH80" s="101">
        <f t="shared" si="97"/>
        <v>1500</v>
      </c>
      <c r="AI80" s="23"/>
      <c r="AJ80" s="23"/>
      <c r="AK80" s="23"/>
      <c r="AL80" s="23"/>
      <c r="AM80" s="23"/>
      <c r="AN80" s="23"/>
      <c r="AO80" s="23"/>
      <c r="AP80" s="23"/>
      <c r="AQ80" s="23"/>
      <c r="AR80" s="23"/>
      <c r="AS80" s="23"/>
      <c r="AT80" s="23"/>
      <c r="AU80" s="23"/>
      <c r="AV80" s="23"/>
      <c r="AW80" s="23"/>
      <c r="AX80" s="23"/>
      <c r="AY80" s="23"/>
      <c r="AZ80" s="23"/>
      <c r="BA80" s="23"/>
      <c r="BB80" s="23"/>
      <c r="BC80" s="23"/>
      <c r="BD80" s="23"/>
      <c r="BE80" s="23"/>
      <c r="BF80" s="23"/>
      <c r="BG80" s="23"/>
      <c r="BH80" s="23"/>
      <c r="BI80" s="23"/>
      <c r="BJ80" s="23"/>
      <c r="BK80" s="23"/>
      <c r="BL80" s="21"/>
      <c r="BO80" s="11"/>
      <c r="BQ80" s="18"/>
    </row>
    <row r="81" spans="2:88" ht="13.5" customHeight="1">
      <c r="B81" s="89" t="s">
        <v>194</v>
      </c>
      <c r="C81" s="21">
        <f>C73+C70+C56+C31+C28+C20+C13+C12+C11+C10+C77+C78</f>
        <v>182500</v>
      </c>
      <c r="D81" s="21">
        <f t="shared" ref="D81:AG81" si="101">D73+D70+D56+D31+D28+D20+D13+D12+D11+D10+D77+D78</f>
        <v>3000</v>
      </c>
      <c r="E81" s="21">
        <f t="shared" si="101"/>
        <v>3000</v>
      </c>
      <c r="F81" s="21">
        <f t="shared" si="101"/>
        <v>18000</v>
      </c>
      <c r="G81" s="21">
        <f t="shared" si="101"/>
        <v>13000</v>
      </c>
      <c r="H81" s="21">
        <f t="shared" si="101"/>
        <v>3000</v>
      </c>
      <c r="I81" s="21">
        <f t="shared" si="101"/>
        <v>28000</v>
      </c>
      <c r="J81" s="21">
        <f t="shared" si="101"/>
        <v>3000</v>
      </c>
      <c r="K81" s="21">
        <f t="shared" si="101"/>
        <v>3000</v>
      </c>
      <c r="L81" s="21">
        <f t="shared" si="101"/>
        <v>3000</v>
      </c>
      <c r="M81" s="21">
        <f t="shared" si="101"/>
        <v>3000</v>
      </c>
      <c r="N81" s="21">
        <f t="shared" si="101"/>
        <v>3000</v>
      </c>
      <c r="O81" s="21">
        <f t="shared" si="101"/>
        <v>28657.738095238095</v>
      </c>
      <c r="P81" s="21">
        <f t="shared" si="101"/>
        <v>3657.7380952380954</v>
      </c>
      <c r="Q81" s="21">
        <f t="shared" si="101"/>
        <v>3657.7380952380954</v>
      </c>
      <c r="R81" s="21">
        <f t="shared" si="101"/>
        <v>78657.738095238092</v>
      </c>
      <c r="S81" s="21">
        <f t="shared" si="101"/>
        <v>83657.738095238092</v>
      </c>
      <c r="T81" s="21">
        <f t="shared" si="101"/>
        <v>3657.7380952380954</v>
      </c>
      <c r="U81" s="21">
        <f t="shared" si="101"/>
        <v>4472.3214285714284</v>
      </c>
      <c r="V81" s="21">
        <f t="shared" si="101"/>
        <v>54972.321428571428</v>
      </c>
      <c r="W81" s="21">
        <f t="shared" si="101"/>
        <v>4472.3214285714284</v>
      </c>
      <c r="X81" s="21">
        <f t="shared" si="101"/>
        <v>4472.3214285714284</v>
      </c>
      <c r="Y81" s="21">
        <f t="shared" si="101"/>
        <v>4472.3214285714284</v>
      </c>
      <c r="Z81" s="21">
        <f t="shared" si="101"/>
        <v>3814.5833333333335</v>
      </c>
      <c r="AA81" s="21">
        <f t="shared" si="101"/>
        <v>54314.583333333336</v>
      </c>
      <c r="AB81" s="21">
        <f t="shared" si="101"/>
        <v>3814.5833333333335</v>
      </c>
      <c r="AC81" s="21">
        <f t="shared" si="101"/>
        <v>3814.5833333333335</v>
      </c>
      <c r="AD81" s="21">
        <f t="shared" si="101"/>
        <v>3814.5833333333335</v>
      </c>
      <c r="AE81" s="21">
        <f t="shared" si="101"/>
        <v>54314.583333333336</v>
      </c>
      <c r="AF81" s="21">
        <f t="shared" si="101"/>
        <v>3814.5833333333335</v>
      </c>
      <c r="AG81" s="21">
        <f t="shared" si="101"/>
        <v>0</v>
      </c>
      <c r="AH81" s="95">
        <f t="shared" si="97"/>
        <v>668010.11904761952</v>
      </c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21">
        <f t="shared" si="45"/>
        <v>1336020.238095239</v>
      </c>
      <c r="BO81" s="11" t="str">
        <f>B32</f>
        <v>Aubergine Longue Violette</v>
      </c>
      <c r="BQ81" s="18">
        <f>J32</f>
        <v>0</v>
      </c>
      <c r="BU81" s="20">
        <f>SUM(BP81:BT81)</f>
        <v>0</v>
      </c>
    </row>
    <row r="82" spans="2:88" ht="13.5" customHeight="1">
      <c r="B82" s="89" t="s">
        <v>64</v>
      </c>
      <c r="C82" s="21">
        <f>C8-C81</f>
        <v>-182500</v>
      </c>
      <c r="D82" s="21">
        <f t="shared" ref="D82:AG82" si="102">D8-D81</f>
        <v>-3000</v>
      </c>
      <c r="E82" s="21">
        <f t="shared" si="102"/>
        <v>-3000</v>
      </c>
      <c r="F82" s="21">
        <f t="shared" si="102"/>
        <v>-18000</v>
      </c>
      <c r="G82" s="21">
        <f t="shared" si="102"/>
        <v>-13000</v>
      </c>
      <c r="H82" s="21">
        <f t="shared" si="102"/>
        <v>-3000</v>
      </c>
      <c r="I82" s="21">
        <f t="shared" si="102"/>
        <v>-28000</v>
      </c>
      <c r="J82" s="21">
        <f t="shared" si="102"/>
        <v>-3000</v>
      </c>
      <c r="K82" s="21">
        <f t="shared" si="102"/>
        <v>-3000</v>
      </c>
      <c r="L82" s="21">
        <f t="shared" si="102"/>
        <v>-3000</v>
      </c>
      <c r="M82" s="21">
        <f t="shared" si="102"/>
        <v>-3000</v>
      </c>
      <c r="N82" s="21">
        <f t="shared" si="102"/>
        <v>-3000</v>
      </c>
      <c r="O82" s="21">
        <f t="shared" si="102"/>
        <v>-13858.630952380952</v>
      </c>
      <c r="P82" s="21">
        <f t="shared" si="102"/>
        <v>11141.369047619048</v>
      </c>
      <c r="Q82" s="21">
        <f t="shared" si="102"/>
        <v>11141.369047619048</v>
      </c>
      <c r="R82" s="21">
        <f t="shared" si="102"/>
        <v>-63858.630952380947</v>
      </c>
      <c r="S82" s="21">
        <f t="shared" si="102"/>
        <v>-68858.630952380947</v>
      </c>
      <c r="T82" s="21">
        <f t="shared" si="102"/>
        <v>11141.369047619048</v>
      </c>
      <c r="U82" s="21">
        <f t="shared" si="102"/>
        <v>51055.952380952389</v>
      </c>
      <c r="V82" s="21">
        <f t="shared" si="102"/>
        <v>555.95238095238892</v>
      </c>
      <c r="W82" s="21">
        <f t="shared" si="102"/>
        <v>51055.952380952389</v>
      </c>
      <c r="X82" s="21">
        <f t="shared" si="102"/>
        <v>51055.952380952389</v>
      </c>
      <c r="Y82" s="21">
        <f t="shared" si="102"/>
        <v>51055.952380952389</v>
      </c>
      <c r="Z82" s="21">
        <f t="shared" si="102"/>
        <v>51713.690476190481</v>
      </c>
      <c r="AA82" s="21">
        <f t="shared" si="102"/>
        <v>-13585.416666666664</v>
      </c>
      <c r="AB82" s="21">
        <f t="shared" si="102"/>
        <v>36914.583333333336</v>
      </c>
      <c r="AC82" s="21">
        <f t="shared" si="102"/>
        <v>36914.583333333336</v>
      </c>
      <c r="AD82" s="21">
        <f t="shared" si="102"/>
        <v>36914.583333333336</v>
      </c>
      <c r="AE82" s="21">
        <f t="shared" si="102"/>
        <v>-13585.416666666664</v>
      </c>
      <c r="AF82" s="21">
        <f t="shared" si="102"/>
        <v>36914.583333333336</v>
      </c>
      <c r="AG82" s="21">
        <f t="shared" si="102"/>
        <v>0</v>
      </c>
      <c r="AH82" s="95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21">
        <f t="shared" si="45"/>
        <v>-1670.8333333332848</v>
      </c>
      <c r="BO82" s="11" t="str">
        <f>B33</f>
        <v>Engrais</v>
      </c>
      <c r="BQ82" s="18">
        <f>N33</f>
        <v>0</v>
      </c>
      <c r="BU82" s="20">
        <f>SUM(BP82:BT82)</f>
        <v>0</v>
      </c>
    </row>
    <row r="83" spans="2:88" ht="13.5" customHeight="1">
      <c r="B83" s="89" t="str">
        <f>'Trésorerie Prévisionnel'!A25</f>
        <v>Recettes Hors Exploitation</v>
      </c>
      <c r="AH83" s="95">
        <f t="shared" si="97"/>
        <v>0</v>
      </c>
      <c r="BL83" s="21">
        <f t="shared" si="45"/>
        <v>0</v>
      </c>
      <c r="BO83" s="11" t="str">
        <f>B34</f>
        <v>Fientes de Volailles (Amendements de fond)</v>
      </c>
      <c r="BS83" s="18">
        <f>N34+O34+M34</f>
        <v>0</v>
      </c>
      <c r="BT83" s="18">
        <f>SUM(P34:S34)</f>
        <v>0</v>
      </c>
      <c r="BU83" s="20">
        <f>SUM(BP83:BT83)</f>
        <v>0</v>
      </c>
    </row>
    <row r="84" spans="2:88" ht="13.5" customHeight="1">
      <c r="B84" s="91" t="str">
        <f>'Trésorerie Prévisionnel'!A26</f>
        <v>CAF</v>
      </c>
      <c r="C84" s="18"/>
      <c r="AH84" s="95">
        <f t="shared" si="97"/>
        <v>0</v>
      </c>
      <c r="BL84" s="21">
        <f t="shared" si="45"/>
        <v>0</v>
      </c>
      <c r="BO84" s="11" t="str">
        <f>B35</f>
        <v>Foltron</v>
      </c>
      <c r="BU84" s="20">
        <f>SUM(BP84:BT84)</f>
        <v>0</v>
      </c>
    </row>
    <row r="85" spans="2:88" ht="13.5" customHeight="1">
      <c r="B85" s="91" t="str">
        <f>'Trésorerie Prévisionnel'!A27</f>
        <v>Apport Personnel</v>
      </c>
      <c r="E85" s="18" t="e">
        <f>#REF!</f>
        <v>#REF!</v>
      </c>
      <c r="AH85" s="95" t="e">
        <f t="shared" si="97"/>
        <v>#REF!</v>
      </c>
      <c r="BL85" s="21" t="e">
        <f t="shared" si="45"/>
        <v>#REF!</v>
      </c>
      <c r="BO85" s="11" t="str">
        <f>B36</f>
        <v>biozyme</v>
      </c>
      <c r="BQ85" s="18">
        <f>F36+G36</f>
        <v>0</v>
      </c>
      <c r="BR85" s="18">
        <f>SUM(H36:K36)</f>
        <v>0</v>
      </c>
      <c r="BS85" s="18">
        <f>SUM(L36:O36)</f>
        <v>0</v>
      </c>
      <c r="BT85" s="18">
        <f>SUM(P36:S36)</f>
        <v>0</v>
      </c>
      <c r="BU85" s="20">
        <f>SUM(BP85:BT85)</f>
        <v>0</v>
      </c>
      <c r="CB85" s="18">
        <f>70000/6</f>
        <v>11666.666666666666</v>
      </c>
    </row>
    <row r="86" spans="2:88" ht="13.5" customHeight="1">
      <c r="B86" s="91" t="str">
        <f>'Trésorerie Prévisionnel'!A28</f>
        <v>Subventions / Emprunt</v>
      </c>
      <c r="C86" s="18" t="e">
        <f>#REF!</f>
        <v>#REF!</v>
      </c>
      <c r="AH86" s="95" t="e">
        <f t="shared" si="97"/>
        <v>#REF!</v>
      </c>
      <c r="BL86" s="21" t="e">
        <f t="shared" si="45"/>
        <v>#REF!</v>
      </c>
      <c r="BO86" s="11" t="str">
        <f>B37</f>
        <v>NPK Spécial Maraîchers 12.22.22</v>
      </c>
      <c r="BR86" s="18">
        <f>I37</f>
        <v>0</v>
      </c>
      <c r="BS86" s="18">
        <f>L37</f>
        <v>0</v>
      </c>
      <c r="BT86" s="18">
        <f>O37</f>
        <v>0</v>
      </c>
      <c r="BU86" s="20">
        <f>SUM(BP86:BT86)</f>
        <v>0</v>
      </c>
    </row>
    <row r="87" spans="2:88" ht="13.5" customHeight="1">
      <c r="B87" s="89" t="str">
        <f>'Trésorerie Prévisionnel'!A29</f>
        <v>Total Recettes Hors Exploitation</v>
      </c>
      <c r="C87" s="21" t="e">
        <f>SUM(C84:C86)</f>
        <v>#REF!</v>
      </c>
      <c r="D87" s="21">
        <f t="shared" ref="D87:BK87" si="103">SUM(D84:D86)</f>
        <v>0</v>
      </c>
      <c r="E87" s="21" t="e">
        <f t="shared" si="103"/>
        <v>#REF!</v>
      </c>
      <c r="F87" s="21">
        <f t="shared" si="103"/>
        <v>0</v>
      </c>
      <c r="G87" s="21">
        <f t="shared" si="103"/>
        <v>0</v>
      </c>
      <c r="H87" s="21">
        <f t="shared" si="103"/>
        <v>0</v>
      </c>
      <c r="I87" s="21">
        <f t="shared" si="103"/>
        <v>0</v>
      </c>
      <c r="J87" s="21">
        <f t="shared" si="103"/>
        <v>0</v>
      </c>
      <c r="K87" s="21">
        <f t="shared" si="103"/>
        <v>0</v>
      </c>
      <c r="L87" s="21">
        <f t="shared" si="103"/>
        <v>0</v>
      </c>
      <c r="M87" s="21">
        <f t="shared" si="103"/>
        <v>0</v>
      </c>
      <c r="N87" s="21">
        <f t="shared" si="103"/>
        <v>0</v>
      </c>
      <c r="O87" s="21">
        <f t="shared" si="103"/>
        <v>0</v>
      </c>
      <c r="P87" s="21">
        <f t="shared" si="103"/>
        <v>0</v>
      </c>
      <c r="Q87" s="21">
        <f t="shared" si="103"/>
        <v>0</v>
      </c>
      <c r="R87" s="21">
        <f t="shared" si="103"/>
        <v>0</v>
      </c>
      <c r="S87" s="21">
        <f t="shared" si="103"/>
        <v>0</v>
      </c>
      <c r="T87" s="21">
        <f t="shared" si="103"/>
        <v>0</v>
      </c>
      <c r="U87" s="21">
        <f t="shared" si="103"/>
        <v>0</v>
      </c>
      <c r="V87" s="21">
        <f t="shared" si="103"/>
        <v>0</v>
      </c>
      <c r="W87" s="21">
        <f t="shared" si="103"/>
        <v>0</v>
      </c>
      <c r="X87" s="21">
        <f t="shared" si="103"/>
        <v>0</v>
      </c>
      <c r="Y87" s="21">
        <f t="shared" si="103"/>
        <v>0</v>
      </c>
      <c r="Z87" s="21">
        <f t="shared" si="103"/>
        <v>0</v>
      </c>
      <c r="AA87" s="21">
        <f t="shared" si="103"/>
        <v>0</v>
      </c>
      <c r="AB87" s="21">
        <f t="shared" si="103"/>
        <v>0</v>
      </c>
      <c r="AC87" s="21">
        <f t="shared" si="103"/>
        <v>0</v>
      </c>
      <c r="AD87" s="21">
        <f t="shared" si="103"/>
        <v>0</v>
      </c>
      <c r="AE87" s="21">
        <f t="shared" si="103"/>
        <v>0</v>
      </c>
      <c r="AF87" s="21">
        <f t="shared" si="103"/>
        <v>0</v>
      </c>
      <c r="AG87" s="21">
        <f t="shared" si="103"/>
        <v>0</v>
      </c>
      <c r="AH87" s="95" t="e">
        <f t="shared" si="97"/>
        <v>#REF!</v>
      </c>
      <c r="AI87" s="21"/>
      <c r="AJ87" s="21">
        <f t="shared" si="103"/>
        <v>0</v>
      </c>
      <c r="AK87" s="21">
        <f t="shared" si="103"/>
        <v>0</v>
      </c>
      <c r="AL87" s="21">
        <f t="shared" si="103"/>
        <v>0</v>
      </c>
      <c r="AM87" s="21">
        <f t="shared" si="103"/>
        <v>0</v>
      </c>
      <c r="AN87" s="21">
        <f t="shared" si="103"/>
        <v>0</v>
      </c>
      <c r="AO87" s="21">
        <f t="shared" si="103"/>
        <v>0</v>
      </c>
      <c r="AP87" s="21">
        <f t="shared" si="103"/>
        <v>0</v>
      </c>
      <c r="AQ87" s="21">
        <f t="shared" si="103"/>
        <v>0</v>
      </c>
      <c r="AR87" s="21">
        <f t="shared" si="103"/>
        <v>0</v>
      </c>
      <c r="AS87" s="21">
        <f t="shared" si="103"/>
        <v>0</v>
      </c>
      <c r="AT87" s="21">
        <f t="shared" si="103"/>
        <v>0</v>
      </c>
      <c r="AU87" s="21">
        <f t="shared" si="103"/>
        <v>0</v>
      </c>
      <c r="AV87" s="21">
        <f t="shared" si="103"/>
        <v>0</v>
      </c>
      <c r="AW87" s="21">
        <f t="shared" si="103"/>
        <v>0</v>
      </c>
      <c r="AX87" s="21">
        <f t="shared" si="103"/>
        <v>0</v>
      </c>
      <c r="AY87" s="21">
        <f t="shared" si="103"/>
        <v>0</v>
      </c>
      <c r="AZ87" s="21">
        <f t="shared" si="103"/>
        <v>0</v>
      </c>
      <c r="BA87" s="21">
        <f t="shared" si="103"/>
        <v>0</v>
      </c>
      <c r="BB87" s="21">
        <f t="shared" si="103"/>
        <v>0</v>
      </c>
      <c r="BC87" s="21">
        <f t="shared" si="103"/>
        <v>0</v>
      </c>
      <c r="BD87" s="21">
        <f t="shared" si="103"/>
        <v>0</v>
      </c>
      <c r="BE87" s="21">
        <f t="shared" si="103"/>
        <v>0</v>
      </c>
      <c r="BF87" s="21">
        <f t="shared" si="103"/>
        <v>0</v>
      </c>
      <c r="BG87" s="21">
        <f t="shared" si="103"/>
        <v>0</v>
      </c>
      <c r="BH87" s="21">
        <f t="shared" si="103"/>
        <v>0</v>
      </c>
      <c r="BI87" s="21">
        <f t="shared" si="103"/>
        <v>0</v>
      </c>
      <c r="BJ87" s="21">
        <f t="shared" si="103"/>
        <v>0</v>
      </c>
      <c r="BK87" s="21">
        <f t="shared" si="103"/>
        <v>0</v>
      </c>
      <c r="BL87" s="21" t="e">
        <f t="shared" si="45"/>
        <v>#REF!</v>
      </c>
      <c r="BO87" s="11" t="str">
        <f>B38</f>
        <v>Insecticides</v>
      </c>
      <c r="BU87" s="20">
        <f>SUM(BP87:BT87)</f>
        <v>0</v>
      </c>
    </row>
    <row r="88" spans="2:88" ht="13.5" customHeight="1">
      <c r="B88" s="89" t="str">
        <f>'Trésorerie Prévisionnel'!A30</f>
        <v>Dépenses  Hors exploitation</v>
      </c>
      <c r="AH88" s="101">
        <f t="shared" si="97"/>
        <v>0</v>
      </c>
      <c r="BL88" s="21">
        <f t="shared" si="45"/>
        <v>0</v>
      </c>
      <c r="BO88" s="11" t="str">
        <f>B39</f>
        <v>Cypercal 50 Ec</v>
      </c>
      <c r="BQ88" s="18">
        <f>SUM(D39:G39)</f>
        <v>0</v>
      </c>
      <c r="BR88" s="18">
        <f>SUM(H39:K39)</f>
        <v>0</v>
      </c>
      <c r="BS88" s="18">
        <f>SUM(L39:O39)</f>
        <v>0</v>
      </c>
      <c r="BT88" s="18">
        <f>SUM(P39:S39)</f>
        <v>0</v>
      </c>
      <c r="BU88" s="20">
        <f>SUM(BP88:BT88)</f>
        <v>0</v>
      </c>
    </row>
    <row r="89" spans="2:88" ht="13.5" customHeight="1">
      <c r="B89" s="89" t="str">
        <f>'Trésorerie Prévisionnel'!A31</f>
        <v>Immobilisations corporelles</v>
      </c>
      <c r="C89" s="21">
        <f>SUM(C90:C93)</f>
        <v>0</v>
      </c>
      <c r="D89" s="21">
        <f t="shared" ref="D89:AG89" si="104">SUM(D90:D93)</f>
        <v>0</v>
      </c>
      <c r="E89" s="21">
        <f t="shared" si="104"/>
        <v>0</v>
      </c>
      <c r="F89" s="21">
        <f t="shared" si="104"/>
        <v>0</v>
      </c>
      <c r="G89" s="21">
        <f t="shared" si="104"/>
        <v>0</v>
      </c>
      <c r="H89" s="21">
        <f t="shared" si="104"/>
        <v>0</v>
      </c>
      <c r="I89" s="21">
        <f t="shared" si="104"/>
        <v>0</v>
      </c>
      <c r="J89" s="21">
        <f t="shared" si="104"/>
        <v>0</v>
      </c>
      <c r="K89" s="21">
        <f t="shared" si="104"/>
        <v>0</v>
      </c>
      <c r="L89" s="21">
        <f t="shared" si="104"/>
        <v>0</v>
      </c>
      <c r="M89" s="21">
        <f t="shared" si="104"/>
        <v>0</v>
      </c>
      <c r="N89" s="21">
        <f t="shared" si="104"/>
        <v>0</v>
      </c>
      <c r="O89" s="21">
        <f t="shared" si="104"/>
        <v>60000</v>
      </c>
      <c r="P89" s="21">
        <f t="shared" si="104"/>
        <v>0</v>
      </c>
      <c r="Q89" s="21">
        <f t="shared" si="104"/>
        <v>0</v>
      </c>
      <c r="R89" s="21">
        <f t="shared" si="104"/>
        <v>0</v>
      </c>
      <c r="S89" s="21">
        <f t="shared" si="104"/>
        <v>190000</v>
      </c>
      <c r="T89" s="21">
        <f t="shared" si="104"/>
        <v>0</v>
      </c>
      <c r="U89" s="21">
        <f t="shared" si="104"/>
        <v>0</v>
      </c>
      <c r="V89" s="21">
        <f t="shared" si="104"/>
        <v>0</v>
      </c>
      <c r="W89" s="21">
        <f t="shared" si="104"/>
        <v>0</v>
      </c>
      <c r="X89" s="21">
        <f t="shared" si="104"/>
        <v>0</v>
      </c>
      <c r="Y89" s="21">
        <f t="shared" si="104"/>
        <v>0</v>
      </c>
      <c r="Z89" s="21">
        <f t="shared" si="104"/>
        <v>0</v>
      </c>
      <c r="AA89" s="21">
        <f t="shared" si="104"/>
        <v>0</v>
      </c>
      <c r="AB89" s="21">
        <f t="shared" si="104"/>
        <v>0</v>
      </c>
      <c r="AC89" s="21">
        <f t="shared" si="104"/>
        <v>0</v>
      </c>
      <c r="AD89" s="21">
        <f t="shared" si="104"/>
        <v>0</v>
      </c>
      <c r="AE89" s="21">
        <f t="shared" si="104"/>
        <v>0</v>
      </c>
      <c r="AF89" s="21">
        <f t="shared" si="104"/>
        <v>0</v>
      </c>
      <c r="AG89" s="21">
        <f t="shared" si="104"/>
        <v>0</v>
      </c>
      <c r="AH89" s="101">
        <f t="shared" si="97"/>
        <v>250000</v>
      </c>
      <c r="BL89" s="21">
        <f t="shared" si="45"/>
        <v>500000</v>
      </c>
      <c r="BO89" s="11" t="str">
        <f>B40</f>
        <v>Viper 46 Ec</v>
      </c>
      <c r="BS89" s="18">
        <f>N40+O40</f>
        <v>0</v>
      </c>
      <c r="BT89" s="18">
        <f>SUM(P40:S40)</f>
        <v>0</v>
      </c>
      <c r="BU89" s="20">
        <f>SUM(BP89:BT89)</f>
        <v>0</v>
      </c>
    </row>
    <row r="90" spans="2:88" ht="13.5" customHeight="1">
      <c r="B90" s="91" t="str">
        <f>Investissement!A7</f>
        <v>Matériel d'irrigation (Motopompe)</v>
      </c>
      <c r="C90" s="18"/>
      <c r="E90" s="18"/>
      <c r="S90" s="102">
        <f>Investissement!D7</f>
        <v>120000</v>
      </c>
      <c r="AH90" s="101">
        <f t="shared" si="97"/>
        <v>120000</v>
      </c>
      <c r="BL90" s="21">
        <f t="shared" si="45"/>
        <v>240000</v>
      </c>
      <c r="BO90" s="29" t="str">
        <f>B81</f>
        <v>Total Charges d'exploitation</v>
      </c>
      <c r="BP90" s="21">
        <f>SUM(BP9:BP89)</f>
        <v>80000</v>
      </c>
      <c r="BQ90" s="21" t="e">
        <f t="shared" ref="BQ90:BT90" si="105">SUM(BQ9:BQ89)</f>
        <v>#REF!</v>
      </c>
      <c r="BR90" s="21">
        <f t="shared" si="105"/>
        <v>0</v>
      </c>
      <c r="BS90" s="21">
        <f t="shared" si="105"/>
        <v>657.7380952380953</v>
      </c>
      <c r="BT90" s="21">
        <f t="shared" si="105"/>
        <v>2630.9523809523812</v>
      </c>
      <c r="BU90" s="20" t="e">
        <f>SUM(BP90:BT90)</f>
        <v>#REF!</v>
      </c>
    </row>
    <row r="91" spans="2:88" ht="13.5" customHeight="1">
      <c r="B91" s="91" t="str">
        <f>Investissement!A8</f>
        <v>Matériel Commercial (Balance)</v>
      </c>
      <c r="C91" s="18"/>
      <c r="E91" s="18"/>
      <c r="O91" s="102">
        <f>Investissement!D8</f>
        <v>60000</v>
      </c>
      <c r="AH91" s="101">
        <f t="shared" si="97"/>
        <v>60000</v>
      </c>
      <c r="BL91" s="21">
        <f t="shared" si="45"/>
        <v>120000</v>
      </c>
      <c r="BO91" s="11" t="s">
        <v>64</v>
      </c>
      <c r="BP91" s="18">
        <f>BP6-BP90</f>
        <v>-80000</v>
      </c>
      <c r="BQ91" s="18" t="e">
        <f>BQ6-BQ90</f>
        <v>#REF!</v>
      </c>
      <c r="BR91" s="18">
        <f>BR6-BR90</f>
        <v>0</v>
      </c>
      <c r="BS91" s="18">
        <f>BS6-BS90</f>
        <v>-657.7380952380953</v>
      </c>
      <c r="BT91" s="18">
        <f>BT6-BT90</f>
        <v>12168.154761904761</v>
      </c>
      <c r="BU91" s="20" t="e">
        <f>SUM(BP91:BT91)</f>
        <v>#REF!</v>
      </c>
    </row>
    <row r="92" spans="2:88" ht="13.5" customHeight="1">
      <c r="B92" s="91" t="str">
        <f>Investissement!A9</f>
        <v>Fut de 200 l</v>
      </c>
      <c r="C92" s="18"/>
      <c r="E92" s="18"/>
      <c r="S92" s="102">
        <f>Investissement!C9</f>
        <v>20000</v>
      </c>
      <c r="AH92" s="101">
        <f t="shared" si="97"/>
        <v>20000</v>
      </c>
      <c r="BL92" s="21">
        <f t="shared" si="45"/>
        <v>40000</v>
      </c>
      <c r="BO92" s="11" t="str">
        <f>B83</f>
        <v>Recettes Hors Exploitation</v>
      </c>
      <c r="BU92" s="20">
        <f>SUM(BP92:BT92)</f>
        <v>0</v>
      </c>
    </row>
    <row r="93" spans="2:88" ht="13.5" customHeight="1">
      <c r="B93" s="91" t="str">
        <f>Investissement!A10</f>
        <v>Installation Système d'irrigation</v>
      </c>
      <c r="C93" s="18"/>
      <c r="E93" s="18"/>
      <c r="S93" s="102">
        <f>Investissement!C10</f>
        <v>50000</v>
      </c>
      <c r="AH93" s="101">
        <f t="shared" si="97"/>
        <v>50000</v>
      </c>
      <c r="BL93" s="21">
        <f t="shared" si="45"/>
        <v>100000</v>
      </c>
      <c r="BU93" s="20">
        <f t="shared" ref="BU93:BU113" si="106">SUM(BP93:BT93)</f>
        <v>0</v>
      </c>
      <c r="CJ93">
        <f>16800/1400</f>
        <v>12</v>
      </c>
    </row>
    <row r="94" spans="2:88" ht="13.5" customHeight="1">
      <c r="B94" s="89" t="s">
        <v>88</v>
      </c>
      <c r="C94" s="21">
        <f>SUM(C90:C93)</f>
        <v>0</v>
      </c>
      <c r="D94" s="21">
        <f t="shared" ref="D94:AG94" si="107">SUM(D90:D93)</f>
        <v>0</v>
      </c>
      <c r="E94" s="21">
        <f t="shared" si="107"/>
        <v>0</v>
      </c>
      <c r="F94" s="21">
        <f t="shared" si="107"/>
        <v>0</v>
      </c>
      <c r="G94" s="21">
        <f t="shared" si="107"/>
        <v>0</v>
      </c>
      <c r="H94" s="21">
        <f t="shared" si="107"/>
        <v>0</v>
      </c>
      <c r="I94" s="21">
        <f t="shared" si="107"/>
        <v>0</v>
      </c>
      <c r="J94" s="21">
        <f t="shared" si="107"/>
        <v>0</v>
      </c>
      <c r="K94" s="21">
        <f t="shared" si="107"/>
        <v>0</v>
      </c>
      <c r="L94" s="21">
        <f t="shared" si="107"/>
        <v>0</v>
      </c>
      <c r="M94" s="21">
        <f t="shared" si="107"/>
        <v>0</v>
      </c>
      <c r="N94" s="21">
        <f t="shared" si="107"/>
        <v>0</v>
      </c>
      <c r="O94" s="21">
        <f t="shared" si="107"/>
        <v>60000</v>
      </c>
      <c r="P94" s="21">
        <f t="shared" si="107"/>
        <v>0</v>
      </c>
      <c r="Q94" s="21">
        <f t="shared" si="107"/>
        <v>0</v>
      </c>
      <c r="R94" s="21">
        <f t="shared" si="107"/>
        <v>0</v>
      </c>
      <c r="S94" s="21">
        <f t="shared" si="107"/>
        <v>190000</v>
      </c>
      <c r="T94" s="21">
        <f t="shared" si="107"/>
        <v>0</v>
      </c>
      <c r="U94" s="21">
        <f t="shared" si="107"/>
        <v>0</v>
      </c>
      <c r="V94" s="21">
        <f t="shared" si="107"/>
        <v>0</v>
      </c>
      <c r="W94" s="21">
        <f t="shared" si="107"/>
        <v>0</v>
      </c>
      <c r="X94" s="21">
        <f t="shared" si="107"/>
        <v>0</v>
      </c>
      <c r="Y94" s="21">
        <f t="shared" si="107"/>
        <v>0</v>
      </c>
      <c r="Z94" s="21">
        <f t="shared" si="107"/>
        <v>0</v>
      </c>
      <c r="AA94" s="21">
        <f t="shared" si="107"/>
        <v>0</v>
      </c>
      <c r="AB94" s="21">
        <f t="shared" si="107"/>
        <v>0</v>
      </c>
      <c r="AC94" s="21">
        <f t="shared" si="107"/>
        <v>0</v>
      </c>
      <c r="AD94" s="21">
        <f t="shared" si="107"/>
        <v>0</v>
      </c>
      <c r="AE94" s="21">
        <f t="shared" si="107"/>
        <v>0</v>
      </c>
      <c r="AF94" s="21">
        <f t="shared" si="107"/>
        <v>0</v>
      </c>
      <c r="AG94" s="21">
        <f t="shared" si="107"/>
        <v>0</v>
      </c>
      <c r="AH94" s="101">
        <f t="shared" si="97"/>
        <v>250000</v>
      </c>
      <c r="BL94" s="21">
        <f t="shared" si="45"/>
        <v>500000</v>
      </c>
    </row>
    <row r="95" spans="2:88" ht="13.5" customHeight="1">
      <c r="B95" s="89" t="s">
        <v>89</v>
      </c>
      <c r="C95" s="21" t="e">
        <f>C87-C94</f>
        <v>#REF!</v>
      </c>
      <c r="D95" s="21">
        <f>D87-D94</f>
        <v>0</v>
      </c>
      <c r="E95" s="21" t="e">
        <f>E87-E94</f>
        <v>#REF!</v>
      </c>
      <c r="F95" s="21">
        <f>F87-F94</f>
        <v>0</v>
      </c>
      <c r="G95" s="21">
        <f>G87-G94</f>
        <v>0</v>
      </c>
      <c r="H95" s="21">
        <f>H87-H94</f>
        <v>0</v>
      </c>
      <c r="I95" s="21">
        <f>I87-I94</f>
        <v>0</v>
      </c>
      <c r="J95" s="21">
        <f>J87-J94</f>
        <v>0</v>
      </c>
      <c r="K95" s="21">
        <f>K87-K94</f>
        <v>0</v>
      </c>
      <c r="L95" s="21">
        <f>L87-L94</f>
        <v>0</v>
      </c>
      <c r="M95" s="21">
        <f>M87-M94</f>
        <v>0</v>
      </c>
      <c r="N95" s="21">
        <f>N87-N94</f>
        <v>0</v>
      </c>
      <c r="O95" s="21">
        <f>O87-O94</f>
        <v>-60000</v>
      </c>
      <c r="P95" s="21">
        <f>P87-P94</f>
        <v>0</v>
      </c>
      <c r="Q95" s="21">
        <f>Q87-Q94</f>
        <v>0</v>
      </c>
      <c r="R95" s="21">
        <f>R87-R94</f>
        <v>0</v>
      </c>
      <c r="S95" s="21">
        <f>S87-S94</f>
        <v>-190000</v>
      </c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0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21" t="e">
        <f t="shared" si="45"/>
        <v>#REF!</v>
      </c>
    </row>
    <row r="96" spans="2:88" ht="13.5" customHeight="1">
      <c r="B96" s="89"/>
      <c r="BL96" s="21">
        <f t="shared" si="45"/>
        <v>0</v>
      </c>
    </row>
    <row r="97" spans="2:73" ht="13.5" customHeight="1">
      <c r="B97" s="89"/>
      <c r="BL97" s="21">
        <f t="shared" si="45"/>
        <v>0</v>
      </c>
    </row>
    <row r="98" spans="2:73" ht="13.5" customHeight="1">
      <c r="B98" s="89"/>
      <c r="BL98" s="21">
        <f t="shared" si="45"/>
        <v>0</v>
      </c>
    </row>
    <row r="99" spans="2:73" ht="13.5" customHeight="1">
      <c r="B99" s="89"/>
      <c r="BL99" s="21">
        <f t="shared" si="45"/>
        <v>0</v>
      </c>
    </row>
    <row r="100" spans="2:73" ht="13.5" customHeight="1">
      <c r="B100" s="89"/>
      <c r="BL100" s="21">
        <f t="shared" ref="BL100:BL143" si="108">SUM(C100:BK100)</f>
        <v>0</v>
      </c>
    </row>
    <row r="101" spans="2:73" ht="13.5" customHeight="1">
      <c r="BL101" s="21">
        <f t="shared" si="108"/>
        <v>0</v>
      </c>
    </row>
    <row r="102" spans="2:73" ht="13.5" customHeight="1">
      <c r="BL102" s="21">
        <f t="shared" si="108"/>
        <v>0</v>
      </c>
    </row>
    <row r="103" spans="2:73" ht="13.5" customHeight="1">
      <c r="C103" t="s">
        <v>77</v>
      </c>
      <c r="E103" s="18">
        <f>SUM(D39:N39)</f>
        <v>0</v>
      </c>
      <c r="F103" s="18">
        <f>SUM(O39:S39)</f>
        <v>0</v>
      </c>
      <c r="BL103" s="21">
        <f t="shared" si="108"/>
        <v>0</v>
      </c>
    </row>
    <row r="104" spans="2:73" ht="13.5" customHeight="1">
      <c r="C104" t="s">
        <v>79</v>
      </c>
      <c r="E104" s="18">
        <f>SUM(F36:N36)</f>
        <v>0</v>
      </c>
      <c r="F104" s="18">
        <f>SUM(O36:S36)</f>
        <v>0</v>
      </c>
      <c r="BL104" s="21">
        <f t="shared" si="108"/>
        <v>0</v>
      </c>
    </row>
    <row r="105" spans="2:73" ht="13.5" customHeight="1">
      <c r="BL105" s="21">
        <f t="shared" si="108"/>
        <v>0</v>
      </c>
    </row>
    <row r="106" spans="2:73" ht="13.5" customHeight="1">
      <c r="BL106" s="21">
        <f t="shared" si="108"/>
        <v>0</v>
      </c>
    </row>
    <row r="107" spans="2:73" ht="13.5" customHeight="1">
      <c r="BL107" s="21">
        <f t="shared" si="108"/>
        <v>0</v>
      </c>
    </row>
    <row r="108" spans="2:73" ht="13.5" customHeight="1">
      <c r="BL108" s="21">
        <f t="shared" si="108"/>
        <v>0</v>
      </c>
    </row>
    <row r="109" spans="2:73" ht="13.5" customHeight="1">
      <c r="BL109" s="21">
        <f t="shared" si="108"/>
        <v>0</v>
      </c>
    </row>
    <row r="110" spans="2:73" ht="13.5" customHeight="1">
      <c r="BL110" s="21">
        <f t="shared" si="108"/>
        <v>0</v>
      </c>
    </row>
    <row r="111" spans="2:73" ht="13.5" customHeight="1">
      <c r="BL111" s="21">
        <f t="shared" si="108"/>
        <v>0</v>
      </c>
    </row>
    <row r="112" spans="2:73" ht="13.5" customHeight="1">
      <c r="BL112" s="21">
        <f t="shared" si="108"/>
        <v>0</v>
      </c>
      <c r="BU112" s="20">
        <f t="shared" si="106"/>
        <v>0</v>
      </c>
    </row>
    <row r="113" spans="64:73" ht="13.5" customHeight="1">
      <c r="BL113" s="21">
        <f t="shared" si="108"/>
        <v>0</v>
      </c>
      <c r="BU113" s="20">
        <f t="shared" si="106"/>
        <v>0</v>
      </c>
    </row>
    <row r="114" spans="64:73">
      <c r="BL114" s="21">
        <f t="shared" si="108"/>
        <v>0</v>
      </c>
    </row>
    <row r="115" spans="64:73">
      <c r="BL115" s="21">
        <f t="shared" si="108"/>
        <v>0</v>
      </c>
    </row>
    <row r="116" spans="64:73">
      <c r="BL116" s="21">
        <f t="shared" si="108"/>
        <v>0</v>
      </c>
    </row>
    <row r="117" spans="64:73">
      <c r="BL117" s="21">
        <f t="shared" si="108"/>
        <v>0</v>
      </c>
    </row>
    <row r="118" spans="64:73">
      <c r="BL118" s="21">
        <f t="shared" si="108"/>
        <v>0</v>
      </c>
    </row>
    <row r="119" spans="64:73">
      <c r="BL119" s="21">
        <f t="shared" si="108"/>
        <v>0</v>
      </c>
    </row>
    <row r="120" spans="64:73">
      <c r="BL120" s="21">
        <f t="shared" si="108"/>
        <v>0</v>
      </c>
    </row>
    <row r="121" spans="64:73">
      <c r="BL121" s="21">
        <f t="shared" si="108"/>
        <v>0</v>
      </c>
    </row>
    <row r="122" spans="64:73">
      <c r="BL122" s="21">
        <f t="shared" si="108"/>
        <v>0</v>
      </c>
    </row>
    <row r="123" spans="64:73">
      <c r="BL123" s="21">
        <f t="shared" si="108"/>
        <v>0</v>
      </c>
    </row>
    <row r="124" spans="64:73">
      <c r="BL124" s="21">
        <f t="shared" si="108"/>
        <v>0</v>
      </c>
    </row>
    <row r="125" spans="64:73">
      <c r="BL125" s="21">
        <f t="shared" si="108"/>
        <v>0</v>
      </c>
    </row>
    <row r="126" spans="64:73">
      <c r="BL126" s="21">
        <f t="shared" si="108"/>
        <v>0</v>
      </c>
    </row>
    <row r="127" spans="64:73">
      <c r="BL127" s="21">
        <f t="shared" si="108"/>
        <v>0</v>
      </c>
    </row>
    <row r="128" spans="64:73">
      <c r="BL128" s="21">
        <f t="shared" si="108"/>
        <v>0</v>
      </c>
    </row>
    <row r="129" spans="64:64">
      <c r="BL129" s="21">
        <f t="shared" si="108"/>
        <v>0</v>
      </c>
    </row>
    <row r="130" spans="64:64">
      <c r="BL130" s="21">
        <f t="shared" si="108"/>
        <v>0</v>
      </c>
    </row>
    <row r="131" spans="64:64">
      <c r="BL131" s="21">
        <f t="shared" si="108"/>
        <v>0</v>
      </c>
    </row>
    <row r="132" spans="64:64">
      <c r="BL132" s="21">
        <f t="shared" si="108"/>
        <v>0</v>
      </c>
    </row>
    <row r="133" spans="64:64">
      <c r="BL133" s="21">
        <f t="shared" si="108"/>
        <v>0</v>
      </c>
    </row>
    <row r="134" spans="64:64">
      <c r="BL134" s="21">
        <f t="shared" si="108"/>
        <v>0</v>
      </c>
    </row>
    <row r="135" spans="64:64">
      <c r="BL135" s="21">
        <f t="shared" si="108"/>
        <v>0</v>
      </c>
    </row>
    <row r="136" spans="64:64">
      <c r="BL136" s="21">
        <f t="shared" si="108"/>
        <v>0</v>
      </c>
    </row>
    <row r="137" spans="64:64">
      <c r="BL137" s="21">
        <f t="shared" si="108"/>
        <v>0</v>
      </c>
    </row>
    <row r="138" spans="64:64">
      <c r="BL138" s="21">
        <f t="shared" si="108"/>
        <v>0</v>
      </c>
    </row>
    <row r="139" spans="64:64">
      <c r="BL139" s="21">
        <f t="shared" si="108"/>
        <v>0</v>
      </c>
    </row>
    <row r="140" spans="64:64">
      <c r="BL140" s="21">
        <f t="shared" si="108"/>
        <v>0</v>
      </c>
    </row>
    <row r="141" spans="64:64">
      <c r="BL141" s="21">
        <f t="shared" si="108"/>
        <v>0</v>
      </c>
    </row>
    <row r="142" spans="64:64">
      <c r="BL142" s="21">
        <f t="shared" si="108"/>
        <v>0</v>
      </c>
    </row>
    <row r="143" spans="64:64">
      <c r="BL143" s="21">
        <f t="shared" si="108"/>
        <v>0</v>
      </c>
    </row>
  </sheetData>
  <phoneticPr fontId="4" alignment="center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8A943C-D206-3F49-9915-21F16E2A2588}">
  <dimension ref="A1:J36"/>
  <sheetViews>
    <sheetView topLeftCell="A16" zoomScaleNormal="60" zoomScaleSheetLayoutView="100" workbookViewId="0">
      <selection activeCell="B28" sqref="B28"/>
    </sheetView>
  </sheetViews>
  <sheetFormatPr defaultRowHeight="15"/>
  <cols>
    <col min="1" max="1" width="28.25" customWidth="1"/>
    <col min="2" max="2" width="11.43359375" bestFit="1" customWidth="1"/>
    <col min="3" max="3" width="10.22265625" bestFit="1" customWidth="1"/>
    <col min="4" max="4" width="8.7421875" bestFit="1" customWidth="1"/>
    <col min="10" max="10" width="12.23828125" bestFit="1" customWidth="1"/>
  </cols>
  <sheetData>
    <row r="1" spans="1:10">
      <c r="A1" t="s">
        <v>200</v>
      </c>
    </row>
    <row r="5" spans="1:10">
      <c r="B5" s="94" t="str">
        <f>TEXT(BUDGET!C4,"mmm-yy")</f>
        <v>oct-20</v>
      </c>
      <c r="C5" s="94" t="str">
        <f>TEXT(EDATE(B5,1),"mmm-yy")</f>
        <v>nov-20</v>
      </c>
      <c r="D5" s="94" t="str">
        <f t="shared" ref="D5:I5" si="0">TEXT(EDATE(C5,1),"mmm-yy")</f>
        <v>déc-20</v>
      </c>
      <c r="E5" s="94" t="str">
        <f t="shared" si="0"/>
        <v>janv-21</v>
      </c>
      <c r="F5" s="94" t="str">
        <f t="shared" si="0"/>
        <v>févr-21</v>
      </c>
      <c r="G5" s="94" t="str">
        <f t="shared" si="0"/>
        <v>mars-21</v>
      </c>
      <c r="H5" s="94" t="str">
        <f>TEXT(EDATE(G5,1),"mmm-yy")</f>
        <v>avr-21</v>
      </c>
      <c r="I5" s="94" t="str">
        <f t="shared" si="0"/>
        <v>mai-21</v>
      </c>
      <c r="J5" s="43" t="s">
        <v>5</v>
      </c>
    </row>
    <row r="6" spans="1:10">
      <c r="A6" s="1" t="str">
        <f>BUDGET!B5</f>
        <v>Ventes prévisionnelles</v>
      </c>
      <c r="B6" s="18"/>
      <c r="C6" s="18"/>
      <c r="D6" s="18"/>
      <c r="E6" s="18"/>
      <c r="F6" s="18"/>
      <c r="G6" s="18"/>
      <c r="H6" s="18"/>
      <c r="I6" s="18"/>
      <c r="J6" s="18"/>
    </row>
    <row r="7" spans="1:10">
      <c r="A7" s="45" t="str">
        <f>BUDGET!B6</f>
        <v>Ventes Aubergine</v>
      </c>
      <c r="B7" s="18" cm="1">
        <f t="array" aca="1" ref="B7" ca="1">SUMPRODUCT((MONTH(BUDGET!$C$4:$AG$4)=MONTH(B$5))*(OFFSET(BUDGET!$C$4:$AG$4,MATCH($A7,BUDGET!$B$5:$B$95,0),,,)))</f>
        <v>0</v>
      </c>
      <c r="C7" s="18" cm="1">
        <f t="array" aca="1" ref="C7" ca="1">SUMPRODUCT((MONTH(BUDGET!$C$4:$AG$4)=MONTH(C$5))*(OFFSET(BUDGET!$C$4:$AG$4,MATCH($A7,BUDGET!$B$5:$B$95,0),,,)))</f>
        <v>0</v>
      </c>
      <c r="D7" s="18" cm="1">
        <f t="array" aca="1" ref="D7" ca="1">SUMPRODUCT((MONTH(BUDGET!$C$4:$AG$4)=MONTH(D$5))*(OFFSET(BUDGET!$C$4:$AG$4,MATCH($A7,BUDGET!$B$5:$B$95,0),,,)))</f>
        <v>29598.214285714286</v>
      </c>
      <c r="E7" s="18" cm="1">
        <f t="array" aca="1" ref="E7" ca="1">SUMPRODUCT((MONTH(BUDGET!$C$4:$AG$4)=MONTH(E$5))*(OFFSET(BUDGET!$C$4:$AG$4,MATCH($A7,BUDGET!$B$5:$B$95,0),,,)))</f>
        <v>59196.428571428572</v>
      </c>
      <c r="F7" s="18" cm="1">
        <f t="array" aca="1" ref="F7" ca="1">SUMPRODUCT((MONTH(BUDGET!$C$4:$AG$4)=MONTH(F$5))*(OFFSET(BUDGET!$C$4:$AG$4,MATCH($A7,BUDGET!$B$5:$B$95,0),,,)))</f>
        <v>59196.428571428572</v>
      </c>
      <c r="G7" s="18" cm="1">
        <f t="array" aca="1" ref="G7" ca="1">SUMPRODUCT((MONTH(BUDGET!$C$4:$AG$4)=MONTH(G$5))*(OFFSET(BUDGET!$C$4:$AG$4,MATCH($A7,BUDGET!$B$5:$B$95,0),,,)))</f>
        <v>29598.214285714286</v>
      </c>
      <c r="H7" s="18" cm="1">
        <f t="array" aca="1" ref="H7" ca="1">SUMPRODUCT((MONTH(BUDGET!$C$4:$AG$4)=MONTH(H$5))*(OFFSET(BUDGET!$C$4:$AG$4,MATCH($A7,BUDGET!$B$5:$B$95,0),,,)))</f>
        <v>0</v>
      </c>
      <c r="I7" s="18" cm="1">
        <f t="array" aca="1" ref="I7" ca="1">SUMPRODUCT((MONTH(BUDGET!$C$4:$AG$4)=MONTH(I$5))*(OFFSET(BUDGET!$C$4:$AG$4,MATCH($A7,BUDGET!$B$5:$B$95,0),,,)))</f>
        <v>0</v>
      </c>
      <c r="J7" s="18">
        <f ca="1">SUM(B7:I7)</f>
        <v>177589.28571428571</v>
      </c>
    </row>
    <row r="8" spans="1:10">
      <c r="A8" s="45" t="str">
        <f>BUDGET!B7</f>
        <v>Ventes Piment</v>
      </c>
      <c r="B8" s="18" cm="1">
        <f t="array" aca="1" ref="B8" ca="1">SUMPRODUCT((MONTH(BUDGET!$C$4:$AG$4)=MONTH(B$5))*(OFFSET(BUDGET!$C$4:$AG$4,MATCH($A8,BUDGET!$B$5:$B$95,0),,,)))</f>
        <v>0</v>
      </c>
      <c r="C8" s="18" cm="1">
        <f t="array" aca="1" ref="C8" ca="1">SUMPRODUCT((MONTH(BUDGET!$C$4:$AG$4)=MONTH(C$5))*(OFFSET(BUDGET!$C$4:$AG$4,MATCH($A8,BUDGET!$B$5:$B$95,0),,,)))</f>
        <v>0</v>
      </c>
      <c r="D8" s="18" cm="1">
        <f t="array" aca="1" ref="D8" ca="1">SUMPRODUCT((MONTH(BUDGET!$C$4:$AG$4)=MONTH(D$5))*(OFFSET(BUDGET!$C$4:$AG$4,MATCH($A8,BUDGET!$B$5:$B$95,0),,,)))</f>
        <v>0</v>
      </c>
      <c r="E8" s="18" cm="1">
        <f t="array" aca="1" ref="E8" ca="1">SUMPRODUCT((MONTH(BUDGET!$C$4:$AG$4)=MONTH(E$5))*(OFFSET(BUDGET!$C$4:$AG$4,MATCH($A8,BUDGET!$B$5:$B$95,0),,,)))</f>
        <v>0</v>
      </c>
      <c r="F8" s="18" cm="1">
        <f t="array" aca="1" ref="F8" ca="1">SUMPRODUCT((MONTH(BUDGET!$C$4:$AG$4)=MONTH(F$5))*(OFFSET(BUDGET!$C$4:$AG$4,MATCH($A8,BUDGET!$B$5:$B$95,0),,,)))</f>
        <v>162916.66666666669</v>
      </c>
      <c r="G8" s="18" cm="1">
        <f t="array" aca="1" ref="G8" ca="1">SUMPRODUCT((MONTH(BUDGET!$C$4:$AG$4)=MONTH(G$5))*(OFFSET(BUDGET!$C$4:$AG$4,MATCH($A8,BUDGET!$B$5:$B$95,0),,,)))</f>
        <v>162916.66666666669</v>
      </c>
      <c r="H8" s="18" cm="1">
        <f t="array" aca="1" ref="H8" ca="1">SUMPRODUCT((MONTH(BUDGET!$C$4:$AG$4)=MONTH(H$5))*(OFFSET(BUDGET!$C$4:$AG$4,MATCH($A8,BUDGET!$B$5:$B$95,0),,,)))</f>
        <v>162916.66666666669</v>
      </c>
      <c r="I8" s="18" cm="1">
        <f t="array" aca="1" ref="I8" ca="1">SUMPRODUCT((MONTH(BUDGET!$C$4:$AG$4)=MONTH(I$5))*(OFFSET(BUDGET!$C$4:$AG$4,MATCH($A8,BUDGET!$B$5:$B$95,0),,,)))</f>
        <v>0</v>
      </c>
      <c r="J8" s="18">
        <f t="shared" ref="J8:J22" ca="1" si="1">SUM(B8:I8)</f>
        <v>488750.00000000006</v>
      </c>
    </row>
    <row r="9" spans="1:10">
      <c r="A9" s="1" t="str">
        <f>BUDGET!B8</f>
        <v>Total ventes Prévisionnelles</v>
      </c>
      <c r="B9" s="21">
        <f ca="1">SUM(B7:B8)</f>
        <v>0</v>
      </c>
      <c r="C9" s="21">
        <f t="shared" ref="C9:I9" ca="1" si="2">SUM(C7:C8)</f>
        <v>0</v>
      </c>
      <c r="D9" s="21">
        <f t="shared" ca="1" si="2"/>
        <v>29598.214285714286</v>
      </c>
      <c r="E9" s="21">
        <f t="shared" ca="1" si="2"/>
        <v>59196.428571428572</v>
      </c>
      <c r="F9" s="21">
        <f t="shared" ca="1" si="2"/>
        <v>222113.09523809527</v>
      </c>
      <c r="G9" s="21">
        <f t="shared" ca="1" si="2"/>
        <v>192514.88095238098</v>
      </c>
      <c r="H9" s="21">
        <f t="shared" ca="1" si="2"/>
        <v>162916.66666666669</v>
      </c>
      <c r="I9" s="21">
        <f t="shared" ca="1" si="2"/>
        <v>0</v>
      </c>
      <c r="J9" s="21">
        <f t="shared" ca="1" si="1"/>
        <v>666339.28571428568</v>
      </c>
    </row>
    <row r="10" spans="1:10">
      <c r="A10" s="1" t="str">
        <f>BUDGET!B9</f>
        <v>Charges exploitation</v>
      </c>
      <c r="B10" s="18"/>
      <c r="C10" s="18"/>
      <c r="D10" s="18"/>
      <c r="E10" s="18"/>
      <c r="F10" s="18"/>
      <c r="G10" s="18"/>
      <c r="H10" s="18"/>
      <c r="I10" s="18"/>
      <c r="J10" s="18"/>
    </row>
    <row r="11" spans="1:10">
      <c r="A11" s="45" t="str">
        <f>BUDGET!B10</f>
        <v>Location de Terrain</v>
      </c>
      <c r="B11" s="18" cm="1">
        <f t="array" aca="1" ref="B11" ca="1">SUMPRODUCT((MONTH(BUDGET!$C$4:$AG$4)=MONTH(B$5))*(OFFSET(BUDGET!$C$4:$AG$4,MATCH($A11,BUDGET!$B$5:$B$95,0),,,)))</f>
        <v>20000</v>
      </c>
      <c r="C11" s="18" cm="1">
        <f t="array" aca="1" ref="C11" ca="1">SUMPRODUCT((MONTH(BUDGET!$C$4:$AG$4)=MONTH(C$5))*(OFFSET(BUDGET!$C$4:$AG$4,MATCH($A11,BUDGET!$B$5:$B$95,0),,,)))</f>
        <v>0</v>
      </c>
      <c r="D11" s="18" cm="1">
        <f t="array" aca="1" ref="D11" ca="1">SUMPRODUCT((MONTH(BUDGET!$C$4:$AG$4)=MONTH(D$5))*(OFFSET(BUDGET!$C$4:$AG$4,MATCH($A11,BUDGET!$B$5:$B$95,0),,,)))</f>
        <v>0</v>
      </c>
      <c r="E11" s="18" cm="1">
        <f t="array" aca="1" ref="E11" ca="1">SUMPRODUCT((MONTH(BUDGET!$C$4:$AG$4)=MONTH(E$5))*(OFFSET(BUDGET!$C$4:$AG$4,MATCH($A11,BUDGET!$B$5:$B$95,0),,,)))</f>
        <v>0</v>
      </c>
      <c r="F11" s="18" cm="1">
        <f t="array" aca="1" ref="F11" ca="1">SUMPRODUCT((MONTH(BUDGET!$C$4:$AG$4)=MONTH(F$5))*(OFFSET(BUDGET!$C$4:$AG$4,MATCH($A11,BUDGET!$B$5:$B$95,0),,,)))</f>
        <v>0</v>
      </c>
      <c r="G11" s="18" cm="1">
        <f t="array" aca="1" ref="G11" ca="1">SUMPRODUCT((MONTH(BUDGET!$C$4:$AG$4)=MONTH(G$5))*(OFFSET(BUDGET!$C$4:$AG$4,MATCH($A11,BUDGET!$B$5:$B$95,0),,,)))</f>
        <v>0</v>
      </c>
      <c r="H11" s="18" cm="1">
        <f t="array" aca="1" ref="H11" ca="1">SUMPRODUCT((MONTH(BUDGET!$C$4:$AG$4)=MONTH(H$5))*(OFFSET(BUDGET!$C$4:$AG$4,MATCH($A11,BUDGET!$B$5:$B$95,0),,,)))</f>
        <v>0</v>
      </c>
      <c r="I11" s="18" cm="1">
        <f t="array" aca="1" ref="I11" ca="1">SUMPRODUCT((MONTH(BUDGET!$C$4:$AG$4)=MONTH(I$5))*(OFFSET(BUDGET!$C$4:$AG$4,MATCH($A11,BUDGET!$B$5:$B$95,0),,,)))</f>
        <v>0</v>
      </c>
      <c r="J11" s="18">
        <f t="shared" ca="1" si="1"/>
        <v>20000</v>
      </c>
    </row>
    <row r="12" spans="1:10">
      <c r="A12" s="45" t="str">
        <f>BUDGET!B11</f>
        <v>Défrichage</v>
      </c>
      <c r="B12" s="18" cm="1">
        <f t="array" aca="1" ref="B12" ca="1">SUMPRODUCT((MONTH(BUDGET!$C$4:$AG$4)=MONTH(B$5))*(OFFSET(BUDGET!$C$4:$AG$4,MATCH($A12,BUDGET!$B$5:$B$95,0),,,)))</f>
        <v>10000</v>
      </c>
      <c r="C12" s="18" cm="1">
        <f t="array" aca="1" ref="C12" ca="1">SUMPRODUCT((MONTH(BUDGET!$C$4:$AG$4)=MONTH(C$5))*(OFFSET(BUDGET!$C$4:$AG$4,MATCH($A12,BUDGET!$B$5:$B$95,0),,,)))</f>
        <v>0</v>
      </c>
      <c r="D12" s="18" cm="1">
        <f t="array" aca="1" ref="D12" ca="1">SUMPRODUCT((MONTH(BUDGET!$C$4:$AG$4)=MONTH(D$5))*(OFFSET(BUDGET!$C$4:$AG$4,MATCH($A12,BUDGET!$B$5:$B$95,0),,,)))</f>
        <v>0</v>
      </c>
      <c r="E12" s="18" cm="1">
        <f t="array" aca="1" ref="E12" ca="1">SUMPRODUCT((MONTH(BUDGET!$C$4:$AG$4)=MONTH(E$5))*(OFFSET(BUDGET!$C$4:$AG$4,MATCH($A12,BUDGET!$B$5:$B$95,0),,,)))</f>
        <v>0</v>
      </c>
      <c r="F12" s="18" cm="1">
        <f t="array" aca="1" ref="F12" ca="1">SUMPRODUCT((MONTH(BUDGET!$C$4:$AG$4)=MONTH(F$5))*(OFFSET(BUDGET!$C$4:$AG$4,MATCH($A12,BUDGET!$B$5:$B$95,0),,,)))</f>
        <v>0</v>
      </c>
      <c r="G12" s="18" cm="1">
        <f t="array" aca="1" ref="G12" ca="1">SUMPRODUCT((MONTH(BUDGET!$C$4:$AG$4)=MONTH(G$5))*(OFFSET(BUDGET!$C$4:$AG$4,MATCH($A12,BUDGET!$B$5:$B$95,0),,,)))</f>
        <v>0</v>
      </c>
      <c r="H12" s="18" cm="1">
        <f t="array" aca="1" ref="H12" ca="1">SUMPRODUCT((MONTH(BUDGET!$C$4:$AG$4)=MONTH(H$5))*(OFFSET(BUDGET!$C$4:$AG$4,MATCH($A12,BUDGET!$B$5:$B$95,0),,,)))</f>
        <v>0</v>
      </c>
      <c r="I12" s="18" cm="1">
        <f t="array" aca="1" ref="I12" ca="1">SUMPRODUCT((MONTH(BUDGET!$C$4:$AG$4)=MONTH(I$5))*(OFFSET(BUDGET!$C$4:$AG$4,MATCH($A12,BUDGET!$B$5:$B$95,0),,,)))</f>
        <v>0</v>
      </c>
      <c r="J12" s="18">
        <f t="shared" ca="1" si="1"/>
        <v>10000</v>
      </c>
    </row>
    <row r="13" spans="1:10">
      <c r="A13" s="45" t="str">
        <f>BUDGET!B12</f>
        <v>Herbicides</v>
      </c>
      <c r="B13" s="18" cm="1">
        <f t="array" aca="1" ref="B13" ca="1">SUMPRODUCT((MONTH(BUDGET!$C$4:$AG$4)=MONTH(B$5))*(OFFSET(BUDGET!$C$4:$AG$4,MATCH($A13,BUDGET!$B$5:$B$95,0),,,)))</f>
        <v>10000</v>
      </c>
      <c r="C13" s="18" cm="1">
        <f t="array" aca="1" ref="C13" ca="1">SUMPRODUCT((MONTH(BUDGET!$C$4:$AG$4)=MONTH(C$5))*(OFFSET(BUDGET!$C$4:$AG$4,MATCH($A13,BUDGET!$B$5:$B$95,0),,,)))</f>
        <v>0</v>
      </c>
      <c r="D13" s="18" cm="1">
        <f t="array" aca="1" ref="D13" ca="1">SUMPRODUCT((MONTH(BUDGET!$C$4:$AG$4)=MONTH(D$5))*(OFFSET(BUDGET!$C$4:$AG$4,MATCH($A13,BUDGET!$B$5:$B$95,0),,,)))</f>
        <v>0</v>
      </c>
      <c r="E13" s="18" cm="1">
        <f t="array" aca="1" ref="E13" ca="1">SUMPRODUCT((MONTH(BUDGET!$C$4:$AG$4)=MONTH(E$5))*(OFFSET(BUDGET!$C$4:$AG$4,MATCH($A13,BUDGET!$B$5:$B$95,0),,,)))</f>
        <v>0</v>
      </c>
      <c r="F13" s="18" cm="1">
        <f t="array" aca="1" ref="F13" ca="1">SUMPRODUCT((MONTH(BUDGET!$C$4:$AG$4)=MONTH(F$5))*(OFFSET(BUDGET!$C$4:$AG$4,MATCH($A13,BUDGET!$B$5:$B$95,0),,,)))</f>
        <v>0</v>
      </c>
      <c r="G13" s="18" cm="1">
        <f t="array" aca="1" ref="G13" ca="1">SUMPRODUCT((MONTH(BUDGET!$C$4:$AG$4)=MONTH(G$5))*(OFFSET(BUDGET!$C$4:$AG$4,MATCH($A13,BUDGET!$B$5:$B$95,0),,,)))</f>
        <v>0</v>
      </c>
      <c r="H13" s="18" cm="1">
        <f t="array" aca="1" ref="H13" ca="1">SUMPRODUCT((MONTH(BUDGET!$C$4:$AG$4)=MONTH(H$5))*(OFFSET(BUDGET!$C$4:$AG$4,MATCH($A13,BUDGET!$B$5:$B$95,0),,,)))</f>
        <v>0</v>
      </c>
      <c r="I13" s="18" cm="1">
        <f t="array" aca="1" ref="I13" ca="1">SUMPRODUCT((MONTH(BUDGET!$C$4:$AG$4)=MONTH(I$5))*(OFFSET(BUDGET!$C$4:$AG$4,MATCH($A13,BUDGET!$B$5:$B$95,0),,,)))</f>
        <v>0</v>
      </c>
      <c r="J13" s="18">
        <f t="shared" ca="1" si="1"/>
        <v>10000</v>
      </c>
    </row>
    <row r="14" spans="1:10">
      <c r="A14" s="45" t="str">
        <f>BUDGET!B13</f>
        <v>Petit Materiel &amp; Outillage</v>
      </c>
      <c r="B14" s="18" cm="1">
        <f t="array" aca="1" ref="B14" ca="1">SUMPRODUCT((MONTH(BUDGET!$C$4:$AG$4)=MONTH(B$5))*(OFFSET(BUDGET!$C$4:$AG$4,MATCH($A14,BUDGET!$B$5:$B$95,0),,,)))</f>
        <v>28000</v>
      </c>
      <c r="C14" s="18" cm="1">
        <f t="array" aca="1" ref="C14" ca="1">SUMPRODUCT((MONTH(BUDGET!$C$4:$AG$4)=MONTH(C$5))*(OFFSET(BUDGET!$C$4:$AG$4,MATCH($A14,BUDGET!$B$5:$B$95,0),,,)))</f>
        <v>0</v>
      </c>
      <c r="D14" s="18" cm="1">
        <f t="array" aca="1" ref="D14" ca="1">SUMPRODUCT((MONTH(BUDGET!$C$4:$AG$4)=MONTH(D$5))*(OFFSET(BUDGET!$C$4:$AG$4,MATCH($A14,BUDGET!$B$5:$B$95,0),,,)))</f>
        <v>1315.4761904761906</v>
      </c>
      <c r="E14" s="18" cm="1">
        <f t="array" aca="1" ref="E14" ca="1">SUMPRODUCT((MONTH(BUDGET!$C$4:$AG$4)=MONTH(E$5))*(OFFSET(BUDGET!$C$4:$AG$4,MATCH($A14,BUDGET!$B$5:$B$95,0),,,)))</f>
        <v>2630.9523809523812</v>
      </c>
      <c r="F14" s="18" cm="1">
        <f t="array" aca="1" ref="F14" ca="1">SUMPRODUCT((MONTH(BUDGET!$C$4:$AG$4)=MONTH(F$5))*(OFFSET(BUDGET!$C$4:$AG$4,MATCH($A14,BUDGET!$B$5:$B$95,0),,,)))</f>
        <v>5889.2857142857147</v>
      </c>
      <c r="G14" s="18" cm="1">
        <f t="array" aca="1" ref="G14" ca="1">SUMPRODUCT((MONTH(BUDGET!$C$4:$AG$4)=MONTH(G$5))*(OFFSET(BUDGET!$C$4:$AG$4,MATCH($A14,BUDGET!$B$5:$B$95,0),,,)))</f>
        <v>3916.0714285714289</v>
      </c>
      <c r="H14" s="18" cm="1">
        <f t="array" aca="1" ref="H14" ca="1">SUMPRODUCT((MONTH(BUDGET!$C$4:$AG$4)=MONTH(H$5))*(OFFSET(BUDGET!$C$4:$AG$4,MATCH($A14,BUDGET!$B$5:$B$95,0),,,)))</f>
        <v>3258.3333333333335</v>
      </c>
      <c r="I14" s="18" cm="1">
        <f t="array" aca="1" ref="I14" ca="1">SUMPRODUCT((MONTH(BUDGET!$C$4:$AG$4)=MONTH(I$5))*(OFFSET(BUDGET!$C$4:$AG$4,MATCH($A14,BUDGET!$B$5:$B$95,0),,,)))</f>
        <v>0</v>
      </c>
      <c r="J14" s="18">
        <f t="shared" ca="1" si="1"/>
        <v>45010.119047619053</v>
      </c>
    </row>
    <row r="15" spans="1:10">
      <c r="A15" s="45" t="str">
        <f>BUDGET!B20</f>
        <v>Matériel d'irrigation</v>
      </c>
      <c r="B15" s="18" cm="1">
        <f t="array" aca="1" ref="B15" ca="1">SUMPRODUCT((MONTH(BUDGET!$C$4:$AG$4)=MONTH(B$5))*(OFFSET(BUDGET!$C$4:$AG$4,MATCH($A15,BUDGET!$B$5:$B$95,0),,,)))</f>
        <v>0</v>
      </c>
      <c r="C15" s="18" cm="1">
        <f t="array" aca="1" ref="C15" ca="1">SUMPRODUCT((MONTH(BUDGET!$C$4:$AG$4)=MONTH(C$5))*(OFFSET(BUDGET!$C$4:$AG$4,MATCH($A15,BUDGET!$B$5:$B$95,0),,,)))</f>
        <v>0</v>
      </c>
      <c r="D15" s="18" cm="1">
        <f t="array" aca="1" ref="D15" ca="1">SUMPRODUCT((MONTH(BUDGET!$C$4:$AG$4)=MONTH(D$5))*(OFFSET(BUDGET!$C$4:$AG$4,MATCH($A15,BUDGET!$B$5:$B$95,0),,,)))</f>
        <v>0</v>
      </c>
      <c r="E15" s="18" cm="1">
        <f t="array" aca="1" ref="E15" ca="1">SUMPRODUCT((MONTH(BUDGET!$C$4:$AG$4)=MONTH(E$5))*(OFFSET(BUDGET!$C$4:$AG$4,MATCH($A15,BUDGET!$B$5:$B$95,0),,,)))</f>
        <v>65000</v>
      </c>
      <c r="F15" s="18" cm="1">
        <f t="array" aca="1" ref="F15" ca="1">SUMPRODUCT((MONTH(BUDGET!$C$4:$AG$4)=MONTH(F$5))*(OFFSET(BUDGET!$C$4:$AG$4,MATCH($A15,BUDGET!$B$5:$B$95,0),,,)))</f>
        <v>0</v>
      </c>
      <c r="G15" s="18" cm="1">
        <f t="array" aca="1" ref="G15" ca="1">SUMPRODUCT((MONTH(BUDGET!$C$4:$AG$4)=MONTH(G$5))*(OFFSET(BUDGET!$C$4:$AG$4,MATCH($A15,BUDGET!$B$5:$B$95,0),,,)))</f>
        <v>0</v>
      </c>
      <c r="H15" s="18" cm="1">
        <f t="array" aca="1" ref="H15" ca="1">SUMPRODUCT((MONTH(BUDGET!$C$4:$AG$4)=MONTH(H$5))*(OFFSET(BUDGET!$C$4:$AG$4,MATCH($A15,BUDGET!$B$5:$B$95,0),,,)))</f>
        <v>0</v>
      </c>
      <c r="I15" s="18" cm="1">
        <f t="array" aca="1" ref="I15" ca="1">SUMPRODUCT((MONTH(BUDGET!$C$4:$AG$4)=MONTH(I$5))*(OFFSET(BUDGET!$C$4:$AG$4,MATCH($A15,BUDGET!$B$5:$B$95,0),,,)))</f>
        <v>0</v>
      </c>
      <c r="J15" s="18">
        <f t="shared" ca="1" si="1"/>
        <v>65000</v>
      </c>
    </row>
    <row r="16" spans="1:10">
      <c r="A16" s="45" t="str">
        <f>BUDGET!B28</f>
        <v>Semences</v>
      </c>
      <c r="B16" s="18" cm="1">
        <f t="array" aca="1" ref="B16" ca="1">SUMPRODUCT((MONTH(BUDGET!$C$4:$AG$4)=MONTH(B$5))*(OFFSET(BUDGET!$C$4:$AG$4,MATCH($A16,BUDGET!$B$5:$B$95,0),,,)))</f>
        <v>25000</v>
      </c>
      <c r="C16" s="18" cm="1">
        <f t="array" aca="1" ref="C16" ca="1">SUMPRODUCT((MONTH(BUDGET!$C$4:$AG$4)=MONTH(C$5))*(OFFSET(BUDGET!$C$4:$AG$4,MATCH($A16,BUDGET!$B$5:$B$95,0),,,)))</f>
        <v>0</v>
      </c>
      <c r="D16" s="18" cm="1">
        <f t="array" aca="1" ref="D16" ca="1">SUMPRODUCT((MONTH(BUDGET!$C$4:$AG$4)=MONTH(D$5))*(OFFSET(BUDGET!$C$4:$AG$4,MATCH($A16,BUDGET!$B$5:$B$95,0),,,)))</f>
        <v>0</v>
      </c>
      <c r="E16" s="18" cm="1">
        <f t="array" aca="1" ref="E16" ca="1">SUMPRODUCT((MONTH(BUDGET!$C$4:$AG$4)=MONTH(E$5))*(OFFSET(BUDGET!$C$4:$AG$4,MATCH($A16,BUDGET!$B$5:$B$95,0),,,)))</f>
        <v>0</v>
      </c>
      <c r="F16" s="18" cm="1">
        <f t="array" aca="1" ref="F16" ca="1">SUMPRODUCT((MONTH(BUDGET!$C$4:$AG$4)=MONTH(F$5))*(OFFSET(BUDGET!$C$4:$AG$4,MATCH($A16,BUDGET!$B$5:$B$95,0),,,)))</f>
        <v>0</v>
      </c>
      <c r="G16" s="18" cm="1">
        <f t="array" aca="1" ref="G16" ca="1">SUMPRODUCT((MONTH(BUDGET!$C$4:$AG$4)=MONTH(G$5))*(OFFSET(BUDGET!$C$4:$AG$4,MATCH($A16,BUDGET!$B$5:$B$95,0),,,)))</f>
        <v>0</v>
      </c>
      <c r="H16" s="18" cm="1">
        <f t="array" aca="1" ref="H16" ca="1">SUMPRODUCT((MONTH(BUDGET!$C$4:$AG$4)=MONTH(H$5))*(OFFSET(BUDGET!$C$4:$AG$4,MATCH($A16,BUDGET!$B$5:$B$95,0),,,)))</f>
        <v>0</v>
      </c>
      <c r="I16" s="18" cm="1">
        <f t="array" aca="1" ref="I16" ca="1">SUMPRODUCT((MONTH(BUDGET!$C$4:$AG$4)=MONTH(I$5))*(OFFSET(BUDGET!$C$4:$AG$4,MATCH($A16,BUDGET!$B$5:$B$95,0),,,)))</f>
        <v>0</v>
      </c>
      <c r="J16" s="18">
        <f t="shared" ca="1" si="1"/>
        <v>25000</v>
      </c>
    </row>
    <row r="17" spans="1:10">
      <c r="A17" s="45" t="str">
        <f>BUDGET!B31</f>
        <v>Produits  Phytosanitaires</v>
      </c>
      <c r="B17" s="18" cm="1">
        <f t="array" aca="1" ref="B17" ca="1">SUMPRODUCT((MONTH(BUDGET!$C$4:$AG$4)=MONTH(B$5))*(OFFSET(BUDGET!$C$4:$AG$4,MATCH($A17,BUDGET!$B$5:$B$95,0),,,)))</f>
        <v>81500</v>
      </c>
      <c r="C17" s="18" cm="1">
        <f t="array" aca="1" ref="C17" ca="1">SUMPRODUCT((MONTH(BUDGET!$C$4:$AG$4)=MONTH(C$5))*(OFFSET(BUDGET!$C$4:$AG$4,MATCH($A17,BUDGET!$B$5:$B$95,0),,,)))</f>
        <v>0</v>
      </c>
      <c r="D17" s="18" cm="1">
        <f t="array" aca="1" ref="D17" ca="1">SUMPRODUCT((MONTH(BUDGET!$C$4:$AG$4)=MONTH(D$5))*(OFFSET(BUDGET!$C$4:$AG$4,MATCH($A17,BUDGET!$B$5:$B$95,0),,,)))</f>
        <v>0</v>
      </c>
      <c r="E17" s="18" cm="1">
        <f t="array" aca="1" ref="E17" ca="1">SUMPRODUCT((MONTH(BUDGET!$C$4:$AG$4)=MONTH(E$5))*(OFFSET(BUDGET!$C$4:$AG$4,MATCH($A17,BUDGET!$B$5:$B$95,0),,,)))</f>
        <v>0</v>
      </c>
      <c r="F17" s="18" cm="1">
        <f t="array" aca="1" ref="F17" ca="1">SUMPRODUCT((MONTH(BUDGET!$C$4:$AG$4)=MONTH(F$5))*(OFFSET(BUDGET!$C$4:$AG$4,MATCH($A17,BUDGET!$B$5:$B$95,0),,,)))</f>
        <v>0</v>
      </c>
      <c r="G17" s="18" cm="1">
        <f t="array" aca="1" ref="G17" ca="1">SUMPRODUCT((MONTH(BUDGET!$C$4:$AG$4)=MONTH(G$5))*(OFFSET(BUDGET!$C$4:$AG$4,MATCH($A17,BUDGET!$B$5:$B$95,0),,,)))</f>
        <v>0</v>
      </c>
      <c r="H17" s="18" cm="1">
        <f t="array" aca="1" ref="H17" ca="1">SUMPRODUCT((MONTH(BUDGET!$C$4:$AG$4)=MONTH(H$5))*(OFFSET(BUDGET!$C$4:$AG$4,MATCH($A17,BUDGET!$B$5:$B$95,0),,,)))</f>
        <v>0</v>
      </c>
      <c r="I17" s="18" cm="1">
        <f t="array" aca="1" ref="I17" ca="1">SUMPRODUCT((MONTH(BUDGET!$C$4:$AG$4)=MONTH(I$5))*(OFFSET(BUDGET!$C$4:$AG$4,MATCH($A17,BUDGET!$B$5:$B$95,0),,,)))</f>
        <v>0</v>
      </c>
      <c r="J17" s="18">
        <f t="shared" ca="1" si="1"/>
        <v>81500</v>
      </c>
    </row>
    <row r="18" spans="1:10">
      <c r="A18" s="45" t="str">
        <f>BUDGET!B56</f>
        <v>Travaux (MO Occasionnelle)</v>
      </c>
      <c r="B18" s="18" cm="1">
        <f t="array" aca="1" ref="B18" ca="1">SUMPRODUCT((MONTH(BUDGET!$C$4:$AG$4)=MONTH(B$5))*(OFFSET(BUDGET!$C$4:$AG$4,MATCH($A18,BUDGET!$B$5:$B$95,0),,,)))</f>
        <v>30000</v>
      </c>
      <c r="C18" s="18" cm="1">
        <f t="array" aca="1" ref="C18" ca="1">SUMPRODUCT((MONTH(BUDGET!$C$4:$AG$4)=MONTH(C$5))*(OFFSET(BUDGET!$C$4:$AG$4,MATCH($A18,BUDGET!$B$5:$B$95,0),,,)))</f>
        <v>25000</v>
      </c>
      <c r="D18" s="18" cm="1">
        <f t="array" aca="1" ref="D18" ca="1">SUMPRODUCT((MONTH(BUDGET!$C$4:$AG$4)=MONTH(D$5))*(OFFSET(BUDGET!$C$4:$AG$4,MATCH($A18,BUDGET!$B$5:$B$95,0),,,)))</f>
        <v>25000</v>
      </c>
      <c r="E18" s="18" cm="1">
        <f t="array" aca="1" ref="E18" ca="1">SUMPRODUCT((MONTH(BUDGET!$C$4:$AG$4)=MONTH(E$5))*(OFFSET(BUDGET!$C$4:$AG$4,MATCH($A18,BUDGET!$B$5:$B$95,0),,,)))</f>
        <v>15000</v>
      </c>
      <c r="F18" s="18" cm="1">
        <f t="array" aca="1" ref="F18" ca="1">SUMPRODUCT((MONTH(BUDGET!$C$4:$AG$4)=MONTH(F$5))*(OFFSET(BUDGET!$C$4:$AG$4,MATCH($A18,BUDGET!$B$5:$B$95,0),,,)))</f>
        <v>0</v>
      </c>
      <c r="G18" s="18" cm="1">
        <f t="array" aca="1" ref="G18" ca="1">SUMPRODUCT((MONTH(BUDGET!$C$4:$AG$4)=MONTH(G$5))*(OFFSET(BUDGET!$C$4:$AG$4,MATCH($A18,BUDGET!$B$5:$B$95,0),,,)))</f>
        <v>0</v>
      </c>
      <c r="H18" s="18" cm="1">
        <f t="array" aca="1" ref="H18" ca="1">SUMPRODUCT((MONTH(BUDGET!$C$4:$AG$4)=MONTH(H$5))*(OFFSET(BUDGET!$C$4:$AG$4,MATCH($A18,BUDGET!$B$5:$B$95,0),,,)))</f>
        <v>0</v>
      </c>
      <c r="I18" s="18" cm="1">
        <f t="array" aca="1" ref="I18" ca="1">SUMPRODUCT((MONTH(BUDGET!$C$4:$AG$4)=MONTH(I$5))*(OFFSET(BUDGET!$C$4:$AG$4,MATCH($A18,BUDGET!$B$5:$B$95,0),,,)))</f>
        <v>0</v>
      </c>
      <c r="J18" s="18">
        <f t="shared" ca="1" si="1"/>
        <v>95000</v>
      </c>
    </row>
    <row r="19" spans="1:10">
      <c r="A19" s="45" t="str">
        <f>BUDGET!B70</f>
        <v>Carburant &amp;   Maintenance</v>
      </c>
      <c r="B19" s="18" cm="1">
        <f t="array" aca="1" ref="B19" ca="1">SUMPRODUCT((MONTH(BUDGET!$C$4:$AG$4)=MONTH(B$5))*(OFFSET(BUDGET!$C$4:$AG$4,MATCH($A19,BUDGET!$B$5:$B$95,0),,,)))</f>
        <v>0</v>
      </c>
      <c r="C19" s="18" cm="1">
        <f t="array" aca="1" ref="C19" ca="1">SUMPRODUCT((MONTH(BUDGET!$C$4:$AG$4)=MONTH(C$5))*(OFFSET(BUDGET!$C$4:$AG$4,MATCH($A19,BUDGET!$B$5:$B$95,0),,,)))</f>
        <v>0</v>
      </c>
      <c r="D19" s="18" cm="1">
        <f t="array" aca="1" ref="D19" ca="1">SUMPRODUCT((MONTH(BUDGET!$C$4:$AG$4)=MONTH(D$5))*(OFFSET(BUDGET!$C$4:$AG$4,MATCH($A19,BUDGET!$B$5:$B$95,0),,,)))</f>
        <v>0</v>
      </c>
      <c r="E19" s="18" cm="1">
        <f t="array" aca="1" ref="E19" ca="1">SUMPRODUCT((MONTH(BUDGET!$C$4:$AG$4)=MONTH(E$5))*(OFFSET(BUDGET!$C$4:$AG$4,MATCH($A19,BUDGET!$B$5:$B$95,0),,,)))</f>
        <v>0</v>
      </c>
      <c r="F19" s="18" cm="1">
        <f t="array" aca="1" ref="F19" ca="1">SUMPRODUCT((MONTH(BUDGET!$C$4:$AG$4)=MONTH(F$5))*(OFFSET(BUDGET!$C$4:$AG$4,MATCH($A19,BUDGET!$B$5:$B$95,0),,,)))</f>
        <v>0</v>
      </c>
      <c r="G19" s="18" cm="1">
        <f t="array" aca="1" ref="G19" ca="1">SUMPRODUCT((MONTH(BUDGET!$C$4:$AG$4)=MONTH(G$5))*(OFFSET(BUDGET!$C$4:$AG$4,MATCH($A19,BUDGET!$B$5:$B$95,0),,,)))</f>
        <v>0</v>
      </c>
      <c r="H19" s="18" cm="1">
        <f t="array" aca="1" ref="H19" ca="1">SUMPRODUCT((MONTH(BUDGET!$C$4:$AG$4)=MONTH(H$5))*(OFFSET(BUDGET!$C$4:$AG$4,MATCH($A19,BUDGET!$B$5:$B$95,0),,,)))</f>
        <v>0</v>
      </c>
      <c r="I19" s="18" cm="1">
        <f t="array" aca="1" ref="I19" ca="1">SUMPRODUCT((MONTH(BUDGET!$C$4:$AG$4)=MONTH(I$5))*(OFFSET(BUDGET!$C$4:$AG$4,MATCH($A19,BUDGET!$B$5:$B$95,0),,,)))</f>
        <v>0</v>
      </c>
      <c r="J19" s="18">
        <f t="shared" ca="1" si="1"/>
        <v>0</v>
      </c>
    </row>
    <row r="20" spans="1:10">
      <c r="A20" s="45" t="str">
        <f>BUDGET!B73</f>
        <v>Transport</v>
      </c>
      <c r="B20" s="18" cm="1">
        <f t="array" aca="1" ref="B20" ca="1">SUMPRODUCT((MONTH(BUDGET!$C$4:$AG$4)=MONTH(B$5))*(OFFSET(BUDGET!$C$4:$AG$4,MATCH($A20,BUDGET!$B$5:$B$95,0),,,)))</f>
        <v>15000</v>
      </c>
      <c r="C20" s="18" cm="1">
        <f t="array" aca="1" ref="C20" ca="1">SUMPRODUCT((MONTH(BUDGET!$C$4:$AG$4)=MONTH(C$5))*(OFFSET(BUDGET!$C$4:$AG$4,MATCH($A20,BUDGET!$B$5:$B$95,0),,,)))</f>
        <v>12000</v>
      </c>
      <c r="D20" s="18" cm="1">
        <f t="array" aca="1" ref="D20" ca="1">SUMPRODUCT((MONTH(BUDGET!$C$4:$AG$4)=MONTH(D$5))*(OFFSET(BUDGET!$C$4:$AG$4,MATCH($A20,BUDGET!$B$5:$B$95,0),,,)))</f>
        <v>15000</v>
      </c>
      <c r="E20" s="18" cm="1">
        <f t="array" aca="1" ref="E20" ca="1">SUMPRODUCT((MONTH(BUDGET!$C$4:$AG$4)=MONTH(E$5))*(OFFSET(BUDGET!$C$4:$AG$4,MATCH($A20,BUDGET!$B$5:$B$95,0),,,)))</f>
        <v>12000</v>
      </c>
      <c r="F20" s="18" cm="1">
        <f t="array" aca="1" ref="F20" ca="1">SUMPRODUCT((MONTH(BUDGET!$C$4:$AG$4)=MONTH(F$5))*(OFFSET(BUDGET!$C$4:$AG$4,MATCH($A20,BUDGET!$B$5:$B$95,0),,,)))</f>
        <v>12000</v>
      </c>
      <c r="G20" s="18" cm="1">
        <f t="array" aca="1" ref="G20" ca="1">SUMPRODUCT((MONTH(BUDGET!$C$4:$AG$4)=MONTH(G$5))*(OFFSET(BUDGET!$C$4:$AG$4,MATCH($A20,BUDGET!$B$5:$B$95,0),,,)))</f>
        <v>12000</v>
      </c>
      <c r="H20" s="18" cm="1">
        <f t="array" aca="1" ref="H20" ca="1">SUMPRODUCT((MONTH(BUDGET!$C$4:$AG$4)=MONTH(H$5))*(OFFSET(BUDGET!$C$4:$AG$4,MATCH($A20,BUDGET!$B$5:$B$95,0),,,)))</f>
        <v>12000</v>
      </c>
      <c r="I20" s="18" cm="1">
        <f t="array" aca="1" ref="I20" ca="1">SUMPRODUCT((MONTH(BUDGET!$C$4:$AG$4)=MONTH(I$5))*(OFFSET(BUDGET!$C$4:$AG$4,MATCH($A20,BUDGET!$B$5:$B$95,0),,,)))</f>
        <v>0</v>
      </c>
      <c r="J20" s="18">
        <f ca="1">SUM(B20:I20)</f>
        <v>90000</v>
      </c>
    </row>
    <row r="21" spans="1:10">
      <c r="A21" s="45" t="str">
        <f>BUDGET!B77</f>
        <v>Salaires</v>
      </c>
      <c r="B21" s="18" cm="1">
        <f t="array" aca="1" ref="B21" ca="1">SUMPRODUCT((MONTH(BUDGET!$C$4:$AG$4)=MONTH(B$5))*(OFFSET(BUDGET!$C$4:$AG$4,MATCH($A21,BUDGET!$B$5:$B$95,0),,,)))</f>
        <v>0</v>
      </c>
      <c r="C21" s="18" cm="1">
        <f t="array" aca="1" ref="C21" ca="1">SUMPRODUCT((MONTH(BUDGET!$C$4:$AG$4)=MONTH(C$5))*(OFFSET(BUDGET!$C$4:$AG$4,MATCH($A21,BUDGET!$B$5:$B$95,0),,,)))</f>
        <v>0</v>
      </c>
      <c r="D21" s="18" cm="1">
        <f t="array" aca="1" ref="D21" ca="1">SUMPRODUCT((MONTH(BUDGET!$C$4:$AG$4)=MONTH(D$5))*(OFFSET(BUDGET!$C$4:$AG$4,MATCH($A21,BUDGET!$B$5:$B$95,0),,,)))</f>
        <v>0</v>
      </c>
      <c r="E21" s="18" cm="1">
        <f t="array" aca="1" ref="E21" ca="1">SUMPRODUCT((MONTH(BUDGET!$C$4:$AG$4)=MONTH(E$5))*(OFFSET(BUDGET!$C$4:$AG$4,MATCH($A21,BUDGET!$B$5:$B$95,0),,,)))</f>
        <v>50000</v>
      </c>
      <c r="F21" s="18" cm="1">
        <f t="array" aca="1" ref="F21" ca="1">SUMPRODUCT((MONTH(BUDGET!$C$4:$AG$4)=MONTH(F$5))*(OFFSET(BUDGET!$C$4:$AG$4,MATCH($A21,BUDGET!$B$5:$B$95,0),,,)))</f>
        <v>50000</v>
      </c>
      <c r="G21" s="18" cm="1">
        <f t="array" aca="1" ref="G21" ca="1">SUMPRODUCT((MONTH(BUDGET!$C$4:$AG$4)=MONTH(G$5))*(OFFSET(BUDGET!$C$4:$AG$4,MATCH($A21,BUDGET!$B$5:$B$95,0),,,)))</f>
        <v>50000</v>
      </c>
      <c r="H21" s="18" cm="1">
        <f t="array" aca="1" ref="H21" ca="1">SUMPRODUCT((MONTH(BUDGET!$C$4:$AG$4)=MONTH(H$5))*(OFFSET(BUDGET!$C$4:$AG$4,MATCH($A21,BUDGET!$B$5:$B$95,0),,,)))</f>
        <v>50000</v>
      </c>
      <c r="I21" s="18" cm="1">
        <f t="array" aca="1" ref="I21" ca="1">SUMPRODUCT((MONTH(BUDGET!$C$4:$AG$4)=MONTH(I$5))*(OFFSET(BUDGET!$C$4:$AG$4,MATCH($A21,BUDGET!$B$5:$B$95,0),,,)))</f>
        <v>0</v>
      </c>
      <c r="J21" s="18">
        <f t="shared" ref="J21:J36" ca="1" si="3">SUM(B21:I21)</f>
        <v>200000</v>
      </c>
    </row>
    <row r="22" spans="1:10">
      <c r="A22" s="45" t="str">
        <f>BUDGET!B78</f>
        <v>Frais Bancaires</v>
      </c>
      <c r="B22" s="18" cm="1">
        <f t="array" aca="1" ref="B22" ca="1">SUMPRODUCT((MONTH(BUDGET!$C$4:$AG$4)=MONTH(B$5))*(OFFSET(BUDGET!$C$4:$AG$4,MATCH($A22,BUDGET!$B$5:$B$95,0),,,)))</f>
        <v>0</v>
      </c>
      <c r="C22" s="18" cm="1">
        <f t="array" aca="1" ref="C22" ca="1">SUMPRODUCT((MONTH(BUDGET!$C$4:$AG$4)=MONTH(C$5))*(OFFSET(BUDGET!$C$4:$AG$4,MATCH($A22,BUDGET!$B$5:$B$95,0),,,)))</f>
        <v>0</v>
      </c>
      <c r="D22" s="18" cm="1">
        <f t="array" aca="1" ref="D22" ca="1">SUMPRODUCT((MONTH(BUDGET!$C$4:$AG$4)=MONTH(D$5))*(OFFSET(BUDGET!$C$4:$AG$4,MATCH($A22,BUDGET!$B$5:$B$95,0),,,)))</f>
        <v>0</v>
      </c>
      <c r="E22" s="18" cm="1">
        <f t="array" aca="1" ref="E22" ca="1">SUMPRODUCT((MONTH(BUDGET!$C$4:$AG$4)=MONTH(E$5))*(OFFSET(BUDGET!$C$4:$AG$4,MATCH($A22,BUDGET!$B$5:$B$95,0),,,)))</f>
        <v>25000</v>
      </c>
      <c r="F22" s="18" cm="1">
        <f t="array" aca="1" ref="F22" ca="1">SUMPRODUCT((MONTH(BUDGET!$C$4:$AG$4)=MONTH(F$5))*(OFFSET(BUDGET!$C$4:$AG$4,MATCH($A22,BUDGET!$B$5:$B$95,0),,,)))</f>
        <v>500</v>
      </c>
      <c r="G22" s="18" cm="1">
        <f t="array" aca="1" ref="G22" ca="1">SUMPRODUCT((MONTH(BUDGET!$C$4:$AG$4)=MONTH(G$5))*(OFFSET(BUDGET!$C$4:$AG$4,MATCH($A22,BUDGET!$B$5:$B$95,0),,,)))</f>
        <v>500</v>
      </c>
      <c r="H22" s="18" cm="1">
        <f t="array" aca="1" ref="H22" ca="1">SUMPRODUCT((MONTH(BUDGET!$C$4:$AG$4)=MONTH(H$5))*(OFFSET(BUDGET!$C$4:$AG$4,MATCH($A22,BUDGET!$B$5:$B$95,0),,,)))</f>
        <v>500</v>
      </c>
      <c r="I22" s="18" cm="1">
        <f t="array" aca="1" ref="I22" ca="1">SUMPRODUCT((MONTH(BUDGET!$C$4:$AG$4)=MONTH(I$5))*(OFFSET(BUDGET!$C$4:$AG$4,MATCH($A22,BUDGET!$B$5:$B$95,0),,,)))</f>
        <v>0</v>
      </c>
      <c r="J22" s="18">
        <f t="shared" ca="1" si="3"/>
        <v>26500</v>
      </c>
    </row>
    <row r="23" spans="1:10">
      <c r="A23" s="1" t="s">
        <v>194</v>
      </c>
      <c r="B23" s="21">
        <f ca="1">SUM(B11:B20)</f>
        <v>219500</v>
      </c>
      <c r="C23" s="21">
        <f t="shared" ref="C23:I23" ca="1" si="4">SUM(C11:C20)</f>
        <v>37000</v>
      </c>
      <c r="D23" s="21">
        <f t="shared" ca="1" si="4"/>
        <v>41315.476190476191</v>
      </c>
      <c r="E23" s="21">
        <f t="shared" ca="1" si="4"/>
        <v>94630.952380952382</v>
      </c>
      <c r="F23" s="21">
        <f t="shared" ca="1" si="4"/>
        <v>17889.285714285714</v>
      </c>
      <c r="G23" s="21">
        <f t="shared" ca="1" si="4"/>
        <v>15916.071428571429</v>
      </c>
      <c r="H23" s="21">
        <f t="shared" ca="1" si="4"/>
        <v>15258.333333333334</v>
      </c>
      <c r="I23" s="21">
        <f t="shared" ca="1" si="4"/>
        <v>0</v>
      </c>
      <c r="J23" s="21">
        <f t="shared" ca="1" si="3"/>
        <v>441510.11904761905</v>
      </c>
    </row>
    <row r="24" spans="1:10">
      <c r="A24" s="1" t="s">
        <v>64</v>
      </c>
      <c r="B24" s="98">
        <f ca="1">B9-B23</f>
        <v>-219500</v>
      </c>
      <c r="C24" s="98">
        <f t="shared" ref="C24:I24" ca="1" si="5">C9-C23</f>
        <v>-37000</v>
      </c>
      <c r="D24" s="98">
        <f t="shared" ca="1" si="5"/>
        <v>-11717.261904761905</v>
      </c>
      <c r="E24" s="98">
        <f t="shared" ca="1" si="5"/>
        <v>-35434.523809523809</v>
      </c>
      <c r="F24" s="98">
        <f t="shared" ca="1" si="5"/>
        <v>204223.80952380956</v>
      </c>
      <c r="G24" s="98">
        <f t="shared" ca="1" si="5"/>
        <v>176598.80952380956</v>
      </c>
      <c r="H24" s="98">
        <f t="shared" ca="1" si="5"/>
        <v>147658.33333333334</v>
      </c>
      <c r="I24" s="98">
        <f t="shared" ca="1" si="5"/>
        <v>0</v>
      </c>
      <c r="J24" s="18"/>
    </row>
    <row r="25" spans="1:10">
      <c r="A25" s="1" t="s">
        <v>86</v>
      </c>
      <c r="J25" s="18">
        <f t="shared" si="3"/>
        <v>0</v>
      </c>
    </row>
    <row r="26" spans="1:10">
      <c r="A26" t="str">
        <f>'Plan de financement'!A16</f>
        <v>CAF</v>
      </c>
      <c r="B26" s="18" cm="1">
        <f t="array" aca="1" ref="B26" ca="1">SUMPRODUCT((MONTH(BUDGET!$C$4:$AG$4)=MONTH(B$5))*(OFFSET(BUDGET!$C$4:$AG$4,MATCH($A26,BUDGET!$B$5:$B$95,0),,,)))</f>
        <v>0</v>
      </c>
      <c r="C26" s="18" cm="1">
        <f t="array" aca="1" ref="C26" ca="1">SUMPRODUCT((MONTH(BUDGET!$C$4:$AG$4)=MONTH(C$5))*(OFFSET(BUDGET!$C$4:$AG$4,MATCH($A26,BUDGET!$B$5:$B$95,0),,,)))</f>
        <v>0</v>
      </c>
      <c r="D26" s="18" cm="1">
        <f t="array" aca="1" ref="D26" ca="1">SUMPRODUCT((MONTH(BUDGET!$C$4:$AG$4)=MONTH(D$5))*(OFFSET(BUDGET!$C$4:$AG$4,MATCH($A26,BUDGET!$B$5:$B$95,0),,,)))</f>
        <v>0</v>
      </c>
      <c r="E26" s="18" cm="1">
        <f t="array" aca="1" ref="E26" ca="1">SUMPRODUCT((MONTH(BUDGET!$C$4:$AG$4)=MONTH(E$5))*(OFFSET(BUDGET!$C$4:$AG$4,MATCH($A26,BUDGET!$B$5:$B$95,0),,,)))</f>
        <v>0</v>
      </c>
      <c r="F26" s="18" cm="1">
        <f t="array" aca="1" ref="F26" ca="1">SUMPRODUCT((MONTH(BUDGET!$C$4:$AG$4)=MONTH(F$5))*(OFFSET(BUDGET!$C$4:$AG$4,MATCH($A26,BUDGET!$B$5:$B$95,0),,,)))</f>
        <v>0</v>
      </c>
      <c r="G26" s="18" cm="1">
        <f t="array" aca="1" ref="G26" ca="1">SUMPRODUCT((MONTH(BUDGET!$C$4:$AG$4)=MONTH(G$5))*(OFFSET(BUDGET!$C$4:$AG$4,MATCH($A26,BUDGET!$B$5:$B$95,0),,,)))</f>
        <v>0</v>
      </c>
      <c r="H26" s="18" cm="1">
        <f t="array" aca="1" ref="H26" ca="1">SUMPRODUCT((MONTH(BUDGET!$C$4:$AG$4)=MONTH(H$5))*(OFFSET(BUDGET!$C$4:$AG$4,MATCH($A26,BUDGET!$B$5:$B$95,0),,,)))</f>
        <v>0</v>
      </c>
      <c r="I26" s="18" cm="1">
        <f t="array" aca="1" ref="I26" ca="1">SUMPRODUCT((MONTH(BUDGET!$C$4:$AG$4)=MONTH(I$5))*(OFFSET(BUDGET!$C$4:$AG$4,MATCH($A26,BUDGET!$B$5:$B$95,0),,,)))</f>
        <v>0</v>
      </c>
      <c r="J26" s="18">
        <f t="shared" ca="1" si="3"/>
        <v>0</v>
      </c>
    </row>
    <row r="27" spans="1:10">
      <c r="A27" t="str">
        <f>'Plan de financement'!A17</f>
        <v>Apport Personnel</v>
      </c>
      <c r="B27" s="18" t="e" cm="1">
        <f t="array" aca="1" ref="B27" ca="1">SUMPRODUCT((MONTH(BUDGET!$C$4:$AG$4)=MONTH(B$5))*(OFFSET(BUDGET!$C$4:$AG$4,MATCH($A27,BUDGET!$B$5:$B$95,0),,,)))</f>
        <v>#REF!</v>
      </c>
      <c r="C27" s="18" t="e" cm="1">
        <f t="array" aca="1" ref="C27" ca="1">SUMPRODUCT((MONTH(BUDGET!$C$4:$AG$4)=MONTH(C$5))*(OFFSET(BUDGET!$C$4:$AG$4,MATCH($A27,BUDGET!$B$5:$B$95,0),,,)))</f>
        <v>#REF!</v>
      </c>
      <c r="D27" s="18" t="e" cm="1">
        <f t="array" aca="1" ref="D27" ca="1">SUMPRODUCT((MONTH(BUDGET!$C$4:$AG$4)=MONTH(D$5))*(OFFSET(BUDGET!$C$4:$AG$4,MATCH($A27,BUDGET!$B$5:$B$95,0),,,)))</f>
        <v>#REF!</v>
      </c>
      <c r="E27" s="18" t="e" cm="1">
        <f t="array" aca="1" ref="E27" ca="1">SUMPRODUCT((MONTH(BUDGET!$C$4:$AG$4)=MONTH(E$5))*(OFFSET(BUDGET!$C$4:$AG$4,MATCH($A27,BUDGET!$B$5:$B$95,0),,,)))</f>
        <v>#REF!</v>
      </c>
      <c r="F27" s="18" t="e" cm="1">
        <f t="array" aca="1" ref="F27" ca="1">SUMPRODUCT((MONTH(BUDGET!$C$4:$AG$4)=MONTH(F$5))*(OFFSET(BUDGET!$C$4:$AG$4,MATCH($A27,BUDGET!$B$5:$B$95,0),,,)))</f>
        <v>#REF!</v>
      </c>
      <c r="G27" s="18" t="e" cm="1">
        <f t="array" aca="1" ref="G27" ca="1">SUMPRODUCT((MONTH(BUDGET!$C$4:$AG$4)=MONTH(G$5))*(OFFSET(BUDGET!$C$4:$AG$4,MATCH($A27,BUDGET!$B$5:$B$95,0),,,)))</f>
        <v>#REF!</v>
      </c>
      <c r="H27" s="18" t="e" cm="1">
        <f t="array" aca="1" ref="H27" ca="1">SUMPRODUCT((MONTH(BUDGET!$C$4:$AG$4)=MONTH(H$5))*(OFFSET(BUDGET!$C$4:$AG$4,MATCH($A27,BUDGET!$B$5:$B$95,0),,,)))</f>
        <v>#REF!</v>
      </c>
      <c r="I27" s="18" t="e" cm="1">
        <f t="array" aca="1" ref="I27" ca="1">SUMPRODUCT((MONTH(BUDGET!$C$4:$AG$4)=MONTH(I$5))*(OFFSET(BUDGET!$C$4:$AG$4,MATCH($A27,BUDGET!$B$5:$B$95,0),,,)))</f>
        <v>#REF!</v>
      </c>
      <c r="J27" s="18" t="e">
        <f t="shared" ca="1" si="3"/>
        <v>#REF!</v>
      </c>
    </row>
    <row r="28" spans="1:10">
      <c r="A28" t="str">
        <f>'Plan de financement'!A18</f>
        <v>Subventions / Emprunt</v>
      </c>
      <c r="B28" s="18"/>
      <c r="C28" s="18" t="e" cm="1">
        <f t="array" aca="1" ref="C28" ca="1">SUMPRODUCT((MONTH(BUDGET!$C$4:$AG$4)=MONTH(C$5))*(OFFSET(BUDGET!$C$4:$AG$4,MATCH($A28,BUDGET!$B$5:$B$95,0),,,)))</f>
        <v>#REF!</v>
      </c>
      <c r="D28" s="18" t="e" cm="1">
        <f t="array" aca="1" ref="D28" ca="1">SUMPRODUCT((MONTH(BUDGET!$C$4:$AG$4)=MONTH(D$5))*(OFFSET(BUDGET!$C$4:$AG$4,MATCH($A28,BUDGET!$B$5:$B$95,0),,,)))</f>
        <v>#REF!</v>
      </c>
      <c r="E28" s="18" t="e" cm="1">
        <f t="array" aca="1" ref="E28" ca="1">SUMPRODUCT((MONTH(BUDGET!$C$4:$AG$4)=MONTH(E$5))*(OFFSET(BUDGET!$C$4:$AG$4,MATCH($A28,BUDGET!$B$5:$B$95,0),,,)))</f>
        <v>#REF!</v>
      </c>
      <c r="F28" s="18" t="e" cm="1">
        <f t="array" aca="1" ref="F28" ca="1">SUMPRODUCT((MONTH(BUDGET!$C$4:$AG$4)=MONTH(F$5))*(OFFSET(BUDGET!$C$4:$AG$4,MATCH($A28,BUDGET!$B$5:$B$95,0),,,)))</f>
        <v>#REF!</v>
      </c>
      <c r="G28" s="18" t="e" cm="1">
        <f t="array" aca="1" ref="G28" ca="1">SUMPRODUCT((MONTH(BUDGET!$C$4:$AG$4)=MONTH(G$5))*(OFFSET(BUDGET!$C$4:$AG$4,MATCH($A28,BUDGET!$B$5:$B$95,0),,,)))</f>
        <v>#REF!</v>
      </c>
      <c r="H28" s="18" t="e" cm="1">
        <f t="array" aca="1" ref="H28" ca="1">SUMPRODUCT((MONTH(BUDGET!$C$4:$AG$4)=MONTH(H$5))*(OFFSET(BUDGET!$C$4:$AG$4,MATCH($A28,BUDGET!$B$5:$B$95,0),,,)))</f>
        <v>#REF!</v>
      </c>
      <c r="I28" s="18" t="e" cm="1">
        <f t="array" aca="1" ref="I28" ca="1">SUMPRODUCT((MONTH(BUDGET!$C$4:$AG$4)=MONTH(I$5))*(OFFSET(BUDGET!$C$4:$AG$4,MATCH($A28,BUDGET!$B$5:$B$95,0),,,)))</f>
        <v>#REF!</v>
      </c>
      <c r="J28" s="18" t="e">
        <f t="shared" ca="1" si="3"/>
        <v>#REF!</v>
      </c>
    </row>
    <row r="29" spans="1:10">
      <c r="A29" s="1" t="s">
        <v>87</v>
      </c>
      <c r="B29" s="21" t="e">
        <f ca="1">SUM(B26:B28)</f>
        <v>#REF!</v>
      </c>
      <c r="C29" s="21" t="e">
        <f t="shared" ref="C29:I29" ca="1" si="6">SUM(C26:C28)</f>
        <v>#REF!</v>
      </c>
      <c r="D29" s="21" t="e">
        <f t="shared" ca="1" si="6"/>
        <v>#REF!</v>
      </c>
      <c r="E29" s="21" t="e">
        <f t="shared" ca="1" si="6"/>
        <v>#REF!</v>
      </c>
      <c r="F29" s="21" t="e">
        <f t="shared" ca="1" si="6"/>
        <v>#REF!</v>
      </c>
      <c r="G29" s="21" t="e">
        <f t="shared" ca="1" si="6"/>
        <v>#REF!</v>
      </c>
      <c r="H29" s="21" t="e">
        <f t="shared" ca="1" si="6"/>
        <v>#REF!</v>
      </c>
      <c r="I29" s="21" t="e">
        <f t="shared" ca="1" si="6"/>
        <v>#REF!</v>
      </c>
      <c r="J29" s="18" t="e">
        <f t="shared" ca="1" si="3"/>
        <v>#REF!</v>
      </c>
    </row>
    <row r="30" spans="1:10">
      <c r="A30" s="1" t="s">
        <v>231</v>
      </c>
      <c r="B30" s="18" cm="1">
        <f t="array" aca="1" ref="B30" ca="1">SUMPRODUCT((MONTH(BUDGET!$C$4:$AG$4)=MONTH(B$5))*(OFFSET(BUDGET!$C$4:$AG$4,MATCH($A30,BUDGET!$B$5:$B$95,0),,,)))</f>
        <v>0</v>
      </c>
      <c r="J30" s="18">
        <f t="shared" ca="1" si="3"/>
        <v>0</v>
      </c>
    </row>
    <row r="31" spans="1:10">
      <c r="A31" s="45" t="str">
        <f>Investissement!A6</f>
        <v>Immobilisations corporelles</v>
      </c>
      <c r="B31" s="18" cm="1">
        <f t="array" aca="1" ref="B31" ca="1">SUMPRODUCT((MONTH(BUDGET!$C$4:$AG$4)=MONTH(B$5))*(OFFSET(BUDGET!$C$4:$AG$4,MATCH($A31,BUDGET!$B$5:$B$95,0),,,)))</f>
        <v>0</v>
      </c>
      <c r="C31" s="18" cm="1">
        <f t="array" aca="1" ref="C31" ca="1">SUMPRODUCT((MONTH(BUDGET!$C$4:$AG$4)=MONTH(C$5))*(OFFSET(BUDGET!$C$4:$AG$4,MATCH($A31,BUDGET!$B$5:$B$95,0),,,)))</f>
        <v>0</v>
      </c>
      <c r="D31" s="18" cm="1">
        <f t="array" aca="1" ref="D31" ca="1">SUMPRODUCT((MONTH(BUDGET!$C$4:$AG$4)=MONTH(D$5))*(OFFSET(BUDGET!$C$4:$AG$4,MATCH($A31,BUDGET!$B$5:$B$95,0),,,)))</f>
        <v>60000</v>
      </c>
      <c r="E31" s="18" cm="1">
        <f t="array" aca="1" ref="E31" ca="1">SUMPRODUCT((MONTH(BUDGET!$C$4:$AG$4)=MONTH(E$5))*(OFFSET(BUDGET!$C$4:$AG$4,MATCH($A31,BUDGET!$B$5:$B$95,0),,,)))</f>
        <v>190000</v>
      </c>
      <c r="F31" s="18" cm="1">
        <f t="array" aca="1" ref="F31" ca="1">SUMPRODUCT((MONTH(BUDGET!$C$4:$AG$4)=MONTH(F$5))*(OFFSET(BUDGET!$C$4:$AG$4,MATCH($A31,BUDGET!$B$5:$B$95,0),,,)))</f>
        <v>0</v>
      </c>
      <c r="G31" s="18" cm="1">
        <f t="array" aca="1" ref="G31" ca="1">SUMPRODUCT((MONTH(BUDGET!$C$4:$AG$4)=MONTH(G$5))*(OFFSET(BUDGET!$C$4:$AG$4,MATCH($A31,BUDGET!$B$5:$B$95,0),,,)))</f>
        <v>0</v>
      </c>
      <c r="H31" s="18" cm="1">
        <f t="array" aca="1" ref="H31" ca="1">SUMPRODUCT((MONTH(BUDGET!$C$4:$AG$4)=MONTH(H$5))*(OFFSET(BUDGET!$C$4:$AG$4,MATCH($A31,BUDGET!$B$5:$B$95,0),,,)))</f>
        <v>0</v>
      </c>
      <c r="I31" s="18" cm="1">
        <f t="array" aca="1" ref="I31" ca="1">SUMPRODUCT((MONTH(BUDGET!$C$4:$AG$4)=MONTH(I$5))*(OFFSET(BUDGET!$C$4:$AG$4,MATCH($A31,BUDGET!$B$5:$B$95,0),,,)))</f>
        <v>0</v>
      </c>
      <c r="J31" s="21">
        <f t="shared" ca="1" si="3"/>
        <v>250000</v>
      </c>
    </row>
    <row r="32" spans="1:10">
      <c r="A32" s="1" t="s">
        <v>232</v>
      </c>
      <c r="B32" s="21">
        <f ca="1">SUM(B31)</f>
        <v>0</v>
      </c>
      <c r="C32" s="21">
        <f t="shared" ref="C32:I32" ca="1" si="7">SUM(C31)</f>
        <v>0</v>
      </c>
      <c r="D32" s="21">
        <f t="shared" ca="1" si="7"/>
        <v>60000</v>
      </c>
      <c r="E32" s="21">
        <f t="shared" ca="1" si="7"/>
        <v>190000</v>
      </c>
      <c r="F32" s="21">
        <f t="shared" ca="1" si="7"/>
        <v>0</v>
      </c>
      <c r="G32" s="21">
        <f t="shared" ca="1" si="7"/>
        <v>0</v>
      </c>
      <c r="H32" s="21">
        <f t="shared" ca="1" si="7"/>
        <v>0</v>
      </c>
      <c r="I32" s="21">
        <f t="shared" ca="1" si="7"/>
        <v>0</v>
      </c>
      <c r="J32" s="21">
        <f t="shared" ca="1" si="3"/>
        <v>250000</v>
      </c>
    </row>
    <row r="33" spans="1:10">
      <c r="A33" s="1" t="s">
        <v>89</v>
      </c>
      <c r="B33" s="21" t="e">
        <f ca="1">B29-B32</f>
        <v>#REF!</v>
      </c>
      <c r="C33" s="21" t="e">
        <f t="shared" ref="C33:I33" ca="1" si="8">C29-C32</f>
        <v>#REF!</v>
      </c>
      <c r="D33" s="21" t="e">
        <f t="shared" ca="1" si="8"/>
        <v>#REF!</v>
      </c>
      <c r="E33" s="21" t="e">
        <f t="shared" ca="1" si="8"/>
        <v>#REF!</v>
      </c>
      <c r="F33" s="21" t="e">
        <f t="shared" ca="1" si="8"/>
        <v>#REF!</v>
      </c>
      <c r="G33" s="21" t="e">
        <f t="shared" ca="1" si="8"/>
        <v>#REF!</v>
      </c>
      <c r="H33" s="21" t="e">
        <f t="shared" ca="1" si="8"/>
        <v>#REF!</v>
      </c>
      <c r="I33" s="21" t="e">
        <f t="shared" ca="1" si="8"/>
        <v>#REF!</v>
      </c>
      <c r="J33" s="21" t="e">
        <f t="shared" ca="1" si="3"/>
        <v>#REF!</v>
      </c>
    </row>
    <row r="34" spans="1:10">
      <c r="A34" s="1" t="s">
        <v>233</v>
      </c>
      <c r="B34" s="98" t="e">
        <f ca="1">B24+B33</f>
        <v>#REF!</v>
      </c>
      <c r="C34" s="98" t="e">
        <f t="shared" ref="C34:I34" ca="1" si="9">C24+C33</f>
        <v>#REF!</v>
      </c>
      <c r="D34" s="98" t="e">
        <f t="shared" ca="1" si="9"/>
        <v>#REF!</v>
      </c>
      <c r="E34" s="98" t="e">
        <f t="shared" ca="1" si="9"/>
        <v>#REF!</v>
      </c>
      <c r="F34" s="98" t="e">
        <f t="shared" ca="1" si="9"/>
        <v>#REF!</v>
      </c>
      <c r="G34" s="98" t="e">
        <f t="shared" ca="1" si="9"/>
        <v>#REF!</v>
      </c>
      <c r="H34" s="98" t="e">
        <f t="shared" ca="1" si="9"/>
        <v>#REF!</v>
      </c>
      <c r="I34" s="98" t="e">
        <f t="shared" ca="1" si="9"/>
        <v>#REF!</v>
      </c>
      <c r="J34" s="21" t="e">
        <f ca="1">SUM(B34:I34)</f>
        <v>#REF!</v>
      </c>
    </row>
    <row r="35" spans="1:10">
      <c r="A35" s="1" t="s">
        <v>234</v>
      </c>
      <c r="B35" s="1"/>
      <c r="C35" s="98" t="e">
        <f ca="1">B36</f>
        <v>#REF!</v>
      </c>
      <c r="D35" s="98" t="e">
        <f t="shared" ref="D35:I35" ca="1" si="10">C36</f>
        <v>#REF!</v>
      </c>
      <c r="E35" s="98" t="e">
        <f t="shared" ca="1" si="10"/>
        <v>#REF!</v>
      </c>
      <c r="F35" s="98" t="e">
        <f t="shared" ca="1" si="10"/>
        <v>#REF!</v>
      </c>
      <c r="G35" s="98" t="e">
        <f t="shared" ca="1" si="10"/>
        <v>#REF!</v>
      </c>
      <c r="H35" s="98" t="e">
        <f t="shared" ca="1" si="10"/>
        <v>#REF!</v>
      </c>
      <c r="I35" s="98" t="e">
        <f t="shared" ca="1" si="10"/>
        <v>#REF!</v>
      </c>
      <c r="J35" s="18"/>
    </row>
    <row r="36" spans="1:10">
      <c r="A36" s="1" t="s">
        <v>235</v>
      </c>
      <c r="B36" s="98" t="e">
        <f ca="1">B35+B34</f>
        <v>#REF!</v>
      </c>
      <c r="C36" s="98" t="e">
        <f t="shared" ref="C36:I36" ca="1" si="11">C35+C34</f>
        <v>#REF!</v>
      </c>
      <c r="D36" s="98" t="e">
        <f ca="1">D35+D34</f>
        <v>#REF!</v>
      </c>
      <c r="E36" s="98" t="e">
        <f t="shared" ca="1" si="11"/>
        <v>#REF!</v>
      </c>
      <c r="F36" s="98" t="e">
        <f t="shared" ca="1" si="11"/>
        <v>#REF!</v>
      </c>
      <c r="G36" s="98" t="e">
        <f t="shared" ca="1" si="11"/>
        <v>#REF!</v>
      </c>
      <c r="H36" s="98" t="e">
        <f t="shared" ca="1" si="11"/>
        <v>#REF!</v>
      </c>
      <c r="I36" s="98" t="e">
        <f t="shared" ca="1" si="11"/>
        <v>#REF!</v>
      </c>
      <c r="J36" s="1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ED8293-24AA-4B4A-9048-8D1382E9D1F9}">
  <dimension ref="A1:E26"/>
  <sheetViews>
    <sheetView topLeftCell="A6" zoomScaleNormal="60" zoomScaleSheetLayoutView="100" workbookViewId="0">
      <selection activeCell="C24" sqref="C24"/>
    </sheetView>
  </sheetViews>
  <sheetFormatPr defaultRowHeight="15"/>
  <cols>
    <col min="1" max="1" width="33.8984375" bestFit="1" customWidth="1"/>
    <col min="2" max="2" width="9.68359375" style="18" bestFit="1" customWidth="1"/>
    <col min="3" max="3" width="8.609375" style="18"/>
    <col min="4" max="4" width="8.609375" style="21"/>
    <col min="5" max="5" width="9.68359375" bestFit="1" customWidth="1"/>
  </cols>
  <sheetData>
    <row r="1" spans="1:5">
      <c r="A1" t="s">
        <v>105</v>
      </c>
    </row>
    <row r="3" spans="1:5">
      <c r="B3" s="138">
        <f>YEAR('Trésorerie Prévisionnel'!B5)</f>
        <v>2020</v>
      </c>
      <c r="C3" s="138">
        <f>B3+1</f>
        <v>2021</v>
      </c>
      <c r="D3" s="21" t="s">
        <v>5</v>
      </c>
    </row>
    <row r="4" spans="1:5">
      <c r="A4" s="1" t="s">
        <v>106</v>
      </c>
      <c r="B4" s="21">
        <f ca="1">SUBTOTAL(9,B5:B6)</f>
        <v>29598.214285714286</v>
      </c>
      <c r="C4" s="21">
        <f ca="1">SUBTOTAL(9,C5:C6)</f>
        <v>636741.07142857148</v>
      </c>
    </row>
    <row r="5" spans="1:5">
      <c r="A5" s="45" t="str">
        <f>'Trésorerie Prévisionnel'!A7</f>
        <v>Ventes Aubergine</v>
      </c>
      <c r="B5" s="18" cm="1">
        <f t="array" aca="1" ref="B5" ca="1">SUMPRODUCT((YEAR('Trésorerie Prévisionnel'!$B$5:$I$5)=B$3)*(OFFSET('Trésorerie Prévisionnel'!$B$5,MATCH($A5,'Trésorerie Prévisionnel'!$A$6:$A$36,0),,,8)))</f>
        <v>29598.214285714286</v>
      </c>
      <c r="C5" s="18" cm="1">
        <f t="array" aca="1" ref="C5" ca="1">SUMPRODUCT((YEAR('Trésorerie Prévisionnel'!$B$5:$I$5)=C$3)*(OFFSET('Trésorerie Prévisionnel'!$B$5,MATCH($A5,'Trésorerie Prévisionnel'!$A$6:$A$36,0),,,8)))</f>
        <v>147991.07142857142</v>
      </c>
      <c r="D5" s="21">
        <f ca="1">SUM(B5:C5)</f>
        <v>177589.28571428571</v>
      </c>
      <c r="E5" s="18">
        <f ca="1">'Trésorerie Prévisionnel'!J7-D5</f>
        <v>0</v>
      </c>
    </row>
    <row r="6" spans="1:5">
      <c r="A6" s="45" t="str">
        <f>'Trésorerie Prévisionnel'!A8</f>
        <v>Ventes Piment</v>
      </c>
      <c r="B6" s="18" cm="1">
        <f t="array" aca="1" ref="B6" ca="1">SUMPRODUCT((YEAR('Trésorerie Prévisionnel'!$B$5:$I$5)=B$3)*(OFFSET('Trésorerie Prévisionnel'!$B$5,MATCH($A6,'Trésorerie Prévisionnel'!$A$6:$A$36,0),,,8)))</f>
        <v>0</v>
      </c>
      <c r="C6" s="18" cm="1">
        <f t="array" aca="1" ref="C6" ca="1">SUMPRODUCT((YEAR('Trésorerie Prévisionnel'!$B$5:$I$5)=C$3)*(OFFSET('Trésorerie Prévisionnel'!$B$5,MATCH($A6,'Trésorerie Prévisionnel'!$A$6:$A$36,0),,,8)))</f>
        <v>488750.00000000006</v>
      </c>
      <c r="D6" s="21">
        <f t="shared" ref="D6:D26" ca="1" si="0">SUM(B6:C6)</f>
        <v>488750.00000000006</v>
      </c>
      <c r="E6" s="18">
        <f ca="1">'Trésorerie Prévisionnel'!J8-D6</f>
        <v>0</v>
      </c>
    </row>
    <row r="7" spans="1:5">
      <c r="A7" s="1" t="s">
        <v>107</v>
      </c>
      <c r="B7" s="21">
        <f ca="1">SUBTOTAL(9,B8:B19)</f>
        <v>297815.47619047621</v>
      </c>
      <c r="C7" s="21">
        <f ca="1">SUBTOTAL(9,C8:C19)</f>
        <v>370194.64285714284</v>
      </c>
    </row>
    <row r="8" spans="1:5">
      <c r="A8" s="45" t="str">
        <f>'Trésorerie Prévisionnel'!A11</f>
        <v>Location de Terrain</v>
      </c>
      <c r="B8" s="18" cm="1">
        <f t="array" aca="1" ref="B8" ca="1">SUMPRODUCT((YEAR('Trésorerie Prévisionnel'!$B$5:$I$5)=B$3)*(OFFSET('Trésorerie Prévisionnel'!$B$5,MATCH($A8,'Trésorerie Prévisionnel'!$A$6:$A$36,0),,,8)))</f>
        <v>20000</v>
      </c>
      <c r="C8" s="18" cm="1">
        <f t="array" aca="1" ref="C8" ca="1">SUMPRODUCT((YEAR('Trésorerie Prévisionnel'!$B$5:$I$5)=C$3)*(OFFSET('Trésorerie Prévisionnel'!$B$5,MATCH($A8,'Trésorerie Prévisionnel'!$A$6:$A$36,0),,,8)))</f>
        <v>0</v>
      </c>
      <c r="D8" s="21">
        <f t="shared" ca="1" si="0"/>
        <v>20000</v>
      </c>
    </row>
    <row r="9" spans="1:5">
      <c r="A9" s="45" t="str">
        <f>'Trésorerie Prévisionnel'!A12</f>
        <v>Défrichage</v>
      </c>
      <c r="B9" s="18" cm="1">
        <f t="array" aca="1" ref="B9" ca="1">SUMPRODUCT((YEAR('Trésorerie Prévisionnel'!$B$5:$I$5)=B$3)*(OFFSET('Trésorerie Prévisionnel'!$B$5,MATCH($A9,'Trésorerie Prévisionnel'!$A$6:$A$36,0),,,8)))</f>
        <v>10000</v>
      </c>
      <c r="C9" s="18" cm="1">
        <f t="array" aca="1" ref="C9" ca="1">SUMPRODUCT((YEAR('Trésorerie Prévisionnel'!$B$5:$I$5)=C$3)*(OFFSET('Trésorerie Prévisionnel'!$B$5,MATCH($A9,'Trésorerie Prévisionnel'!$A$6:$A$36,0),,,8)))</f>
        <v>0</v>
      </c>
      <c r="D9" s="21">
        <f t="shared" ca="1" si="0"/>
        <v>10000</v>
      </c>
    </row>
    <row r="10" spans="1:5">
      <c r="A10" s="45" t="str">
        <f>'Trésorerie Prévisionnel'!A13</f>
        <v>Herbicides</v>
      </c>
      <c r="B10" s="18" cm="1">
        <f t="array" aca="1" ref="B10" ca="1">SUMPRODUCT((YEAR('Trésorerie Prévisionnel'!$B$5:$I$5)=B$3)*(OFFSET('Trésorerie Prévisionnel'!$B$5,MATCH($A10,'Trésorerie Prévisionnel'!$A$6:$A$36,0),,,8)))</f>
        <v>10000</v>
      </c>
      <c r="C10" s="18" cm="1">
        <f t="array" aca="1" ref="C10" ca="1">SUMPRODUCT((YEAR('Trésorerie Prévisionnel'!$B$5:$I$5)=C$3)*(OFFSET('Trésorerie Prévisionnel'!$B$5,MATCH($A10,'Trésorerie Prévisionnel'!$A$6:$A$36,0),,,8)))</f>
        <v>0</v>
      </c>
      <c r="D10" s="21">
        <f t="shared" ca="1" si="0"/>
        <v>10000</v>
      </c>
    </row>
    <row r="11" spans="1:5">
      <c r="A11" s="45" t="str">
        <f>'Trésorerie Prévisionnel'!A14</f>
        <v>Petit Materiel &amp; Outillage</v>
      </c>
      <c r="B11" s="18" cm="1">
        <f t="array" aca="1" ref="B11" ca="1">SUMPRODUCT((YEAR('Trésorerie Prévisionnel'!$B$5:$I$5)=B$3)*(OFFSET('Trésorerie Prévisionnel'!$B$5,MATCH($A11,'Trésorerie Prévisionnel'!$A$6:$A$36,0),,,8)))</f>
        <v>29315.476190476191</v>
      </c>
      <c r="C11" s="18" cm="1">
        <f t="array" aca="1" ref="C11" ca="1">SUMPRODUCT((YEAR('Trésorerie Prévisionnel'!$B$5:$I$5)=C$3)*(OFFSET('Trésorerie Prévisionnel'!$B$5,MATCH($A11,'Trésorerie Prévisionnel'!$A$6:$A$36,0),,,8)))</f>
        <v>15694.642857142859</v>
      </c>
      <c r="D11" s="21">
        <f t="shared" ca="1" si="0"/>
        <v>45010.119047619053</v>
      </c>
    </row>
    <row r="12" spans="1:5">
      <c r="A12" s="45" t="str">
        <f>'Trésorerie Prévisionnel'!A15</f>
        <v>Matériel d'irrigation</v>
      </c>
      <c r="B12" s="18" cm="1">
        <f t="array" aca="1" ref="B12" ca="1">SUMPRODUCT((YEAR('Trésorerie Prévisionnel'!$B$5:$I$5)=B$3)*(OFFSET('Trésorerie Prévisionnel'!$B$5,MATCH($A12,'Trésorerie Prévisionnel'!$A$6:$A$36,0),,,8)))</f>
        <v>0</v>
      </c>
      <c r="C12" s="18" cm="1">
        <f t="array" aca="1" ref="C12" ca="1">SUMPRODUCT((YEAR('Trésorerie Prévisionnel'!$B$5:$I$5)=C$3)*(OFFSET('Trésorerie Prévisionnel'!$B$5,MATCH($A12,'Trésorerie Prévisionnel'!$A$6:$A$36,0),,,8)))</f>
        <v>65000</v>
      </c>
      <c r="D12" s="21">
        <f t="shared" ca="1" si="0"/>
        <v>65000</v>
      </c>
    </row>
    <row r="13" spans="1:5">
      <c r="A13" s="45" t="str">
        <f>'Trésorerie Prévisionnel'!A16</f>
        <v>Semences</v>
      </c>
      <c r="B13" s="18" cm="1">
        <f t="array" aca="1" ref="B13" ca="1">SUMPRODUCT((YEAR('Trésorerie Prévisionnel'!$B$5:$I$5)=B$3)*(OFFSET('Trésorerie Prévisionnel'!$B$5,MATCH($A13,'Trésorerie Prévisionnel'!$A$6:$A$36,0),,,8)))</f>
        <v>25000</v>
      </c>
      <c r="C13" s="18" cm="1">
        <f t="array" aca="1" ref="C13" ca="1">SUMPRODUCT((YEAR('Trésorerie Prévisionnel'!$B$5:$I$5)=C$3)*(OFFSET('Trésorerie Prévisionnel'!$B$5,MATCH($A13,'Trésorerie Prévisionnel'!$A$6:$A$36,0),,,8)))</f>
        <v>0</v>
      </c>
      <c r="D13" s="21">
        <f t="shared" ca="1" si="0"/>
        <v>25000</v>
      </c>
    </row>
    <row r="14" spans="1:5">
      <c r="A14" s="45" t="str">
        <f>'Trésorerie Prévisionnel'!A17</f>
        <v>Produits  Phytosanitaires</v>
      </c>
      <c r="B14" s="18" cm="1">
        <f t="array" aca="1" ref="B14" ca="1">SUMPRODUCT((YEAR('Trésorerie Prévisionnel'!$B$5:$I$5)=B$3)*(OFFSET('Trésorerie Prévisionnel'!$B$5,MATCH($A14,'Trésorerie Prévisionnel'!$A$6:$A$36,0),,,8)))</f>
        <v>81500</v>
      </c>
      <c r="C14" s="18" cm="1">
        <f t="array" aca="1" ref="C14" ca="1">SUMPRODUCT((YEAR('Trésorerie Prévisionnel'!$B$5:$I$5)=C$3)*(OFFSET('Trésorerie Prévisionnel'!$B$5,MATCH($A14,'Trésorerie Prévisionnel'!$A$6:$A$36,0),,,8)))</f>
        <v>0</v>
      </c>
      <c r="D14" s="21">
        <f t="shared" ca="1" si="0"/>
        <v>81500</v>
      </c>
    </row>
    <row r="15" spans="1:5">
      <c r="A15" s="45" t="str">
        <f>'Trésorerie Prévisionnel'!A18</f>
        <v>Travaux (MO Occasionnelle)</v>
      </c>
      <c r="B15" s="18" cm="1">
        <f t="array" aca="1" ref="B15" ca="1">SUMPRODUCT((YEAR('Trésorerie Prévisionnel'!$B$5:$I$5)=B$3)*(OFFSET('Trésorerie Prévisionnel'!$B$5,MATCH($A15,'Trésorerie Prévisionnel'!$A$6:$A$36,0),,,8)))</f>
        <v>80000</v>
      </c>
      <c r="C15" s="18" cm="1">
        <f t="array" aca="1" ref="C15" ca="1">SUMPRODUCT((YEAR('Trésorerie Prévisionnel'!$B$5:$I$5)=C$3)*(OFFSET('Trésorerie Prévisionnel'!$B$5,MATCH($A15,'Trésorerie Prévisionnel'!$A$6:$A$36,0),,,8)))</f>
        <v>15000</v>
      </c>
      <c r="D15" s="21">
        <f t="shared" ca="1" si="0"/>
        <v>95000</v>
      </c>
    </row>
    <row r="16" spans="1:5">
      <c r="A16" s="45" t="str">
        <f>'Trésorerie Prévisionnel'!A19</f>
        <v>Carburant &amp;   Maintenance</v>
      </c>
      <c r="B16" s="18" cm="1">
        <f t="array" aca="1" ref="B16" ca="1">SUMPRODUCT((YEAR('Trésorerie Prévisionnel'!$B$5:$I$5)=B$3)*(OFFSET('Trésorerie Prévisionnel'!$B$5,MATCH($A16,'Trésorerie Prévisionnel'!$A$6:$A$36,0),,,8)))</f>
        <v>0</v>
      </c>
      <c r="C16" s="18" cm="1">
        <f t="array" aca="1" ref="C16" ca="1">SUMPRODUCT((YEAR('Trésorerie Prévisionnel'!$B$5:$I$5)=C$3)*(OFFSET('Trésorerie Prévisionnel'!$B$5,MATCH($A16,'Trésorerie Prévisionnel'!$A$6:$A$36,0),,,8)))</f>
        <v>0</v>
      </c>
      <c r="D16" s="21">
        <f t="shared" ca="1" si="0"/>
        <v>0</v>
      </c>
    </row>
    <row r="17" spans="1:4">
      <c r="A17" s="45" t="str">
        <f>'Trésorerie Prévisionnel'!A20</f>
        <v>Transport</v>
      </c>
      <c r="B17" s="18" cm="1">
        <f t="array" aca="1" ref="B17" ca="1">SUMPRODUCT((YEAR('Trésorerie Prévisionnel'!$B$5:$I$5)=B$3)*(OFFSET('Trésorerie Prévisionnel'!$B$5,MATCH($A17,'Trésorerie Prévisionnel'!$A$6:$A$36,0),,,8)))</f>
        <v>42000</v>
      </c>
      <c r="C17" s="18" cm="1">
        <f t="array" aca="1" ref="C17" ca="1">SUMPRODUCT((YEAR('Trésorerie Prévisionnel'!$B$5:$I$5)=C$3)*(OFFSET('Trésorerie Prévisionnel'!$B$5,MATCH($A17,'Trésorerie Prévisionnel'!$A$6:$A$36,0),,,8)))</f>
        <v>48000</v>
      </c>
      <c r="D17" s="21">
        <f t="shared" ca="1" si="0"/>
        <v>90000</v>
      </c>
    </row>
    <row r="18" spans="1:4">
      <c r="A18" s="45" t="str">
        <f>'Trésorerie Prévisionnel'!A21</f>
        <v>Salaires</v>
      </c>
      <c r="B18" s="18" cm="1">
        <f t="array" aca="1" ref="B18" ca="1">SUMPRODUCT((YEAR('Trésorerie Prévisionnel'!$B$5:$I$5)=B$3)*(OFFSET('Trésorerie Prévisionnel'!$B$5,MATCH($A18,'Trésorerie Prévisionnel'!$A$6:$A$36,0),,,8)))</f>
        <v>0</v>
      </c>
      <c r="C18" s="18" cm="1">
        <f t="array" aca="1" ref="C18" ca="1">SUMPRODUCT((YEAR('Trésorerie Prévisionnel'!$B$5:$I$5)=C$3)*(OFFSET('Trésorerie Prévisionnel'!$B$5,MATCH($A18,'Trésorerie Prévisionnel'!$A$6:$A$36,0),,,8)))</f>
        <v>200000</v>
      </c>
      <c r="D18" s="21">
        <f t="shared" ca="1" si="0"/>
        <v>200000</v>
      </c>
    </row>
    <row r="19" spans="1:4">
      <c r="A19" s="45" t="str">
        <f>'Trésorerie Prévisionnel'!A22</f>
        <v>Frais Bancaires</v>
      </c>
      <c r="B19" s="18" cm="1">
        <f t="array" aca="1" ref="B19" ca="1">SUMPRODUCT((YEAR('Trésorerie Prévisionnel'!$B$5:$I$5)=B$3)*(OFFSET('Trésorerie Prévisionnel'!$B$5,MATCH($A19,'Trésorerie Prévisionnel'!$A$6:$A$36,0),,,8)))</f>
        <v>0</v>
      </c>
      <c r="C19" s="18" cm="1">
        <f t="array" aca="1" ref="C19" ca="1">SUMPRODUCT((YEAR('Trésorerie Prévisionnel'!$B$5:$I$5)=C$3)*(OFFSET('Trésorerie Prévisionnel'!$B$5,MATCH($A19,'Trésorerie Prévisionnel'!$A$6:$A$36,0),,,8)))</f>
        <v>26500</v>
      </c>
      <c r="D19" s="21">
        <f t="shared" ca="1" si="0"/>
        <v>26500</v>
      </c>
    </row>
    <row r="20" spans="1:4">
      <c r="A20" s="1" t="s">
        <v>108</v>
      </c>
      <c r="B20" s="21">
        <f ca="1">B4-B7</f>
        <v>-268217.26190476195</v>
      </c>
      <c r="C20" s="21">
        <f ca="1">C4-C7</f>
        <v>266546.42857142864</v>
      </c>
    </row>
    <row r="21" spans="1:4">
      <c r="A21" s="45" t="s">
        <v>294</v>
      </c>
      <c r="B21" s="18">
        <f>Investissement!G11</f>
        <v>19722.222222222223</v>
      </c>
      <c r="C21" s="18">
        <f>Investissement!H11</f>
        <v>98333.333333333328</v>
      </c>
    </row>
    <row r="22" spans="1:4">
      <c r="A22" s="45" t="s">
        <v>295</v>
      </c>
      <c r="C22" s="18" t="e" cm="1">
        <f t="array" aca="1" ref="C22" ca="1">SUMPRODUCT((YEAR('Trésorerie Prévisionnel'!$B$5:$I$5)=C$3)*(OFFSET('Trésorerie Prévisionnel'!$B$5,MATCH($A22,'Trésorerie Prévisionnel'!$A$6:$A$36,0),,,8)))</f>
        <v>#N/A</v>
      </c>
    </row>
    <row r="23" spans="1:4">
      <c r="A23" s="1" t="s">
        <v>109</v>
      </c>
      <c r="B23" s="21">
        <f ca="1">B20-B21-B22</f>
        <v>-287939.4841269842</v>
      </c>
      <c r="C23" s="21" t="e">
        <f ca="1">C20-C21-C22</f>
        <v>#N/A</v>
      </c>
    </row>
    <row r="24" spans="1:4">
      <c r="A24" s="45" t="s">
        <v>296</v>
      </c>
      <c r="B24" s="18" t="e" cm="1">
        <f t="array" aca="1" ref="B24" ca="1">SUMPRODUCT((YEAR('Trésorerie Prévisionnel'!$B$5:$I$5)=B$3)*(OFFSET('Trésorerie Prévisionnel'!$B$5,MATCH($A24,'Trésorerie Prévisionnel'!$A$6:$A$36,0),,,8)))</f>
        <v>#N/A</v>
      </c>
      <c r="C24" s="18" t="e" cm="1">
        <f t="array" aca="1" ref="C24" ca="1">SUMPRODUCT((YEAR('Trésorerie Prévisionnel'!$B$5:$I$5)=C$3)*(OFFSET('Trésorerie Prévisionnel'!$B$5,MATCH($A24,'Trésorerie Prévisionnel'!$A$6:$A$36,0),,,8)))</f>
        <v>#N/A</v>
      </c>
    </row>
    <row r="25" spans="1:4">
      <c r="A25" s="1" t="s">
        <v>110</v>
      </c>
      <c r="B25" s="21" t="e" cm="1">
        <f t="array" aca="1" ref="B25" ca="1">SUMPRODUCT((YEAR('Trésorerie Prévisionnel'!$B$5:$I$5)=B$3)*(OFFSET('Trésorerie Prévisionnel'!$B$5,MATCH($A25,'Trésorerie Prévisionnel'!$A$6:$A$36,0),,,8)))</f>
        <v>#N/A</v>
      </c>
      <c r="C25" s="21" t="e" cm="1">
        <f t="array" aca="1" ref="C25" ca="1">SUMPRODUCT((YEAR('Trésorerie Prévisionnel'!$B$5:$I$5)=C$3)*(OFFSET('Trésorerie Prévisionnel'!$B$5,MATCH($A25,'Trésorerie Prévisionnel'!$A$6:$A$36,0),,,8)))</f>
        <v>#N/A</v>
      </c>
    </row>
    <row r="26" spans="1:4">
      <c r="A26" s="1" t="s">
        <v>111</v>
      </c>
      <c r="B26" s="21" t="e" cm="1">
        <f t="array" aca="1" ref="B26" ca="1">SUMPRODUCT((YEAR('Trésorerie Prévisionnel'!$B$5:$I$5)=B$3)*(OFFSET('Trésorerie Prévisionnel'!$B$5,MATCH($A26,'Trésorerie Prévisionnel'!$A$6:$A$36,0),,,8)))</f>
        <v>#N/A</v>
      </c>
      <c r="C26" s="21" t="e" cm="1">
        <f t="array" aca="1" ref="C26" ca="1">SUMPRODUCT((YEAR('Trésorerie Prévisionnel'!$B$5:$I$5)=C$3)*(OFFSET('Trésorerie Prévisionnel'!$B$5,MATCH($A26,'Trésorerie Prévisionnel'!$A$6:$A$36,0),,,8)))</f>
        <v>#N/A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5C38C-9887-434F-88BB-9455E868AAB9}">
  <dimension ref="A1:C18"/>
  <sheetViews>
    <sheetView zoomScaleNormal="60" zoomScaleSheetLayoutView="100" workbookViewId="0">
      <selection activeCell="C4" sqref="C4"/>
    </sheetView>
  </sheetViews>
  <sheetFormatPr defaultRowHeight="15"/>
  <cols>
    <col min="1" max="1" width="25.828125" customWidth="1"/>
    <col min="2" max="2" width="11.8359375" bestFit="1" customWidth="1"/>
    <col min="3" max="3" width="9.68359375" bestFit="1" customWidth="1"/>
  </cols>
  <sheetData>
    <row r="1" spans="1:3">
      <c r="A1" t="s">
        <v>202</v>
      </c>
    </row>
    <row r="4" spans="1:3">
      <c r="A4" t="s">
        <v>203</v>
      </c>
      <c r="C4">
        <v>3</v>
      </c>
    </row>
    <row r="6" spans="1:3">
      <c r="A6" t="str">
        <f>'Trésorerie Prévisionnel'!A11</f>
        <v>Location de Terrain</v>
      </c>
      <c r="B6" s="99">
        <f ca="1">SUM(OFFSET('Trésorerie Prévisionnel'!B11,,,,$C$4))</f>
        <v>20000</v>
      </c>
    </row>
    <row r="7" spans="1:3">
      <c r="A7" t="str">
        <f>'Trésorerie Prévisionnel'!A12</f>
        <v>Défrichage</v>
      </c>
      <c r="B7" s="99">
        <f ca="1">SUM(OFFSET('Trésorerie Prévisionnel'!B12,,,,$C$4))</f>
        <v>10000</v>
      </c>
    </row>
    <row r="8" spans="1:3">
      <c r="A8" t="str">
        <f>'Trésorerie Prévisionnel'!A13</f>
        <v>Herbicides</v>
      </c>
      <c r="B8" s="99">
        <f ca="1">SUM(OFFSET('Trésorerie Prévisionnel'!B13,,,,$C$4))</f>
        <v>10000</v>
      </c>
    </row>
    <row r="9" spans="1:3">
      <c r="A9" t="str">
        <f>'Trésorerie Prévisionnel'!A14</f>
        <v>Petit Materiel &amp; Outillage</v>
      </c>
      <c r="B9" s="99">
        <f ca="1">SUM(OFFSET('Trésorerie Prévisionnel'!B14,,,,$C$4))</f>
        <v>29315.476190476191</v>
      </c>
    </row>
    <row r="10" spans="1:3">
      <c r="A10" t="str">
        <f>'Trésorerie Prévisionnel'!A15</f>
        <v>Matériel d'irrigation</v>
      </c>
      <c r="B10" s="99">
        <f ca="1">SUM(OFFSET('Trésorerie Prévisionnel'!B15,,,,$C$4))</f>
        <v>0</v>
      </c>
    </row>
    <row r="11" spans="1:3">
      <c r="A11" t="str">
        <f>'Trésorerie Prévisionnel'!A16</f>
        <v>Semences</v>
      </c>
      <c r="B11" s="99">
        <f ca="1">SUM(OFFSET('Trésorerie Prévisionnel'!B16,,,,$C$4))</f>
        <v>25000</v>
      </c>
      <c r="C11" s="140">
        <f ca="1">B11+B12</f>
        <v>106500</v>
      </c>
    </row>
    <row r="12" spans="1:3">
      <c r="A12" t="str">
        <f>'Trésorerie Prévisionnel'!A17</f>
        <v>Produits  Phytosanitaires</v>
      </c>
      <c r="B12" s="99">
        <f ca="1">SUM(OFFSET('Trésorerie Prévisionnel'!B17,,,,$C$4))</f>
        <v>81500</v>
      </c>
      <c r="C12" s="148"/>
    </row>
    <row r="13" spans="1:3">
      <c r="A13" t="str">
        <f>'Trésorerie Prévisionnel'!A18</f>
        <v>Travaux (MO Occasionnelle)</v>
      </c>
      <c r="B13" s="99">
        <f ca="1">SUM(OFFSET('Trésorerie Prévisionnel'!B18,,,,$C$4))</f>
        <v>80000</v>
      </c>
    </row>
    <row r="14" spans="1:3">
      <c r="A14" t="str">
        <f>'Trésorerie Prévisionnel'!A19</f>
        <v>Carburant &amp;   Maintenance</v>
      </c>
      <c r="B14" s="99">
        <f ca="1">SUM(OFFSET('Trésorerie Prévisionnel'!B19,,,,$C$4))</f>
        <v>0</v>
      </c>
    </row>
    <row r="15" spans="1:3">
      <c r="A15" t="str">
        <f>'Trésorerie Prévisionnel'!A20</f>
        <v>Transport</v>
      </c>
      <c r="B15" s="99">
        <f ca="1">SUM(OFFSET('Trésorerie Prévisionnel'!B20,,,,$C$4))</f>
        <v>42000</v>
      </c>
    </row>
    <row r="16" spans="1:3">
      <c r="A16" t="str">
        <f>'Trésorerie Prévisionnel'!A21</f>
        <v>Salaires</v>
      </c>
      <c r="B16" s="101">
        <f ca="1">SUM(OFFSET('Trésorerie Prévisionnel'!B21,,,,$C$4))</f>
        <v>0</v>
      </c>
    </row>
    <row r="17" spans="1:2">
      <c r="A17" t="str">
        <f>'Trésorerie Prévisionnel'!A22</f>
        <v>Frais Bancaires</v>
      </c>
      <c r="B17" s="101">
        <f ca="1">SUM(OFFSET('Trésorerie Prévisionnel'!B22,,,,$C$4))</f>
        <v>0</v>
      </c>
    </row>
    <row r="18" spans="1:2">
      <c r="A18" s="1" t="str">
        <f>'Trésorerie Prévisionnel'!A23</f>
        <v>Total Charges d'exploitation</v>
      </c>
      <c r="B18" s="21">
        <f ca="1">SUM(B6:B15)</f>
        <v>297815.47619047621</v>
      </c>
    </row>
  </sheetData>
  <mergeCells count="1">
    <mergeCell ref="C11:C1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75CD1-A001-7646-A699-D10D52A924EA}">
  <dimension ref="A1:O272"/>
  <sheetViews>
    <sheetView topLeftCell="B1" zoomScaleNormal="60" zoomScaleSheetLayoutView="100" workbookViewId="0">
      <selection activeCell="B6" sqref="B6"/>
    </sheetView>
  </sheetViews>
  <sheetFormatPr defaultRowHeight="15"/>
  <cols>
    <col min="1" max="1" width="27.0390625" bestFit="1" customWidth="1"/>
    <col min="2" max="2" width="16.41015625" style="8" customWidth="1"/>
    <col min="3" max="3" width="11.02734375" style="8" bestFit="1" customWidth="1"/>
    <col min="4" max="4" width="12.9140625" style="8" customWidth="1"/>
    <col min="5" max="5" width="12.10546875" style="8" customWidth="1"/>
    <col min="6" max="6" width="13.1796875" style="8" customWidth="1"/>
    <col min="7" max="7" width="11.97265625" style="8" bestFit="1" customWidth="1"/>
    <col min="8" max="8" width="5.37890625" customWidth="1"/>
    <col min="9" max="9" width="1.61328125" customWidth="1"/>
    <col min="10" max="10" width="14.796875" customWidth="1"/>
    <col min="12" max="12" width="12.10546875" customWidth="1"/>
    <col min="13" max="13" width="13.44921875" customWidth="1"/>
    <col min="14" max="14" width="13.1796875" customWidth="1"/>
    <col min="15" max="15" width="18.0234375" customWidth="1"/>
  </cols>
  <sheetData>
    <row r="1" spans="1:15">
      <c r="A1" s="1" t="s">
        <v>99</v>
      </c>
    </row>
    <row r="2" spans="1:15">
      <c r="A2" s="1"/>
    </row>
    <row r="3" spans="1:15">
      <c r="A3" s="44" t="s">
        <v>100</v>
      </c>
    </row>
    <row r="4" spans="1:15">
      <c r="A4" s="1" t="s">
        <v>90</v>
      </c>
      <c r="B4" s="31" t="e">
        <f>#REF!</f>
        <v>#REF!</v>
      </c>
    </row>
    <row r="5" spans="1:15">
      <c r="A5" s="1" t="s">
        <v>92</v>
      </c>
      <c r="B5" s="46">
        <v>0.1</v>
      </c>
    </row>
    <row r="6" spans="1:15">
      <c r="A6" s="1" t="s">
        <v>93</v>
      </c>
      <c r="B6" s="8">
        <v>6</v>
      </c>
    </row>
    <row r="7" spans="1:15">
      <c r="A7" s="1" t="s">
        <v>94</v>
      </c>
    </row>
    <row r="8" spans="1:15">
      <c r="A8" s="1" t="s">
        <v>95</v>
      </c>
      <c r="B8" s="31" t="e">
        <f>ABS(PMT(B5/12,B6,B4))</f>
        <v>#REF!</v>
      </c>
    </row>
    <row r="9" spans="1:15">
      <c r="A9" s="1" t="s">
        <v>101</v>
      </c>
      <c r="B9" s="47">
        <v>44044</v>
      </c>
    </row>
    <row r="10" spans="1:15">
      <c r="A10" t="s">
        <v>91</v>
      </c>
      <c r="B10" s="8">
        <v>4</v>
      </c>
      <c r="C10" s="8" t="s">
        <v>104</v>
      </c>
    </row>
    <row r="11" spans="1:15">
      <c r="A11" s="1" t="s">
        <v>102</v>
      </c>
      <c r="B11" s="10">
        <f>B16</f>
        <v>44166</v>
      </c>
    </row>
    <row r="12" spans="1:15">
      <c r="A12" s="1"/>
      <c r="B12" s="10"/>
    </row>
    <row r="13" spans="1:15">
      <c r="A13" s="1"/>
      <c r="B13" s="149" t="s">
        <v>112</v>
      </c>
      <c r="C13" s="149"/>
      <c r="D13" s="149"/>
      <c r="E13" s="149"/>
      <c r="F13" s="149"/>
      <c r="G13" s="149"/>
      <c r="J13" s="149" t="s">
        <v>113</v>
      </c>
      <c r="K13" s="149"/>
      <c r="L13" s="149"/>
      <c r="M13" s="149"/>
      <c r="N13" s="149"/>
      <c r="O13" s="149"/>
    </row>
    <row r="15" spans="1:15" s="9" customFormat="1" ht="41.25">
      <c r="B15" s="36" t="s">
        <v>103</v>
      </c>
      <c r="C15" s="36" t="s">
        <v>94</v>
      </c>
      <c r="D15" s="36" t="s">
        <v>95</v>
      </c>
      <c r="E15" s="36" t="s">
        <v>96</v>
      </c>
      <c r="F15" s="36" t="s">
        <v>97</v>
      </c>
      <c r="G15" s="36" t="s">
        <v>98</v>
      </c>
      <c r="J15" s="36" t="s">
        <v>103</v>
      </c>
      <c r="K15" s="36" t="s">
        <v>94</v>
      </c>
      <c r="L15" s="36" t="s">
        <v>95</v>
      </c>
      <c r="M15" s="36" t="s">
        <v>96</v>
      </c>
      <c r="N15" s="36" t="s">
        <v>97</v>
      </c>
      <c r="O15" s="36" t="s">
        <v>98</v>
      </c>
    </row>
    <row r="16" spans="1:15">
      <c r="B16" s="10">
        <f>EDATE($B$9,$B$10)</f>
        <v>44166</v>
      </c>
      <c r="C16" s="8">
        <v>1</v>
      </c>
      <c r="D16" s="31" t="e">
        <f>IF(C16="","",E16+F16)</f>
        <v>#VALUE!</v>
      </c>
      <c r="E16" s="31" t="str">
        <f>IFERROR(-PPMT($B$5/12,C16,$B$6,$B$4,0,0),"")</f>
        <v/>
      </c>
      <c r="F16" s="31" t="str">
        <f>IFERROR(-IPMT($B$5/12,C16,$B$6,$B$4,0,0),"")</f>
        <v/>
      </c>
      <c r="G16" s="31" t="e">
        <f>IF(C16="","",B4-E16)</f>
        <v>#REF!</v>
      </c>
      <c r="M16" s="48"/>
      <c r="N16" s="48"/>
    </row>
    <row r="17" spans="2:7">
      <c r="B17" s="10">
        <f>IF(C17="","",EDATE($B$9,C17))</f>
        <v>44105</v>
      </c>
      <c r="C17" s="8">
        <f>IF(C16&gt;=$B$6,"",C16+1)</f>
        <v>2</v>
      </c>
      <c r="D17" s="31" t="e">
        <f>IF(C17="","",E17+F17)</f>
        <v>#VALUE!</v>
      </c>
      <c r="E17" s="31" t="str">
        <f>IFERROR(-PPMT($B$5/12,C17,$B$6,$B$4,0,0),"")</f>
        <v/>
      </c>
      <c r="F17" s="31" t="str">
        <f>IFERROR(-IPMT($B$5/12,C17,$B$6,$B$4,0,0),"")</f>
        <v/>
      </c>
      <c r="G17" s="31" t="e">
        <f>IF(C17="","",G16-E17)</f>
        <v>#REF!</v>
      </c>
    </row>
    <row r="18" spans="2:7">
      <c r="B18" s="10">
        <f t="shared" ref="B18:B81" si="0">IF(C18="","",EDATE($B$9,C18))</f>
        <v>44136</v>
      </c>
      <c r="C18" s="8">
        <f t="shared" ref="C18:C81" si="1">IF(C17&gt;=$B$6,"",C17+1)</f>
        <v>3</v>
      </c>
      <c r="D18" s="31" t="e">
        <f t="shared" ref="D18:D81" si="2">IF(C18="","",E18+F18)</f>
        <v>#VALUE!</v>
      </c>
      <c r="E18" s="31" t="str">
        <f t="shared" ref="E18:E81" si="3">IFERROR(-PPMT($B$5/12,C18,$B$6,$B$4,0,0),"")</f>
        <v/>
      </c>
      <c r="F18" s="31" t="str">
        <f t="shared" ref="F18:F81" si="4">IFERROR(-IPMT($B$5/12,C18,$B$6,$B$4,0,0),"")</f>
        <v/>
      </c>
      <c r="G18" s="31" t="e">
        <f t="shared" ref="G18:G81" si="5">IF(C18="","",G17-E18)</f>
        <v>#REF!</v>
      </c>
    </row>
    <row r="19" spans="2:7">
      <c r="B19" s="10">
        <f t="shared" si="0"/>
        <v>44166</v>
      </c>
      <c r="C19" s="8">
        <f t="shared" si="1"/>
        <v>4</v>
      </c>
      <c r="D19" s="31" t="e">
        <f t="shared" si="2"/>
        <v>#VALUE!</v>
      </c>
      <c r="E19" s="31" t="str">
        <f t="shared" si="3"/>
        <v/>
      </c>
      <c r="F19" s="31" t="str">
        <f t="shared" si="4"/>
        <v/>
      </c>
      <c r="G19" s="31" t="e">
        <f t="shared" si="5"/>
        <v>#REF!</v>
      </c>
    </row>
    <row r="20" spans="2:7">
      <c r="B20" s="10">
        <f t="shared" si="0"/>
        <v>44197</v>
      </c>
      <c r="C20" s="8">
        <f t="shared" si="1"/>
        <v>5</v>
      </c>
      <c r="D20" s="31" t="e">
        <f t="shared" si="2"/>
        <v>#VALUE!</v>
      </c>
      <c r="E20" s="31" t="str">
        <f t="shared" si="3"/>
        <v/>
      </c>
      <c r="F20" s="31" t="str">
        <f t="shared" si="4"/>
        <v/>
      </c>
      <c r="G20" s="31" t="e">
        <f t="shared" si="5"/>
        <v>#REF!</v>
      </c>
    </row>
    <row r="21" spans="2:7">
      <c r="B21" s="10">
        <f t="shared" si="0"/>
        <v>44228</v>
      </c>
      <c r="C21" s="8">
        <f t="shared" si="1"/>
        <v>6</v>
      </c>
      <c r="D21" s="31" t="e">
        <f t="shared" si="2"/>
        <v>#VALUE!</v>
      </c>
      <c r="E21" s="31" t="str">
        <f t="shared" si="3"/>
        <v/>
      </c>
      <c r="F21" s="31" t="str">
        <f t="shared" si="4"/>
        <v/>
      </c>
      <c r="G21" s="31" t="e">
        <f t="shared" si="5"/>
        <v>#REF!</v>
      </c>
    </row>
    <row r="22" spans="2:7">
      <c r="B22" s="10" t="str">
        <f t="shared" si="0"/>
        <v/>
      </c>
      <c r="C22" s="8" t="str">
        <f t="shared" si="1"/>
        <v/>
      </c>
      <c r="D22" s="31" t="str">
        <f t="shared" ref="D22:D85" si="6">IF(C22="","",E22+F22)</f>
        <v/>
      </c>
      <c r="E22" s="31" t="str">
        <f t="shared" ref="E22:E85" si="7">IFERROR(-PPMT($B$5/12,C22,$B$6,$B$4,0,0),"")</f>
        <v/>
      </c>
      <c r="F22" s="31" t="str">
        <f t="shared" ref="F22:F85" si="8">IFERROR(-IPMT($B$5/12,C22,$B$6,$B$4,0,0),"")</f>
        <v/>
      </c>
      <c r="G22" s="31" t="str">
        <f t="shared" ref="G22:G85" si="9">IF(C22="","",G21-E22)</f>
        <v/>
      </c>
    </row>
    <row r="23" spans="2:7">
      <c r="B23" s="10" t="str">
        <f t="shared" si="0"/>
        <v/>
      </c>
      <c r="C23" s="8" t="str">
        <f t="shared" si="1"/>
        <v/>
      </c>
      <c r="D23" s="31" t="str">
        <f t="shared" si="6"/>
        <v/>
      </c>
      <c r="E23" s="31" t="str">
        <f t="shared" si="7"/>
        <v/>
      </c>
      <c r="F23" s="31" t="str">
        <f t="shared" si="8"/>
        <v/>
      </c>
      <c r="G23" s="31" t="str">
        <f t="shared" si="9"/>
        <v/>
      </c>
    </row>
    <row r="24" spans="2:7">
      <c r="B24" s="10" t="str">
        <f t="shared" si="0"/>
        <v/>
      </c>
      <c r="C24" s="8" t="str">
        <f t="shared" si="1"/>
        <v/>
      </c>
      <c r="D24" s="31" t="str">
        <f t="shared" si="6"/>
        <v/>
      </c>
      <c r="E24" s="31" t="str">
        <f t="shared" si="7"/>
        <v/>
      </c>
      <c r="F24" s="31" t="str">
        <f t="shared" si="8"/>
        <v/>
      </c>
      <c r="G24" s="31" t="str">
        <f t="shared" si="9"/>
        <v/>
      </c>
    </row>
    <row r="25" spans="2:7">
      <c r="B25" s="10" t="str">
        <f t="shared" si="0"/>
        <v/>
      </c>
      <c r="C25" s="8" t="str">
        <f t="shared" si="1"/>
        <v/>
      </c>
      <c r="D25" s="31" t="str">
        <f t="shared" si="6"/>
        <v/>
      </c>
      <c r="E25" s="31" t="str">
        <f t="shared" si="7"/>
        <v/>
      </c>
      <c r="F25" s="31" t="str">
        <f t="shared" si="8"/>
        <v/>
      </c>
      <c r="G25" s="31" t="str">
        <f t="shared" si="9"/>
        <v/>
      </c>
    </row>
    <row r="26" spans="2:7">
      <c r="B26" s="10" t="str">
        <f t="shared" si="0"/>
        <v/>
      </c>
      <c r="C26" s="8" t="str">
        <f t="shared" si="1"/>
        <v/>
      </c>
      <c r="D26" s="31" t="str">
        <f t="shared" si="6"/>
        <v/>
      </c>
      <c r="E26" s="31" t="str">
        <f t="shared" si="7"/>
        <v/>
      </c>
      <c r="F26" s="31" t="str">
        <f t="shared" si="8"/>
        <v/>
      </c>
      <c r="G26" s="31" t="str">
        <f t="shared" si="9"/>
        <v/>
      </c>
    </row>
    <row r="27" spans="2:7">
      <c r="B27" s="10" t="str">
        <f t="shared" si="0"/>
        <v/>
      </c>
      <c r="C27" s="8" t="str">
        <f t="shared" si="1"/>
        <v/>
      </c>
      <c r="D27" s="31" t="str">
        <f t="shared" si="6"/>
        <v/>
      </c>
      <c r="E27" s="31" t="str">
        <f t="shared" si="7"/>
        <v/>
      </c>
      <c r="F27" s="31" t="str">
        <f t="shared" si="8"/>
        <v/>
      </c>
      <c r="G27" s="31" t="str">
        <f t="shared" si="9"/>
        <v/>
      </c>
    </row>
    <row r="28" spans="2:7">
      <c r="B28" s="10" t="str">
        <f t="shared" si="0"/>
        <v/>
      </c>
      <c r="C28" s="8" t="str">
        <f t="shared" si="1"/>
        <v/>
      </c>
      <c r="D28" s="31" t="str">
        <f t="shared" si="6"/>
        <v/>
      </c>
      <c r="E28" s="31" t="str">
        <f t="shared" si="7"/>
        <v/>
      </c>
      <c r="F28" s="31" t="str">
        <f t="shared" si="8"/>
        <v/>
      </c>
      <c r="G28" s="31" t="str">
        <f t="shared" si="9"/>
        <v/>
      </c>
    </row>
    <row r="29" spans="2:7">
      <c r="B29" s="10" t="str">
        <f t="shared" si="0"/>
        <v/>
      </c>
      <c r="C29" s="8" t="str">
        <f t="shared" si="1"/>
        <v/>
      </c>
      <c r="D29" s="31" t="str">
        <f t="shared" si="6"/>
        <v/>
      </c>
      <c r="E29" s="31" t="str">
        <f t="shared" si="7"/>
        <v/>
      </c>
      <c r="F29" s="31" t="str">
        <f t="shared" si="8"/>
        <v/>
      </c>
      <c r="G29" s="31" t="str">
        <f t="shared" si="9"/>
        <v/>
      </c>
    </row>
    <row r="30" spans="2:7">
      <c r="B30" s="10" t="str">
        <f t="shared" si="0"/>
        <v/>
      </c>
      <c r="C30" s="8" t="str">
        <f t="shared" si="1"/>
        <v/>
      </c>
      <c r="D30" s="31" t="str">
        <f t="shared" si="6"/>
        <v/>
      </c>
      <c r="E30" s="31" t="str">
        <f t="shared" si="7"/>
        <v/>
      </c>
      <c r="F30" s="31" t="str">
        <f t="shared" si="8"/>
        <v/>
      </c>
      <c r="G30" s="31" t="str">
        <f t="shared" si="9"/>
        <v/>
      </c>
    </row>
    <row r="31" spans="2:7">
      <c r="B31" s="10" t="str">
        <f t="shared" si="0"/>
        <v/>
      </c>
      <c r="C31" s="8" t="str">
        <f t="shared" si="1"/>
        <v/>
      </c>
      <c r="D31" s="31" t="str">
        <f t="shared" si="6"/>
        <v/>
      </c>
      <c r="E31" s="31" t="str">
        <f t="shared" si="7"/>
        <v/>
      </c>
      <c r="F31" s="31" t="str">
        <f t="shared" si="8"/>
        <v/>
      </c>
      <c r="G31" s="31" t="str">
        <f t="shared" si="9"/>
        <v/>
      </c>
    </row>
    <row r="32" spans="2:7">
      <c r="B32" s="10" t="str">
        <f t="shared" si="0"/>
        <v/>
      </c>
      <c r="C32" s="8" t="str">
        <f t="shared" si="1"/>
        <v/>
      </c>
      <c r="D32" s="31" t="str">
        <f t="shared" si="6"/>
        <v/>
      </c>
      <c r="E32" s="31" t="str">
        <f t="shared" si="7"/>
        <v/>
      </c>
      <c r="F32" s="31" t="str">
        <f t="shared" si="8"/>
        <v/>
      </c>
      <c r="G32" s="31" t="str">
        <f t="shared" si="9"/>
        <v/>
      </c>
    </row>
    <row r="33" spans="2:7">
      <c r="B33" s="10" t="str">
        <f t="shared" si="0"/>
        <v/>
      </c>
      <c r="C33" s="8" t="str">
        <f t="shared" si="1"/>
        <v/>
      </c>
      <c r="D33" s="31" t="str">
        <f t="shared" si="6"/>
        <v/>
      </c>
      <c r="E33" s="31" t="str">
        <f t="shared" si="7"/>
        <v/>
      </c>
      <c r="F33" s="31" t="str">
        <f t="shared" si="8"/>
        <v/>
      </c>
      <c r="G33" s="31" t="str">
        <f t="shared" si="9"/>
        <v/>
      </c>
    </row>
    <row r="34" spans="2:7">
      <c r="B34" s="10" t="str">
        <f t="shared" si="0"/>
        <v/>
      </c>
      <c r="C34" s="8" t="str">
        <f t="shared" si="1"/>
        <v/>
      </c>
      <c r="D34" s="31" t="str">
        <f t="shared" si="6"/>
        <v/>
      </c>
      <c r="E34" s="31" t="str">
        <f t="shared" si="7"/>
        <v/>
      </c>
      <c r="F34" s="31" t="str">
        <f t="shared" si="8"/>
        <v/>
      </c>
      <c r="G34" s="31" t="str">
        <f t="shared" si="9"/>
        <v/>
      </c>
    </row>
    <row r="35" spans="2:7">
      <c r="B35" s="10" t="str">
        <f t="shared" si="0"/>
        <v/>
      </c>
      <c r="C35" s="8" t="str">
        <f t="shared" si="1"/>
        <v/>
      </c>
      <c r="D35" s="31" t="str">
        <f t="shared" si="6"/>
        <v/>
      </c>
      <c r="E35" s="31" t="str">
        <f t="shared" si="7"/>
        <v/>
      </c>
      <c r="F35" s="31" t="str">
        <f t="shared" si="8"/>
        <v/>
      </c>
      <c r="G35" s="31" t="str">
        <f t="shared" si="9"/>
        <v/>
      </c>
    </row>
    <row r="36" spans="2:7">
      <c r="B36" s="10" t="str">
        <f t="shared" si="0"/>
        <v/>
      </c>
      <c r="C36" s="8" t="str">
        <f t="shared" si="1"/>
        <v/>
      </c>
      <c r="D36" s="31" t="str">
        <f t="shared" si="6"/>
        <v/>
      </c>
      <c r="E36" s="31" t="str">
        <f t="shared" si="7"/>
        <v/>
      </c>
      <c r="F36" s="31" t="str">
        <f t="shared" si="8"/>
        <v/>
      </c>
      <c r="G36" s="31" t="str">
        <f t="shared" si="9"/>
        <v/>
      </c>
    </row>
    <row r="37" spans="2:7">
      <c r="B37" s="10" t="str">
        <f t="shared" si="0"/>
        <v/>
      </c>
      <c r="C37" s="8" t="str">
        <f t="shared" si="1"/>
        <v/>
      </c>
      <c r="D37" s="31" t="str">
        <f t="shared" si="6"/>
        <v/>
      </c>
      <c r="E37" s="31" t="str">
        <f t="shared" si="7"/>
        <v/>
      </c>
      <c r="F37" s="31" t="str">
        <f t="shared" si="8"/>
        <v/>
      </c>
      <c r="G37" s="31" t="str">
        <f t="shared" si="9"/>
        <v/>
      </c>
    </row>
    <row r="38" spans="2:7">
      <c r="B38" s="10" t="str">
        <f t="shared" si="0"/>
        <v/>
      </c>
      <c r="C38" s="8" t="str">
        <f t="shared" si="1"/>
        <v/>
      </c>
      <c r="D38" s="31" t="str">
        <f t="shared" si="6"/>
        <v/>
      </c>
      <c r="E38" s="31" t="str">
        <f t="shared" si="7"/>
        <v/>
      </c>
      <c r="F38" s="31" t="str">
        <f t="shared" si="8"/>
        <v/>
      </c>
      <c r="G38" s="31" t="str">
        <f t="shared" si="9"/>
        <v/>
      </c>
    </row>
    <row r="39" spans="2:7">
      <c r="B39" s="10" t="str">
        <f t="shared" si="0"/>
        <v/>
      </c>
      <c r="C39" s="8" t="str">
        <f t="shared" si="1"/>
        <v/>
      </c>
      <c r="D39" s="31" t="str">
        <f t="shared" si="6"/>
        <v/>
      </c>
      <c r="E39" s="31" t="str">
        <f t="shared" si="7"/>
        <v/>
      </c>
      <c r="F39" s="31" t="str">
        <f t="shared" si="8"/>
        <v/>
      </c>
      <c r="G39" s="31" t="str">
        <f t="shared" si="9"/>
        <v/>
      </c>
    </row>
    <row r="40" spans="2:7">
      <c r="B40" s="10" t="str">
        <f t="shared" si="0"/>
        <v/>
      </c>
      <c r="C40" s="8" t="str">
        <f t="shared" si="1"/>
        <v/>
      </c>
      <c r="D40" s="31" t="str">
        <f t="shared" si="6"/>
        <v/>
      </c>
      <c r="E40" s="31" t="str">
        <f t="shared" si="7"/>
        <v/>
      </c>
      <c r="F40" s="31" t="str">
        <f t="shared" si="8"/>
        <v/>
      </c>
      <c r="G40" s="31" t="str">
        <f t="shared" si="9"/>
        <v/>
      </c>
    </row>
    <row r="41" spans="2:7">
      <c r="B41" s="10" t="str">
        <f t="shared" si="0"/>
        <v/>
      </c>
      <c r="C41" s="8" t="str">
        <f t="shared" si="1"/>
        <v/>
      </c>
      <c r="D41" s="31" t="str">
        <f t="shared" si="6"/>
        <v/>
      </c>
      <c r="E41" s="31" t="str">
        <f t="shared" si="7"/>
        <v/>
      </c>
      <c r="F41" s="31" t="str">
        <f t="shared" si="8"/>
        <v/>
      </c>
      <c r="G41" s="31" t="str">
        <f t="shared" si="9"/>
        <v/>
      </c>
    </row>
    <row r="42" spans="2:7">
      <c r="B42" s="10" t="str">
        <f t="shared" si="0"/>
        <v/>
      </c>
      <c r="C42" s="8" t="str">
        <f t="shared" si="1"/>
        <v/>
      </c>
      <c r="D42" s="31" t="str">
        <f t="shared" si="6"/>
        <v/>
      </c>
      <c r="E42" s="31" t="str">
        <f t="shared" si="7"/>
        <v/>
      </c>
      <c r="F42" s="31" t="str">
        <f t="shared" si="8"/>
        <v/>
      </c>
      <c r="G42" s="31" t="str">
        <f t="shared" si="9"/>
        <v/>
      </c>
    </row>
    <row r="43" spans="2:7">
      <c r="B43" s="10" t="str">
        <f t="shared" si="0"/>
        <v/>
      </c>
      <c r="C43" s="8" t="str">
        <f t="shared" si="1"/>
        <v/>
      </c>
      <c r="D43" s="31" t="str">
        <f t="shared" si="6"/>
        <v/>
      </c>
      <c r="E43" s="31" t="str">
        <f t="shared" si="7"/>
        <v/>
      </c>
      <c r="F43" s="31" t="str">
        <f t="shared" si="8"/>
        <v/>
      </c>
      <c r="G43" s="31" t="str">
        <f t="shared" si="9"/>
        <v/>
      </c>
    </row>
    <row r="44" spans="2:7">
      <c r="B44" s="10" t="str">
        <f t="shared" si="0"/>
        <v/>
      </c>
      <c r="C44" s="8" t="str">
        <f t="shared" si="1"/>
        <v/>
      </c>
      <c r="D44" s="31" t="str">
        <f t="shared" si="6"/>
        <v/>
      </c>
      <c r="E44" s="31" t="str">
        <f t="shared" si="7"/>
        <v/>
      </c>
      <c r="F44" s="31" t="str">
        <f t="shared" si="8"/>
        <v/>
      </c>
      <c r="G44" s="31" t="str">
        <f t="shared" si="9"/>
        <v/>
      </c>
    </row>
    <row r="45" spans="2:7">
      <c r="B45" s="10" t="str">
        <f t="shared" si="0"/>
        <v/>
      </c>
      <c r="C45" s="8" t="str">
        <f t="shared" si="1"/>
        <v/>
      </c>
      <c r="D45" s="31" t="str">
        <f t="shared" si="6"/>
        <v/>
      </c>
      <c r="E45" s="31" t="str">
        <f t="shared" si="7"/>
        <v/>
      </c>
      <c r="F45" s="31" t="str">
        <f t="shared" si="8"/>
        <v/>
      </c>
      <c r="G45" s="31" t="str">
        <f t="shared" si="9"/>
        <v/>
      </c>
    </row>
    <row r="46" spans="2:7">
      <c r="B46" s="10" t="str">
        <f t="shared" si="0"/>
        <v/>
      </c>
      <c r="C46" s="8" t="str">
        <f t="shared" si="1"/>
        <v/>
      </c>
      <c r="D46" s="31" t="str">
        <f t="shared" si="6"/>
        <v/>
      </c>
      <c r="E46" s="31" t="str">
        <f t="shared" si="7"/>
        <v/>
      </c>
      <c r="F46" s="31" t="str">
        <f t="shared" si="8"/>
        <v/>
      </c>
      <c r="G46" s="31" t="str">
        <f t="shared" si="9"/>
        <v/>
      </c>
    </row>
    <row r="47" spans="2:7">
      <c r="B47" s="10" t="str">
        <f t="shared" si="0"/>
        <v/>
      </c>
      <c r="C47" s="8" t="str">
        <f t="shared" si="1"/>
        <v/>
      </c>
      <c r="D47" s="31" t="str">
        <f t="shared" si="6"/>
        <v/>
      </c>
      <c r="E47" s="31" t="str">
        <f t="shared" si="7"/>
        <v/>
      </c>
      <c r="F47" s="31" t="str">
        <f t="shared" si="8"/>
        <v/>
      </c>
      <c r="G47" s="31" t="str">
        <f t="shared" si="9"/>
        <v/>
      </c>
    </row>
    <row r="48" spans="2:7">
      <c r="B48" s="10" t="str">
        <f t="shared" si="0"/>
        <v/>
      </c>
      <c r="C48" s="8" t="str">
        <f t="shared" si="1"/>
        <v/>
      </c>
      <c r="D48" s="31" t="str">
        <f t="shared" si="6"/>
        <v/>
      </c>
      <c r="E48" s="31" t="str">
        <f t="shared" si="7"/>
        <v/>
      </c>
      <c r="F48" s="31" t="str">
        <f t="shared" si="8"/>
        <v/>
      </c>
      <c r="G48" s="31" t="str">
        <f t="shared" si="9"/>
        <v/>
      </c>
    </row>
    <row r="49" spans="2:7">
      <c r="B49" s="10" t="str">
        <f t="shared" si="0"/>
        <v/>
      </c>
      <c r="C49" s="8" t="str">
        <f t="shared" si="1"/>
        <v/>
      </c>
      <c r="D49" s="31" t="str">
        <f t="shared" si="6"/>
        <v/>
      </c>
      <c r="E49" s="31" t="str">
        <f t="shared" si="7"/>
        <v/>
      </c>
      <c r="F49" s="31" t="str">
        <f t="shared" si="8"/>
        <v/>
      </c>
      <c r="G49" s="31" t="str">
        <f t="shared" si="9"/>
        <v/>
      </c>
    </row>
    <row r="50" spans="2:7">
      <c r="B50" s="10" t="str">
        <f t="shared" si="0"/>
        <v/>
      </c>
      <c r="C50" s="8" t="str">
        <f t="shared" si="1"/>
        <v/>
      </c>
      <c r="D50" s="31" t="str">
        <f t="shared" si="6"/>
        <v/>
      </c>
      <c r="E50" s="31" t="str">
        <f t="shared" si="7"/>
        <v/>
      </c>
      <c r="F50" s="31" t="str">
        <f t="shared" si="8"/>
        <v/>
      </c>
      <c r="G50" s="31" t="str">
        <f t="shared" si="9"/>
        <v/>
      </c>
    </row>
    <row r="51" spans="2:7">
      <c r="B51" s="10" t="str">
        <f t="shared" si="0"/>
        <v/>
      </c>
      <c r="C51" s="8" t="str">
        <f t="shared" si="1"/>
        <v/>
      </c>
      <c r="D51" s="31" t="str">
        <f t="shared" si="6"/>
        <v/>
      </c>
      <c r="E51" s="31" t="str">
        <f t="shared" si="7"/>
        <v/>
      </c>
      <c r="F51" s="31" t="str">
        <f t="shared" si="8"/>
        <v/>
      </c>
      <c r="G51" s="31" t="str">
        <f t="shared" si="9"/>
        <v/>
      </c>
    </row>
    <row r="52" spans="2:7">
      <c r="B52" s="10" t="str">
        <f t="shared" si="0"/>
        <v/>
      </c>
      <c r="C52" s="8" t="str">
        <f t="shared" si="1"/>
        <v/>
      </c>
      <c r="D52" s="31" t="str">
        <f t="shared" si="6"/>
        <v/>
      </c>
      <c r="E52" s="31" t="str">
        <f t="shared" si="7"/>
        <v/>
      </c>
      <c r="F52" s="31" t="str">
        <f t="shared" si="8"/>
        <v/>
      </c>
      <c r="G52" s="31" t="str">
        <f t="shared" si="9"/>
        <v/>
      </c>
    </row>
    <row r="53" spans="2:7">
      <c r="B53" s="10" t="str">
        <f t="shared" si="0"/>
        <v/>
      </c>
      <c r="C53" s="8" t="str">
        <f t="shared" si="1"/>
        <v/>
      </c>
      <c r="D53" s="31" t="str">
        <f t="shared" si="6"/>
        <v/>
      </c>
      <c r="E53" s="31" t="str">
        <f t="shared" si="7"/>
        <v/>
      </c>
      <c r="F53" s="31" t="str">
        <f t="shared" si="8"/>
        <v/>
      </c>
      <c r="G53" s="31" t="str">
        <f t="shared" si="9"/>
        <v/>
      </c>
    </row>
    <row r="54" spans="2:7">
      <c r="B54" s="10" t="str">
        <f t="shared" si="0"/>
        <v/>
      </c>
      <c r="C54" s="8" t="str">
        <f t="shared" si="1"/>
        <v/>
      </c>
      <c r="D54" s="31" t="str">
        <f t="shared" si="6"/>
        <v/>
      </c>
      <c r="E54" s="31" t="str">
        <f t="shared" si="7"/>
        <v/>
      </c>
      <c r="F54" s="31" t="str">
        <f t="shared" si="8"/>
        <v/>
      </c>
      <c r="G54" s="31" t="str">
        <f t="shared" si="9"/>
        <v/>
      </c>
    </row>
    <row r="55" spans="2:7">
      <c r="B55" s="10" t="str">
        <f t="shared" si="0"/>
        <v/>
      </c>
      <c r="C55" s="8" t="str">
        <f t="shared" si="1"/>
        <v/>
      </c>
      <c r="D55" s="31" t="str">
        <f t="shared" si="6"/>
        <v/>
      </c>
      <c r="E55" s="31" t="str">
        <f t="shared" si="7"/>
        <v/>
      </c>
      <c r="F55" s="31" t="str">
        <f t="shared" si="8"/>
        <v/>
      </c>
      <c r="G55" s="31" t="str">
        <f t="shared" si="9"/>
        <v/>
      </c>
    </row>
    <row r="56" spans="2:7">
      <c r="B56" s="10" t="str">
        <f t="shared" si="0"/>
        <v/>
      </c>
      <c r="C56" s="8" t="str">
        <f t="shared" si="1"/>
        <v/>
      </c>
      <c r="D56" s="31" t="str">
        <f t="shared" si="6"/>
        <v/>
      </c>
      <c r="E56" s="31" t="str">
        <f t="shared" si="7"/>
        <v/>
      </c>
      <c r="F56" s="31" t="str">
        <f t="shared" si="8"/>
        <v/>
      </c>
      <c r="G56" s="31" t="str">
        <f t="shared" si="9"/>
        <v/>
      </c>
    </row>
    <row r="57" spans="2:7">
      <c r="B57" s="10" t="str">
        <f t="shared" si="0"/>
        <v/>
      </c>
      <c r="C57" s="8" t="str">
        <f t="shared" si="1"/>
        <v/>
      </c>
      <c r="D57" s="31" t="str">
        <f t="shared" si="6"/>
        <v/>
      </c>
      <c r="E57" s="31" t="str">
        <f t="shared" si="7"/>
        <v/>
      </c>
      <c r="F57" s="31" t="str">
        <f t="shared" si="8"/>
        <v/>
      </c>
      <c r="G57" s="31" t="str">
        <f t="shared" si="9"/>
        <v/>
      </c>
    </row>
    <row r="58" spans="2:7">
      <c r="B58" s="10" t="str">
        <f t="shared" si="0"/>
        <v/>
      </c>
      <c r="C58" s="8" t="str">
        <f t="shared" si="1"/>
        <v/>
      </c>
      <c r="D58" s="31" t="str">
        <f t="shared" si="6"/>
        <v/>
      </c>
      <c r="E58" s="31" t="str">
        <f t="shared" si="7"/>
        <v/>
      </c>
      <c r="F58" s="31" t="str">
        <f t="shared" si="8"/>
        <v/>
      </c>
      <c r="G58" s="31" t="str">
        <f t="shared" si="9"/>
        <v/>
      </c>
    </row>
    <row r="59" spans="2:7">
      <c r="B59" s="10" t="str">
        <f t="shared" si="0"/>
        <v/>
      </c>
      <c r="C59" s="8" t="str">
        <f t="shared" si="1"/>
        <v/>
      </c>
      <c r="D59" s="31" t="str">
        <f t="shared" si="6"/>
        <v/>
      </c>
      <c r="E59" s="31" t="str">
        <f t="shared" si="7"/>
        <v/>
      </c>
      <c r="F59" s="31" t="str">
        <f t="shared" si="8"/>
        <v/>
      </c>
      <c r="G59" s="31" t="str">
        <f t="shared" si="9"/>
        <v/>
      </c>
    </row>
    <row r="60" spans="2:7">
      <c r="B60" s="10" t="str">
        <f t="shared" si="0"/>
        <v/>
      </c>
      <c r="C60" s="8" t="str">
        <f t="shared" si="1"/>
        <v/>
      </c>
      <c r="D60" s="31" t="str">
        <f t="shared" si="6"/>
        <v/>
      </c>
      <c r="E60" s="31" t="str">
        <f t="shared" si="7"/>
        <v/>
      </c>
      <c r="F60" s="31" t="str">
        <f t="shared" si="8"/>
        <v/>
      </c>
      <c r="G60" s="31" t="str">
        <f t="shared" si="9"/>
        <v/>
      </c>
    </row>
    <row r="61" spans="2:7">
      <c r="B61" s="10" t="str">
        <f t="shared" si="0"/>
        <v/>
      </c>
      <c r="C61" s="8" t="str">
        <f t="shared" si="1"/>
        <v/>
      </c>
      <c r="D61" s="31" t="str">
        <f t="shared" si="6"/>
        <v/>
      </c>
      <c r="E61" s="31" t="str">
        <f t="shared" si="7"/>
        <v/>
      </c>
      <c r="F61" s="31" t="str">
        <f t="shared" si="8"/>
        <v/>
      </c>
      <c r="G61" s="31" t="str">
        <f t="shared" si="9"/>
        <v/>
      </c>
    </row>
    <row r="62" spans="2:7">
      <c r="B62" s="10" t="str">
        <f t="shared" si="0"/>
        <v/>
      </c>
      <c r="C62" s="8" t="str">
        <f t="shared" si="1"/>
        <v/>
      </c>
      <c r="D62" s="31" t="str">
        <f t="shared" si="6"/>
        <v/>
      </c>
      <c r="E62" s="31" t="str">
        <f t="shared" si="7"/>
        <v/>
      </c>
      <c r="F62" s="31" t="str">
        <f t="shared" si="8"/>
        <v/>
      </c>
      <c r="G62" s="31" t="str">
        <f t="shared" si="9"/>
        <v/>
      </c>
    </row>
    <row r="63" spans="2:7">
      <c r="B63" s="10" t="str">
        <f t="shared" si="0"/>
        <v/>
      </c>
      <c r="C63" s="8" t="str">
        <f t="shared" si="1"/>
        <v/>
      </c>
      <c r="D63" s="31" t="str">
        <f t="shared" si="6"/>
        <v/>
      </c>
      <c r="E63" s="31" t="str">
        <f t="shared" si="7"/>
        <v/>
      </c>
      <c r="F63" s="31" t="str">
        <f t="shared" si="8"/>
        <v/>
      </c>
      <c r="G63" s="31" t="str">
        <f t="shared" si="9"/>
        <v/>
      </c>
    </row>
    <row r="64" spans="2:7">
      <c r="B64" s="10" t="str">
        <f t="shared" si="0"/>
        <v/>
      </c>
      <c r="C64" s="8" t="str">
        <f t="shared" si="1"/>
        <v/>
      </c>
      <c r="D64" s="31" t="str">
        <f t="shared" si="6"/>
        <v/>
      </c>
      <c r="E64" s="31" t="str">
        <f t="shared" si="7"/>
        <v/>
      </c>
      <c r="F64" s="31" t="str">
        <f t="shared" si="8"/>
        <v/>
      </c>
      <c r="G64" s="31" t="str">
        <f t="shared" si="9"/>
        <v/>
      </c>
    </row>
    <row r="65" spans="2:7">
      <c r="B65" s="10" t="str">
        <f t="shared" si="0"/>
        <v/>
      </c>
      <c r="C65" s="8" t="str">
        <f t="shared" si="1"/>
        <v/>
      </c>
      <c r="D65" s="31" t="str">
        <f t="shared" si="6"/>
        <v/>
      </c>
      <c r="E65" s="31" t="str">
        <f t="shared" si="7"/>
        <v/>
      </c>
      <c r="F65" s="31" t="str">
        <f t="shared" si="8"/>
        <v/>
      </c>
      <c r="G65" s="31" t="str">
        <f t="shared" si="9"/>
        <v/>
      </c>
    </row>
    <row r="66" spans="2:7">
      <c r="B66" s="10" t="str">
        <f t="shared" si="0"/>
        <v/>
      </c>
      <c r="C66" s="8" t="str">
        <f t="shared" si="1"/>
        <v/>
      </c>
      <c r="D66" s="31" t="str">
        <f t="shared" si="6"/>
        <v/>
      </c>
      <c r="E66" s="31" t="str">
        <f t="shared" si="7"/>
        <v/>
      </c>
      <c r="F66" s="31" t="str">
        <f t="shared" si="8"/>
        <v/>
      </c>
      <c r="G66" s="31" t="str">
        <f t="shared" si="9"/>
        <v/>
      </c>
    </row>
    <row r="67" spans="2:7">
      <c r="B67" s="10" t="str">
        <f t="shared" si="0"/>
        <v/>
      </c>
      <c r="C67" s="8" t="str">
        <f t="shared" si="1"/>
        <v/>
      </c>
      <c r="D67" s="31" t="str">
        <f t="shared" si="6"/>
        <v/>
      </c>
      <c r="E67" s="31" t="str">
        <f t="shared" si="7"/>
        <v/>
      </c>
      <c r="F67" s="31" t="str">
        <f t="shared" si="8"/>
        <v/>
      </c>
      <c r="G67" s="31" t="str">
        <f t="shared" si="9"/>
        <v/>
      </c>
    </row>
    <row r="68" spans="2:7">
      <c r="B68" s="10" t="str">
        <f t="shared" si="0"/>
        <v/>
      </c>
      <c r="C68" s="8" t="str">
        <f t="shared" si="1"/>
        <v/>
      </c>
      <c r="D68" s="31" t="str">
        <f t="shared" si="6"/>
        <v/>
      </c>
      <c r="E68" s="31" t="str">
        <f t="shared" si="7"/>
        <v/>
      </c>
      <c r="F68" s="31" t="str">
        <f t="shared" si="8"/>
        <v/>
      </c>
      <c r="G68" s="31" t="str">
        <f t="shared" si="9"/>
        <v/>
      </c>
    </row>
    <row r="69" spans="2:7">
      <c r="B69" s="10" t="str">
        <f t="shared" si="0"/>
        <v/>
      </c>
      <c r="C69" s="8" t="str">
        <f t="shared" si="1"/>
        <v/>
      </c>
      <c r="D69" s="31" t="str">
        <f t="shared" si="6"/>
        <v/>
      </c>
      <c r="E69" s="31" t="str">
        <f t="shared" si="7"/>
        <v/>
      </c>
      <c r="F69" s="31" t="str">
        <f t="shared" si="8"/>
        <v/>
      </c>
      <c r="G69" s="31" t="str">
        <f t="shared" si="9"/>
        <v/>
      </c>
    </row>
    <row r="70" spans="2:7">
      <c r="B70" s="10" t="str">
        <f t="shared" si="0"/>
        <v/>
      </c>
      <c r="C70" s="8" t="str">
        <f t="shared" si="1"/>
        <v/>
      </c>
      <c r="D70" s="31" t="str">
        <f t="shared" si="6"/>
        <v/>
      </c>
      <c r="E70" s="31" t="str">
        <f t="shared" si="7"/>
        <v/>
      </c>
      <c r="F70" s="31" t="str">
        <f t="shared" si="8"/>
        <v/>
      </c>
      <c r="G70" s="31" t="str">
        <f t="shared" si="9"/>
        <v/>
      </c>
    </row>
    <row r="71" spans="2:7">
      <c r="B71" s="10" t="str">
        <f t="shared" si="0"/>
        <v/>
      </c>
      <c r="C71" s="8" t="str">
        <f t="shared" si="1"/>
        <v/>
      </c>
      <c r="D71" s="31" t="str">
        <f t="shared" si="6"/>
        <v/>
      </c>
      <c r="E71" s="31" t="str">
        <f t="shared" si="7"/>
        <v/>
      </c>
      <c r="F71" s="31" t="str">
        <f t="shared" si="8"/>
        <v/>
      </c>
      <c r="G71" s="31" t="str">
        <f t="shared" si="9"/>
        <v/>
      </c>
    </row>
    <row r="72" spans="2:7">
      <c r="B72" s="10" t="str">
        <f t="shared" si="0"/>
        <v/>
      </c>
      <c r="C72" s="8" t="str">
        <f t="shared" si="1"/>
        <v/>
      </c>
      <c r="D72" s="31" t="str">
        <f t="shared" si="6"/>
        <v/>
      </c>
      <c r="E72" s="31" t="str">
        <f t="shared" si="7"/>
        <v/>
      </c>
      <c r="F72" s="31" t="str">
        <f t="shared" si="8"/>
        <v/>
      </c>
      <c r="G72" s="31" t="str">
        <f t="shared" si="9"/>
        <v/>
      </c>
    </row>
    <row r="73" spans="2:7">
      <c r="B73" s="10" t="str">
        <f t="shared" si="0"/>
        <v/>
      </c>
      <c r="C73" s="8" t="str">
        <f t="shared" si="1"/>
        <v/>
      </c>
      <c r="D73" s="31" t="str">
        <f t="shared" si="6"/>
        <v/>
      </c>
      <c r="E73" s="31" t="str">
        <f t="shared" si="7"/>
        <v/>
      </c>
      <c r="F73" s="31" t="str">
        <f t="shared" si="8"/>
        <v/>
      </c>
      <c r="G73" s="31" t="str">
        <f t="shared" si="9"/>
        <v/>
      </c>
    </row>
    <row r="74" spans="2:7">
      <c r="B74" s="10" t="str">
        <f t="shared" si="0"/>
        <v/>
      </c>
      <c r="C74" s="8" t="str">
        <f t="shared" si="1"/>
        <v/>
      </c>
      <c r="D74" s="31" t="str">
        <f t="shared" si="6"/>
        <v/>
      </c>
      <c r="E74" s="31" t="str">
        <f t="shared" si="7"/>
        <v/>
      </c>
      <c r="F74" s="31" t="str">
        <f t="shared" si="8"/>
        <v/>
      </c>
      <c r="G74" s="31" t="str">
        <f t="shared" si="9"/>
        <v/>
      </c>
    </row>
    <row r="75" spans="2:7">
      <c r="B75" s="10" t="str">
        <f t="shared" si="0"/>
        <v/>
      </c>
      <c r="C75" s="8" t="str">
        <f t="shared" si="1"/>
        <v/>
      </c>
      <c r="D75" s="31" t="str">
        <f t="shared" si="6"/>
        <v/>
      </c>
      <c r="E75" s="31" t="str">
        <f t="shared" si="7"/>
        <v/>
      </c>
      <c r="F75" s="31" t="str">
        <f t="shared" si="8"/>
        <v/>
      </c>
      <c r="G75" s="31" t="str">
        <f t="shared" si="9"/>
        <v/>
      </c>
    </row>
    <row r="76" spans="2:7">
      <c r="B76" s="10" t="str">
        <f t="shared" si="0"/>
        <v/>
      </c>
      <c r="C76" s="8" t="str">
        <f t="shared" si="1"/>
        <v/>
      </c>
      <c r="D76" s="31" t="str">
        <f t="shared" si="6"/>
        <v/>
      </c>
      <c r="E76" s="31" t="str">
        <f t="shared" si="7"/>
        <v/>
      </c>
      <c r="F76" s="31" t="str">
        <f t="shared" si="8"/>
        <v/>
      </c>
      <c r="G76" s="31" t="str">
        <f t="shared" si="9"/>
        <v/>
      </c>
    </row>
    <row r="77" spans="2:7">
      <c r="B77" s="10" t="str">
        <f t="shared" si="0"/>
        <v/>
      </c>
      <c r="C77" s="8" t="str">
        <f t="shared" si="1"/>
        <v/>
      </c>
      <c r="D77" s="31" t="str">
        <f t="shared" si="6"/>
        <v/>
      </c>
      <c r="E77" s="31" t="str">
        <f t="shared" si="7"/>
        <v/>
      </c>
      <c r="F77" s="31" t="str">
        <f t="shared" si="8"/>
        <v/>
      </c>
      <c r="G77" s="31" t="str">
        <f t="shared" si="9"/>
        <v/>
      </c>
    </row>
    <row r="78" spans="2:7">
      <c r="B78" s="10" t="str">
        <f t="shared" si="0"/>
        <v/>
      </c>
      <c r="C78" s="8" t="str">
        <f t="shared" si="1"/>
        <v/>
      </c>
      <c r="D78" s="31" t="str">
        <f t="shared" si="6"/>
        <v/>
      </c>
      <c r="E78" s="31" t="str">
        <f t="shared" si="7"/>
        <v/>
      </c>
      <c r="F78" s="31" t="str">
        <f t="shared" si="8"/>
        <v/>
      </c>
      <c r="G78" s="31" t="str">
        <f t="shared" si="9"/>
        <v/>
      </c>
    </row>
    <row r="79" spans="2:7">
      <c r="B79" s="10" t="str">
        <f t="shared" si="0"/>
        <v/>
      </c>
      <c r="C79" s="8" t="str">
        <f t="shared" si="1"/>
        <v/>
      </c>
      <c r="D79" s="31" t="str">
        <f t="shared" si="6"/>
        <v/>
      </c>
      <c r="E79" s="31" t="str">
        <f t="shared" si="7"/>
        <v/>
      </c>
      <c r="F79" s="31" t="str">
        <f t="shared" si="8"/>
        <v/>
      </c>
      <c r="G79" s="31" t="str">
        <f t="shared" si="9"/>
        <v/>
      </c>
    </row>
    <row r="80" spans="2:7">
      <c r="B80" s="10" t="str">
        <f t="shared" si="0"/>
        <v/>
      </c>
      <c r="C80" s="8" t="str">
        <f t="shared" si="1"/>
        <v/>
      </c>
      <c r="D80" s="31" t="str">
        <f t="shared" si="6"/>
        <v/>
      </c>
      <c r="E80" s="31" t="str">
        <f t="shared" si="7"/>
        <v/>
      </c>
      <c r="F80" s="31" t="str">
        <f t="shared" si="8"/>
        <v/>
      </c>
      <c r="G80" s="31" t="str">
        <f t="shared" si="9"/>
        <v/>
      </c>
    </row>
    <row r="81" spans="2:7">
      <c r="B81" s="10" t="str">
        <f t="shared" si="0"/>
        <v/>
      </c>
      <c r="C81" s="8" t="str">
        <f t="shared" si="1"/>
        <v/>
      </c>
      <c r="D81" s="31" t="str">
        <f t="shared" si="6"/>
        <v/>
      </c>
      <c r="E81" s="31" t="str">
        <f t="shared" si="7"/>
        <v/>
      </c>
      <c r="F81" s="31" t="str">
        <f t="shared" si="8"/>
        <v/>
      </c>
      <c r="G81" s="31" t="str">
        <f t="shared" si="9"/>
        <v/>
      </c>
    </row>
    <row r="82" spans="2:7">
      <c r="B82" s="10" t="str">
        <f t="shared" ref="B82:B145" si="10">IF(C82="","",EDATE($B$9,C82))</f>
        <v/>
      </c>
      <c r="C82" s="8" t="str">
        <f t="shared" ref="C82:C145" si="11">IF(C81&gt;=$B$6,"",C81+1)</f>
        <v/>
      </c>
      <c r="D82" s="31" t="str">
        <f t="shared" si="6"/>
        <v/>
      </c>
      <c r="E82" s="31" t="str">
        <f t="shared" si="7"/>
        <v/>
      </c>
      <c r="F82" s="31" t="str">
        <f t="shared" si="8"/>
        <v/>
      </c>
      <c r="G82" s="31" t="str">
        <f t="shared" si="9"/>
        <v/>
      </c>
    </row>
    <row r="83" spans="2:7">
      <c r="B83" s="10" t="str">
        <f t="shared" si="10"/>
        <v/>
      </c>
      <c r="C83" s="8" t="str">
        <f t="shared" si="11"/>
        <v/>
      </c>
      <c r="D83" s="31" t="str">
        <f t="shared" si="6"/>
        <v/>
      </c>
      <c r="E83" s="31" t="str">
        <f t="shared" si="7"/>
        <v/>
      </c>
      <c r="F83" s="31" t="str">
        <f t="shared" si="8"/>
        <v/>
      </c>
      <c r="G83" s="31" t="str">
        <f t="shared" si="9"/>
        <v/>
      </c>
    </row>
    <row r="84" spans="2:7">
      <c r="B84" s="10" t="str">
        <f t="shared" si="10"/>
        <v/>
      </c>
      <c r="C84" s="8" t="str">
        <f t="shared" si="11"/>
        <v/>
      </c>
      <c r="D84" s="31" t="str">
        <f t="shared" si="6"/>
        <v/>
      </c>
      <c r="E84" s="31" t="str">
        <f t="shared" si="7"/>
        <v/>
      </c>
      <c r="F84" s="31" t="str">
        <f t="shared" si="8"/>
        <v/>
      </c>
      <c r="G84" s="31" t="str">
        <f t="shared" si="9"/>
        <v/>
      </c>
    </row>
    <row r="85" spans="2:7">
      <c r="B85" s="10" t="str">
        <f t="shared" si="10"/>
        <v/>
      </c>
      <c r="C85" s="8" t="str">
        <f t="shared" si="11"/>
        <v/>
      </c>
      <c r="D85" s="31" t="str">
        <f t="shared" si="6"/>
        <v/>
      </c>
      <c r="E85" s="31" t="str">
        <f t="shared" si="7"/>
        <v/>
      </c>
      <c r="F85" s="31" t="str">
        <f t="shared" si="8"/>
        <v/>
      </c>
      <c r="G85" s="31" t="str">
        <f t="shared" si="9"/>
        <v/>
      </c>
    </row>
    <row r="86" spans="2:7">
      <c r="B86" s="10" t="str">
        <f t="shared" si="10"/>
        <v/>
      </c>
      <c r="C86" s="8" t="str">
        <f t="shared" si="11"/>
        <v/>
      </c>
      <c r="D86" s="31" t="str">
        <f t="shared" ref="D86:D149" si="12">IF(C86="","",E86+F86)</f>
        <v/>
      </c>
      <c r="E86" s="31" t="str">
        <f t="shared" ref="E86:E149" si="13">IFERROR(-PPMT($B$5/12,C86,$B$6,$B$4,0,0),"")</f>
        <v/>
      </c>
      <c r="F86" s="31" t="str">
        <f t="shared" ref="F86:F149" si="14">IFERROR(-IPMT($B$5/12,C86,$B$6,$B$4,0,0),"")</f>
        <v/>
      </c>
      <c r="G86" s="31" t="str">
        <f t="shared" ref="G86:G149" si="15">IF(C86="","",G85-E86)</f>
        <v/>
      </c>
    </row>
    <row r="87" spans="2:7">
      <c r="B87" s="10" t="str">
        <f t="shared" si="10"/>
        <v/>
      </c>
      <c r="C87" s="8" t="str">
        <f t="shared" si="11"/>
        <v/>
      </c>
      <c r="D87" s="31" t="str">
        <f t="shared" si="12"/>
        <v/>
      </c>
      <c r="E87" s="31" t="str">
        <f t="shared" si="13"/>
        <v/>
      </c>
      <c r="F87" s="31" t="str">
        <f t="shared" si="14"/>
        <v/>
      </c>
      <c r="G87" s="31" t="str">
        <f t="shared" si="15"/>
        <v/>
      </c>
    </row>
    <row r="88" spans="2:7">
      <c r="B88" s="10" t="str">
        <f t="shared" si="10"/>
        <v/>
      </c>
      <c r="C88" s="8" t="str">
        <f t="shared" si="11"/>
        <v/>
      </c>
      <c r="D88" s="31" t="str">
        <f t="shared" si="12"/>
        <v/>
      </c>
      <c r="E88" s="31" t="str">
        <f t="shared" si="13"/>
        <v/>
      </c>
      <c r="F88" s="31" t="str">
        <f t="shared" si="14"/>
        <v/>
      </c>
      <c r="G88" s="31" t="str">
        <f t="shared" si="15"/>
        <v/>
      </c>
    </row>
    <row r="89" spans="2:7">
      <c r="B89" s="10" t="str">
        <f t="shared" si="10"/>
        <v/>
      </c>
      <c r="C89" s="8" t="str">
        <f t="shared" si="11"/>
        <v/>
      </c>
      <c r="D89" s="31" t="str">
        <f t="shared" si="12"/>
        <v/>
      </c>
      <c r="E89" s="31" t="str">
        <f t="shared" si="13"/>
        <v/>
      </c>
      <c r="F89" s="31" t="str">
        <f t="shared" si="14"/>
        <v/>
      </c>
      <c r="G89" s="31" t="str">
        <f t="shared" si="15"/>
        <v/>
      </c>
    </row>
    <row r="90" spans="2:7">
      <c r="B90" s="10" t="str">
        <f t="shared" si="10"/>
        <v/>
      </c>
      <c r="C90" s="8" t="str">
        <f t="shared" si="11"/>
        <v/>
      </c>
      <c r="D90" s="31" t="str">
        <f t="shared" si="12"/>
        <v/>
      </c>
      <c r="E90" s="31" t="str">
        <f t="shared" si="13"/>
        <v/>
      </c>
      <c r="F90" s="31" t="str">
        <f t="shared" si="14"/>
        <v/>
      </c>
      <c r="G90" s="31" t="str">
        <f t="shared" si="15"/>
        <v/>
      </c>
    </row>
    <row r="91" spans="2:7">
      <c r="B91" s="10" t="str">
        <f t="shared" si="10"/>
        <v/>
      </c>
      <c r="C91" s="8" t="str">
        <f t="shared" si="11"/>
        <v/>
      </c>
      <c r="D91" s="31" t="str">
        <f t="shared" si="12"/>
        <v/>
      </c>
      <c r="E91" s="31" t="str">
        <f t="shared" si="13"/>
        <v/>
      </c>
      <c r="F91" s="31" t="str">
        <f t="shared" si="14"/>
        <v/>
      </c>
      <c r="G91" s="31" t="str">
        <f t="shared" si="15"/>
        <v/>
      </c>
    </row>
    <row r="92" spans="2:7">
      <c r="B92" s="10" t="str">
        <f t="shared" si="10"/>
        <v/>
      </c>
      <c r="C92" s="8" t="str">
        <f t="shared" si="11"/>
        <v/>
      </c>
      <c r="D92" s="31" t="str">
        <f t="shared" si="12"/>
        <v/>
      </c>
      <c r="E92" s="31" t="str">
        <f t="shared" si="13"/>
        <v/>
      </c>
      <c r="F92" s="31" t="str">
        <f t="shared" si="14"/>
        <v/>
      </c>
      <c r="G92" s="31" t="str">
        <f t="shared" si="15"/>
        <v/>
      </c>
    </row>
    <row r="93" spans="2:7">
      <c r="B93" s="10" t="str">
        <f t="shared" si="10"/>
        <v/>
      </c>
      <c r="C93" s="8" t="str">
        <f t="shared" si="11"/>
        <v/>
      </c>
      <c r="D93" s="31" t="str">
        <f t="shared" si="12"/>
        <v/>
      </c>
      <c r="E93" s="31" t="str">
        <f t="shared" si="13"/>
        <v/>
      </c>
      <c r="F93" s="31" t="str">
        <f t="shared" si="14"/>
        <v/>
      </c>
      <c r="G93" s="31" t="str">
        <f t="shared" si="15"/>
        <v/>
      </c>
    </row>
    <row r="94" spans="2:7">
      <c r="B94" s="10" t="str">
        <f t="shared" si="10"/>
        <v/>
      </c>
      <c r="C94" s="8" t="str">
        <f t="shared" si="11"/>
        <v/>
      </c>
      <c r="D94" s="31" t="str">
        <f t="shared" si="12"/>
        <v/>
      </c>
      <c r="E94" s="31" t="str">
        <f t="shared" si="13"/>
        <v/>
      </c>
      <c r="F94" s="31" t="str">
        <f t="shared" si="14"/>
        <v/>
      </c>
      <c r="G94" s="31" t="str">
        <f t="shared" si="15"/>
        <v/>
      </c>
    </row>
    <row r="95" spans="2:7">
      <c r="B95" s="10" t="str">
        <f t="shared" si="10"/>
        <v/>
      </c>
      <c r="C95" s="8" t="str">
        <f t="shared" si="11"/>
        <v/>
      </c>
      <c r="D95" s="31" t="str">
        <f t="shared" si="12"/>
        <v/>
      </c>
      <c r="E95" s="31" t="str">
        <f t="shared" si="13"/>
        <v/>
      </c>
      <c r="F95" s="31" t="str">
        <f t="shared" si="14"/>
        <v/>
      </c>
      <c r="G95" s="31" t="str">
        <f t="shared" si="15"/>
        <v/>
      </c>
    </row>
    <row r="96" spans="2:7">
      <c r="B96" s="10" t="str">
        <f t="shared" si="10"/>
        <v/>
      </c>
      <c r="C96" s="8" t="str">
        <f t="shared" si="11"/>
        <v/>
      </c>
      <c r="D96" s="31" t="str">
        <f t="shared" si="12"/>
        <v/>
      </c>
      <c r="E96" s="31" t="str">
        <f t="shared" si="13"/>
        <v/>
      </c>
      <c r="F96" s="31" t="str">
        <f t="shared" si="14"/>
        <v/>
      </c>
      <c r="G96" s="31" t="str">
        <f t="shared" si="15"/>
        <v/>
      </c>
    </row>
    <row r="97" spans="2:7">
      <c r="B97" s="10" t="str">
        <f t="shared" si="10"/>
        <v/>
      </c>
      <c r="C97" s="8" t="str">
        <f t="shared" si="11"/>
        <v/>
      </c>
      <c r="D97" s="31" t="str">
        <f t="shared" si="12"/>
        <v/>
      </c>
      <c r="E97" s="31" t="str">
        <f t="shared" si="13"/>
        <v/>
      </c>
      <c r="F97" s="31" t="str">
        <f t="shared" si="14"/>
        <v/>
      </c>
      <c r="G97" s="31" t="str">
        <f t="shared" si="15"/>
        <v/>
      </c>
    </row>
    <row r="98" spans="2:7">
      <c r="B98" s="10" t="str">
        <f t="shared" si="10"/>
        <v/>
      </c>
      <c r="C98" s="8" t="str">
        <f t="shared" si="11"/>
        <v/>
      </c>
      <c r="D98" s="31" t="str">
        <f t="shared" si="12"/>
        <v/>
      </c>
      <c r="E98" s="31" t="str">
        <f t="shared" si="13"/>
        <v/>
      </c>
      <c r="F98" s="31" t="str">
        <f t="shared" si="14"/>
        <v/>
      </c>
      <c r="G98" s="31" t="str">
        <f t="shared" si="15"/>
        <v/>
      </c>
    </row>
    <row r="99" spans="2:7">
      <c r="B99" s="10" t="str">
        <f t="shared" si="10"/>
        <v/>
      </c>
      <c r="C99" s="8" t="str">
        <f t="shared" si="11"/>
        <v/>
      </c>
      <c r="D99" s="31" t="str">
        <f t="shared" si="12"/>
        <v/>
      </c>
      <c r="E99" s="31" t="str">
        <f t="shared" si="13"/>
        <v/>
      </c>
      <c r="F99" s="31" t="str">
        <f t="shared" si="14"/>
        <v/>
      </c>
      <c r="G99" s="31" t="str">
        <f t="shared" si="15"/>
        <v/>
      </c>
    </row>
    <row r="100" spans="2:7">
      <c r="B100" s="10" t="str">
        <f t="shared" si="10"/>
        <v/>
      </c>
      <c r="C100" s="8" t="str">
        <f t="shared" si="11"/>
        <v/>
      </c>
      <c r="D100" s="31" t="str">
        <f t="shared" si="12"/>
        <v/>
      </c>
      <c r="E100" s="31" t="str">
        <f t="shared" si="13"/>
        <v/>
      </c>
      <c r="F100" s="31" t="str">
        <f t="shared" si="14"/>
        <v/>
      </c>
      <c r="G100" s="31" t="str">
        <f t="shared" si="15"/>
        <v/>
      </c>
    </row>
    <row r="101" spans="2:7">
      <c r="B101" s="10" t="str">
        <f t="shared" si="10"/>
        <v/>
      </c>
      <c r="C101" s="8" t="str">
        <f t="shared" si="11"/>
        <v/>
      </c>
      <c r="D101" s="31" t="str">
        <f t="shared" si="12"/>
        <v/>
      </c>
      <c r="E101" s="31" t="str">
        <f t="shared" si="13"/>
        <v/>
      </c>
      <c r="F101" s="31" t="str">
        <f t="shared" si="14"/>
        <v/>
      </c>
      <c r="G101" s="31" t="str">
        <f t="shared" si="15"/>
        <v/>
      </c>
    </row>
    <row r="102" spans="2:7">
      <c r="B102" s="10" t="str">
        <f t="shared" si="10"/>
        <v/>
      </c>
      <c r="C102" s="8" t="str">
        <f t="shared" si="11"/>
        <v/>
      </c>
      <c r="D102" s="31" t="str">
        <f t="shared" si="12"/>
        <v/>
      </c>
      <c r="E102" s="31" t="str">
        <f t="shared" si="13"/>
        <v/>
      </c>
      <c r="F102" s="31" t="str">
        <f t="shared" si="14"/>
        <v/>
      </c>
      <c r="G102" s="31" t="str">
        <f t="shared" si="15"/>
        <v/>
      </c>
    </row>
    <row r="103" spans="2:7">
      <c r="B103" s="10" t="str">
        <f t="shared" si="10"/>
        <v/>
      </c>
      <c r="C103" s="8" t="str">
        <f t="shared" si="11"/>
        <v/>
      </c>
      <c r="D103" s="31" t="str">
        <f t="shared" si="12"/>
        <v/>
      </c>
      <c r="E103" s="31" t="str">
        <f t="shared" si="13"/>
        <v/>
      </c>
      <c r="F103" s="31" t="str">
        <f t="shared" si="14"/>
        <v/>
      </c>
      <c r="G103" s="31" t="str">
        <f t="shared" si="15"/>
        <v/>
      </c>
    </row>
    <row r="104" spans="2:7">
      <c r="B104" s="10" t="str">
        <f t="shared" si="10"/>
        <v/>
      </c>
      <c r="C104" s="8" t="str">
        <f t="shared" si="11"/>
        <v/>
      </c>
      <c r="D104" s="31" t="str">
        <f t="shared" si="12"/>
        <v/>
      </c>
      <c r="E104" s="31" t="str">
        <f t="shared" si="13"/>
        <v/>
      </c>
      <c r="F104" s="31" t="str">
        <f t="shared" si="14"/>
        <v/>
      </c>
      <c r="G104" s="31" t="str">
        <f t="shared" si="15"/>
        <v/>
      </c>
    </row>
    <row r="105" spans="2:7">
      <c r="B105" s="10" t="str">
        <f t="shared" si="10"/>
        <v/>
      </c>
      <c r="C105" s="8" t="str">
        <f t="shared" si="11"/>
        <v/>
      </c>
      <c r="D105" s="31" t="str">
        <f t="shared" si="12"/>
        <v/>
      </c>
      <c r="E105" s="31" t="str">
        <f t="shared" si="13"/>
        <v/>
      </c>
      <c r="F105" s="31" t="str">
        <f t="shared" si="14"/>
        <v/>
      </c>
      <c r="G105" s="31" t="str">
        <f t="shared" si="15"/>
        <v/>
      </c>
    </row>
    <row r="106" spans="2:7">
      <c r="B106" s="10" t="str">
        <f t="shared" si="10"/>
        <v/>
      </c>
      <c r="C106" s="8" t="str">
        <f t="shared" si="11"/>
        <v/>
      </c>
      <c r="D106" s="31" t="str">
        <f t="shared" si="12"/>
        <v/>
      </c>
      <c r="E106" s="31" t="str">
        <f t="shared" si="13"/>
        <v/>
      </c>
      <c r="F106" s="31" t="str">
        <f t="shared" si="14"/>
        <v/>
      </c>
      <c r="G106" s="31" t="str">
        <f t="shared" si="15"/>
        <v/>
      </c>
    </row>
    <row r="107" spans="2:7">
      <c r="B107" s="10" t="str">
        <f t="shared" si="10"/>
        <v/>
      </c>
      <c r="C107" s="8" t="str">
        <f t="shared" si="11"/>
        <v/>
      </c>
      <c r="D107" s="31" t="str">
        <f t="shared" si="12"/>
        <v/>
      </c>
      <c r="E107" s="31" t="str">
        <f t="shared" si="13"/>
        <v/>
      </c>
      <c r="F107" s="31" t="str">
        <f t="shared" si="14"/>
        <v/>
      </c>
      <c r="G107" s="31" t="str">
        <f t="shared" si="15"/>
        <v/>
      </c>
    </row>
    <row r="108" spans="2:7">
      <c r="B108" s="10" t="str">
        <f t="shared" si="10"/>
        <v/>
      </c>
      <c r="C108" s="8" t="str">
        <f t="shared" si="11"/>
        <v/>
      </c>
      <c r="D108" s="31" t="str">
        <f t="shared" si="12"/>
        <v/>
      </c>
      <c r="E108" s="31" t="str">
        <f t="shared" si="13"/>
        <v/>
      </c>
      <c r="F108" s="31" t="str">
        <f t="shared" si="14"/>
        <v/>
      </c>
      <c r="G108" s="31" t="str">
        <f t="shared" si="15"/>
        <v/>
      </c>
    </row>
    <row r="109" spans="2:7">
      <c r="B109" s="10" t="str">
        <f t="shared" si="10"/>
        <v/>
      </c>
      <c r="C109" s="8" t="str">
        <f t="shared" si="11"/>
        <v/>
      </c>
      <c r="D109" s="31" t="str">
        <f t="shared" si="12"/>
        <v/>
      </c>
      <c r="E109" s="31" t="str">
        <f t="shared" si="13"/>
        <v/>
      </c>
      <c r="F109" s="31" t="str">
        <f t="shared" si="14"/>
        <v/>
      </c>
      <c r="G109" s="31" t="str">
        <f t="shared" si="15"/>
        <v/>
      </c>
    </row>
    <row r="110" spans="2:7">
      <c r="B110" s="10" t="str">
        <f t="shared" si="10"/>
        <v/>
      </c>
      <c r="C110" s="8" t="str">
        <f t="shared" si="11"/>
        <v/>
      </c>
      <c r="D110" s="31" t="str">
        <f t="shared" si="12"/>
        <v/>
      </c>
      <c r="E110" s="31" t="str">
        <f t="shared" si="13"/>
        <v/>
      </c>
      <c r="F110" s="31" t="str">
        <f t="shared" si="14"/>
        <v/>
      </c>
      <c r="G110" s="31" t="str">
        <f t="shared" si="15"/>
        <v/>
      </c>
    </row>
    <row r="111" spans="2:7">
      <c r="B111" s="10" t="str">
        <f t="shared" si="10"/>
        <v/>
      </c>
      <c r="C111" s="8" t="str">
        <f t="shared" si="11"/>
        <v/>
      </c>
      <c r="D111" s="31" t="str">
        <f t="shared" si="12"/>
        <v/>
      </c>
      <c r="E111" s="31" t="str">
        <f t="shared" si="13"/>
        <v/>
      </c>
      <c r="F111" s="31" t="str">
        <f t="shared" si="14"/>
        <v/>
      </c>
      <c r="G111" s="31" t="str">
        <f t="shared" si="15"/>
        <v/>
      </c>
    </row>
    <row r="112" spans="2:7">
      <c r="B112" s="10" t="str">
        <f t="shared" si="10"/>
        <v/>
      </c>
      <c r="C112" s="8" t="str">
        <f t="shared" si="11"/>
        <v/>
      </c>
      <c r="D112" s="31" t="str">
        <f t="shared" si="12"/>
        <v/>
      </c>
      <c r="E112" s="31" t="str">
        <f t="shared" si="13"/>
        <v/>
      </c>
      <c r="F112" s="31" t="str">
        <f t="shared" si="14"/>
        <v/>
      </c>
      <c r="G112" s="31" t="str">
        <f t="shared" si="15"/>
        <v/>
      </c>
    </row>
    <row r="113" spans="2:7">
      <c r="B113" s="10" t="str">
        <f t="shared" si="10"/>
        <v/>
      </c>
      <c r="C113" s="8" t="str">
        <f t="shared" si="11"/>
        <v/>
      </c>
      <c r="D113" s="31" t="str">
        <f t="shared" si="12"/>
        <v/>
      </c>
      <c r="E113" s="31" t="str">
        <f t="shared" si="13"/>
        <v/>
      </c>
      <c r="F113" s="31" t="str">
        <f t="shared" si="14"/>
        <v/>
      </c>
      <c r="G113" s="31" t="str">
        <f t="shared" si="15"/>
        <v/>
      </c>
    </row>
    <row r="114" spans="2:7">
      <c r="B114" s="10" t="str">
        <f t="shared" si="10"/>
        <v/>
      </c>
      <c r="C114" s="8" t="str">
        <f t="shared" si="11"/>
        <v/>
      </c>
      <c r="D114" s="31" t="str">
        <f t="shared" si="12"/>
        <v/>
      </c>
      <c r="E114" s="31" t="str">
        <f t="shared" si="13"/>
        <v/>
      </c>
      <c r="F114" s="31" t="str">
        <f t="shared" si="14"/>
        <v/>
      </c>
      <c r="G114" s="31" t="str">
        <f t="shared" si="15"/>
        <v/>
      </c>
    </row>
    <row r="115" spans="2:7">
      <c r="B115" s="10" t="str">
        <f t="shared" si="10"/>
        <v/>
      </c>
      <c r="C115" s="8" t="str">
        <f t="shared" si="11"/>
        <v/>
      </c>
      <c r="D115" s="31" t="str">
        <f t="shared" si="12"/>
        <v/>
      </c>
      <c r="E115" s="31" t="str">
        <f t="shared" si="13"/>
        <v/>
      </c>
      <c r="F115" s="31" t="str">
        <f t="shared" si="14"/>
        <v/>
      </c>
      <c r="G115" s="31" t="str">
        <f t="shared" si="15"/>
        <v/>
      </c>
    </row>
    <row r="116" spans="2:7">
      <c r="B116" s="10" t="str">
        <f t="shared" si="10"/>
        <v/>
      </c>
      <c r="C116" s="8" t="str">
        <f t="shared" si="11"/>
        <v/>
      </c>
      <c r="D116" s="31" t="str">
        <f t="shared" si="12"/>
        <v/>
      </c>
      <c r="E116" s="31" t="str">
        <f t="shared" si="13"/>
        <v/>
      </c>
      <c r="F116" s="31" t="str">
        <f t="shared" si="14"/>
        <v/>
      </c>
      <c r="G116" s="31" t="str">
        <f t="shared" si="15"/>
        <v/>
      </c>
    </row>
    <row r="117" spans="2:7">
      <c r="B117" s="10" t="str">
        <f t="shared" si="10"/>
        <v/>
      </c>
      <c r="C117" s="8" t="str">
        <f t="shared" si="11"/>
        <v/>
      </c>
      <c r="D117" s="31" t="str">
        <f t="shared" si="12"/>
        <v/>
      </c>
      <c r="E117" s="31" t="str">
        <f t="shared" si="13"/>
        <v/>
      </c>
      <c r="F117" s="31" t="str">
        <f t="shared" si="14"/>
        <v/>
      </c>
      <c r="G117" s="31" t="str">
        <f t="shared" si="15"/>
        <v/>
      </c>
    </row>
    <row r="118" spans="2:7">
      <c r="B118" s="10" t="str">
        <f t="shared" si="10"/>
        <v/>
      </c>
      <c r="C118" s="8" t="str">
        <f t="shared" si="11"/>
        <v/>
      </c>
      <c r="D118" s="31" t="str">
        <f t="shared" si="12"/>
        <v/>
      </c>
      <c r="E118" s="31" t="str">
        <f t="shared" si="13"/>
        <v/>
      </c>
      <c r="F118" s="31" t="str">
        <f t="shared" si="14"/>
        <v/>
      </c>
      <c r="G118" s="31" t="str">
        <f t="shared" si="15"/>
        <v/>
      </c>
    </row>
    <row r="119" spans="2:7">
      <c r="B119" s="10" t="str">
        <f t="shared" si="10"/>
        <v/>
      </c>
      <c r="C119" s="8" t="str">
        <f t="shared" si="11"/>
        <v/>
      </c>
      <c r="D119" s="31" t="str">
        <f t="shared" si="12"/>
        <v/>
      </c>
      <c r="E119" s="31" t="str">
        <f t="shared" si="13"/>
        <v/>
      </c>
      <c r="F119" s="31" t="str">
        <f t="shared" si="14"/>
        <v/>
      </c>
      <c r="G119" s="31" t="str">
        <f t="shared" si="15"/>
        <v/>
      </c>
    </row>
    <row r="120" spans="2:7">
      <c r="B120" s="10" t="str">
        <f t="shared" si="10"/>
        <v/>
      </c>
      <c r="C120" s="8" t="str">
        <f t="shared" si="11"/>
        <v/>
      </c>
      <c r="D120" s="31" t="str">
        <f t="shared" si="12"/>
        <v/>
      </c>
      <c r="E120" s="31" t="str">
        <f t="shared" si="13"/>
        <v/>
      </c>
      <c r="F120" s="31" t="str">
        <f t="shared" si="14"/>
        <v/>
      </c>
      <c r="G120" s="31" t="str">
        <f t="shared" si="15"/>
        <v/>
      </c>
    </row>
    <row r="121" spans="2:7">
      <c r="B121" s="10" t="str">
        <f t="shared" si="10"/>
        <v/>
      </c>
      <c r="C121" s="8" t="str">
        <f t="shared" si="11"/>
        <v/>
      </c>
      <c r="D121" s="31" t="str">
        <f t="shared" si="12"/>
        <v/>
      </c>
      <c r="E121" s="31" t="str">
        <f t="shared" si="13"/>
        <v/>
      </c>
      <c r="F121" s="31" t="str">
        <f t="shared" si="14"/>
        <v/>
      </c>
      <c r="G121" s="31" t="str">
        <f t="shared" si="15"/>
        <v/>
      </c>
    </row>
    <row r="122" spans="2:7">
      <c r="B122" s="10" t="str">
        <f t="shared" si="10"/>
        <v/>
      </c>
      <c r="C122" s="8" t="str">
        <f t="shared" si="11"/>
        <v/>
      </c>
      <c r="D122" s="31" t="str">
        <f t="shared" si="12"/>
        <v/>
      </c>
      <c r="E122" s="31" t="str">
        <f t="shared" si="13"/>
        <v/>
      </c>
      <c r="F122" s="31" t="str">
        <f t="shared" si="14"/>
        <v/>
      </c>
      <c r="G122" s="31" t="str">
        <f t="shared" si="15"/>
        <v/>
      </c>
    </row>
    <row r="123" spans="2:7">
      <c r="B123" s="10" t="str">
        <f t="shared" si="10"/>
        <v/>
      </c>
      <c r="C123" s="8" t="str">
        <f t="shared" si="11"/>
        <v/>
      </c>
      <c r="D123" s="31" t="str">
        <f t="shared" si="12"/>
        <v/>
      </c>
      <c r="E123" s="31" t="str">
        <f t="shared" si="13"/>
        <v/>
      </c>
      <c r="F123" s="31" t="str">
        <f t="shared" si="14"/>
        <v/>
      </c>
      <c r="G123" s="31" t="str">
        <f t="shared" si="15"/>
        <v/>
      </c>
    </row>
    <row r="124" spans="2:7">
      <c r="B124" s="10" t="str">
        <f t="shared" si="10"/>
        <v/>
      </c>
      <c r="C124" s="8" t="str">
        <f t="shared" si="11"/>
        <v/>
      </c>
      <c r="D124" s="31" t="str">
        <f t="shared" si="12"/>
        <v/>
      </c>
      <c r="E124" s="31" t="str">
        <f t="shared" si="13"/>
        <v/>
      </c>
      <c r="F124" s="31" t="str">
        <f t="shared" si="14"/>
        <v/>
      </c>
      <c r="G124" s="31" t="str">
        <f t="shared" si="15"/>
        <v/>
      </c>
    </row>
    <row r="125" spans="2:7">
      <c r="B125" s="10" t="str">
        <f t="shared" si="10"/>
        <v/>
      </c>
      <c r="C125" s="8" t="str">
        <f t="shared" si="11"/>
        <v/>
      </c>
      <c r="D125" s="31" t="str">
        <f t="shared" si="12"/>
        <v/>
      </c>
      <c r="E125" s="31" t="str">
        <f t="shared" si="13"/>
        <v/>
      </c>
      <c r="F125" s="31" t="str">
        <f t="shared" si="14"/>
        <v/>
      </c>
      <c r="G125" s="31" t="str">
        <f t="shared" si="15"/>
        <v/>
      </c>
    </row>
    <row r="126" spans="2:7">
      <c r="B126" s="10" t="str">
        <f t="shared" si="10"/>
        <v/>
      </c>
      <c r="C126" s="8" t="str">
        <f t="shared" si="11"/>
        <v/>
      </c>
      <c r="D126" s="31" t="str">
        <f t="shared" si="12"/>
        <v/>
      </c>
      <c r="E126" s="31" t="str">
        <f t="shared" si="13"/>
        <v/>
      </c>
      <c r="F126" s="31" t="str">
        <f t="shared" si="14"/>
        <v/>
      </c>
      <c r="G126" s="31" t="str">
        <f t="shared" si="15"/>
        <v/>
      </c>
    </row>
    <row r="127" spans="2:7">
      <c r="B127" s="10" t="str">
        <f t="shared" si="10"/>
        <v/>
      </c>
      <c r="C127" s="8" t="str">
        <f t="shared" si="11"/>
        <v/>
      </c>
      <c r="D127" s="31" t="str">
        <f t="shared" si="12"/>
        <v/>
      </c>
      <c r="E127" s="31" t="str">
        <f t="shared" si="13"/>
        <v/>
      </c>
      <c r="F127" s="31" t="str">
        <f t="shared" si="14"/>
        <v/>
      </c>
      <c r="G127" s="31" t="str">
        <f t="shared" si="15"/>
        <v/>
      </c>
    </row>
    <row r="128" spans="2:7">
      <c r="B128" s="10" t="str">
        <f t="shared" si="10"/>
        <v/>
      </c>
      <c r="C128" s="8" t="str">
        <f t="shared" si="11"/>
        <v/>
      </c>
      <c r="D128" s="31" t="str">
        <f t="shared" si="12"/>
        <v/>
      </c>
      <c r="E128" s="31" t="str">
        <f t="shared" si="13"/>
        <v/>
      </c>
      <c r="F128" s="31" t="str">
        <f t="shared" si="14"/>
        <v/>
      </c>
      <c r="G128" s="31" t="str">
        <f t="shared" si="15"/>
        <v/>
      </c>
    </row>
    <row r="129" spans="2:7">
      <c r="B129" s="10" t="str">
        <f t="shared" si="10"/>
        <v/>
      </c>
      <c r="C129" s="8" t="str">
        <f t="shared" si="11"/>
        <v/>
      </c>
      <c r="D129" s="31" t="str">
        <f t="shared" si="12"/>
        <v/>
      </c>
      <c r="E129" s="31" t="str">
        <f t="shared" si="13"/>
        <v/>
      </c>
      <c r="F129" s="31" t="str">
        <f t="shared" si="14"/>
        <v/>
      </c>
      <c r="G129" s="31" t="str">
        <f t="shared" si="15"/>
        <v/>
      </c>
    </row>
    <row r="130" spans="2:7">
      <c r="B130" s="10" t="str">
        <f t="shared" si="10"/>
        <v/>
      </c>
      <c r="C130" s="8" t="str">
        <f t="shared" si="11"/>
        <v/>
      </c>
      <c r="D130" s="31" t="str">
        <f t="shared" si="12"/>
        <v/>
      </c>
      <c r="E130" s="31" t="str">
        <f t="shared" si="13"/>
        <v/>
      </c>
      <c r="F130" s="31" t="str">
        <f t="shared" si="14"/>
        <v/>
      </c>
      <c r="G130" s="31" t="str">
        <f t="shared" si="15"/>
        <v/>
      </c>
    </row>
    <row r="131" spans="2:7">
      <c r="B131" s="10" t="str">
        <f t="shared" si="10"/>
        <v/>
      </c>
      <c r="C131" s="8" t="str">
        <f t="shared" si="11"/>
        <v/>
      </c>
      <c r="D131" s="31" t="str">
        <f t="shared" si="12"/>
        <v/>
      </c>
      <c r="E131" s="31" t="str">
        <f t="shared" si="13"/>
        <v/>
      </c>
      <c r="F131" s="31" t="str">
        <f t="shared" si="14"/>
        <v/>
      </c>
      <c r="G131" s="31" t="str">
        <f t="shared" si="15"/>
        <v/>
      </c>
    </row>
    <row r="132" spans="2:7">
      <c r="B132" s="10" t="str">
        <f t="shared" si="10"/>
        <v/>
      </c>
      <c r="C132" s="8" t="str">
        <f t="shared" si="11"/>
        <v/>
      </c>
      <c r="D132" s="31" t="str">
        <f t="shared" si="12"/>
        <v/>
      </c>
      <c r="E132" s="31" t="str">
        <f t="shared" si="13"/>
        <v/>
      </c>
      <c r="F132" s="31" t="str">
        <f t="shared" si="14"/>
        <v/>
      </c>
      <c r="G132" s="31" t="str">
        <f t="shared" si="15"/>
        <v/>
      </c>
    </row>
    <row r="133" spans="2:7">
      <c r="B133" s="10" t="str">
        <f t="shared" si="10"/>
        <v/>
      </c>
      <c r="C133" s="8" t="str">
        <f t="shared" si="11"/>
        <v/>
      </c>
      <c r="D133" s="31" t="str">
        <f t="shared" si="12"/>
        <v/>
      </c>
      <c r="E133" s="31" t="str">
        <f t="shared" si="13"/>
        <v/>
      </c>
      <c r="F133" s="31" t="str">
        <f t="shared" si="14"/>
        <v/>
      </c>
      <c r="G133" s="31" t="str">
        <f t="shared" si="15"/>
        <v/>
      </c>
    </row>
    <row r="134" spans="2:7">
      <c r="B134" s="10" t="str">
        <f t="shared" si="10"/>
        <v/>
      </c>
      <c r="C134" s="8" t="str">
        <f t="shared" si="11"/>
        <v/>
      </c>
      <c r="D134" s="31" t="str">
        <f t="shared" si="12"/>
        <v/>
      </c>
      <c r="E134" s="31" t="str">
        <f t="shared" si="13"/>
        <v/>
      </c>
      <c r="F134" s="31" t="str">
        <f t="shared" si="14"/>
        <v/>
      </c>
      <c r="G134" s="31" t="str">
        <f t="shared" si="15"/>
        <v/>
      </c>
    </row>
    <row r="135" spans="2:7">
      <c r="B135" s="10" t="str">
        <f t="shared" si="10"/>
        <v/>
      </c>
      <c r="C135" s="8" t="str">
        <f t="shared" si="11"/>
        <v/>
      </c>
      <c r="D135" s="31" t="str">
        <f t="shared" si="12"/>
        <v/>
      </c>
      <c r="E135" s="31" t="str">
        <f t="shared" si="13"/>
        <v/>
      </c>
      <c r="F135" s="31" t="str">
        <f t="shared" si="14"/>
        <v/>
      </c>
      <c r="G135" s="31" t="str">
        <f t="shared" si="15"/>
        <v/>
      </c>
    </row>
    <row r="136" spans="2:7">
      <c r="B136" s="10" t="str">
        <f t="shared" si="10"/>
        <v/>
      </c>
      <c r="C136" s="8" t="str">
        <f t="shared" si="11"/>
        <v/>
      </c>
      <c r="D136" s="31" t="str">
        <f t="shared" si="12"/>
        <v/>
      </c>
      <c r="E136" s="31" t="str">
        <f t="shared" si="13"/>
        <v/>
      </c>
      <c r="F136" s="31" t="str">
        <f t="shared" si="14"/>
        <v/>
      </c>
      <c r="G136" s="31" t="str">
        <f t="shared" si="15"/>
        <v/>
      </c>
    </row>
    <row r="137" spans="2:7">
      <c r="B137" s="10" t="str">
        <f t="shared" si="10"/>
        <v/>
      </c>
      <c r="C137" s="8" t="str">
        <f t="shared" si="11"/>
        <v/>
      </c>
      <c r="D137" s="31" t="str">
        <f t="shared" si="12"/>
        <v/>
      </c>
      <c r="E137" s="31" t="str">
        <f t="shared" si="13"/>
        <v/>
      </c>
      <c r="F137" s="31" t="str">
        <f t="shared" si="14"/>
        <v/>
      </c>
      <c r="G137" s="31" t="str">
        <f t="shared" si="15"/>
        <v/>
      </c>
    </row>
    <row r="138" spans="2:7">
      <c r="B138" s="10" t="str">
        <f t="shared" si="10"/>
        <v/>
      </c>
      <c r="C138" s="8" t="str">
        <f t="shared" si="11"/>
        <v/>
      </c>
      <c r="D138" s="31" t="str">
        <f t="shared" si="12"/>
        <v/>
      </c>
      <c r="E138" s="31" t="str">
        <f t="shared" si="13"/>
        <v/>
      </c>
      <c r="F138" s="31" t="str">
        <f t="shared" si="14"/>
        <v/>
      </c>
      <c r="G138" s="31" t="str">
        <f t="shared" si="15"/>
        <v/>
      </c>
    </row>
    <row r="139" spans="2:7">
      <c r="B139" s="10" t="str">
        <f t="shared" si="10"/>
        <v/>
      </c>
      <c r="C139" s="8" t="str">
        <f t="shared" si="11"/>
        <v/>
      </c>
      <c r="D139" s="31" t="str">
        <f t="shared" si="12"/>
        <v/>
      </c>
      <c r="E139" s="31" t="str">
        <f t="shared" si="13"/>
        <v/>
      </c>
      <c r="F139" s="31" t="str">
        <f t="shared" si="14"/>
        <v/>
      </c>
      <c r="G139" s="31" t="str">
        <f t="shared" si="15"/>
        <v/>
      </c>
    </row>
    <row r="140" spans="2:7">
      <c r="B140" s="10" t="str">
        <f t="shared" si="10"/>
        <v/>
      </c>
      <c r="C140" s="8" t="str">
        <f t="shared" si="11"/>
        <v/>
      </c>
      <c r="D140" s="31" t="str">
        <f t="shared" si="12"/>
        <v/>
      </c>
      <c r="E140" s="31" t="str">
        <f t="shared" si="13"/>
        <v/>
      </c>
      <c r="F140" s="31" t="str">
        <f t="shared" si="14"/>
        <v/>
      </c>
      <c r="G140" s="31" t="str">
        <f t="shared" si="15"/>
        <v/>
      </c>
    </row>
    <row r="141" spans="2:7">
      <c r="B141" s="10" t="str">
        <f t="shared" si="10"/>
        <v/>
      </c>
      <c r="C141" s="8" t="str">
        <f t="shared" si="11"/>
        <v/>
      </c>
      <c r="D141" s="31" t="str">
        <f t="shared" si="12"/>
        <v/>
      </c>
      <c r="E141" s="31" t="str">
        <f t="shared" si="13"/>
        <v/>
      </c>
      <c r="F141" s="31" t="str">
        <f t="shared" si="14"/>
        <v/>
      </c>
      <c r="G141" s="31" t="str">
        <f t="shared" si="15"/>
        <v/>
      </c>
    </row>
    <row r="142" spans="2:7">
      <c r="B142" s="10" t="str">
        <f t="shared" si="10"/>
        <v/>
      </c>
      <c r="C142" s="8" t="str">
        <f t="shared" si="11"/>
        <v/>
      </c>
      <c r="D142" s="31" t="str">
        <f t="shared" si="12"/>
        <v/>
      </c>
      <c r="E142" s="31" t="str">
        <f t="shared" si="13"/>
        <v/>
      </c>
      <c r="F142" s="31" t="str">
        <f t="shared" si="14"/>
        <v/>
      </c>
      <c r="G142" s="31" t="str">
        <f t="shared" si="15"/>
        <v/>
      </c>
    </row>
    <row r="143" spans="2:7">
      <c r="B143" s="10" t="str">
        <f t="shared" si="10"/>
        <v/>
      </c>
      <c r="C143" s="8" t="str">
        <f t="shared" si="11"/>
        <v/>
      </c>
      <c r="D143" s="31" t="str">
        <f t="shared" si="12"/>
        <v/>
      </c>
      <c r="E143" s="31" t="str">
        <f t="shared" si="13"/>
        <v/>
      </c>
      <c r="F143" s="31" t="str">
        <f t="shared" si="14"/>
        <v/>
      </c>
      <c r="G143" s="31" t="str">
        <f t="shared" si="15"/>
        <v/>
      </c>
    </row>
    <row r="144" spans="2:7">
      <c r="B144" s="10" t="str">
        <f t="shared" si="10"/>
        <v/>
      </c>
      <c r="C144" s="8" t="str">
        <f t="shared" si="11"/>
        <v/>
      </c>
      <c r="D144" s="31" t="str">
        <f t="shared" si="12"/>
        <v/>
      </c>
      <c r="E144" s="31" t="str">
        <f t="shared" si="13"/>
        <v/>
      </c>
      <c r="F144" s="31" t="str">
        <f t="shared" si="14"/>
        <v/>
      </c>
      <c r="G144" s="31" t="str">
        <f t="shared" si="15"/>
        <v/>
      </c>
    </row>
    <row r="145" spans="2:7">
      <c r="B145" s="10" t="str">
        <f t="shared" si="10"/>
        <v/>
      </c>
      <c r="C145" s="8" t="str">
        <f t="shared" si="11"/>
        <v/>
      </c>
      <c r="D145" s="31" t="str">
        <f t="shared" si="12"/>
        <v/>
      </c>
      <c r="E145" s="31" t="str">
        <f t="shared" si="13"/>
        <v/>
      </c>
      <c r="F145" s="31" t="str">
        <f t="shared" si="14"/>
        <v/>
      </c>
      <c r="G145" s="31" t="str">
        <f t="shared" si="15"/>
        <v/>
      </c>
    </row>
    <row r="146" spans="2:7">
      <c r="B146" s="10" t="str">
        <f t="shared" ref="B146:B209" si="16">IF(C146="","",EDATE($B$9,C146))</f>
        <v/>
      </c>
      <c r="C146" s="8" t="str">
        <f t="shared" ref="C146:C209" si="17">IF(C145&gt;=$B$6,"",C145+1)</f>
        <v/>
      </c>
      <c r="D146" s="31" t="str">
        <f t="shared" si="12"/>
        <v/>
      </c>
      <c r="E146" s="31" t="str">
        <f t="shared" si="13"/>
        <v/>
      </c>
      <c r="F146" s="31" t="str">
        <f t="shared" si="14"/>
        <v/>
      </c>
      <c r="G146" s="31" t="str">
        <f t="shared" si="15"/>
        <v/>
      </c>
    </row>
    <row r="147" spans="2:7">
      <c r="B147" s="10" t="str">
        <f t="shared" si="16"/>
        <v/>
      </c>
      <c r="C147" s="8" t="str">
        <f t="shared" si="17"/>
        <v/>
      </c>
      <c r="D147" s="31" t="str">
        <f t="shared" si="12"/>
        <v/>
      </c>
      <c r="E147" s="31" t="str">
        <f t="shared" si="13"/>
        <v/>
      </c>
      <c r="F147" s="31" t="str">
        <f t="shared" si="14"/>
        <v/>
      </c>
      <c r="G147" s="31" t="str">
        <f t="shared" si="15"/>
        <v/>
      </c>
    </row>
    <row r="148" spans="2:7">
      <c r="B148" s="10" t="str">
        <f t="shared" si="16"/>
        <v/>
      </c>
      <c r="C148" s="8" t="str">
        <f t="shared" si="17"/>
        <v/>
      </c>
      <c r="D148" s="31" t="str">
        <f t="shared" si="12"/>
        <v/>
      </c>
      <c r="E148" s="31" t="str">
        <f t="shared" si="13"/>
        <v/>
      </c>
      <c r="F148" s="31" t="str">
        <f t="shared" si="14"/>
        <v/>
      </c>
      <c r="G148" s="31" t="str">
        <f t="shared" si="15"/>
        <v/>
      </c>
    </row>
    <row r="149" spans="2:7">
      <c r="B149" s="10" t="str">
        <f t="shared" si="16"/>
        <v/>
      </c>
      <c r="C149" s="8" t="str">
        <f t="shared" si="17"/>
        <v/>
      </c>
      <c r="D149" s="31" t="str">
        <f t="shared" si="12"/>
        <v/>
      </c>
      <c r="E149" s="31" t="str">
        <f t="shared" si="13"/>
        <v/>
      </c>
      <c r="F149" s="31" t="str">
        <f t="shared" si="14"/>
        <v/>
      </c>
      <c r="G149" s="31" t="str">
        <f t="shared" si="15"/>
        <v/>
      </c>
    </row>
    <row r="150" spans="2:7">
      <c r="B150" s="10" t="str">
        <f t="shared" si="16"/>
        <v/>
      </c>
      <c r="C150" s="8" t="str">
        <f t="shared" si="17"/>
        <v/>
      </c>
      <c r="D150" s="31" t="str">
        <f t="shared" ref="D150:D213" si="18">IF(C150="","",E150+F150)</f>
        <v/>
      </c>
      <c r="E150" s="31" t="str">
        <f t="shared" ref="E150:E213" si="19">IFERROR(-PPMT($B$5/12,C150,$B$6,$B$4,0,0),"")</f>
        <v/>
      </c>
      <c r="F150" s="31" t="str">
        <f t="shared" ref="F150:F213" si="20">IFERROR(-IPMT($B$5/12,C150,$B$6,$B$4,0,0),"")</f>
        <v/>
      </c>
      <c r="G150" s="31" t="str">
        <f t="shared" ref="G150:G213" si="21">IF(C150="","",G149-E150)</f>
        <v/>
      </c>
    </row>
    <row r="151" spans="2:7">
      <c r="B151" s="10" t="str">
        <f t="shared" si="16"/>
        <v/>
      </c>
      <c r="C151" s="8" t="str">
        <f t="shared" si="17"/>
        <v/>
      </c>
      <c r="D151" s="31" t="str">
        <f t="shared" si="18"/>
        <v/>
      </c>
      <c r="E151" s="31" t="str">
        <f t="shared" si="19"/>
        <v/>
      </c>
      <c r="F151" s="31" t="str">
        <f t="shared" si="20"/>
        <v/>
      </c>
      <c r="G151" s="31" t="str">
        <f t="shared" si="21"/>
        <v/>
      </c>
    </row>
    <row r="152" spans="2:7">
      <c r="B152" s="10" t="str">
        <f t="shared" si="16"/>
        <v/>
      </c>
      <c r="C152" s="8" t="str">
        <f t="shared" si="17"/>
        <v/>
      </c>
      <c r="D152" s="31" t="str">
        <f t="shared" si="18"/>
        <v/>
      </c>
      <c r="E152" s="31" t="str">
        <f t="shared" si="19"/>
        <v/>
      </c>
      <c r="F152" s="31" t="str">
        <f t="shared" si="20"/>
        <v/>
      </c>
      <c r="G152" s="31" t="str">
        <f t="shared" si="21"/>
        <v/>
      </c>
    </row>
    <row r="153" spans="2:7">
      <c r="B153" s="10" t="str">
        <f t="shared" si="16"/>
        <v/>
      </c>
      <c r="C153" s="8" t="str">
        <f t="shared" si="17"/>
        <v/>
      </c>
      <c r="D153" s="31" t="str">
        <f t="shared" si="18"/>
        <v/>
      </c>
      <c r="E153" s="31" t="str">
        <f t="shared" si="19"/>
        <v/>
      </c>
      <c r="F153" s="31" t="str">
        <f t="shared" si="20"/>
        <v/>
      </c>
      <c r="G153" s="31" t="str">
        <f t="shared" si="21"/>
        <v/>
      </c>
    </row>
    <row r="154" spans="2:7">
      <c r="B154" s="10" t="str">
        <f t="shared" si="16"/>
        <v/>
      </c>
      <c r="C154" s="8" t="str">
        <f t="shared" si="17"/>
        <v/>
      </c>
      <c r="D154" s="31" t="str">
        <f t="shared" si="18"/>
        <v/>
      </c>
      <c r="E154" s="31" t="str">
        <f t="shared" si="19"/>
        <v/>
      </c>
      <c r="F154" s="31" t="str">
        <f t="shared" si="20"/>
        <v/>
      </c>
      <c r="G154" s="31" t="str">
        <f t="shared" si="21"/>
        <v/>
      </c>
    </row>
    <row r="155" spans="2:7">
      <c r="B155" s="10" t="str">
        <f t="shared" si="16"/>
        <v/>
      </c>
      <c r="C155" s="8" t="str">
        <f t="shared" si="17"/>
        <v/>
      </c>
      <c r="D155" s="31" t="str">
        <f t="shared" si="18"/>
        <v/>
      </c>
      <c r="E155" s="31" t="str">
        <f t="shared" si="19"/>
        <v/>
      </c>
      <c r="F155" s="31" t="str">
        <f t="shared" si="20"/>
        <v/>
      </c>
      <c r="G155" s="31" t="str">
        <f t="shared" si="21"/>
        <v/>
      </c>
    </row>
    <row r="156" spans="2:7">
      <c r="B156" s="10" t="str">
        <f t="shared" si="16"/>
        <v/>
      </c>
      <c r="C156" s="8" t="str">
        <f t="shared" si="17"/>
        <v/>
      </c>
      <c r="D156" s="31" t="str">
        <f t="shared" si="18"/>
        <v/>
      </c>
      <c r="E156" s="31" t="str">
        <f t="shared" si="19"/>
        <v/>
      </c>
      <c r="F156" s="31" t="str">
        <f t="shared" si="20"/>
        <v/>
      </c>
      <c r="G156" s="31" t="str">
        <f t="shared" si="21"/>
        <v/>
      </c>
    </row>
    <row r="157" spans="2:7">
      <c r="B157" s="10" t="str">
        <f t="shared" si="16"/>
        <v/>
      </c>
      <c r="C157" s="8" t="str">
        <f t="shared" si="17"/>
        <v/>
      </c>
      <c r="D157" s="31" t="str">
        <f t="shared" si="18"/>
        <v/>
      </c>
      <c r="E157" s="31" t="str">
        <f t="shared" si="19"/>
        <v/>
      </c>
      <c r="F157" s="31" t="str">
        <f t="shared" si="20"/>
        <v/>
      </c>
      <c r="G157" s="31" t="str">
        <f t="shared" si="21"/>
        <v/>
      </c>
    </row>
    <row r="158" spans="2:7">
      <c r="B158" s="10" t="str">
        <f t="shared" si="16"/>
        <v/>
      </c>
      <c r="C158" s="8" t="str">
        <f t="shared" si="17"/>
        <v/>
      </c>
      <c r="D158" s="31" t="str">
        <f t="shared" si="18"/>
        <v/>
      </c>
      <c r="E158" s="31" t="str">
        <f t="shared" si="19"/>
        <v/>
      </c>
      <c r="F158" s="31" t="str">
        <f t="shared" si="20"/>
        <v/>
      </c>
      <c r="G158" s="31" t="str">
        <f t="shared" si="21"/>
        <v/>
      </c>
    </row>
    <row r="159" spans="2:7">
      <c r="B159" s="10" t="str">
        <f t="shared" si="16"/>
        <v/>
      </c>
      <c r="C159" s="8" t="str">
        <f t="shared" si="17"/>
        <v/>
      </c>
      <c r="D159" s="31" t="str">
        <f t="shared" si="18"/>
        <v/>
      </c>
      <c r="E159" s="31" t="str">
        <f t="shared" si="19"/>
        <v/>
      </c>
      <c r="F159" s="31" t="str">
        <f t="shared" si="20"/>
        <v/>
      </c>
      <c r="G159" s="31" t="str">
        <f t="shared" si="21"/>
        <v/>
      </c>
    </row>
    <row r="160" spans="2:7">
      <c r="B160" s="10" t="str">
        <f t="shared" si="16"/>
        <v/>
      </c>
      <c r="C160" s="8" t="str">
        <f t="shared" si="17"/>
        <v/>
      </c>
      <c r="D160" s="31" t="str">
        <f t="shared" si="18"/>
        <v/>
      </c>
      <c r="E160" s="31" t="str">
        <f t="shared" si="19"/>
        <v/>
      </c>
      <c r="F160" s="31" t="str">
        <f t="shared" si="20"/>
        <v/>
      </c>
      <c r="G160" s="31" t="str">
        <f t="shared" si="21"/>
        <v/>
      </c>
    </row>
    <row r="161" spans="2:7">
      <c r="B161" s="10" t="str">
        <f t="shared" si="16"/>
        <v/>
      </c>
      <c r="C161" s="8" t="str">
        <f t="shared" si="17"/>
        <v/>
      </c>
      <c r="D161" s="31" t="str">
        <f t="shared" si="18"/>
        <v/>
      </c>
      <c r="E161" s="31" t="str">
        <f t="shared" si="19"/>
        <v/>
      </c>
      <c r="F161" s="31" t="str">
        <f t="shared" si="20"/>
        <v/>
      </c>
      <c r="G161" s="31" t="str">
        <f t="shared" si="21"/>
        <v/>
      </c>
    </row>
    <row r="162" spans="2:7">
      <c r="B162" s="10" t="str">
        <f t="shared" si="16"/>
        <v/>
      </c>
      <c r="C162" s="8" t="str">
        <f t="shared" si="17"/>
        <v/>
      </c>
      <c r="D162" s="31" t="str">
        <f t="shared" si="18"/>
        <v/>
      </c>
      <c r="E162" s="31" t="str">
        <f t="shared" si="19"/>
        <v/>
      </c>
      <c r="F162" s="31" t="str">
        <f t="shared" si="20"/>
        <v/>
      </c>
      <c r="G162" s="31" t="str">
        <f t="shared" si="21"/>
        <v/>
      </c>
    </row>
    <row r="163" spans="2:7">
      <c r="B163" s="10" t="str">
        <f t="shared" si="16"/>
        <v/>
      </c>
      <c r="C163" s="8" t="str">
        <f t="shared" si="17"/>
        <v/>
      </c>
      <c r="D163" s="31" t="str">
        <f t="shared" si="18"/>
        <v/>
      </c>
      <c r="E163" s="31" t="str">
        <f t="shared" si="19"/>
        <v/>
      </c>
      <c r="F163" s="31" t="str">
        <f t="shared" si="20"/>
        <v/>
      </c>
      <c r="G163" s="31" t="str">
        <f t="shared" si="21"/>
        <v/>
      </c>
    </row>
    <row r="164" spans="2:7">
      <c r="B164" s="10" t="str">
        <f t="shared" si="16"/>
        <v/>
      </c>
      <c r="C164" s="8" t="str">
        <f t="shared" si="17"/>
        <v/>
      </c>
      <c r="D164" s="31" t="str">
        <f t="shared" si="18"/>
        <v/>
      </c>
      <c r="E164" s="31" t="str">
        <f t="shared" si="19"/>
        <v/>
      </c>
      <c r="F164" s="31" t="str">
        <f t="shared" si="20"/>
        <v/>
      </c>
      <c r="G164" s="31" t="str">
        <f t="shared" si="21"/>
        <v/>
      </c>
    </row>
    <row r="165" spans="2:7">
      <c r="B165" s="10" t="str">
        <f t="shared" si="16"/>
        <v/>
      </c>
      <c r="C165" s="8" t="str">
        <f t="shared" si="17"/>
        <v/>
      </c>
      <c r="D165" s="31" t="str">
        <f t="shared" si="18"/>
        <v/>
      </c>
      <c r="E165" s="31" t="str">
        <f t="shared" si="19"/>
        <v/>
      </c>
      <c r="F165" s="31" t="str">
        <f t="shared" si="20"/>
        <v/>
      </c>
      <c r="G165" s="31" t="str">
        <f t="shared" si="21"/>
        <v/>
      </c>
    </row>
    <row r="166" spans="2:7">
      <c r="B166" s="10" t="str">
        <f t="shared" si="16"/>
        <v/>
      </c>
      <c r="C166" s="8" t="str">
        <f t="shared" si="17"/>
        <v/>
      </c>
      <c r="D166" s="31" t="str">
        <f t="shared" si="18"/>
        <v/>
      </c>
      <c r="E166" s="31" t="str">
        <f t="shared" si="19"/>
        <v/>
      </c>
      <c r="F166" s="31" t="str">
        <f t="shared" si="20"/>
        <v/>
      </c>
      <c r="G166" s="31" t="str">
        <f t="shared" si="21"/>
        <v/>
      </c>
    </row>
    <row r="167" spans="2:7">
      <c r="B167" s="10" t="str">
        <f t="shared" si="16"/>
        <v/>
      </c>
      <c r="C167" s="8" t="str">
        <f t="shared" si="17"/>
        <v/>
      </c>
      <c r="D167" s="31" t="str">
        <f t="shared" si="18"/>
        <v/>
      </c>
      <c r="E167" s="31" t="str">
        <f t="shared" si="19"/>
        <v/>
      </c>
      <c r="F167" s="31" t="str">
        <f t="shared" si="20"/>
        <v/>
      </c>
      <c r="G167" s="31" t="str">
        <f t="shared" si="21"/>
        <v/>
      </c>
    </row>
    <row r="168" spans="2:7">
      <c r="B168" s="10" t="str">
        <f t="shared" si="16"/>
        <v/>
      </c>
      <c r="C168" s="8" t="str">
        <f t="shared" si="17"/>
        <v/>
      </c>
      <c r="D168" s="31" t="str">
        <f t="shared" si="18"/>
        <v/>
      </c>
      <c r="E168" s="31" t="str">
        <f t="shared" si="19"/>
        <v/>
      </c>
      <c r="F168" s="31" t="str">
        <f t="shared" si="20"/>
        <v/>
      </c>
      <c r="G168" s="31" t="str">
        <f t="shared" si="21"/>
        <v/>
      </c>
    </row>
    <row r="169" spans="2:7">
      <c r="B169" s="10" t="str">
        <f t="shared" si="16"/>
        <v/>
      </c>
      <c r="C169" s="8" t="str">
        <f t="shared" si="17"/>
        <v/>
      </c>
      <c r="D169" s="31" t="str">
        <f t="shared" si="18"/>
        <v/>
      </c>
      <c r="E169" s="31" t="str">
        <f t="shared" si="19"/>
        <v/>
      </c>
      <c r="F169" s="31" t="str">
        <f t="shared" si="20"/>
        <v/>
      </c>
      <c r="G169" s="31" t="str">
        <f t="shared" si="21"/>
        <v/>
      </c>
    </row>
    <row r="170" spans="2:7">
      <c r="B170" s="10" t="str">
        <f t="shared" si="16"/>
        <v/>
      </c>
      <c r="C170" s="8" t="str">
        <f t="shared" si="17"/>
        <v/>
      </c>
      <c r="D170" s="31" t="str">
        <f t="shared" si="18"/>
        <v/>
      </c>
      <c r="E170" s="31" t="str">
        <f t="shared" si="19"/>
        <v/>
      </c>
      <c r="F170" s="31" t="str">
        <f t="shared" si="20"/>
        <v/>
      </c>
      <c r="G170" s="31" t="str">
        <f t="shared" si="21"/>
        <v/>
      </c>
    </row>
    <row r="171" spans="2:7">
      <c r="B171" s="10" t="str">
        <f t="shared" si="16"/>
        <v/>
      </c>
      <c r="C171" s="8" t="str">
        <f t="shared" si="17"/>
        <v/>
      </c>
      <c r="D171" s="31" t="str">
        <f t="shared" si="18"/>
        <v/>
      </c>
      <c r="E171" s="31" t="str">
        <f t="shared" si="19"/>
        <v/>
      </c>
      <c r="F171" s="31" t="str">
        <f t="shared" si="20"/>
        <v/>
      </c>
      <c r="G171" s="31" t="str">
        <f t="shared" si="21"/>
        <v/>
      </c>
    </row>
    <row r="172" spans="2:7">
      <c r="B172" s="10" t="str">
        <f t="shared" si="16"/>
        <v/>
      </c>
      <c r="C172" s="8" t="str">
        <f t="shared" si="17"/>
        <v/>
      </c>
      <c r="D172" s="31" t="str">
        <f t="shared" si="18"/>
        <v/>
      </c>
      <c r="E172" s="31" t="str">
        <f t="shared" si="19"/>
        <v/>
      </c>
      <c r="F172" s="31" t="str">
        <f t="shared" si="20"/>
        <v/>
      </c>
      <c r="G172" s="31" t="str">
        <f t="shared" si="21"/>
        <v/>
      </c>
    </row>
    <row r="173" spans="2:7">
      <c r="B173" s="10" t="str">
        <f t="shared" si="16"/>
        <v/>
      </c>
      <c r="C173" s="8" t="str">
        <f t="shared" si="17"/>
        <v/>
      </c>
      <c r="D173" s="31" t="str">
        <f t="shared" si="18"/>
        <v/>
      </c>
      <c r="E173" s="31" t="str">
        <f t="shared" si="19"/>
        <v/>
      </c>
      <c r="F173" s="31" t="str">
        <f t="shared" si="20"/>
        <v/>
      </c>
      <c r="G173" s="31" t="str">
        <f t="shared" si="21"/>
        <v/>
      </c>
    </row>
    <row r="174" spans="2:7">
      <c r="B174" s="10" t="str">
        <f t="shared" si="16"/>
        <v/>
      </c>
      <c r="C174" s="8" t="str">
        <f t="shared" si="17"/>
        <v/>
      </c>
      <c r="D174" s="31" t="str">
        <f t="shared" si="18"/>
        <v/>
      </c>
      <c r="E174" s="31" t="str">
        <f t="shared" si="19"/>
        <v/>
      </c>
      <c r="F174" s="31" t="str">
        <f t="shared" si="20"/>
        <v/>
      </c>
      <c r="G174" s="31" t="str">
        <f t="shared" si="21"/>
        <v/>
      </c>
    </row>
    <row r="175" spans="2:7">
      <c r="B175" s="10" t="str">
        <f t="shared" si="16"/>
        <v/>
      </c>
      <c r="C175" s="8" t="str">
        <f t="shared" si="17"/>
        <v/>
      </c>
      <c r="D175" s="31" t="str">
        <f t="shared" si="18"/>
        <v/>
      </c>
      <c r="E175" s="31" t="str">
        <f t="shared" si="19"/>
        <v/>
      </c>
      <c r="F175" s="31" t="str">
        <f t="shared" si="20"/>
        <v/>
      </c>
      <c r="G175" s="31" t="str">
        <f t="shared" si="21"/>
        <v/>
      </c>
    </row>
    <row r="176" spans="2:7">
      <c r="B176" s="10" t="str">
        <f t="shared" si="16"/>
        <v/>
      </c>
      <c r="C176" s="8" t="str">
        <f t="shared" si="17"/>
        <v/>
      </c>
      <c r="D176" s="31" t="str">
        <f t="shared" si="18"/>
        <v/>
      </c>
      <c r="E176" s="31" t="str">
        <f t="shared" si="19"/>
        <v/>
      </c>
      <c r="F176" s="31" t="str">
        <f t="shared" si="20"/>
        <v/>
      </c>
      <c r="G176" s="31" t="str">
        <f t="shared" si="21"/>
        <v/>
      </c>
    </row>
    <row r="177" spans="2:7">
      <c r="B177" s="10" t="str">
        <f t="shared" si="16"/>
        <v/>
      </c>
      <c r="C177" s="8" t="str">
        <f t="shared" si="17"/>
        <v/>
      </c>
      <c r="D177" s="31" t="str">
        <f t="shared" si="18"/>
        <v/>
      </c>
      <c r="E177" s="31" t="str">
        <f t="shared" si="19"/>
        <v/>
      </c>
      <c r="F177" s="31" t="str">
        <f t="shared" si="20"/>
        <v/>
      </c>
      <c r="G177" s="31" t="str">
        <f t="shared" si="21"/>
        <v/>
      </c>
    </row>
    <row r="178" spans="2:7">
      <c r="B178" s="10" t="str">
        <f t="shared" si="16"/>
        <v/>
      </c>
      <c r="C178" s="8" t="str">
        <f t="shared" si="17"/>
        <v/>
      </c>
      <c r="D178" s="31" t="str">
        <f t="shared" si="18"/>
        <v/>
      </c>
      <c r="E178" s="31" t="str">
        <f t="shared" si="19"/>
        <v/>
      </c>
      <c r="F178" s="31" t="str">
        <f t="shared" si="20"/>
        <v/>
      </c>
      <c r="G178" s="31" t="str">
        <f t="shared" si="21"/>
        <v/>
      </c>
    </row>
    <row r="179" spans="2:7">
      <c r="B179" s="10" t="str">
        <f t="shared" si="16"/>
        <v/>
      </c>
      <c r="C179" s="8" t="str">
        <f t="shared" si="17"/>
        <v/>
      </c>
      <c r="D179" s="31" t="str">
        <f t="shared" si="18"/>
        <v/>
      </c>
      <c r="E179" s="31" t="str">
        <f t="shared" si="19"/>
        <v/>
      </c>
      <c r="F179" s="31" t="str">
        <f t="shared" si="20"/>
        <v/>
      </c>
      <c r="G179" s="31" t="str">
        <f t="shared" si="21"/>
        <v/>
      </c>
    </row>
    <row r="180" spans="2:7">
      <c r="B180" s="10" t="str">
        <f t="shared" si="16"/>
        <v/>
      </c>
      <c r="C180" s="8" t="str">
        <f t="shared" si="17"/>
        <v/>
      </c>
      <c r="D180" s="31" t="str">
        <f t="shared" si="18"/>
        <v/>
      </c>
      <c r="E180" s="31" t="str">
        <f t="shared" si="19"/>
        <v/>
      </c>
      <c r="F180" s="31" t="str">
        <f t="shared" si="20"/>
        <v/>
      </c>
      <c r="G180" s="31" t="str">
        <f t="shared" si="21"/>
        <v/>
      </c>
    </row>
    <row r="181" spans="2:7">
      <c r="B181" s="10" t="str">
        <f t="shared" si="16"/>
        <v/>
      </c>
      <c r="C181" s="8" t="str">
        <f t="shared" si="17"/>
        <v/>
      </c>
      <c r="D181" s="31" t="str">
        <f t="shared" si="18"/>
        <v/>
      </c>
      <c r="E181" s="31" t="str">
        <f t="shared" si="19"/>
        <v/>
      </c>
      <c r="F181" s="31" t="str">
        <f t="shared" si="20"/>
        <v/>
      </c>
      <c r="G181" s="31" t="str">
        <f t="shared" si="21"/>
        <v/>
      </c>
    </row>
    <row r="182" spans="2:7">
      <c r="B182" s="10" t="str">
        <f t="shared" si="16"/>
        <v/>
      </c>
      <c r="C182" s="8" t="str">
        <f t="shared" si="17"/>
        <v/>
      </c>
      <c r="D182" s="31" t="str">
        <f t="shared" si="18"/>
        <v/>
      </c>
      <c r="E182" s="31" t="str">
        <f t="shared" si="19"/>
        <v/>
      </c>
      <c r="F182" s="31" t="str">
        <f t="shared" si="20"/>
        <v/>
      </c>
      <c r="G182" s="31" t="str">
        <f t="shared" si="21"/>
        <v/>
      </c>
    </row>
    <row r="183" spans="2:7">
      <c r="B183" s="10" t="str">
        <f t="shared" si="16"/>
        <v/>
      </c>
      <c r="C183" s="8" t="str">
        <f t="shared" si="17"/>
        <v/>
      </c>
      <c r="D183" s="31" t="str">
        <f t="shared" si="18"/>
        <v/>
      </c>
      <c r="E183" s="31" t="str">
        <f t="shared" si="19"/>
        <v/>
      </c>
      <c r="F183" s="31" t="str">
        <f t="shared" si="20"/>
        <v/>
      </c>
      <c r="G183" s="31" t="str">
        <f t="shared" si="21"/>
        <v/>
      </c>
    </row>
    <row r="184" spans="2:7">
      <c r="B184" s="10" t="str">
        <f t="shared" si="16"/>
        <v/>
      </c>
      <c r="C184" s="8" t="str">
        <f t="shared" si="17"/>
        <v/>
      </c>
      <c r="D184" s="31" t="str">
        <f t="shared" si="18"/>
        <v/>
      </c>
      <c r="E184" s="31" t="str">
        <f t="shared" si="19"/>
        <v/>
      </c>
      <c r="F184" s="31" t="str">
        <f t="shared" si="20"/>
        <v/>
      </c>
      <c r="G184" s="31" t="str">
        <f t="shared" si="21"/>
        <v/>
      </c>
    </row>
    <row r="185" spans="2:7">
      <c r="B185" s="10" t="str">
        <f t="shared" si="16"/>
        <v/>
      </c>
      <c r="C185" s="8" t="str">
        <f t="shared" si="17"/>
        <v/>
      </c>
      <c r="D185" s="31" t="str">
        <f t="shared" si="18"/>
        <v/>
      </c>
      <c r="E185" s="31" t="str">
        <f t="shared" si="19"/>
        <v/>
      </c>
      <c r="F185" s="31" t="str">
        <f t="shared" si="20"/>
        <v/>
      </c>
      <c r="G185" s="31" t="str">
        <f t="shared" si="21"/>
        <v/>
      </c>
    </row>
    <row r="186" spans="2:7">
      <c r="B186" s="10" t="str">
        <f t="shared" si="16"/>
        <v/>
      </c>
      <c r="C186" s="8" t="str">
        <f t="shared" si="17"/>
        <v/>
      </c>
      <c r="D186" s="31" t="str">
        <f t="shared" si="18"/>
        <v/>
      </c>
      <c r="E186" s="31" t="str">
        <f t="shared" si="19"/>
        <v/>
      </c>
      <c r="F186" s="31" t="str">
        <f t="shared" si="20"/>
        <v/>
      </c>
      <c r="G186" s="31" t="str">
        <f t="shared" si="21"/>
        <v/>
      </c>
    </row>
    <row r="187" spans="2:7">
      <c r="B187" s="10" t="str">
        <f t="shared" si="16"/>
        <v/>
      </c>
      <c r="C187" s="8" t="str">
        <f t="shared" si="17"/>
        <v/>
      </c>
      <c r="D187" s="31" t="str">
        <f t="shared" si="18"/>
        <v/>
      </c>
      <c r="E187" s="31" t="str">
        <f t="shared" si="19"/>
        <v/>
      </c>
      <c r="F187" s="31" t="str">
        <f t="shared" si="20"/>
        <v/>
      </c>
      <c r="G187" s="31" t="str">
        <f t="shared" si="21"/>
        <v/>
      </c>
    </row>
    <row r="188" spans="2:7">
      <c r="B188" s="10" t="str">
        <f t="shared" si="16"/>
        <v/>
      </c>
      <c r="C188" s="8" t="str">
        <f t="shared" si="17"/>
        <v/>
      </c>
      <c r="D188" s="31" t="str">
        <f t="shared" si="18"/>
        <v/>
      </c>
      <c r="E188" s="31" t="str">
        <f t="shared" si="19"/>
        <v/>
      </c>
      <c r="F188" s="31" t="str">
        <f t="shared" si="20"/>
        <v/>
      </c>
      <c r="G188" s="31" t="str">
        <f t="shared" si="21"/>
        <v/>
      </c>
    </row>
    <row r="189" spans="2:7">
      <c r="B189" s="10" t="str">
        <f t="shared" si="16"/>
        <v/>
      </c>
      <c r="C189" s="8" t="str">
        <f t="shared" si="17"/>
        <v/>
      </c>
      <c r="D189" s="31" t="str">
        <f t="shared" si="18"/>
        <v/>
      </c>
      <c r="E189" s="31" t="str">
        <f t="shared" si="19"/>
        <v/>
      </c>
      <c r="F189" s="31" t="str">
        <f t="shared" si="20"/>
        <v/>
      </c>
      <c r="G189" s="31" t="str">
        <f t="shared" si="21"/>
        <v/>
      </c>
    </row>
    <row r="190" spans="2:7">
      <c r="B190" s="10" t="str">
        <f t="shared" si="16"/>
        <v/>
      </c>
      <c r="C190" s="8" t="str">
        <f t="shared" si="17"/>
        <v/>
      </c>
      <c r="D190" s="31" t="str">
        <f t="shared" si="18"/>
        <v/>
      </c>
      <c r="E190" s="31" t="str">
        <f t="shared" si="19"/>
        <v/>
      </c>
      <c r="F190" s="31" t="str">
        <f t="shared" si="20"/>
        <v/>
      </c>
      <c r="G190" s="31" t="str">
        <f t="shared" si="21"/>
        <v/>
      </c>
    </row>
    <row r="191" spans="2:7">
      <c r="B191" s="10" t="str">
        <f t="shared" si="16"/>
        <v/>
      </c>
      <c r="C191" s="8" t="str">
        <f t="shared" si="17"/>
        <v/>
      </c>
      <c r="D191" s="31" t="str">
        <f t="shared" si="18"/>
        <v/>
      </c>
      <c r="E191" s="31" t="str">
        <f t="shared" si="19"/>
        <v/>
      </c>
      <c r="F191" s="31" t="str">
        <f t="shared" si="20"/>
        <v/>
      </c>
      <c r="G191" s="31" t="str">
        <f t="shared" si="21"/>
        <v/>
      </c>
    </row>
    <row r="192" spans="2:7">
      <c r="B192" s="10" t="str">
        <f t="shared" si="16"/>
        <v/>
      </c>
      <c r="C192" s="8" t="str">
        <f t="shared" si="17"/>
        <v/>
      </c>
      <c r="D192" s="31" t="str">
        <f t="shared" si="18"/>
        <v/>
      </c>
      <c r="E192" s="31" t="str">
        <f t="shared" si="19"/>
        <v/>
      </c>
      <c r="F192" s="31" t="str">
        <f t="shared" si="20"/>
        <v/>
      </c>
      <c r="G192" s="31" t="str">
        <f t="shared" si="21"/>
        <v/>
      </c>
    </row>
    <row r="193" spans="2:7">
      <c r="B193" s="10" t="str">
        <f t="shared" si="16"/>
        <v/>
      </c>
      <c r="C193" s="8" t="str">
        <f t="shared" si="17"/>
        <v/>
      </c>
      <c r="D193" s="31" t="str">
        <f t="shared" si="18"/>
        <v/>
      </c>
      <c r="E193" s="31" t="str">
        <f t="shared" si="19"/>
        <v/>
      </c>
      <c r="F193" s="31" t="str">
        <f t="shared" si="20"/>
        <v/>
      </c>
      <c r="G193" s="31" t="str">
        <f t="shared" si="21"/>
        <v/>
      </c>
    </row>
    <row r="194" spans="2:7">
      <c r="B194" s="10" t="str">
        <f t="shared" si="16"/>
        <v/>
      </c>
      <c r="C194" s="8" t="str">
        <f t="shared" si="17"/>
        <v/>
      </c>
      <c r="D194" s="31" t="str">
        <f t="shared" si="18"/>
        <v/>
      </c>
      <c r="E194" s="31" t="str">
        <f t="shared" si="19"/>
        <v/>
      </c>
      <c r="F194" s="31" t="str">
        <f t="shared" si="20"/>
        <v/>
      </c>
      <c r="G194" s="31" t="str">
        <f t="shared" si="21"/>
        <v/>
      </c>
    </row>
    <row r="195" spans="2:7">
      <c r="B195" s="10" t="str">
        <f t="shared" si="16"/>
        <v/>
      </c>
      <c r="C195" s="8" t="str">
        <f t="shared" si="17"/>
        <v/>
      </c>
      <c r="D195" s="31" t="str">
        <f t="shared" si="18"/>
        <v/>
      </c>
      <c r="E195" s="31" t="str">
        <f t="shared" si="19"/>
        <v/>
      </c>
      <c r="F195" s="31" t="str">
        <f t="shared" si="20"/>
        <v/>
      </c>
      <c r="G195" s="31" t="str">
        <f t="shared" si="21"/>
        <v/>
      </c>
    </row>
    <row r="196" spans="2:7">
      <c r="B196" s="10" t="str">
        <f t="shared" si="16"/>
        <v/>
      </c>
      <c r="C196" s="8" t="str">
        <f t="shared" si="17"/>
        <v/>
      </c>
      <c r="D196" s="31" t="str">
        <f t="shared" si="18"/>
        <v/>
      </c>
      <c r="E196" s="31" t="str">
        <f t="shared" si="19"/>
        <v/>
      </c>
      <c r="F196" s="31" t="str">
        <f t="shared" si="20"/>
        <v/>
      </c>
      <c r="G196" s="31" t="str">
        <f t="shared" si="21"/>
        <v/>
      </c>
    </row>
    <row r="197" spans="2:7">
      <c r="B197" s="10" t="str">
        <f t="shared" si="16"/>
        <v/>
      </c>
      <c r="C197" s="8" t="str">
        <f t="shared" si="17"/>
        <v/>
      </c>
      <c r="D197" s="31" t="str">
        <f t="shared" si="18"/>
        <v/>
      </c>
      <c r="E197" s="31" t="str">
        <f t="shared" si="19"/>
        <v/>
      </c>
      <c r="F197" s="31" t="str">
        <f t="shared" si="20"/>
        <v/>
      </c>
      <c r="G197" s="31" t="str">
        <f t="shared" si="21"/>
        <v/>
      </c>
    </row>
    <row r="198" spans="2:7">
      <c r="B198" s="10" t="str">
        <f t="shared" si="16"/>
        <v/>
      </c>
      <c r="C198" s="8" t="str">
        <f t="shared" si="17"/>
        <v/>
      </c>
      <c r="D198" s="31" t="str">
        <f t="shared" si="18"/>
        <v/>
      </c>
      <c r="E198" s="31" t="str">
        <f t="shared" si="19"/>
        <v/>
      </c>
      <c r="F198" s="31" t="str">
        <f t="shared" si="20"/>
        <v/>
      </c>
      <c r="G198" s="31" t="str">
        <f t="shared" si="21"/>
        <v/>
      </c>
    </row>
    <row r="199" spans="2:7">
      <c r="B199" s="10" t="str">
        <f t="shared" si="16"/>
        <v/>
      </c>
      <c r="C199" s="8" t="str">
        <f t="shared" si="17"/>
        <v/>
      </c>
      <c r="D199" s="31" t="str">
        <f t="shared" si="18"/>
        <v/>
      </c>
      <c r="E199" s="31" t="str">
        <f t="shared" si="19"/>
        <v/>
      </c>
      <c r="F199" s="31" t="str">
        <f t="shared" si="20"/>
        <v/>
      </c>
      <c r="G199" s="31" t="str">
        <f t="shared" si="21"/>
        <v/>
      </c>
    </row>
    <row r="200" spans="2:7">
      <c r="B200" s="10" t="str">
        <f t="shared" si="16"/>
        <v/>
      </c>
      <c r="C200" s="8" t="str">
        <f t="shared" si="17"/>
        <v/>
      </c>
      <c r="D200" s="31" t="str">
        <f t="shared" si="18"/>
        <v/>
      </c>
      <c r="E200" s="31" t="str">
        <f t="shared" si="19"/>
        <v/>
      </c>
      <c r="F200" s="31" t="str">
        <f t="shared" si="20"/>
        <v/>
      </c>
      <c r="G200" s="31" t="str">
        <f t="shared" si="21"/>
        <v/>
      </c>
    </row>
    <row r="201" spans="2:7">
      <c r="B201" s="10" t="str">
        <f t="shared" si="16"/>
        <v/>
      </c>
      <c r="C201" s="8" t="str">
        <f t="shared" si="17"/>
        <v/>
      </c>
      <c r="D201" s="31" t="str">
        <f t="shared" si="18"/>
        <v/>
      </c>
      <c r="E201" s="31" t="str">
        <f t="shared" si="19"/>
        <v/>
      </c>
      <c r="F201" s="31" t="str">
        <f t="shared" si="20"/>
        <v/>
      </c>
      <c r="G201" s="31" t="str">
        <f t="shared" si="21"/>
        <v/>
      </c>
    </row>
    <row r="202" spans="2:7">
      <c r="B202" s="10" t="str">
        <f t="shared" si="16"/>
        <v/>
      </c>
      <c r="C202" s="8" t="str">
        <f t="shared" si="17"/>
        <v/>
      </c>
      <c r="D202" s="31" t="str">
        <f t="shared" si="18"/>
        <v/>
      </c>
      <c r="E202" s="31" t="str">
        <f t="shared" si="19"/>
        <v/>
      </c>
      <c r="F202" s="31" t="str">
        <f t="shared" si="20"/>
        <v/>
      </c>
      <c r="G202" s="31" t="str">
        <f t="shared" si="21"/>
        <v/>
      </c>
    </row>
    <row r="203" spans="2:7">
      <c r="B203" s="10" t="str">
        <f t="shared" si="16"/>
        <v/>
      </c>
      <c r="C203" s="8" t="str">
        <f t="shared" si="17"/>
        <v/>
      </c>
      <c r="D203" s="31" t="str">
        <f t="shared" si="18"/>
        <v/>
      </c>
      <c r="E203" s="31" t="str">
        <f t="shared" si="19"/>
        <v/>
      </c>
      <c r="F203" s="31" t="str">
        <f t="shared" si="20"/>
        <v/>
      </c>
      <c r="G203" s="31" t="str">
        <f t="shared" si="21"/>
        <v/>
      </c>
    </row>
    <row r="204" spans="2:7">
      <c r="B204" s="10" t="str">
        <f t="shared" si="16"/>
        <v/>
      </c>
      <c r="C204" s="8" t="str">
        <f t="shared" si="17"/>
        <v/>
      </c>
      <c r="D204" s="31" t="str">
        <f t="shared" si="18"/>
        <v/>
      </c>
      <c r="E204" s="31" t="str">
        <f t="shared" si="19"/>
        <v/>
      </c>
      <c r="F204" s="31" t="str">
        <f t="shared" si="20"/>
        <v/>
      </c>
      <c r="G204" s="31" t="str">
        <f t="shared" si="21"/>
        <v/>
      </c>
    </row>
    <row r="205" spans="2:7">
      <c r="B205" s="10" t="str">
        <f t="shared" si="16"/>
        <v/>
      </c>
      <c r="C205" s="8" t="str">
        <f t="shared" si="17"/>
        <v/>
      </c>
      <c r="D205" s="31" t="str">
        <f t="shared" si="18"/>
        <v/>
      </c>
      <c r="E205" s="31" t="str">
        <f t="shared" si="19"/>
        <v/>
      </c>
      <c r="F205" s="31" t="str">
        <f t="shared" si="20"/>
        <v/>
      </c>
      <c r="G205" s="31" t="str">
        <f t="shared" si="21"/>
        <v/>
      </c>
    </row>
    <row r="206" spans="2:7">
      <c r="B206" s="10" t="str">
        <f t="shared" si="16"/>
        <v/>
      </c>
      <c r="C206" s="8" t="str">
        <f t="shared" si="17"/>
        <v/>
      </c>
      <c r="D206" s="31" t="str">
        <f t="shared" si="18"/>
        <v/>
      </c>
      <c r="E206" s="31" t="str">
        <f t="shared" si="19"/>
        <v/>
      </c>
      <c r="F206" s="31" t="str">
        <f t="shared" si="20"/>
        <v/>
      </c>
      <c r="G206" s="31" t="str">
        <f t="shared" si="21"/>
        <v/>
      </c>
    </row>
    <row r="207" spans="2:7">
      <c r="B207" s="10" t="str">
        <f t="shared" si="16"/>
        <v/>
      </c>
      <c r="C207" s="8" t="str">
        <f t="shared" si="17"/>
        <v/>
      </c>
      <c r="D207" s="31" t="str">
        <f t="shared" si="18"/>
        <v/>
      </c>
      <c r="E207" s="31" t="str">
        <f t="shared" si="19"/>
        <v/>
      </c>
      <c r="F207" s="31" t="str">
        <f t="shared" si="20"/>
        <v/>
      </c>
      <c r="G207" s="31" t="str">
        <f t="shared" si="21"/>
        <v/>
      </c>
    </row>
    <row r="208" spans="2:7">
      <c r="B208" s="10" t="str">
        <f t="shared" si="16"/>
        <v/>
      </c>
      <c r="C208" s="8" t="str">
        <f t="shared" si="17"/>
        <v/>
      </c>
      <c r="D208" s="31" t="str">
        <f t="shared" si="18"/>
        <v/>
      </c>
      <c r="E208" s="31" t="str">
        <f t="shared" si="19"/>
        <v/>
      </c>
      <c r="F208" s="31" t="str">
        <f t="shared" si="20"/>
        <v/>
      </c>
      <c r="G208" s="31" t="str">
        <f t="shared" si="21"/>
        <v/>
      </c>
    </row>
    <row r="209" spans="2:7">
      <c r="B209" s="10" t="str">
        <f t="shared" si="16"/>
        <v/>
      </c>
      <c r="C209" s="8" t="str">
        <f t="shared" si="17"/>
        <v/>
      </c>
      <c r="D209" s="31" t="str">
        <f t="shared" si="18"/>
        <v/>
      </c>
      <c r="E209" s="31" t="str">
        <f t="shared" si="19"/>
        <v/>
      </c>
      <c r="F209" s="31" t="str">
        <f t="shared" si="20"/>
        <v/>
      </c>
      <c r="G209" s="31" t="str">
        <f t="shared" si="21"/>
        <v/>
      </c>
    </row>
    <row r="210" spans="2:7">
      <c r="B210" s="10" t="str">
        <f t="shared" ref="B210:B272" si="22">IF(C210="","",EDATE($B$9,C210))</f>
        <v/>
      </c>
      <c r="C210" s="8" t="str">
        <f t="shared" ref="C210:C272" si="23">IF(C209&gt;=$B$6,"",C209+1)</f>
        <v/>
      </c>
      <c r="D210" s="31" t="str">
        <f t="shared" si="18"/>
        <v/>
      </c>
      <c r="E210" s="31" t="str">
        <f t="shared" si="19"/>
        <v/>
      </c>
      <c r="F210" s="31" t="str">
        <f t="shared" si="20"/>
        <v/>
      </c>
      <c r="G210" s="31" t="str">
        <f t="shared" si="21"/>
        <v/>
      </c>
    </row>
    <row r="211" spans="2:7">
      <c r="B211" s="10" t="str">
        <f t="shared" si="22"/>
        <v/>
      </c>
      <c r="C211" s="8" t="str">
        <f t="shared" si="23"/>
        <v/>
      </c>
      <c r="D211" s="31" t="str">
        <f t="shared" si="18"/>
        <v/>
      </c>
      <c r="E211" s="31" t="str">
        <f t="shared" si="19"/>
        <v/>
      </c>
      <c r="F211" s="31" t="str">
        <f t="shared" si="20"/>
        <v/>
      </c>
      <c r="G211" s="31" t="str">
        <f t="shared" si="21"/>
        <v/>
      </c>
    </row>
    <row r="212" spans="2:7">
      <c r="B212" s="10" t="str">
        <f t="shared" si="22"/>
        <v/>
      </c>
      <c r="C212" s="8" t="str">
        <f t="shared" si="23"/>
        <v/>
      </c>
      <c r="D212" s="31" t="str">
        <f t="shared" si="18"/>
        <v/>
      </c>
      <c r="E212" s="31" t="str">
        <f t="shared" si="19"/>
        <v/>
      </c>
      <c r="F212" s="31" t="str">
        <f t="shared" si="20"/>
        <v/>
      </c>
      <c r="G212" s="31" t="str">
        <f t="shared" si="21"/>
        <v/>
      </c>
    </row>
    <row r="213" spans="2:7">
      <c r="B213" s="10" t="str">
        <f t="shared" si="22"/>
        <v/>
      </c>
      <c r="C213" s="8" t="str">
        <f t="shared" si="23"/>
        <v/>
      </c>
      <c r="D213" s="31" t="str">
        <f t="shared" si="18"/>
        <v/>
      </c>
      <c r="E213" s="31" t="str">
        <f t="shared" si="19"/>
        <v/>
      </c>
      <c r="F213" s="31" t="str">
        <f t="shared" si="20"/>
        <v/>
      </c>
      <c r="G213" s="31" t="str">
        <f t="shared" si="21"/>
        <v/>
      </c>
    </row>
    <row r="214" spans="2:7">
      <c r="B214" s="10" t="str">
        <f t="shared" si="22"/>
        <v/>
      </c>
      <c r="C214" s="8" t="str">
        <f t="shared" si="23"/>
        <v/>
      </c>
      <c r="D214" s="31" t="str">
        <f t="shared" ref="D214:D272" si="24">IF(C214="","",E214+F214)</f>
        <v/>
      </c>
      <c r="E214" s="31" t="str">
        <f t="shared" ref="E214:E272" si="25">IFERROR(-PPMT($B$5/12,C214,$B$6,$B$4,0,0),"")</f>
        <v/>
      </c>
      <c r="F214" s="31" t="str">
        <f t="shared" ref="F214:F272" si="26">IFERROR(-IPMT($B$5/12,C214,$B$6,$B$4,0,0),"")</f>
        <v/>
      </c>
      <c r="G214" s="31" t="str">
        <f t="shared" ref="G214:G272" si="27">IF(C214="","",G213-E214)</f>
        <v/>
      </c>
    </row>
    <row r="215" spans="2:7">
      <c r="B215" s="10" t="str">
        <f t="shared" si="22"/>
        <v/>
      </c>
      <c r="C215" s="8" t="str">
        <f t="shared" si="23"/>
        <v/>
      </c>
      <c r="D215" s="31" t="str">
        <f t="shared" si="24"/>
        <v/>
      </c>
      <c r="E215" s="31" t="str">
        <f t="shared" si="25"/>
        <v/>
      </c>
      <c r="F215" s="31" t="str">
        <f t="shared" si="26"/>
        <v/>
      </c>
      <c r="G215" s="31" t="str">
        <f t="shared" si="27"/>
        <v/>
      </c>
    </row>
    <row r="216" spans="2:7">
      <c r="B216" s="10" t="str">
        <f t="shared" si="22"/>
        <v/>
      </c>
      <c r="C216" s="8" t="str">
        <f t="shared" si="23"/>
        <v/>
      </c>
      <c r="D216" s="31" t="str">
        <f t="shared" si="24"/>
        <v/>
      </c>
      <c r="E216" s="31" t="str">
        <f t="shared" si="25"/>
        <v/>
      </c>
      <c r="F216" s="31" t="str">
        <f t="shared" si="26"/>
        <v/>
      </c>
      <c r="G216" s="31" t="str">
        <f t="shared" si="27"/>
        <v/>
      </c>
    </row>
    <row r="217" spans="2:7">
      <c r="B217" s="10" t="str">
        <f t="shared" si="22"/>
        <v/>
      </c>
      <c r="C217" s="8" t="str">
        <f t="shared" si="23"/>
        <v/>
      </c>
      <c r="D217" s="31" t="str">
        <f t="shared" si="24"/>
        <v/>
      </c>
      <c r="E217" s="31" t="str">
        <f t="shared" si="25"/>
        <v/>
      </c>
      <c r="F217" s="31" t="str">
        <f t="shared" si="26"/>
        <v/>
      </c>
      <c r="G217" s="31" t="str">
        <f t="shared" si="27"/>
        <v/>
      </c>
    </row>
    <row r="218" spans="2:7">
      <c r="B218" s="10" t="str">
        <f t="shared" si="22"/>
        <v/>
      </c>
      <c r="C218" s="8" t="str">
        <f t="shared" si="23"/>
        <v/>
      </c>
      <c r="D218" s="31" t="str">
        <f t="shared" si="24"/>
        <v/>
      </c>
      <c r="E218" s="31" t="str">
        <f t="shared" si="25"/>
        <v/>
      </c>
      <c r="F218" s="31" t="str">
        <f t="shared" si="26"/>
        <v/>
      </c>
      <c r="G218" s="31" t="str">
        <f t="shared" si="27"/>
        <v/>
      </c>
    </row>
    <row r="219" spans="2:7">
      <c r="B219" s="10" t="str">
        <f t="shared" si="22"/>
        <v/>
      </c>
      <c r="C219" s="8" t="str">
        <f t="shared" si="23"/>
        <v/>
      </c>
      <c r="D219" s="31" t="str">
        <f t="shared" si="24"/>
        <v/>
      </c>
      <c r="E219" s="31" t="str">
        <f t="shared" si="25"/>
        <v/>
      </c>
      <c r="F219" s="31" t="str">
        <f t="shared" si="26"/>
        <v/>
      </c>
      <c r="G219" s="31" t="str">
        <f t="shared" si="27"/>
        <v/>
      </c>
    </row>
    <row r="220" spans="2:7">
      <c r="B220" s="10" t="str">
        <f t="shared" si="22"/>
        <v/>
      </c>
      <c r="C220" s="8" t="str">
        <f t="shared" si="23"/>
        <v/>
      </c>
      <c r="D220" s="31" t="str">
        <f t="shared" si="24"/>
        <v/>
      </c>
      <c r="E220" s="31" t="str">
        <f t="shared" si="25"/>
        <v/>
      </c>
      <c r="F220" s="31" t="str">
        <f t="shared" si="26"/>
        <v/>
      </c>
      <c r="G220" s="31" t="str">
        <f t="shared" si="27"/>
        <v/>
      </c>
    </row>
    <row r="221" spans="2:7">
      <c r="B221" s="10" t="str">
        <f t="shared" si="22"/>
        <v/>
      </c>
      <c r="C221" s="8" t="str">
        <f t="shared" si="23"/>
        <v/>
      </c>
      <c r="D221" s="31" t="str">
        <f t="shared" si="24"/>
        <v/>
      </c>
      <c r="E221" s="31" t="str">
        <f t="shared" si="25"/>
        <v/>
      </c>
      <c r="F221" s="31" t="str">
        <f t="shared" si="26"/>
        <v/>
      </c>
      <c r="G221" s="31" t="str">
        <f t="shared" si="27"/>
        <v/>
      </c>
    </row>
    <row r="222" spans="2:7">
      <c r="B222" s="10" t="str">
        <f t="shared" si="22"/>
        <v/>
      </c>
      <c r="C222" s="8" t="str">
        <f t="shared" si="23"/>
        <v/>
      </c>
      <c r="D222" s="31" t="str">
        <f t="shared" si="24"/>
        <v/>
      </c>
      <c r="E222" s="31" t="str">
        <f t="shared" si="25"/>
        <v/>
      </c>
      <c r="F222" s="31" t="str">
        <f t="shared" si="26"/>
        <v/>
      </c>
      <c r="G222" s="31" t="str">
        <f t="shared" si="27"/>
        <v/>
      </c>
    </row>
    <row r="223" spans="2:7">
      <c r="B223" s="10" t="str">
        <f t="shared" si="22"/>
        <v/>
      </c>
      <c r="C223" s="8" t="str">
        <f t="shared" si="23"/>
        <v/>
      </c>
      <c r="D223" s="31" t="str">
        <f t="shared" si="24"/>
        <v/>
      </c>
      <c r="E223" s="31" t="str">
        <f t="shared" si="25"/>
        <v/>
      </c>
      <c r="F223" s="31" t="str">
        <f t="shared" si="26"/>
        <v/>
      </c>
      <c r="G223" s="31" t="str">
        <f t="shared" si="27"/>
        <v/>
      </c>
    </row>
    <row r="224" spans="2:7">
      <c r="B224" s="10" t="str">
        <f t="shared" si="22"/>
        <v/>
      </c>
      <c r="C224" s="8" t="str">
        <f t="shared" si="23"/>
        <v/>
      </c>
      <c r="D224" s="31" t="str">
        <f t="shared" si="24"/>
        <v/>
      </c>
      <c r="E224" s="31" t="str">
        <f t="shared" si="25"/>
        <v/>
      </c>
      <c r="F224" s="31" t="str">
        <f t="shared" si="26"/>
        <v/>
      </c>
      <c r="G224" s="31" t="str">
        <f t="shared" si="27"/>
        <v/>
      </c>
    </row>
    <row r="225" spans="2:7">
      <c r="B225" s="10" t="str">
        <f t="shared" si="22"/>
        <v/>
      </c>
      <c r="C225" s="8" t="str">
        <f t="shared" si="23"/>
        <v/>
      </c>
      <c r="D225" s="31" t="str">
        <f t="shared" si="24"/>
        <v/>
      </c>
      <c r="E225" s="31" t="str">
        <f t="shared" si="25"/>
        <v/>
      </c>
      <c r="F225" s="31" t="str">
        <f t="shared" si="26"/>
        <v/>
      </c>
      <c r="G225" s="31" t="str">
        <f t="shared" si="27"/>
        <v/>
      </c>
    </row>
    <row r="226" spans="2:7">
      <c r="B226" s="10" t="str">
        <f t="shared" si="22"/>
        <v/>
      </c>
      <c r="C226" s="8" t="str">
        <f t="shared" si="23"/>
        <v/>
      </c>
      <c r="D226" s="31" t="str">
        <f t="shared" si="24"/>
        <v/>
      </c>
      <c r="E226" s="31" t="str">
        <f t="shared" si="25"/>
        <v/>
      </c>
      <c r="F226" s="31" t="str">
        <f t="shared" si="26"/>
        <v/>
      </c>
      <c r="G226" s="31" t="str">
        <f t="shared" si="27"/>
        <v/>
      </c>
    </row>
    <row r="227" spans="2:7">
      <c r="B227" s="10" t="str">
        <f t="shared" si="22"/>
        <v/>
      </c>
      <c r="C227" s="8" t="str">
        <f t="shared" si="23"/>
        <v/>
      </c>
      <c r="D227" s="31" t="str">
        <f t="shared" si="24"/>
        <v/>
      </c>
      <c r="E227" s="31" t="str">
        <f t="shared" si="25"/>
        <v/>
      </c>
      <c r="F227" s="31" t="str">
        <f t="shared" si="26"/>
        <v/>
      </c>
      <c r="G227" s="31" t="str">
        <f t="shared" si="27"/>
        <v/>
      </c>
    </row>
    <row r="228" spans="2:7">
      <c r="B228" s="10" t="str">
        <f t="shared" si="22"/>
        <v/>
      </c>
      <c r="C228" s="8" t="str">
        <f t="shared" si="23"/>
        <v/>
      </c>
      <c r="D228" s="31" t="str">
        <f t="shared" si="24"/>
        <v/>
      </c>
      <c r="E228" s="31" t="str">
        <f t="shared" si="25"/>
        <v/>
      </c>
      <c r="F228" s="31" t="str">
        <f t="shared" si="26"/>
        <v/>
      </c>
      <c r="G228" s="31" t="str">
        <f t="shared" si="27"/>
        <v/>
      </c>
    </row>
    <row r="229" spans="2:7">
      <c r="B229" s="10" t="str">
        <f t="shared" si="22"/>
        <v/>
      </c>
      <c r="C229" s="8" t="str">
        <f t="shared" si="23"/>
        <v/>
      </c>
      <c r="D229" s="31" t="str">
        <f t="shared" si="24"/>
        <v/>
      </c>
      <c r="E229" s="31" t="str">
        <f t="shared" si="25"/>
        <v/>
      </c>
      <c r="F229" s="31" t="str">
        <f t="shared" si="26"/>
        <v/>
      </c>
      <c r="G229" s="31" t="str">
        <f t="shared" si="27"/>
        <v/>
      </c>
    </row>
    <row r="230" spans="2:7">
      <c r="B230" s="10" t="str">
        <f t="shared" si="22"/>
        <v/>
      </c>
      <c r="C230" s="8" t="str">
        <f t="shared" si="23"/>
        <v/>
      </c>
      <c r="D230" s="31" t="str">
        <f t="shared" si="24"/>
        <v/>
      </c>
      <c r="E230" s="31" t="str">
        <f t="shared" si="25"/>
        <v/>
      </c>
      <c r="F230" s="31" t="str">
        <f t="shared" si="26"/>
        <v/>
      </c>
      <c r="G230" s="31" t="str">
        <f t="shared" si="27"/>
        <v/>
      </c>
    </row>
    <row r="231" spans="2:7">
      <c r="B231" s="10" t="str">
        <f t="shared" si="22"/>
        <v/>
      </c>
      <c r="C231" s="8" t="str">
        <f t="shared" si="23"/>
        <v/>
      </c>
      <c r="D231" s="31" t="str">
        <f t="shared" si="24"/>
        <v/>
      </c>
      <c r="E231" s="31" t="str">
        <f t="shared" si="25"/>
        <v/>
      </c>
      <c r="F231" s="31" t="str">
        <f t="shared" si="26"/>
        <v/>
      </c>
      <c r="G231" s="31" t="str">
        <f t="shared" si="27"/>
        <v/>
      </c>
    </row>
    <row r="232" spans="2:7">
      <c r="B232" s="10" t="str">
        <f t="shared" si="22"/>
        <v/>
      </c>
      <c r="C232" s="8" t="str">
        <f t="shared" si="23"/>
        <v/>
      </c>
      <c r="D232" s="31" t="str">
        <f t="shared" si="24"/>
        <v/>
      </c>
      <c r="E232" s="31" t="str">
        <f t="shared" si="25"/>
        <v/>
      </c>
      <c r="F232" s="31" t="str">
        <f t="shared" si="26"/>
        <v/>
      </c>
      <c r="G232" s="31" t="str">
        <f t="shared" si="27"/>
        <v/>
      </c>
    </row>
    <row r="233" spans="2:7">
      <c r="B233" s="10" t="str">
        <f t="shared" si="22"/>
        <v/>
      </c>
      <c r="C233" s="8" t="str">
        <f t="shared" si="23"/>
        <v/>
      </c>
      <c r="D233" s="31" t="str">
        <f t="shared" si="24"/>
        <v/>
      </c>
      <c r="E233" s="31" t="str">
        <f t="shared" si="25"/>
        <v/>
      </c>
      <c r="F233" s="31" t="str">
        <f t="shared" si="26"/>
        <v/>
      </c>
      <c r="G233" s="31" t="str">
        <f t="shared" si="27"/>
        <v/>
      </c>
    </row>
    <row r="234" spans="2:7">
      <c r="B234" s="10" t="str">
        <f t="shared" si="22"/>
        <v/>
      </c>
      <c r="C234" s="8" t="str">
        <f t="shared" si="23"/>
        <v/>
      </c>
      <c r="D234" s="31" t="str">
        <f t="shared" si="24"/>
        <v/>
      </c>
      <c r="E234" s="31" t="str">
        <f t="shared" si="25"/>
        <v/>
      </c>
      <c r="F234" s="31" t="str">
        <f t="shared" si="26"/>
        <v/>
      </c>
      <c r="G234" s="31" t="str">
        <f t="shared" si="27"/>
        <v/>
      </c>
    </row>
    <row r="235" spans="2:7">
      <c r="B235" s="10" t="str">
        <f t="shared" si="22"/>
        <v/>
      </c>
      <c r="C235" s="8" t="str">
        <f t="shared" si="23"/>
        <v/>
      </c>
      <c r="D235" s="31" t="str">
        <f t="shared" si="24"/>
        <v/>
      </c>
      <c r="E235" s="31" t="str">
        <f t="shared" si="25"/>
        <v/>
      </c>
      <c r="F235" s="31" t="str">
        <f t="shared" si="26"/>
        <v/>
      </c>
      <c r="G235" s="31" t="str">
        <f t="shared" si="27"/>
        <v/>
      </c>
    </row>
    <row r="236" spans="2:7">
      <c r="B236" s="10" t="str">
        <f t="shared" si="22"/>
        <v/>
      </c>
      <c r="C236" s="8" t="str">
        <f t="shared" si="23"/>
        <v/>
      </c>
      <c r="D236" s="31" t="str">
        <f t="shared" si="24"/>
        <v/>
      </c>
      <c r="E236" s="31" t="str">
        <f t="shared" si="25"/>
        <v/>
      </c>
      <c r="F236" s="31" t="str">
        <f t="shared" si="26"/>
        <v/>
      </c>
      <c r="G236" s="31" t="str">
        <f t="shared" si="27"/>
        <v/>
      </c>
    </row>
    <row r="237" spans="2:7">
      <c r="B237" s="10" t="str">
        <f t="shared" si="22"/>
        <v/>
      </c>
      <c r="C237" s="8" t="str">
        <f t="shared" si="23"/>
        <v/>
      </c>
      <c r="D237" s="31" t="str">
        <f t="shared" si="24"/>
        <v/>
      </c>
      <c r="E237" s="31" t="str">
        <f t="shared" si="25"/>
        <v/>
      </c>
      <c r="F237" s="31" t="str">
        <f t="shared" si="26"/>
        <v/>
      </c>
      <c r="G237" s="31" t="str">
        <f t="shared" si="27"/>
        <v/>
      </c>
    </row>
    <row r="238" spans="2:7">
      <c r="B238" s="10" t="str">
        <f t="shared" si="22"/>
        <v/>
      </c>
      <c r="C238" s="8" t="str">
        <f t="shared" si="23"/>
        <v/>
      </c>
      <c r="D238" s="31" t="str">
        <f t="shared" si="24"/>
        <v/>
      </c>
      <c r="E238" s="31" t="str">
        <f t="shared" si="25"/>
        <v/>
      </c>
      <c r="F238" s="31" t="str">
        <f t="shared" si="26"/>
        <v/>
      </c>
      <c r="G238" s="31" t="str">
        <f t="shared" si="27"/>
        <v/>
      </c>
    </row>
    <row r="239" spans="2:7">
      <c r="B239" s="10" t="str">
        <f t="shared" si="22"/>
        <v/>
      </c>
      <c r="C239" s="8" t="str">
        <f t="shared" si="23"/>
        <v/>
      </c>
      <c r="D239" s="31" t="str">
        <f t="shared" si="24"/>
        <v/>
      </c>
      <c r="E239" s="31" t="str">
        <f t="shared" si="25"/>
        <v/>
      </c>
      <c r="F239" s="31" t="str">
        <f t="shared" si="26"/>
        <v/>
      </c>
      <c r="G239" s="31" t="str">
        <f t="shared" si="27"/>
        <v/>
      </c>
    </row>
    <row r="240" spans="2:7">
      <c r="B240" s="10" t="str">
        <f t="shared" si="22"/>
        <v/>
      </c>
      <c r="C240" s="8" t="str">
        <f t="shared" si="23"/>
        <v/>
      </c>
      <c r="D240" s="31" t="str">
        <f t="shared" si="24"/>
        <v/>
      </c>
      <c r="E240" s="31" t="str">
        <f t="shared" si="25"/>
        <v/>
      </c>
      <c r="F240" s="31" t="str">
        <f t="shared" si="26"/>
        <v/>
      </c>
      <c r="G240" s="31" t="str">
        <f t="shared" si="27"/>
        <v/>
      </c>
    </row>
    <row r="241" spans="2:7">
      <c r="B241" s="10" t="str">
        <f t="shared" si="22"/>
        <v/>
      </c>
      <c r="C241" s="8" t="str">
        <f t="shared" si="23"/>
        <v/>
      </c>
      <c r="D241" s="31" t="str">
        <f t="shared" si="24"/>
        <v/>
      </c>
      <c r="E241" s="31" t="str">
        <f t="shared" si="25"/>
        <v/>
      </c>
      <c r="F241" s="31" t="str">
        <f t="shared" si="26"/>
        <v/>
      </c>
      <c r="G241" s="31" t="str">
        <f t="shared" si="27"/>
        <v/>
      </c>
    </row>
    <row r="242" spans="2:7">
      <c r="B242" s="10" t="str">
        <f t="shared" si="22"/>
        <v/>
      </c>
      <c r="C242" s="8" t="str">
        <f t="shared" si="23"/>
        <v/>
      </c>
      <c r="D242" s="31" t="str">
        <f t="shared" si="24"/>
        <v/>
      </c>
      <c r="E242" s="31" t="str">
        <f t="shared" si="25"/>
        <v/>
      </c>
      <c r="F242" s="31" t="str">
        <f t="shared" si="26"/>
        <v/>
      </c>
      <c r="G242" s="31" t="str">
        <f t="shared" si="27"/>
        <v/>
      </c>
    </row>
    <row r="243" spans="2:7">
      <c r="B243" s="10" t="str">
        <f t="shared" si="22"/>
        <v/>
      </c>
      <c r="C243" s="8" t="str">
        <f t="shared" si="23"/>
        <v/>
      </c>
      <c r="D243" s="31" t="str">
        <f t="shared" si="24"/>
        <v/>
      </c>
      <c r="E243" s="31" t="str">
        <f t="shared" si="25"/>
        <v/>
      </c>
      <c r="F243" s="31" t="str">
        <f t="shared" si="26"/>
        <v/>
      </c>
      <c r="G243" s="31" t="str">
        <f t="shared" si="27"/>
        <v/>
      </c>
    </row>
    <row r="244" spans="2:7">
      <c r="B244" s="10" t="str">
        <f t="shared" si="22"/>
        <v/>
      </c>
      <c r="C244" s="8" t="str">
        <f t="shared" si="23"/>
        <v/>
      </c>
      <c r="D244" s="31" t="str">
        <f t="shared" si="24"/>
        <v/>
      </c>
      <c r="E244" s="31" t="str">
        <f t="shared" si="25"/>
        <v/>
      </c>
      <c r="F244" s="31" t="str">
        <f t="shared" si="26"/>
        <v/>
      </c>
      <c r="G244" s="31" t="str">
        <f t="shared" si="27"/>
        <v/>
      </c>
    </row>
    <row r="245" spans="2:7">
      <c r="B245" s="10" t="str">
        <f t="shared" si="22"/>
        <v/>
      </c>
      <c r="C245" s="8" t="str">
        <f t="shared" si="23"/>
        <v/>
      </c>
      <c r="D245" s="31" t="str">
        <f t="shared" si="24"/>
        <v/>
      </c>
      <c r="E245" s="31" t="str">
        <f t="shared" si="25"/>
        <v/>
      </c>
      <c r="F245" s="31" t="str">
        <f t="shared" si="26"/>
        <v/>
      </c>
      <c r="G245" s="31" t="str">
        <f t="shared" si="27"/>
        <v/>
      </c>
    </row>
    <row r="246" spans="2:7">
      <c r="B246" s="10" t="str">
        <f t="shared" si="22"/>
        <v/>
      </c>
      <c r="C246" s="8" t="str">
        <f t="shared" si="23"/>
        <v/>
      </c>
      <c r="D246" s="31" t="str">
        <f t="shared" si="24"/>
        <v/>
      </c>
      <c r="E246" s="31" t="str">
        <f t="shared" si="25"/>
        <v/>
      </c>
      <c r="F246" s="31" t="str">
        <f t="shared" si="26"/>
        <v/>
      </c>
      <c r="G246" s="31" t="str">
        <f t="shared" si="27"/>
        <v/>
      </c>
    </row>
    <row r="247" spans="2:7">
      <c r="B247" s="10" t="str">
        <f t="shared" si="22"/>
        <v/>
      </c>
      <c r="C247" s="8" t="str">
        <f t="shared" si="23"/>
        <v/>
      </c>
      <c r="D247" s="31" t="str">
        <f t="shared" si="24"/>
        <v/>
      </c>
      <c r="E247" s="31" t="str">
        <f t="shared" si="25"/>
        <v/>
      </c>
      <c r="F247" s="31" t="str">
        <f t="shared" si="26"/>
        <v/>
      </c>
      <c r="G247" s="31" t="str">
        <f t="shared" si="27"/>
        <v/>
      </c>
    </row>
    <row r="248" spans="2:7">
      <c r="B248" s="10" t="str">
        <f t="shared" si="22"/>
        <v/>
      </c>
      <c r="C248" s="8" t="str">
        <f t="shared" si="23"/>
        <v/>
      </c>
      <c r="D248" s="31" t="str">
        <f t="shared" si="24"/>
        <v/>
      </c>
      <c r="E248" s="31" t="str">
        <f t="shared" si="25"/>
        <v/>
      </c>
      <c r="F248" s="31" t="str">
        <f t="shared" si="26"/>
        <v/>
      </c>
      <c r="G248" s="31" t="str">
        <f t="shared" si="27"/>
        <v/>
      </c>
    </row>
    <row r="249" spans="2:7">
      <c r="B249" s="10" t="str">
        <f t="shared" si="22"/>
        <v/>
      </c>
      <c r="C249" s="8" t="str">
        <f t="shared" si="23"/>
        <v/>
      </c>
      <c r="D249" s="31" t="str">
        <f t="shared" si="24"/>
        <v/>
      </c>
      <c r="E249" s="31" t="str">
        <f t="shared" si="25"/>
        <v/>
      </c>
      <c r="F249" s="31" t="str">
        <f t="shared" si="26"/>
        <v/>
      </c>
      <c r="G249" s="31" t="str">
        <f t="shared" si="27"/>
        <v/>
      </c>
    </row>
    <row r="250" spans="2:7">
      <c r="B250" s="10" t="str">
        <f t="shared" si="22"/>
        <v/>
      </c>
      <c r="C250" s="8" t="str">
        <f t="shared" si="23"/>
        <v/>
      </c>
      <c r="D250" s="31" t="str">
        <f t="shared" si="24"/>
        <v/>
      </c>
      <c r="E250" s="31" t="str">
        <f t="shared" si="25"/>
        <v/>
      </c>
      <c r="F250" s="31" t="str">
        <f t="shared" si="26"/>
        <v/>
      </c>
      <c r="G250" s="31" t="str">
        <f t="shared" si="27"/>
        <v/>
      </c>
    </row>
    <row r="251" spans="2:7">
      <c r="B251" s="10" t="str">
        <f t="shared" si="22"/>
        <v/>
      </c>
      <c r="C251" s="8" t="str">
        <f t="shared" si="23"/>
        <v/>
      </c>
      <c r="D251" s="31" t="str">
        <f t="shared" si="24"/>
        <v/>
      </c>
      <c r="E251" s="31" t="str">
        <f t="shared" si="25"/>
        <v/>
      </c>
      <c r="F251" s="31" t="str">
        <f t="shared" si="26"/>
        <v/>
      </c>
      <c r="G251" s="31" t="str">
        <f t="shared" si="27"/>
        <v/>
      </c>
    </row>
    <row r="252" spans="2:7">
      <c r="B252" s="10" t="str">
        <f t="shared" si="22"/>
        <v/>
      </c>
      <c r="C252" s="8" t="str">
        <f t="shared" si="23"/>
        <v/>
      </c>
      <c r="D252" s="31" t="str">
        <f t="shared" si="24"/>
        <v/>
      </c>
      <c r="E252" s="31" t="str">
        <f t="shared" si="25"/>
        <v/>
      </c>
      <c r="F252" s="31" t="str">
        <f t="shared" si="26"/>
        <v/>
      </c>
      <c r="G252" s="31" t="str">
        <f t="shared" si="27"/>
        <v/>
      </c>
    </row>
    <row r="253" spans="2:7">
      <c r="B253" s="10" t="str">
        <f t="shared" si="22"/>
        <v/>
      </c>
      <c r="C253" s="8" t="str">
        <f t="shared" si="23"/>
        <v/>
      </c>
      <c r="D253" s="31" t="str">
        <f t="shared" si="24"/>
        <v/>
      </c>
      <c r="E253" s="31" t="str">
        <f t="shared" si="25"/>
        <v/>
      </c>
      <c r="F253" s="31" t="str">
        <f t="shared" si="26"/>
        <v/>
      </c>
      <c r="G253" s="31" t="str">
        <f t="shared" si="27"/>
        <v/>
      </c>
    </row>
    <row r="254" spans="2:7">
      <c r="B254" s="10" t="str">
        <f t="shared" si="22"/>
        <v/>
      </c>
      <c r="C254" s="8" t="str">
        <f t="shared" si="23"/>
        <v/>
      </c>
      <c r="D254" s="31" t="str">
        <f t="shared" si="24"/>
        <v/>
      </c>
      <c r="E254" s="31" t="str">
        <f t="shared" si="25"/>
        <v/>
      </c>
      <c r="F254" s="31" t="str">
        <f t="shared" si="26"/>
        <v/>
      </c>
      <c r="G254" s="31" t="str">
        <f t="shared" si="27"/>
        <v/>
      </c>
    </row>
    <row r="255" spans="2:7">
      <c r="B255" s="10" t="str">
        <f t="shared" si="22"/>
        <v/>
      </c>
      <c r="C255" s="8" t="str">
        <f t="shared" si="23"/>
        <v/>
      </c>
      <c r="D255" s="31" t="str">
        <f t="shared" si="24"/>
        <v/>
      </c>
      <c r="E255" s="31" t="str">
        <f t="shared" si="25"/>
        <v/>
      </c>
      <c r="F255" s="31" t="str">
        <f t="shared" si="26"/>
        <v/>
      </c>
      <c r="G255" s="31" t="str">
        <f t="shared" si="27"/>
        <v/>
      </c>
    </row>
    <row r="256" spans="2:7">
      <c r="B256" s="10" t="str">
        <f t="shared" si="22"/>
        <v/>
      </c>
      <c r="C256" s="8" t="str">
        <f t="shared" si="23"/>
        <v/>
      </c>
      <c r="D256" s="31" t="str">
        <f t="shared" si="24"/>
        <v/>
      </c>
      <c r="E256" s="31" t="str">
        <f t="shared" si="25"/>
        <v/>
      </c>
      <c r="F256" s="31" t="str">
        <f t="shared" si="26"/>
        <v/>
      </c>
      <c r="G256" s="31" t="str">
        <f t="shared" si="27"/>
        <v/>
      </c>
    </row>
    <row r="257" spans="2:7">
      <c r="B257" s="10" t="str">
        <f t="shared" si="22"/>
        <v/>
      </c>
      <c r="C257" s="8" t="str">
        <f t="shared" si="23"/>
        <v/>
      </c>
      <c r="D257" s="31" t="str">
        <f t="shared" si="24"/>
        <v/>
      </c>
      <c r="E257" s="31" t="str">
        <f t="shared" si="25"/>
        <v/>
      </c>
      <c r="F257" s="31" t="str">
        <f t="shared" si="26"/>
        <v/>
      </c>
      <c r="G257" s="31" t="str">
        <f t="shared" si="27"/>
        <v/>
      </c>
    </row>
    <row r="258" spans="2:7">
      <c r="B258" s="10" t="str">
        <f t="shared" si="22"/>
        <v/>
      </c>
      <c r="C258" s="8" t="str">
        <f t="shared" si="23"/>
        <v/>
      </c>
      <c r="D258" s="31" t="str">
        <f t="shared" si="24"/>
        <v/>
      </c>
      <c r="E258" s="31" t="str">
        <f t="shared" si="25"/>
        <v/>
      </c>
      <c r="F258" s="31" t="str">
        <f t="shared" si="26"/>
        <v/>
      </c>
      <c r="G258" s="31" t="str">
        <f t="shared" si="27"/>
        <v/>
      </c>
    </row>
    <row r="259" spans="2:7">
      <c r="B259" s="10" t="str">
        <f t="shared" si="22"/>
        <v/>
      </c>
      <c r="C259" s="8" t="str">
        <f t="shared" si="23"/>
        <v/>
      </c>
      <c r="D259" s="31" t="str">
        <f t="shared" si="24"/>
        <v/>
      </c>
      <c r="E259" s="31" t="str">
        <f t="shared" si="25"/>
        <v/>
      </c>
      <c r="F259" s="31" t="str">
        <f t="shared" si="26"/>
        <v/>
      </c>
      <c r="G259" s="31" t="str">
        <f t="shared" si="27"/>
        <v/>
      </c>
    </row>
    <row r="260" spans="2:7">
      <c r="B260" s="10" t="str">
        <f t="shared" si="22"/>
        <v/>
      </c>
      <c r="C260" s="8" t="str">
        <f t="shared" si="23"/>
        <v/>
      </c>
      <c r="D260" s="31" t="str">
        <f t="shared" si="24"/>
        <v/>
      </c>
      <c r="E260" s="31" t="str">
        <f t="shared" si="25"/>
        <v/>
      </c>
      <c r="F260" s="31" t="str">
        <f t="shared" si="26"/>
        <v/>
      </c>
      <c r="G260" s="31" t="str">
        <f t="shared" si="27"/>
        <v/>
      </c>
    </row>
    <row r="261" spans="2:7">
      <c r="B261" s="10" t="str">
        <f t="shared" si="22"/>
        <v/>
      </c>
      <c r="C261" s="8" t="str">
        <f t="shared" si="23"/>
        <v/>
      </c>
      <c r="D261" s="31" t="str">
        <f t="shared" si="24"/>
        <v/>
      </c>
      <c r="E261" s="31" t="str">
        <f t="shared" si="25"/>
        <v/>
      </c>
      <c r="F261" s="31" t="str">
        <f t="shared" si="26"/>
        <v/>
      </c>
      <c r="G261" s="31" t="str">
        <f t="shared" si="27"/>
        <v/>
      </c>
    </row>
    <row r="262" spans="2:7">
      <c r="B262" s="10" t="str">
        <f t="shared" si="22"/>
        <v/>
      </c>
      <c r="C262" s="8" t="str">
        <f t="shared" si="23"/>
        <v/>
      </c>
      <c r="D262" s="31" t="str">
        <f t="shared" si="24"/>
        <v/>
      </c>
      <c r="E262" s="31" t="str">
        <f t="shared" si="25"/>
        <v/>
      </c>
      <c r="F262" s="31" t="str">
        <f t="shared" si="26"/>
        <v/>
      </c>
      <c r="G262" s="31" t="str">
        <f t="shared" si="27"/>
        <v/>
      </c>
    </row>
    <row r="263" spans="2:7">
      <c r="B263" s="10" t="str">
        <f t="shared" si="22"/>
        <v/>
      </c>
      <c r="C263" s="8" t="str">
        <f t="shared" si="23"/>
        <v/>
      </c>
      <c r="D263" s="31" t="str">
        <f t="shared" si="24"/>
        <v/>
      </c>
      <c r="E263" s="31" t="str">
        <f t="shared" si="25"/>
        <v/>
      </c>
      <c r="F263" s="31" t="str">
        <f t="shared" si="26"/>
        <v/>
      </c>
      <c r="G263" s="31" t="str">
        <f t="shared" si="27"/>
        <v/>
      </c>
    </row>
    <row r="264" spans="2:7">
      <c r="B264" s="10" t="str">
        <f t="shared" si="22"/>
        <v/>
      </c>
      <c r="C264" s="8" t="str">
        <f t="shared" si="23"/>
        <v/>
      </c>
      <c r="D264" s="31" t="str">
        <f t="shared" si="24"/>
        <v/>
      </c>
      <c r="E264" s="31" t="str">
        <f t="shared" si="25"/>
        <v/>
      </c>
      <c r="F264" s="31" t="str">
        <f t="shared" si="26"/>
        <v/>
      </c>
      <c r="G264" s="31" t="str">
        <f t="shared" si="27"/>
        <v/>
      </c>
    </row>
    <row r="265" spans="2:7">
      <c r="B265" s="10" t="str">
        <f t="shared" si="22"/>
        <v/>
      </c>
      <c r="C265" s="8" t="str">
        <f t="shared" si="23"/>
        <v/>
      </c>
      <c r="D265" s="31" t="str">
        <f t="shared" si="24"/>
        <v/>
      </c>
      <c r="E265" s="31" t="str">
        <f t="shared" si="25"/>
        <v/>
      </c>
      <c r="F265" s="31" t="str">
        <f t="shared" si="26"/>
        <v/>
      </c>
      <c r="G265" s="31" t="str">
        <f t="shared" si="27"/>
        <v/>
      </c>
    </row>
    <row r="266" spans="2:7">
      <c r="B266" s="10" t="str">
        <f t="shared" si="22"/>
        <v/>
      </c>
      <c r="C266" s="8" t="str">
        <f t="shared" si="23"/>
        <v/>
      </c>
      <c r="D266" s="31" t="str">
        <f t="shared" si="24"/>
        <v/>
      </c>
      <c r="E266" s="31" t="str">
        <f t="shared" si="25"/>
        <v/>
      </c>
      <c r="F266" s="31" t="str">
        <f t="shared" si="26"/>
        <v/>
      </c>
      <c r="G266" s="31" t="str">
        <f t="shared" si="27"/>
        <v/>
      </c>
    </row>
    <row r="267" spans="2:7">
      <c r="B267" s="10" t="str">
        <f t="shared" si="22"/>
        <v/>
      </c>
      <c r="C267" s="8" t="str">
        <f t="shared" si="23"/>
        <v/>
      </c>
      <c r="D267" s="31" t="str">
        <f t="shared" si="24"/>
        <v/>
      </c>
      <c r="E267" s="31" t="str">
        <f t="shared" si="25"/>
        <v/>
      </c>
      <c r="F267" s="31" t="str">
        <f t="shared" si="26"/>
        <v/>
      </c>
      <c r="G267" s="31" t="str">
        <f t="shared" si="27"/>
        <v/>
      </c>
    </row>
    <row r="268" spans="2:7">
      <c r="B268" s="10" t="str">
        <f t="shared" si="22"/>
        <v/>
      </c>
      <c r="C268" s="8" t="str">
        <f t="shared" si="23"/>
        <v/>
      </c>
      <c r="D268" s="31" t="str">
        <f t="shared" si="24"/>
        <v/>
      </c>
      <c r="E268" s="31" t="str">
        <f t="shared" si="25"/>
        <v/>
      </c>
      <c r="F268" s="31" t="str">
        <f t="shared" si="26"/>
        <v/>
      </c>
      <c r="G268" s="31" t="str">
        <f t="shared" si="27"/>
        <v/>
      </c>
    </row>
    <row r="269" spans="2:7">
      <c r="B269" s="10" t="str">
        <f t="shared" si="22"/>
        <v/>
      </c>
      <c r="C269" s="8" t="str">
        <f t="shared" si="23"/>
        <v/>
      </c>
      <c r="D269" s="31" t="str">
        <f t="shared" si="24"/>
        <v/>
      </c>
      <c r="E269" s="31" t="str">
        <f t="shared" si="25"/>
        <v/>
      </c>
      <c r="F269" s="31" t="str">
        <f t="shared" si="26"/>
        <v/>
      </c>
      <c r="G269" s="31" t="str">
        <f t="shared" si="27"/>
        <v/>
      </c>
    </row>
    <row r="270" spans="2:7">
      <c r="B270" s="10" t="str">
        <f t="shared" si="22"/>
        <v/>
      </c>
      <c r="C270" s="8" t="str">
        <f t="shared" si="23"/>
        <v/>
      </c>
      <c r="D270" s="31" t="str">
        <f t="shared" si="24"/>
        <v/>
      </c>
      <c r="E270" s="31" t="str">
        <f t="shared" si="25"/>
        <v/>
      </c>
      <c r="F270" s="31" t="str">
        <f t="shared" si="26"/>
        <v/>
      </c>
      <c r="G270" s="31" t="str">
        <f t="shared" si="27"/>
        <v/>
      </c>
    </row>
    <row r="271" spans="2:7">
      <c r="B271" s="10" t="str">
        <f t="shared" si="22"/>
        <v/>
      </c>
      <c r="C271" s="8" t="str">
        <f t="shared" si="23"/>
        <v/>
      </c>
      <c r="D271" s="31" t="str">
        <f t="shared" si="24"/>
        <v/>
      </c>
      <c r="E271" s="31" t="str">
        <f t="shared" si="25"/>
        <v/>
      </c>
      <c r="F271" s="31" t="str">
        <f t="shared" si="26"/>
        <v/>
      </c>
      <c r="G271" s="31" t="str">
        <f t="shared" si="27"/>
        <v/>
      </c>
    </row>
    <row r="272" spans="2:7">
      <c r="B272" s="10" t="str">
        <f t="shared" si="22"/>
        <v/>
      </c>
      <c r="C272" s="8" t="str">
        <f t="shared" si="23"/>
        <v/>
      </c>
      <c r="D272" s="31" t="str">
        <f t="shared" si="24"/>
        <v/>
      </c>
      <c r="E272" s="31" t="str">
        <f t="shared" si="25"/>
        <v/>
      </c>
      <c r="F272" s="31" t="str">
        <f t="shared" si="26"/>
        <v/>
      </c>
      <c r="G272" s="31" t="str">
        <f t="shared" si="27"/>
        <v/>
      </c>
    </row>
  </sheetData>
  <mergeCells count="2">
    <mergeCell ref="B13:G13"/>
    <mergeCell ref="J13:O1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CEFB93-21CA-F74B-BA57-3A0D6B227138}">
  <dimension ref="A1:W71"/>
  <sheetViews>
    <sheetView topLeftCell="B1" zoomScaleNormal="60" zoomScaleSheetLayoutView="100" workbookViewId="0">
      <selection activeCell="S12" sqref="S12"/>
    </sheetView>
  </sheetViews>
  <sheetFormatPr defaultRowHeight="15"/>
  <cols>
    <col min="1" max="1" width="26.5" bestFit="1" customWidth="1"/>
    <col min="2" max="2" width="10.22265625" bestFit="1" customWidth="1"/>
    <col min="3" max="3" width="12.23828125" bestFit="1" customWidth="1"/>
    <col min="5" max="5" width="11.02734375" bestFit="1" customWidth="1"/>
    <col min="6" max="6" width="8.203125" bestFit="1" customWidth="1"/>
    <col min="11" max="11" width="10.22265625" bestFit="1" customWidth="1"/>
    <col min="18" max="18" width="11.97265625" bestFit="1" customWidth="1"/>
    <col min="19" max="19" width="12.23828125" bestFit="1" customWidth="1"/>
    <col min="20" max="20" width="11.43359375" bestFit="1" customWidth="1"/>
    <col min="21" max="21" width="11.97265625" bestFit="1" customWidth="1"/>
    <col min="22" max="22" width="11.703125" bestFit="1" customWidth="1"/>
    <col min="23" max="23" width="12.23828125" bestFit="1" customWidth="1"/>
  </cols>
  <sheetData>
    <row r="1" spans="1:23">
      <c r="A1" t="s">
        <v>99</v>
      </c>
      <c r="R1" s="40">
        <f>C23</f>
        <v>44074</v>
      </c>
      <c r="S1" s="40">
        <f>EOMONTH(EDATE(R1,1),0)</f>
        <v>44104</v>
      </c>
      <c r="T1" s="40">
        <f t="shared" ref="T1:W1" si="0">EOMONTH(EDATE(S1,1),0)</f>
        <v>44135</v>
      </c>
      <c r="U1" s="40">
        <f t="shared" si="0"/>
        <v>44165</v>
      </c>
      <c r="V1" s="40">
        <f t="shared" si="0"/>
        <v>44196</v>
      </c>
      <c r="W1" s="40">
        <f t="shared" si="0"/>
        <v>44227</v>
      </c>
    </row>
    <row r="2" spans="1:23">
      <c r="R2" s="18">
        <f>INDEX($C$23:$H$28,MATCH(R$1,$C$23:$C$28,0),5)</f>
        <v>3150.9273342736365</v>
      </c>
      <c r="S2" s="18">
        <f t="shared" ref="S2:W2" si="1">INDEX($C$23:$H$28,MATCH(S$1,$C$23:$C$28,0),5)</f>
        <v>2631.0962682217109</v>
      </c>
      <c r="T2" s="18">
        <f t="shared" si="1"/>
        <v>2109.1473460601042</v>
      </c>
      <c r="U2" s="18">
        <f t="shared" si="1"/>
        <v>1585.0719393808683</v>
      </c>
      <c r="V2" s="18">
        <f t="shared" si="1"/>
        <v>1058.8613846228561</v>
      </c>
      <c r="W2" s="18">
        <f t="shared" si="1"/>
        <v>530.50698292849711</v>
      </c>
    </row>
    <row r="3" spans="1:23">
      <c r="A3" t="s">
        <v>100</v>
      </c>
    </row>
    <row r="4" spans="1:23">
      <c r="A4" t="s">
        <v>236</v>
      </c>
      <c r="C4" t="s">
        <v>237</v>
      </c>
      <c r="D4" t="s">
        <v>238</v>
      </c>
    </row>
    <row r="5" spans="1:23">
      <c r="A5" t="s">
        <v>90</v>
      </c>
      <c r="B5" s="102">
        <v>773400</v>
      </c>
      <c r="C5" s="102">
        <v>773400</v>
      </c>
      <c r="D5" s="102">
        <v>773400</v>
      </c>
    </row>
    <row r="6" spans="1:23">
      <c r="A6" t="s">
        <v>239</v>
      </c>
      <c r="B6" s="109">
        <v>0.05</v>
      </c>
      <c r="C6" s="109">
        <f>(1+B6)^(1/12)-1</f>
        <v>4.0741237836483535E-3</v>
      </c>
      <c r="D6" s="109">
        <f>(1+B6)^(1/4)-1</f>
        <v>1.2272234429039353E-2</v>
      </c>
    </row>
    <row r="7" spans="1:23">
      <c r="A7" t="s">
        <v>240</v>
      </c>
      <c r="B7">
        <v>0.5</v>
      </c>
      <c r="C7">
        <v>6</v>
      </c>
      <c r="D7">
        <v>2</v>
      </c>
    </row>
    <row r="8" spans="1:23">
      <c r="A8" t="s">
        <v>241</v>
      </c>
      <c r="B8">
        <v>0.5</v>
      </c>
      <c r="C8">
        <v>3</v>
      </c>
      <c r="D8">
        <v>1</v>
      </c>
    </row>
    <row r="9" spans="1:23">
      <c r="A9" t="s">
        <v>242</v>
      </c>
      <c r="C9">
        <v>6</v>
      </c>
      <c r="D9">
        <v>2</v>
      </c>
    </row>
    <row r="10" spans="1:23">
      <c r="A10" t="s">
        <v>243</v>
      </c>
      <c r="C10">
        <v>3</v>
      </c>
      <c r="D10">
        <v>1</v>
      </c>
    </row>
    <row r="11" spans="1:23">
      <c r="A11" t="s">
        <v>244</v>
      </c>
      <c r="C11">
        <v>3</v>
      </c>
      <c r="D11">
        <v>1</v>
      </c>
    </row>
    <row r="12" spans="1:23">
      <c r="A12" t="s">
        <v>245</v>
      </c>
      <c r="C12" s="102">
        <v>784466</v>
      </c>
      <c r="D12" s="102">
        <v>779182</v>
      </c>
    </row>
    <row r="13" spans="1:23">
      <c r="A13" t="s">
        <v>246</v>
      </c>
      <c r="C13" s="102">
        <v>773400</v>
      </c>
      <c r="D13" s="102">
        <v>773400</v>
      </c>
      <c r="E13" t="s">
        <v>247</v>
      </c>
    </row>
    <row r="14" spans="1:23">
      <c r="A14" t="s">
        <v>248</v>
      </c>
      <c r="C14" s="102">
        <v>11066</v>
      </c>
      <c r="D14" s="102">
        <v>5782</v>
      </c>
      <c r="E14" s="102">
        <v>-5284</v>
      </c>
    </row>
    <row r="15" spans="1:23">
      <c r="A15" t="s">
        <v>249</v>
      </c>
      <c r="B15" s="110">
        <v>43976</v>
      </c>
      <c r="C15" s="102">
        <v>-11066</v>
      </c>
      <c r="D15" s="102">
        <v>-5782</v>
      </c>
    </row>
    <row r="16" spans="1:23">
      <c r="A16" t="s">
        <v>102</v>
      </c>
      <c r="B16" s="110">
        <v>44074</v>
      </c>
    </row>
    <row r="17" spans="2:16">
      <c r="B17" t="s">
        <v>250</v>
      </c>
    </row>
    <row r="18" spans="2:16">
      <c r="C18" t="s">
        <v>251</v>
      </c>
      <c r="K18" t="s">
        <v>252</v>
      </c>
    </row>
    <row r="21" spans="2:16">
      <c r="E21" s="102">
        <v>784466</v>
      </c>
      <c r="F21" s="102">
        <v>773400</v>
      </c>
      <c r="G21" s="102">
        <v>11066</v>
      </c>
      <c r="M21" s="102">
        <v>779182</v>
      </c>
      <c r="N21" s="102">
        <v>773400</v>
      </c>
      <c r="O21" s="102">
        <v>5782</v>
      </c>
    </row>
    <row r="22" spans="2:16">
      <c r="C22" t="s">
        <v>103</v>
      </c>
      <c r="D22" t="s">
        <v>94</v>
      </c>
      <c r="E22" t="s">
        <v>95</v>
      </c>
      <c r="F22" t="s">
        <v>96</v>
      </c>
      <c r="G22" t="s">
        <v>97</v>
      </c>
      <c r="H22" t="s">
        <v>98</v>
      </c>
      <c r="K22" t="s">
        <v>103</v>
      </c>
      <c r="L22" t="s">
        <v>94</v>
      </c>
      <c r="M22" t="s">
        <v>95</v>
      </c>
      <c r="N22" t="s">
        <v>96</v>
      </c>
      <c r="O22" t="s">
        <v>97</v>
      </c>
      <c r="P22" t="s">
        <v>98</v>
      </c>
    </row>
    <row r="23" spans="2:16">
      <c r="C23" s="110">
        <f>EOMONTH(EDATE($B$15,$C$8),0)</f>
        <v>44074</v>
      </c>
      <c r="D23">
        <v>1</v>
      </c>
      <c r="E23" s="102">
        <f>IF(D23="","",F23+G23)</f>
        <v>130744.26854258128</v>
      </c>
      <c r="F23" s="102">
        <f>IFERROR(-PPMT($C$6,D23,$C$7,$B$5,0,0),"")</f>
        <v>127593.34120830764</v>
      </c>
      <c r="G23" s="102">
        <f>IFERROR(-IPMT($C$6,D23,$C$7,$B$5,0,0),"")</f>
        <v>3150.9273342736365</v>
      </c>
      <c r="H23" s="102">
        <f>IF(D23="","",C5-F23)</f>
        <v>645806.65879169235</v>
      </c>
      <c r="K23" s="110">
        <v>44074</v>
      </c>
      <c r="L23">
        <v>1</v>
      </c>
      <c r="M23" s="102">
        <v>387493</v>
      </c>
      <c r="N23" s="102">
        <v>384342</v>
      </c>
      <c r="O23" s="102">
        <v>3151</v>
      </c>
      <c r="P23" s="102">
        <v>389058</v>
      </c>
    </row>
    <row r="24" spans="2:16">
      <c r="C24" s="40">
        <f>IF(D24="","",EOMONTH(EDATE(C23,1),0))</f>
        <v>44104</v>
      </c>
      <c r="D24">
        <f>IF(D23&gt;=$C$7,"",D23+1)</f>
        <v>2</v>
      </c>
      <c r="E24" s="102">
        <f>IF(D24="","",F24+G24)</f>
        <v>130744.26854258128</v>
      </c>
      <c r="F24" s="102">
        <f>IFERROR(-PPMT($C$6,D24,$C$7,$B$5,0,0),"")</f>
        <v>128113.17227435957</v>
      </c>
      <c r="G24" s="102">
        <f>IFERROR(-IPMT($C$6,D24,$C$7,$B$5,0,0),"")</f>
        <v>2631.0962682217109</v>
      </c>
      <c r="H24" s="102">
        <f>IF(D24="","",H23-F24)</f>
        <v>517693.48651733279</v>
      </c>
      <c r="K24" t="s">
        <v>253</v>
      </c>
      <c r="L24">
        <v>2</v>
      </c>
      <c r="M24" s="102">
        <v>391689</v>
      </c>
      <c r="N24" s="102">
        <v>389058</v>
      </c>
      <c r="O24" s="102">
        <v>2631</v>
      </c>
      <c r="P24">
        <v>0</v>
      </c>
    </row>
    <row r="25" spans="2:16">
      <c r="C25" s="40">
        <f t="shared" ref="C25:C71" si="2">IF(D25="","",EOMONTH(EDATE(C24,1),0))</f>
        <v>44135</v>
      </c>
      <c r="D25">
        <f t="shared" ref="D25:D71" si="3">IF(D24&gt;=$C$7,"",D24+1)</f>
        <v>3</v>
      </c>
      <c r="E25" s="102">
        <f t="shared" ref="E25:E71" si="4">IF(D25="","",F25+G25)</f>
        <v>130744.26854258128</v>
      </c>
      <c r="F25" s="102">
        <f t="shared" ref="F25:F71" si="5">IFERROR(-PPMT($C$6,D25,$C$7,$B$5,0,0),"")</f>
        <v>128635.12119652118</v>
      </c>
      <c r="G25" s="102">
        <f t="shared" ref="G25:G71" si="6">IFERROR(-IPMT($C$6,D25,$C$7,$B$5,0,0),"")</f>
        <v>2109.1473460601042</v>
      </c>
      <c r="H25" s="102">
        <f t="shared" ref="H25:H71" si="7">IF(D25="","",H24-F25)</f>
        <v>389058.36532081163</v>
      </c>
    </row>
    <row r="26" spans="2:16">
      <c r="C26" s="40">
        <f t="shared" si="2"/>
        <v>44165</v>
      </c>
      <c r="D26">
        <f t="shared" si="3"/>
        <v>4</v>
      </c>
      <c r="E26" s="102">
        <f t="shared" si="4"/>
        <v>130744.26854258128</v>
      </c>
      <c r="F26" s="102">
        <f t="shared" si="5"/>
        <v>129159.19660320041</v>
      </c>
      <c r="G26" s="102">
        <f t="shared" si="6"/>
        <v>1585.0719393808683</v>
      </c>
      <c r="H26" s="102">
        <f t="shared" si="7"/>
        <v>259899.16871761123</v>
      </c>
    </row>
    <row r="27" spans="2:16">
      <c r="C27" s="40">
        <f t="shared" si="2"/>
        <v>44196</v>
      </c>
      <c r="D27">
        <f t="shared" si="3"/>
        <v>5</v>
      </c>
      <c r="E27" s="102">
        <f t="shared" si="4"/>
        <v>130744.26854258128</v>
      </c>
      <c r="F27" s="102">
        <f t="shared" si="5"/>
        <v>129685.40715795843</v>
      </c>
      <c r="G27" s="102">
        <f t="shared" si="6"/>
        <v>1058.8613846228561</v>
      </c>
      <c r="H27" s="102">
        <f t="shared" si="7"/>
        <v>130213.7615596528</v>
      </c>
    </row>
    <row r="28" spans="2:16">
      <c r="C28" s="40">
        <f t="shared" si="2"/>
        <v>44227</v>
      </c>
      <c r="D28">
        <f t="shared" si="3"/>
        <v>6</v>
      </c>
      <c r="E28" s="102">
        <f t="shared" si="4"/>
        <v>130744.26854258127</v>
      </c>
      <c r="F28" s="102">
        <f t="shared" si="5"/>
        <v>130213.76155965278</v>
      </c>
      <c r="G28" s="102">
        <f t="shared" si="6"/>
        <v>530.50698292849711</v>
      </c>
      <c r="H28" s="102">
        <f t="shared" si="7"/>
        <v>2.9103830456733704E-11</v>
      </c>
    </row>
    <row r="29" spans="2:16">
      <c r="C29" t="str">
        <f t="shared" si="2"/>
        <v/>
      </c>
      <c r="D29" t="str">
        <f t="shared" si="3"/>
        <v/>
      </c>
      <c r="E29" s="102" t="str">
        <f t="shared" si="4"/>
        <v/>
      </c>
      <c r="F29" s="102" t="str">
        <f t="shared" si="5"/>
        <v/>
      </c>
      <c r="G29" s="102" t="str">
        <f t="shared" si="6"/>
        <v/>
      </c>
      <c r="H29" s="102" t="str">
        <f t="shared" si="7"/>
        <v/>
      </c>
    </row>
    <row r="30" spans="2:16">
      <c r="C30" t="str">
        <f t="shared" si="2"/>
        <v/>
      </c>
      <c r="D30" t="str">
        <f t="shared" si="3"/>
        <v/>
      </c>
      <c r="E30" s="102" t="str">
        <f t="shared" si="4"/>
        <v/>
      </c>
      <c r="F30" s="102" t="str">
        <f t="shared" si="5"/>
        <v/>
      </c>
      <c r="G30" s="102" t="str">
        <f t="shared" si="6"/>
        <v/>
      </c>
      <c r="H30" s="102" t="str">
        <f t="shared" si="7"/>
        <v/>
      </c>
    </row>
    <row r="31" spans="2:16">
      <c r="C31" t="str">
        <f t="shared" si="2"/>
        <v/>
      </c>
      <c r="D31" t="str">
        <f t="shared" si="3"/>
        <v/>
      </c>
      <c r="E31" s="102" t="str">
        <f t="shared" si="4"/>
        <v/>
      </c>
      <c r="F31" s="102" t="str">
        <f t="shared" si="5"/>
        <v/>
      </c>
      <c r="G31" s="102" t="str">
        <f t="shared" si="6"/>
        <v/>
      </c>
      <c r="H31" s="102" t="str">
        <f t="shared" si="7"/>
        <v/>
      </c>
    </row>
    <row r="32" spans="2:16">
      <c r="C32" t="str">
        <f t="shared" si="2"/>
        <v/>
      </c>
      <c r="D32" t="str">
        <f t="shared" si="3"/>
        <v/>
      </c>
      <c r="E32" s="102" t="str">
        <f t="shared" si="4"/>
        <v/>
      </c>
      <c r="F32" s="102" t="str">
        <f t="shared" si="5"/>
        <v/>
      </c>
      <c r="G32" s="102" t="str">
        <f t="shared" si="6"/>
        <v/>
      </c>
      <c r="H32" s="102" t="str">
        <f t="shared" si="7"/>
        <v/>
      </c>
    </row>
    <row r="33" spans="3:8">
      <c r="C33" t="str">
        <f t="shared" si="2"/>
        <v/>
      </c>
      <c r="D33" t="str">
        <f t="shared" si="3"/>
        <v/>
      </c>
      <c r="E33" s="102" t="str">
        <f t="shared" si="4"/>
        <v/>
      </c>
      <c r="F33" s="102" t="str">
        <f t="shared" si="5"/>
        <v/>
      </c>
      <c r="G33" s="102" t="str">
        <f t="shared" si="6"/>
        <v/>
      </c>
      <c r="H33" s="102" t="str">
        <f t="shared" si="7"/>
        <v/>
      </c>
    </row>
    <row r="34" spans="3:8">
      <c r="C34" t="str">
        <f t="shared" si="2"/>
        <v/>
      </c>
      <c r="D34" t="str">
        <f t="shared" si="3"/>
        <v/>
      </c>
      <c r="E34" s="102" t="str">
        <f t="shared" si="4"/>
        <v/>
      </c>
      <c r="F34" s="102" t="str">
        <f t="shared" si="5"/>
        <v/>
      </c>
      <c r="G34" s="102" t="str">
        <f t="shared" si="6"/>
        <v/>
      </c>
      <c r="H34" s="102" t="str">
        <f t="shared" si="7"/>
        <v/>
      </c>
    </row>
    <row r="35" spans="3:8">
      <c r="C35" t="str">
        <f t="shared" si="2"/>
        <v/>
      </c>
      <c r="D35" t="str">
        <f t="shared" si="3"/>
        <v/>
      </c>
      <c r="E35" s="102" t="str">
        <f t="shared" si="4"/>
        <v/>
      </c>
      <c r="F35" s="102" t="str">
        <f t="shared" si="5"/>
        <v/>
      </c>
      <c r="G35" s="102" t="str">
        <f t="shared" si="6"/>
        <v/>
      </c>
      <c r="H35" s="102" t="str">
        <f t="shared" si="7"/>
        <v/>
      </c>
    </row>
    <row r="36" spans="3:8">
      <c r="C36" t="str">
        <f t="shared" si="2"/>
        <v/>
      </c>
      <c r="D36" t="str">
        <f t="shared" si="3"/>
        <v/>
      </c>
      <c r="E36" s="102" t="str">
        <f t="shared" si="4"/>
        <v/>
      </c>
      <c r="F36" s="102" t="str">
        <f t="shared" si="5"/>
        <v/>
      </c>
      <c r="G36" s="102" t="str">
        <f t="shared" si="6"/>
        <v/>
      </c>
      <c r="H36" s="102" t="str">
        <f t="shared" si="7"/>
        <v/>
      </c>
    </row>
    <row r="37" spans="3:8">
      <c r="C37" t="str">
        <f t="shared" si="2"/>
        <v/>
      </c>
      <c r="D37" t="str">
        <f t="shared" si="3"/>
        <v/>
      </c>
      <c r="E37" s="102" t="str">
        <f t="shared" si="4"/>
        <v/>
      </c>
      <c r="F37" s="102" t="str">
        <f t="shared" si="5"/>
        <v/>
      </c>
      <c r="G37" s="102" t="str">
        <f t="shared" si="6"/>
        <v/>
      </c>
      <c r="H37" s="102" t="str">
        <f t="shared" si="7"/>
        <v/>
      </c>
    </row>
    <row r="38" spans="3:8">
      <c r="C38" t="str">
        <f t="shared" si="2"/>
        <v/>
      </c>
      <c r="D38" t="str">
        <f t="shared" si="3"/>
        <v/>
      </c>
      <c r="E38" s="102" t="str">
        <f t="shared" si="4"/>
        <v/>
      </c>
      <c r="F38" s="102" t="str">
        <f t="shared" si="5"/>
        <v/>
      </c>
      <c r="G38" s="102" t="str">
        <f t="shared" si="6"/>
        <v/>
      </c>
      <c r="H38" s="102" t="str">
        <f t="shared" si="7"/>
        <v/>
      </c>
    </row>
    <row r="39" spans="3:8">
      <c r="C39" t="str">
        <f t="shared" si="2"/>
        <v/>
      </c>
      <c r="D39" t="str">
        <f t="shared" si="3"/>
        <v/>
      </c>
      <c r="E39" s="102" t="str">
        <f t="shared" si="4"/>
        <v/>
      </c>
      <c r="F39" s="102" t="str">
        <f t="shared" si="5"/>
        <v/>
      </c>
      <c r="G39" s="102" t="str">
        <f t="shared" si="6"/>
        <v/>
      </c>
      <c r="H39" s="102" t="str">
        <f t="shared" si="7"/>
        <v/>
      </c>
    </row>
    <row r="40" spans="3:8">
      <c r="C40" t="str">
        <f t="shared" si="2"/>
        <v/>
      </c>
      <c r="D40" t="str">
        <f t="shared" si="3"/>
        <v/>
      </c>
      <c r="E40" s="102" t="str">
        <f t="shared" si="4"/>
        <v/>
      </c>
      <c r="F40" s="102" t="str">
        <f t="shared" si="5"/>
        <v/>
      </c>
      <c r="G40" s="102" t="str">
        <f t="shared" si="6"/>
        <v/>
      </c>
      <c r="H40" s="102" t="str">
        <f t="shared" si="7"/>
        <v/>
      </c>
    </row>
    <row r="41" spans="3:8">
      <c r="C41" t="str">
        <f t="shared" si="2"/>
        <v/>
      </c>
      <c r="D41" t="str">
        <f t="shared" si="3"/>
        <v/>
      </c>
      <c r="E41" s="102" t="str">
        <f t="shared" si="4"/>
        <v/>
      </c>
      <c r="F41" s="102" t="str">
        <f t="shared" si="5"/>
        <v/>
      </c>
      <c r="G41" s="102" t="str">
        <f t="shared" si="6"/>
        <v/>
      </c>
      <c r="H41" s="102" t="str">
        <f t="shared" si="7"/>
        <v/>
      </c>
    </row>
    <row r="42" spans="3:8">
      <c r="C42" t="str">
        <f t="shared" si="2"/>
        <v/>
      </c>
      <c r="D42" t="str">
        <f t="shared" si="3"/>
        <v/>
      </c>
      <c r="E42" s="102" t="str">
        <f t="shared" si="4"/>
        <v/>
      </c>
      <c r="F42" s="102" t="str">
        <f t="shared" si="5"/>
        <v/>
      </c>
      <c r="G42" s="102" t="str">
        <f t="shared" si="6"/>
        <v/>
      </c>
      <c r="H42" s="102" t="str">
        <f t="shared" si="7"/>
        <v/>
      </c>
    </row>
    <row r="43" spans="3:8">
      <c r="C43" t="str">
        <f t="shared" si="2"/>
        <v/>
      </c>
      <c r="D43" t="str">
        <f t="shared" si="3"/>
        <v/>
      </c>
      <c r="E43" s="102" t="str">
        <f t="shared" si="4"/>
        <v/>
      </c>
      <c r="F43" s="102" t="str">
        <f t="shared" si="5"/>
        <v/>
      </c>
      <c r="G43" s="102" t="str">
        <f t="shared" si="6"/>
        <v/>
      </c>
      <c r="H43" s="102" t="str">
        <f t="shared" si="7"/>
        <v/>
      </c>
    </row>
    <row r="44" spans="3:8">
      <c r="C44" t="str">
        <f t="shared" si="2"/>
        <v/>
      </c>
      <c r="D44" t="str">
        <f t="shared" si="3"/>
        <v/>
      </c>
      <c r="E44" s="102" t="str">
        <f t="shared" si="4"/>
        <v/>
      </c>
      <c r="F44" s="102" t="str">
        <f t="shared" si="5"/>
        <v/>
      </c>
      <c r="G44" s="102" t="str">
        <f t="shared" si="6"/>
        <v/>
      </c>
      <c r="H44" s="102" t="str">
        <f t="shared" si="7"/>
        <v/>
      </c>
    </row>
    <row r="45" spans="3:8">
      <c r="C45" t="str">
        <f t="shared" si="2"/>
        <v/>
      </c>
      <c r="D45" t="str">
        <f t="shared" si="3"/>
        <v/>
      </c>
      <c r="E45" s="102" t="str">
        <f t="shared" si="4"/>
        <v/>
      </c>
      <c r="F45" s="102" t="str">
        <f t="shared" si="5"/>
        <v/>
      </c>
      <c r="G45" s="102" t="str">
        <f t="shared" si="6"/>
        <v/>
      </c>
      <c r="H45" s="102" t="str">
        <f t="shared" si="7"/>
        <v/>
      </c>
    </row>
    <row r="46" spans="3:8">
      <c r="C46" t="str">
        <f t="shared" si="2"/>
        <v/>
      </c>
      <c r="D46" t="str">
        <f t="shared" si="3"/>
        <v/>
      </c>
      <c r="E46" s="102" t="str">
        <f t="shared" si="4"/>
        <v/>
      </c>
      <c r="F46" s="102" t="str">
        <f t="shared" si="5"/>
        <v/>
      </c>
      <c r="G46" s="102" t="str">
        <f t="shared" si="6"/>
        <v/>
      </c>
      <c r="H46" s="102" t="str">
        <f t="shared" si="7"/>
        <v/>
      </c>
    </row>
    <row r="47" spans="3:8">
      <c r="C47" t="str">
        <f t="shared" si="2"/>
        <v/>
      </c>
      <c r="D47" t="str">
        <f t="shared" si="3"/>
        <v/>
      </c>
      <c r="E47" s="102" t="str">
        <f t="shared" si="4"/>
        <v/>
      </c>
      <c r="F47" s="102" t="str">
        <f t="shared" si="5"/>
        <v/>
      </c>
      <c r="G47" s="102" t="str">
        <f t="shared" si="6"/>
        <v/>
      </c>
      <c r="H47" s="102" t="str">
        <f t="shared" si="7"/>
        <v/>
      </c>
    </row>
    <row r="48" spans="3:8">
      <c r="C48" t="str">
        <f t="shared" si="2"/>
        <v/>
      </c>
      <c r="D48" t="str">
        <f t="shared" si="3"/>
        <v/>
      </c>
      <c r="E48" s="102" t="str">
        <f t="shared" si="4"/>
        <v/>
      </c>
      <c r="F48" s="102" t="str">
        <f t="shared" si="5"/>
        <v/>
      </c>
      <c r="G48" s="102" t="str">
        <f t="shared" si="6"/>
        <v/>
      </c>
      <c r="H48" s="102" t="str">
        <f t="shared" si="7"/>
        <v/>
      </c>
    </row>
    <row r="49" spans="3:8">
      <c r="C49" t="str">
        <f t="shared" si="2"/>
        <v/>
      </c>
      <c r="D49" t="str">
        <f t="shared" si="3"/>
        <v/>
      </c>
      <c r="E49" s="102" t="str">
        <f t="shared" si="4"/>
        <v/>
      </c>
      <c r="F49" s="102" t="str">
        <f t="shared" si="5"/>
        <v/>
      </c>
      <c r="G49" s="102" t="str">
        <f t="shared" si="6"/>
        <v/>
      </c>
      <c r="H49" s="102" t="str">
        <f t="shared" si="7"/>
        <v/>
      </c>
    </row>
    <row r="50" spans="3:8">
      <c r="C50" t="str">
        <f t="shared" si="2"/>
        <v/>
      </c>
      <c r="D50" t="str">
        <f t="shared" si="3"/>
        <v/>
      </c>
      <c r="E50" s="102" t="str">
        <f t="shared" si="4"/>
        <v/>
      </c>
      <c r="F50" s="102" t="str">
        <f t="shared" si="5"/>
        <v/>
      </c>
      <c r="G50" s="102" t="str">
        <f t="shared" si="6"/>
        <v/>
      </c>
      <c r="H50" s="102" t="str">
        <f t="shared" si="7"/>
        <v/>
      </c>
    </row>
    <row r="51" spans="3:8">
      <c r="C51" t="str">
        <f t="shared" si="2"/>
        <v/>
      </c>
      <c r="D51" t="str">
        <f t="shared" si="3"/>
        <v/>
      </c>
      <c r="E51" s="102" t="str">
        <f t="shared" si="4"/>
        <v/>
      </c>
      <c r="F51" s="102" t="str">
        <f t="shared" si="5"/>
        <v/>
      </c>
      <c r="G51" s="102" t="str">
        <f t="shared" si="6"/>
        <v/>
      </c>
      <c r="H51" s="102" t="str">
        <f t="shared" si="7"/>
        <v/>
      </c>
    </row>
    <row r="52" spans="3:8">
      <c r="C52" t="str">
        <f t="shared" si="2"/>
        <v/>
      </c>
      <c r="D52" t="str">
        <f t="shared" si="3"/>
        <v/>
      </c>
      <c r="E52" s="102" t="str">
        <f t="shared" si="4"/>
        <v/>
      </c>
      <c r="F52" s="102" t="str">
        <f t="shared" si="5"/>
        <v/>
      </c>
      <c r="G52" s="102" t="str">
        <f t="shared" si="6"/>
        <v/>
      </c>
      <c r="H52" s="102" t="str">
        <f t="shared" si="7"/>
        <v/>
      </c>
    </row>
    <row r="53" spans="3:8">
      <c r="C53" t="str">
        <f t="shared" si="2"/>
        <v/>
      </c>
      <c r="D53" t="str">
        <f t="shared" si="3"/>
        <v/>
      </c>
      <c r="E53" s="102" t="str">
        <f t="shared" si="4"/>
        <v/>
      </c>
      <c r="F53" s="102" t="str">
        <f t="shared" si="5"/>
        <v/>
      </c>
      <c r="G53" s="102" t="str">
        <f t="shared" si="6"/>
        <v/>
      </c>
      <c r="H53" s="102" t="str">
        <f t="shared" si="7"/>
        <v/>
      </c>
    </row>
    <row r="54" spans="3:8">
      <c r="C54" t="str">
        <f t="shared" si="2"/>
        <v/>
      </c>
      <c r="D54" t="str">
        <f t="shared" si="3"/>
        <v/>
      </c>
      <c r="E54" s="102" t="str">
        <f t="shared" si="4"/>
        <v/>
      </c>
      <c r="F54" s="102" t="str">
        <f t="shared" si="5"/>
        <v/>
      </c>
      <c r="G54" s="102" t="str">
        <f t="shared" si="6"/>
        <v/>
      </c>
      <c r="H54" s="102" t="str">
        <f t="shared" si="7"/>
        <v/>
      </c>
    </row>
    <row r="55" spans="3:8">
      <c r="C55" t="str">
        <f t="shared" si="2"/>
        <v/>
      </c>
      <c r="D55" t="str">
        <f t="shared" si="3"/>
        <v/>
      </c>
      <c r="E55" s="102" t="str">
        <f t="shared" si="4"/>
        <v/>
      </c>
      <c r="F55" s="102" t="str">
        <f t="shared" si="5"/>
        <v/>
      </c>
      <c r="G55" s="102" t="str">
        <f t="shared" si="6"/>
        <v/>
      </c>
      <c r="H55" s="102" t="str">
        <f t="shared" si="7"/>
        <v/>
      </c>
    </row>
    <row r="56" spans="3:8">
      <c r="C56" t="str">
        <f t="shared" si="2"/>
        <v/>
      </c>
      <c r="D56" t="str">
        <f t="shared" si="3"/>
        <v/>
      </c>
      <c r="E56" s="102" t="str">
        <f t="shared" si="4"/>
        <v/>
      </c>
      <c r="F56" s="102" t="str">
        <f t="shared" si="5"/>
        <v/>
      </c>
      <c r="G56" s="102" t="str">
        <f t="shared" si="6"/>
        <v/>
      </c>
      <c r="H56" s="102" t="str">
        <f t="shared" si="7"/>
        <v/>
      </c>
    </row>
    <row r="57" spans="3:8">
      <c r="C57" t="str">
        <f t="shared" si="2"/>
        <v/>
      </c>
      <c r="D57" t="str">
        <f t="shared" si="3"/>
        <v/>
      </c>
      <c r="E57" s="102" t="str">
        <f t="shared" si="4"/>
        <v/>
      </c>
      <c r="F57" s="102" t="str">
        <f t="shared" si="5"/>
        <v/>
      </c>
      <c r="G57" s="102" t="str">
        <f t="shared" si="6"/>
        <v/>
      </c>
      <c r="H57" s="102" t="str">
        <f t="shared" si="7"/>
        <v/>
      </c>
    </row>
    <row r="58" spans="3:8">
      <c r="C58" t="str">
        <f t="shared" si="2"/>
        <v/>
      </c>
      <c r="D58" t="str">
        <f t="shared" si="3"/>
        <v/>
      </c>
      <c r="E58" s="102" t="str">
        <f t="shared" si="4"/>
        <v/>
      </c>
      <c r="F58" s="102" t="str">
        <f t="shared" si="5"/>
        <v/>
      </c>
      <c r="G58" s="102" t="str">
        <f t="shared" si="6"/>
        <v/>
      </c>
      <c r="H58" s="102" t="str">
        <f t="shared" si="7"/>
        <v/>
      </c>
    </row>
    <row r="59" spans="3:8">
      <c r="C59" t="str">
        <f t="shared" si="2"/>
        <v/>
      </c>
      <c r="D59" t="str">
        <f t="shared" si="3"/>
        <v/>
      </c>
      <c r="E59" s="102" t="str">
        <f t="shared" si="4"/>
        <v/>
      </c>
      <c r="F59" s="102" t="str">
        <f t="shared" si="5"/>
        <v/>
      </c>
      <c r="G59" s="102" t="str">
        <f t="shared" si="6"/>
        <v/>
      </c>
      <c r="H59" s="102" t="str">
        <f t="shared" si="7"/>
        <v/>
      </c>
    </row>
    <row r="60" spans="3:8">
      <c r="C60" t="str">
        <f t="shared" si="2"/>
        <v/>
      </c>
      <c r="D60" t="str">
        <f t="shared" si="3"/>
        <v/>
      </c>
      <c r="E60" s="102" t="str">
        <f t="shared" si="4"/>
        <v/>
      </c>
      <c r="F60" s="102" t="str">
        <f t="shared" si="5"/>
        <v/>
      </c>
      <c r="G60" s="102" t="str">
        <f t="shared" si="6"/>
        <v/>
      </c>
      <c r="H60" s="102" t="str">
        <f t="shared" si="7"/>
        <v/>
      </c>
    </row>
    <row r="61" spans="3:8">
      <c r="C61" t="str">
        <f t="shared" si="2"/>
        <v/>
      </c>
      <c r="D61" t="str">
        <f t="shared" si="3"/>
        <v/>
      </c>
      <c r="E61" s="102" t="str">
        <f t="shared" si="4"/>
        <v/>
      </c>
      <c r="F61" s="102" t="str">
        <f t="shared" si="5"/>
        <v/>
      </c>
      <c r="G61" s="102" t="str">
        <f t="shared" si="6"/>
        <v/>
      </c>
      <c r="H61" s="102" t="str">
        <f t="shared" si="7"/>
        <v/>
      </c>
    </row>
    <row r="62" spans="3:8">
      <c r="C62" t="str">
        <f t="shared" si="2"/>
        <v/>
      </c>
      <c r="D62" t="str">
        <f t="shared" si="3"/>
        <v/>
      </c>
      <c r="E62" s="102" t="str">
        <f t="shared" si="4"/>
        <v/>
      </c>
      <c r="F62" s="102" t="str">
        <f t="shared" si="5"/>
        <v/>
      </c>
      <c r="G62" s="102" t="str">
        <f t="shared" si="6"/>
        <v/>
      </c>
      <c r="H62" s="102" t="str">
        <f t="shared" si="7"/>
        <v/>
      </c>
    </row>
    <row r="63" spans="3:8">
      <c r="C63" t="str">
        <f t="shared" si="2"/>
        <v/>
      </c>
      <c r="D63" t="str">
        <f t="shared" si="3"/>
        <v/>
      </c>
      <c r="E63" s="102" t="str">
        <f t="shared" si="4"/>
        <v/>
      </c>
      <c r="F63" s="102" t="str">
        <f t="shared" si="5"/>
        <v/>
      </c>
      <c r="G63" s="102" t="str">
        <f t="shared" si="6"/>
        <v/>
      </c>
      <c r="H63" s="102" t="str">
        <f t="shared" si="7"/>
        <v/>
      </c>
    </row>
    <row r="64" spans="3:8">
      <c r="C64" t="str">
        <f t="shared" si="2"/>
        <v/>
      </c>
      <c r="D64" t="str">
        <f t="shared" si="3"/>
        <v/>
      </c>
      <c r="E64" s="102" t="str">
        <f t="shared" si="4"/>
        <v/>
      </c>
      <c r="F64" s="102" t="str">
        <f t="shared" si="5"/>
        <v/>
      </c>
      <c r="G64" s="102" t="str">
        <f t="shared" si="6"/>
        <v/>
      </c>
      <c r="H64" s="102" t="str">
        <f t="shared" si="7"/>
        <v/>
      </c>
    </row>
    <row r="65" spans="3:8">
      <c r="C65" t="str">
        <f t="shared" si="2"/>
        <v/>
      </c>
      <c r="D65" t="str">
        <f t="shared" si="3"/>
        <v/>
      </c>
      <c r="E65" s="102" t="str">
        <f t="shared" si="4"/>
        <v/>
      </c>
      <c r="F65" s="102" t="str">
        <f t="shared" si="5"/>
        <v/>
      </c>
      <c r="G65" s="102" t="str">
        <f t="shared" si="6"/>
        <v/>
      </c>
      <c r="H65" s="102" t="str">
        <f t="shared" si="7"/>
        <v/>
      </c>
    </row>
    <row r="66" spans="3:8">
      <c r="C66" t="str">
        <f t="shared" si="2"/>
        <v/>
      </c>
      <c r="D66" t="str">
        <f t="shared" si="3"/>
        <v/>
      </c>
      <c r="E66" s="102" t="str">
        <f t="shared" si="4"/>
        <v/>
      </c>
      <c r="F66" s="102" t="str">
        <f t="shared" si="5"/>
        <v/>
      </c>
      <c r="G66" s="102" t="str">
        <f t="shared" si="6"/>
        <v/>
      </c>
      <c r="H66" s="102" t="str">
        <f t="shared" si="7"/>
        <v/>
      </c>
    </row>
    <row r="67" spans="3:8">
      <c r="C67" t="str">
        <f t="shared" si="2"/>
        <v/>
      </c>
      <c r="D67" t="str">
        <f t="shared" si="3"/>
        <v/>
      </c>
      <c r="E67" s="102" t="str">
        <f t="shared" si="4"/>
        <v/>
      </c>
      <c r="F67" s="102" t="str">
        <f t="shared" si="5"/>
        <v/>
      </c>
      <c r="G67" s="102" t="str">
        <f t="shared" si="6"/>
        <v/>
      </c>
      <c r="H67" s="102" t="str">
        <f t="shared" si="7"/>
        <v/>
      </c>
    </row>
    <row r="68" spans="3:8">
      <c r="C68" t="str">
        <f t="shared" si="2"/>
        <v/>
      </c>
      <c r="D68" t="str">
        <f t="shared" si="3"/>
        <v/>
      </c>
      <c r="E68" s="102" t="str">
        <f t="shared" si="4"/>
        <v/>
      </c>
      <c r="F68" s="102" t="str">
        <f t="shared" si="5"/>
        <v/>
      </c>
      <c r="G68" s="102" t="str">
        <f t="shared" si="6"/>
        <v/>
      </c>
      <c r="H68" s="102" t="str">
        <f t="shared" si="7"/>
        <v/>
      </c>
    </row>
    <row r="69" spans="3:8">
      <c r="C69" t="str">
        <f t="shared" si="2"/>
        <v/>
      </c>
      <c r="D69" t="str">
        <f t="shared" si="3"/>
        <v/>
      </c>
      <c r="E69" s="102" t="str">
        <f t="shared" si="4"/>
        <v/>
      </c>
      <c r="F69" s="102" t="str">
        <f t="shared" si="5"/>
        <v/>
      </c>
      <c r="G69" s="102" t="str">
        <f t="shared" si="6"/>
        <v/>
      </c>
      <c r="H69" s="102" t="str">
        <f t="shared" si="7"/>
        <v/>
      </c>
    </row>
    <row r="70" spans="3:8">
      <c r="C70" t="str">
        <f t="shared" si="2"/>
        <v/>
      </c>
      <c r="D70" t="str">
        <f t="shared" si="3"/>
        <v/>
      </c>
      <c r="E70" s="102" t="str">
        <f t="shared" si="4"/>
        <v/>
      </c>
      <c r="F70" s="102" t="str">
        <f t="shared" si="5"/>
        <v/>
      </c>
      <c r="G70" s="102" t="str">
        <f t="shared" si="6"/>
        <v/>
      </c>
      <c r="H70" s="102" t="str">
        <f t="shared" si="7"/>
        <v/>
      </c>
    </row>
    <row r="71" spans="3:8">
      <c r="C71" t="str">
        <f t="shared" si="2"/>
        <v/>
      </c>
      <c r="D71" t="str">
        <f t="shared" si="3"/>
        <v/>
      </c>
      <c r="E71" s="102" t="str">
        <f t="shared" si="4"/>
        <v/>
      </c>
      <c r="F71" s="102" t="str">
        <f t="shared" si="5"/>
        <v/>
      </c>
      <c r="G71" s="102" t="str">
        <f t="shared" si="6"/>
        <v/>
      </c>
      <c r="H71" s="102" t="str">
        <f t="shared" si="7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Planning</vt:lpstr>
      <vt:lpstr>Plan de financement</vt:lpstr>
      <vt:lpstr>Investissement</vt:lpstr>
      <vt:lpstr>Recettes Prev</vt:lpstr>
      <vt:lpstr>Charges exploitation</vt:lpstr>
      <vt:lpstr>BUDGET</vt:lpstr>
      <vt:lpstr>Trésorerie Prévisionnel</vt:lpstr>
      <vt:lpstr>Compte d'exploitation Prev</vt:lpstr>
      <vt:lpstr>BFR</vt:lpstr>
      <vt:lpstr>Rembours Emprunt</vt:lpstr>
      <vt:lpstr>Amortissements Emprunt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dcterms:created xsi:type="dcterms:W3CDTF">2020-02-27T12:59:02Z</dcterms:created>
</cp:coreProperties>
</file>