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625" tabRatio="705" activeTab="1"/>
  </bookViews>
  <sheets>
    <sheet name="Prix" sheetId="4" r:id="rId1"/>
    <sheet name="Charpente" sheetId="1" r:id="rId2"/>
  </sheets>
  <definedNames>
    <definedName name="_xlnm.Print_Area" localSheetId="1">Charpente!$A$1:$I$166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" l="1"/>
  <c r="P9" i="1" l="1"/>
  <c r="Q9" i="1" s="1"/>
  <c r="P7" i="1"/>
  <c r="Q7" i="1" s="1"/>
  <c r="P6" i="1"/>
  <c r="Q6" i="1" s="1"/>
  <c r="C96" i="1" l="1"/>
  <c r="C98" i="1"/>
  <c r="C97" i="1"/>
  <c r="E97" i="1"/>
  <c r="E95" i="1" l="1"/>
  <c r="C95" i="1"/>
  <c r="C98" i="4" l="1"/>
  <c r="C96" i="4"/>
  <c r="B154" i="1" l="1"/>
  <c r="E166" i="1" l="1"/>
  <c r="B149" i="1" l="1"/>
  <c r="B148" i="1"/>
  <c r="B152" i="1" l="1"/>
  <c r="B147" i="1" l="1"/>
  <c r="I2" i="1" l="1"/>
  <c r="C110" i="1" l="1"/>
  <c r="D110" i="1" s="1"/>
  <c r="C135" i="1"/>
  <c r="C100" i="1"/>
  <c r="C99" i="1"/>
  <c r="C113" i="1"/>
  <c r="D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I33" i="1"/>
  <c r="I59" i="1" s="1"/>
  <c r="H33" i="1"/>
  <c r="H59" i="1" s="1"/>
  <c r="G33" i="1"/>
  <c r="F33" i="1"/>
  <c r="D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P12" i="1" s="1"/>
  <c r="Q12" i="1" s="1"/>
  <c r="G16" i="1"/>
  <c r="F16" i="1"/>
  <c r="P11" i="1" s="1"/>
  <c r="Q11" i="1" s="1"/>
  <c r="G15" i="1"/>
  <c r="F15" i="1"/>
  <c r="P10" i="1" s="1"/>
  <c r="Q10" i="1" s="1"/>
  <c r="G14" i="1"/>
  <c r="F14" i="1"/>
  <c r="G13" i="1"/>
  <c r="F13" i="1"/>
  <c r="P8" i="1" s="1"/>
  <c r="Q8" i="1" s="1"/>
  <c r="G12" i="1"/>
  <c r="F12" i="1"/>
  <c r="G11" i="1"/>
  <c r="F11" i="1"/>
  <c r="B95" i="1" s="1"/>
  <c r="G10" i="1"/>
  <c r="F10" i="1"/>
  <c r="P5" i="1" s="1"/>
  <c r="Q5" i="1" s="1"/>
  <c r="G9" i="1"/>
  <c r="F9" i="1"/>
  <c r="P4" i="1" s="1"/>
  <c r="Q4" i="1" s="1"/>
  <c r="I8" i="1"/>
  <c r="I29" i="1" s="1"/>
  <c r="H8" i="1"/>
  <c r="H29" i="1" s="1"/>
  <c r="G8" i="1"/>
  <c r="F8" i="1"/>
  <c r="C182" i="4"/>
  <c r="C97" i="4"/>
  <c r="F64" i="1"/>
  <c r="G64" i="1"/>
  <c r="C141" i="1"/>
  <c r="D141" i="1" s="1"/>
  <c r="F65" i="1"/>
  <c r="G65" i="1"/>
  <c r="H87" i="1"/>
  <c r="H80" i="1"/>
  <c r="H84" i="1" s="1"/>
  <c r="H74" i="1"/>
  <c r="H77" i="1" s="1"/>
  <c r="D76" i="4"/>
  <c r="F132" i="1"/>
  <c r="B128" i="1"/>
  <c r="C128" i="1"/>
  <c r="F82" i="4"/>
  <c r="F79" i="4"/>
  <c r="F76" i="4"/>
  <c r="C2" i="4"/>
  <c r="C1" i="4"/>
  <c r="A3" i="4"/>
  <c r="A3" i="1"/>
  <c r="D77" i="1"/>
  <c r="D91" i="1"/>
  <c r="D84" i="1"/>
  <c r="D71" i="1"/>
  <c r="C102" i="1"/>
  <c r="D151" i="1"/>
  <c r="D107" i="1"/>
  <c r="C149" i="1"/>
  <c r="D149" i="1" s="1"/>
  <c r="C154" i="1"/>
  <c r="D154" i="1" s="1"/>
  <c r="C152" i="1"/>
  <c r="D152" i="1" s="1"/>
  <c r="C148" i="1"/>
  <c r="D148" i="1" s="1"/>
  <c r="C147" i="1"/>
  <c r="D147" i="1" s="1"/>
  <c r="C138" i="1"/>
  <c r="D138" i="1" s="1"/>
  <c r="C131" i="1"/>
  <c r="B125" i="1"/>
  <c r="C125" i="1"/>
  <c r="I87" i="1"/>
  <c r="I91" i="1" s="1"/>
  <c r="H91" i="1"/>
  <c r="I80" i="1"/>
  <c r="I84" i="1" s="1"/>
  <c r="I74" i="1"/>
  <c r="I77" i="1" s="1"/>
  <c r="G67" i="1"/>
  <c r="G68" i="1"/>
  <c r="G69" i="1"/>
  <c r="G70" i="1"/>
  <c r="G66" i="1"/>
  <c r="G63" i="1"/>
  <c r="D82" i="4"/>
  <c r="B82" i="4" s="1"/>
  <c r="D79" i="4"/>
  <c r="C103" i="1"/>
  <c r="C101" i="1"/>
  <c r="F90" i="1"/>
  <c r="F89" i="1"/>
  <c r="F88" i="1"/>
  <c r="F87" i="1"/>
  <c r="F83" i="1"/>
  <c r="F82" i="1"/>
  <c r="F81" i="1"/>
  <c r="F80" i="1"/>
  <c r="F76" i="1"/>
  <c r="F75" i="1"/>
  <c r="F74" i="1"/>
  <c r="D2" i="1"/>
  <c r="D1" i="1"/>
  <c r="F69" i="1"/>
  <c r="F70" i="1"/>
  <c r="F68" i="1"/>
  <c r="F67" i="1"/>
  <c r="F66" i="1"/>
  <c r="B99" i="1" s="1"/>
  <c r="F63" i="1"/>
  <c r="B131" i="1"/>
  <c r="R12" i="1" l="1"/>
  <c r="R8" i="1"/>
  <c r="R11" i="1"/>
  <c r="R9" i="1"/>
  <c r="R5" i="1"/>
  <c r="R7" i="1"/>
  <c r="R6" i="1"/>
  <c r="R10" i="1"/>
  <c r="B100" i="1"/>
  <c r="B97" i="1"/>
  <c r="D97" i="1" s="1"/>
  <c r="B96" i="1"/>
  <c r="B122" i="1"/>
  <c r="D92" i="1"/>
  <c r="B119" i="1"/>
  <c r="B98" i="1"/>
  <c r="D99" i="1"/>
  <c r="B79" i="4"/>
  <c r="D125" i="1"/>
  <c r="G29" i="1"/>
  <c r="F59" i="1"/>
  <c r="F71" i="1"/>
  <c r="B135" i="1" s="1"/>
  <c r="D128" i="1"/>
  <c r="F29" i="1"/>
  <c r="D95" i="1"/>
  <c r="F84" i="1"/>
  <c r="B102" i="1" s="1"/>
  <c r="D102" i="1" s="1"/>
  <c r="D131" i="1"/>
  <c r="B76" i="4"/>
  <c r="C122" i="1"/>
  <c r="F77" i="1"/>
  <c r="B101" i="1" s="1"/>
  <c r="D101" i="1" s="1"/>
  <c r="C150" i="1"/>
  <c r="D150" i="1" s="1"/>
  <c r="D155" i="1" s="1"/>
  <c r="G59" i="1"/>
  <c r="F91" i="1"/>
  <c r="B103" i="1" s="1"/>
  <c r="D103" i="1" s="1"/>
  <c r="G71" i="1"/>
  <c r="B116" i="1" l="1"/>
  <c r="D100" i="1"/>
  <c r="D98" i="1"/>
  <c r="B113" i="1"/>
  <c r="D113" i="1" s="1"/>
  <c r="D96" i="1"/>
  <c r="D135" i="1"/>
  <c r="C119" i="1"/>
  <c r="D119" i="1" s="1"/>
  <c r="C116" i="1"/>
  <c r="C144" i="1"/>
  <c r="D144" i="1" s="1"/>
  <c r="D122" i="1"/>
  <c r="B104" i="1"/>
  <c r="D104" i="1" l="1"/>
  <c r="D116" i="1"/>
  <c r="C158" i="1"/>
  <c r="D158" i="1" s="1"/>
  <c r="D160" i="1" s="1"/>
  <c r="F166" i="1" l="1"/>
</calcChain>
</file>

<file path=xl/sharedStrings.xml><?xml version="1.0" encoding="utf-8"?>
<sst xmlns="http://schemas.openxmlformats.org/spreadsheetml/2006/main" count="483" uniqueCount="272">
  <si>
    <t>Client:</t>
  </si>
  <si>
    <t>localisation construction:</t>
  </si>
  <si>
    <t>date:</t>
  </si>
  <si>
    <t>CHARPENTE</t>
  </si>
  <si>
    <t>Désignation</t>
  </si>
  <si>
    <t>Section (cm)</t>
  </si>
  <si>
    <t>arba</t>
  </si>
  <si>
    <t>entrait</t>
  </si>
  <si>
    <t>poincon</t>
  </si>
  <si>
    <t>jambe de force</t>
  </si>
  <si>
    <t>Rabotage</t>
  </si>
  <si>
    <t>Brossage</t>
  </si>
  <si>
    <t>Long. (m)</t>
  </si>
  <si>
    <t>Total LC</t>
  </si>
  <si>
    <t>Total CC épicéa</t>
  </si>
  <si>
    <t>Total CC mélèze</t>
  </si>
  <si>
    <t>Prix</t>
  </si>
  <si>
    <t>Totaux:</t>
  </si>
  <si>
    <t>Total rabotage</t>
  </si>
  <si>
    <t>mélèze</t>
  </si>
  <si>
    <t>épicéa</t>
  </si>
  <si>
    <t>LC épicéa Simonin</t>
  </si>
  <si>
    <t>CC épicéa</t>
  </si>
  <si>
    <t>CC mélèze</t>
  </si>
  <si>
    <t>Equarrissage</t>
  </si>
  <si>
    <t>Cout horaire</t>
  </si>
  <si>
    <t>étude</t>
  </si>
  <si>
    <t>Seep-cut (avec opérateur)</t>
  </si>
  <si>
    <t>K2 (avec opérateur)</t>
  </si>
  <si>
    <t>montage charpente</t>
  </si>
  <si>
    <t>menuiserie chantier</t>
  </si>
  <si>
    <t>menuiserie atelier</t>
  </si>
  <si>
    <t>chauffeur point lourd</t>
  </si>
  <si>
    <t>ml/minute à 2 personnes</t>
  </si>
  <si>
    <t>Nbre</t>
  </si>
  <si>
    <t>Taille manuelle</t>
  </si>
  <si>
    <t>pièces à</t>
  </si>
  <si>
    <t>Total brossage</t>
  </si>
  <si>
    <t>Total équarrissage</t>
  </si>
  <si>
    <t>chargement</t>
  </si>
  <si>
    <t>transport</t>
  </si>
  <si>
    <t>repas</t>
  </si>
  <si>
    <t>Cout véhicules</t>
  </si>
  <si>
    <t>voiture</t>
  </si>
  <si>
    <t>fourgons</t>
  </si>
  <si>
    <t>camions grue</t>
  </si>
  <si>
    <t>semi-remorque</t>
  </si>
  <si>
    <t>compter 2 personnes</t>
  </si>
  <si>
    <t>montage</t>
  </si>
  <si>
    <t>camion grue</t>
  </si>
  <si>
    <t>Cout déplacements</t>
  </si>
  <si>
    <t>pensions</t>
  </si>
  <si>
    <t>quincaillerie</t>
  </si>
  <si>
    <t>nacelle</t>
  </si>
  <si>
    <t>Materiaux facades</t>
  </si>
  <si>
    <t>argent poche</t>
  </si>
  <si>
    <t>Forfait imprévus</t>
  </si>
  <si>
    <t>tuiles</t>
  </si>
  <si>
    <t>demi-tuiles</t>
  </si>
  <si>
    <t>faitières</t>
  </si>
  <si>
    <t>about faitières</t>
  </si>
  <si>
    <t>chatières</t>
  </si>
  <si>
    <t>tuiles rives rabat</t>
  </si>
  <si>
    <t>crochet neige</t>
  </si>
  <si>
    <t>toles</t>
  </si>
  <si>
    <t>rives</t>
  </si>
  <si>
    <t>solins</t>
  </si>
  <si>
    <t>douilles</t>
  </si>
  <si>
    <t>Tuiles Actua ou Mega</t>
  </si>
  <si>
    <t>Tavaillons mélèze ou Red-Cedar</t>
  </si>
  <si>
    <t>faitières cuivre</t>
  </si>
  <si>
    <t>arret neige rondins</t>
  </si>
  <si>
    <t>rives cuivre</t>
  </si>
  <si>
    <t>solins cuivre</t>
  </si>
  <si>
    <t>douilles cuivre</t>
  </si>
  <si>
    <t>tavaillons posés</t>
  </si>
  <si>
    <t>Bacs aciers 4-250-36</t>
  </si>
  <si>
    <t>sentineige (compris vis)</t>
  </si>
  <si>
    <t>Ferblanterie inox</t>
  </si>
  <si>
    <t>cheneaux posés</t>
  </si>
  <si>
    <t>bavettes posées</t>
  </si>
  <si>
    <t>descentes posées</t>
  </si>
  <si>
    <t>noues posées</t>
  </si>
  <si>
    <t>solins posés</t>
  </si>
  <si>
    <t>Ferblanterie cuivre</t>
  </si>
  <si>
    <t>Traitement IFH</t>
  </si>
  <si>
    <t>contre-lattes 40x60</t>
  </si>
  <si>
    <t>lambris épicéa 14mm</t>
  </si>
  <si>
    <t>lambris épicéa 24mm</t>
  </si>
  <si>
    <t>frise épicéa 12mm</t>
  </si>
  <si>
    <t>rives et larmiers épicéa</t>
  </si>
  <si>
    <t>lambourdes toles 40x100</t>
  </si>
  <si>
    <t>pare-vapeur SB130</t>
  </si>
  <si>
    <t>rives et larmiers mélèze</t>
  </si>
  <si>
    <t>volige 25mm support tavaillons</t>
  </si>
  <si>
    <t>sortie toit de base</t>
  </si>
  <si>
    <t>ml conduit supplémentaire</t>
  </si>
  <si>
    <t>faux tuyé</t>
  </si>
  <si>
    <t>Poujoulat</t>
  </si>
  <si>
    <t>volige 15mm traité vert</t>
  </si>
  <si>
    <t>Total montage:</t>
  </si>
  <si>
    <t>fixtop 420mm</t>
  </si>
  <si>
    <t>ossatures 150x35</t>
  </si>
  <si>
    <t>ossatures 100x35</t>
  </si>
  <si>
    <t>OSB12mm</t>
  </si>
  <si>
    <t>fibre bois 60mm, Multitherm 110</t>
  </si>
  <si>
    <t>pare-pluie AERO TR2</t>
  </si>
  <si>
    <t>bardage épicéa 24mm</t>
  </si>
  <si>
    <t>bardage mélèze 24mm</t>
  </si>
  <si>
    <t>bardage claire-voie épicéa</t>
  </si>
  <si>
    <t>bardage claire-voie mélèze</t>
  </si>
  <si>
    <t>pare-pluie  BLACK</t>
  </si>
  <si>
    <t>Aquapanel pour parement pierres</t>
  </si>
  <si>
    <t>contre-plaqué 19mm pour crépis</t>
  </si>
  <si>
    <t>bardage zinc joints debouts posé</t>
  </si>
  <si>
    <t>Trespa Meteon compri accessoires</t>
  </si>
  <si>
    <t>Total:</t>
  </si>
  <si>
    <t>atelier charpente (manuel)</t>
  </si>
  <si>
    <t>bardage épicéa 24mm grisé naturel</t>
  </si>
  <si>
    <t>option contre-cadres</t>
  </si>
  <si>
    <t>encadrements épicéa</t>
  </si>
  <si>
    <t>encadrements mélèze</t>
  </si>
  <si>
    <t>bras</t>
  </si>
  <si>
    <t>mélèze 22mm toutes largeurs</t>
  </si>
  <si>
    <t>mélèze 28mm, strié, largeur fixe</t>
  </si>
  <si>
    <t>Itauba</t>
  </si>
  <si>
    <t>1 couche huile (posée)</t>
  </si>
  <si>
    <t>1 couche lasure (posée)</t>
  </si>
  <si>
    <t>Traitement IFH (posé)</t>
  </si>
  <si>
    <t>ossatures 100x25</t>
  </si>
  <si>
    <t>ossatures 55x35</t>
  </si>
  <si>
    <t>Materiaux divers</t>
  </si>
  <si>
    <t>Plancher balcons</t>
  </si>
  <si>
    <t>fixations (cavaliers + vis)</t>
  </si>
  <si>
    <t xml:space="preserve">h à </t>
  </si>
  <si>
    <t>scotch</t>
  </si>
  <si>
    <t>vis de couture</t>
  </si>
  <si>
    <t>maitrise d'œuvre</t>
  </si>
  <si>
    <t>déplacements</t>
  </si>
  <si>
    <t>Taille K2 ou SC</t>
  </si>
  <si>
    <t>nombre total de pièces</t>
  </si>
  <si>
    <t>Nombre total de pièces:</t>
  </si>
  <si>
    <t>échafaudages</t>
  </si>
  <si>
    <t>Si acheté</t>
  </si>
  <si>
    <t>3 plis épicéa 19mm</t>
  </si>
  <si>
    <t>3 plis mélèze 19mm</t>
  </si>
  <si>
    <t>Materiaux toiture</t>
  </si>
  <si>
    <t>AERO TR2</t>
  </si>
  <si>
    <t>SEAL</t>
  </si>
  <si>
    <t>Rockciel 260mm</t>
  </si>
  <si>
    <t>échaffaudage</t>
  </si>
  <si>
    <t>(heure charpentier + amortissement échaffaudages)</t>
  </si>
  <si>
    <t>jours à</t>
  </si>
  <si>
    <t>personnes</t>
  </si>
  <si>
    <t>Efisarking 160mm</t>
  </si>
  <si>
    <t>sommier moisant</t>
  </si>
  <si>
    <t>solive</t>
  </si>
  <si>
    <t>poteau</t>
  </si>
  <si>
    <t>moise ext.</t>
  </si>
  <si>
    <t>console</t>
  </si>
  <si>
    <t>poteau façade</t>
  </si>
  <si>
    <t>faux poteau</t>
  </si>
  <si>
    <t>entre-moise</t>
  </si>
  <si>
    <t>panne</t>
  </si>
  <si>
    <t>chevron</t>
  </si>
  <si>
    <t>blochet</t>
  </si>
  <si>
    <t>semelle</t>
  </si>
  <si>
    <t>semelle pignon</t>
  </si>
  <si>
    <t>linteau</t>
  </si>
  <si>
    <t>bras refend</t>
  </si>
  <si>
    <t>lambris brossé-chauffé 19mm</t>
  </si>
  <si>
    <t>3 plis brossé-chauffé 19mm</t>
  </si>
  <si>
    <t>3 plis épicéa 27mm</t>
  </si>
  <si>
    <t>3 plis mélèze 27mm</t>
  </si>
  <si>
    <t>4 plis brossé-chauffé 27mm</t>
  </si>
  <si>
    <t>recharges 60x200 taillées</t>
  </si>
  <si>
    <t>recharges 60x100 taillées</t>
  </si>
  <si>
    <t>recharges 60x100 non taillées</t>
  </si>
  <si>
    <t>laine verre 80mm</t>
  </si>
  <si>
    <t>Sechage</t>
  </si>
  <si>
    <t>Traitement "vert"</t>
  </si>
  <si>
    <t>Total sechage</t>
  </si>
  <si>
    <r>
      <t xml:space="preserve">Total sapin </t>
    </r>
    <r>
      <rPr>
        <b/>
        <i/>
        <sz val="11"/>
        <color rgb="FFFF0000"/>
        <rFont val="Calibri"/>
        <family val="2"/>
        <scheme val="minor"/>
      </rPr>
      <t>+ 9ml</t>
    </r>
  </si>
  <si>
    <r>
      <t xml:space="preserve">Total sapin </t>
    </r>
    <r>
      <rPr>
        <b/>
        <i/>
        <sz val="11"/>
        <color theme="9" tint="-0.249977111117893"/>
        <rFont val="Calibri"/>
        <family val="2"/>
        <scheme val="minor"/>
      </rPr>
      <t>- 9ml</t>
    </r>
  </si>
  <si>
    <t>Vapo-traitement</t>
  </si>
  <si>
    <t>posé</t>
  </si>
  <si>
    <t>Pose</t>
  </si>
  <si>
    <t>min./m²</t>
  </si>
  <si>
    <t>Pose (pour interieur)</t>
  </si>
  <si>
    <t>min./ml</t>
  </si>
  <si>
    <t>pare-vapeur DB90</t>
  </si>
  <si>
    <t>lambourdage techniq. 30x35</t>
  </si>
  <si>
    <t>Materiaux interieurs</t>
  </si>
  <si>
    <t>placo standard</t>
  </si>
  <si>
    <t>placo marin</t>
  </si>
  <si>
    <t>placo feu</t>
  </si>
  <si>
    <t>Fermacell</t>
  </si>
  <si>
    <t>bandes placo</t>
  </si>
  <si>
    <t>bandes Fermacel</t>
  </si>
  <si>
    <t>peinture</t>
  </si>
  <si>
    <t>Rock sol 30mm</t>
  </si>
  <si>
    <t>Kahrs chène Hampshire + colle</t>
  </si>
  <si>
    <t>plinthes Kahrs</t>
  </si>
  <si>
    <t>Quick-step Eligna 800 + sous-couche</t>
  </si>
  <si>
    <t>plinthes Quick-step</t>
  </si>
  <si>
    <t>plinthes épicéa 58mm</t>
  </si>
  <si>
    <t>Escaliers</t>
  </si>
  <si>
    <t>echelle de meunier épicéa</t>
  </si>
  <si>
    <t>escalier droit épicéa</t>
  </si>
  <si>
    <t>escalier 1/4 tournant épicéa</t>
  </si>
  <si>
    <t>escalier 2/4 tournant épicéa</t>
  </si>
  <si>
    <t>option contre-marches</t>
  </si>
  <si>
    <t>option marches bois dur (frène)</t>
  </si>
  <si>
    <t>garde-corps rampant, barr. Droits</t>
  </si>
  <si>
    <t>garde-corps horiz., barr. Droits</t>
  </si>
  <si>
    <t>option garde-corps tubes métal</t>
  </si>
  <si>
    <t>Portes interieur</t>
  </si>
  <si>
    <t>porte isolantes</t>
  </si>
  <si>
    <t>porte isoplane</t>
  </si>
  <si>
    <t>porte Mosel-Turen, CFCE</t>
  </si>
  <si>
    <t>Mosel-Turen, CFCE, coulissante</t>
  </si>
  <si>
    <t>Mosel-Turen, CFCE, galandage</t>
  </si>
  <si>
    <t>placo 4 bords amincis (plafond)</t>
  </si>
  <si>
    <t>uniqu. Bois ext. + sapin</t>
  </si>
  <si>
    <t>grille anti-insectes</t>
  </si>
  <si>
    <t>lattes tuiles 24x40</t>
  </si>
  <si>
    <t>contre-lattes 24x60</t>
  </si>
  <si>
    <t>lambourdes 24x60</t>
  </si>
  <si>
    <t>h/U</t>
  </si>
  <si>
    <t>h/ml</t>
  </si>
  <si>
    <t>laine verre 240mm: 0,35</t>
  </si>
  <si>
    <t>laine verre 200mm: 0,35</t>
  </si>
  <si>
    <t>laine verre 150mm: 0,35</t>
  </si>
  <si>
    <t>laine verre 100mm: 0,35</t>
  </si>
  <si>
    <t>tuiles à douilles + lanterne</t>
  </si>
  <si>
    <t>option vitrification</t>
  </si>
  <si>
    <t>Efigreen ITE 90mm</t>
  </si>
  <si>
    <t>laine roche 45mm</t>
  </si>
  <si>
    <t>bardage mélèze vielli rustique 24mm</t>
  </si>
  <si>
    <t>3 plis mélèze vieilli rustique 19mm</t>
  </si>
  <si>
    <t xml:space="preserve">Total pour l'ensemble </t>
  </si>
  <si>
    <t xml:space="preserve">charpente visible à l'exterieur </t>
  </si>
  <si>
    <t>charpente visible à l'interieur</t>
  </si>
  <si>
    <t>charpente non visible</t>
  </si>
  <si>
    <t>Reymond S2A, sapin, CFCE</t>
  </si>
  <si>
    <t>Reymond S2A, sapin, CFCE, coulissante</t>
  </si>
  <si>
    <t>Reymond S2A, sapin, CFCE, galandage</t>
  </si>
  <si>
    <t>Reymond S2A, B+C, CFCE</t>
  </si>
  <si>
    <t>Reymond S2A, B+C, CFCE, coulissante</t>
  </si>
  <si>
    <t>Reymond S2A, B+C, CFCE, galandage</t>
  </si>
  <si>
    <t>lambris épicéa 24mm à claire-voie</t>
  </si>
  <si>
    <t>lambris brossé-chauffé 19mm à claire-voie</t>
  </si>
  <si>
    <t>lambris épicéa grisé, à claire-voie</t>
  </si>
  <si>
    <t>OSB 22mm, hydro</t>
  </si>
  <si>
    <t>lambris vieux bois</t>
  </si>
  <si>
    <t>lambris vieux bois à claire-voie</t>
  </si>
  <si>
    <t>Si Suisse: compter 58,5€/h</t>
  </si>
  <si>
    <r>
      <t xml:space="preserve">Total m3 Extérieure de </t>
    </r>
    <r>
      <rPr>
        <b/>
        <i/>
        <sz val="11"/>
        <color rgb="FFFF0000"/>
        <rFont val="Calibri"/>
        <family val="2"/>
        <scheme val="minor"/>
      </rPr>
      <t>+9ml</t>
    </r>
  </si>
  <si>
    <r>
      <t xml:space="preserve">Total m3 Exterieure de </t>
    </r>
    <r>
      <rPr>
        <b/>
        <i/>
        <sz val="11"/>
        <color theme="9" tint="-0.249977111117893"/>
        <rFont val="Calibri"/>
        <family val="2"/>
        <scheme val="minor"/>
      </rPr>
      <t>-9ml</t>
    </r>
  </si>
  <si>
    <r>
      <t xml:space="preserve">Total m3 Interieure de </t>
    </r>
    <r>
      <rPr>
        <b/>
        <i/>
        <sz val="11"/>
        <color rgb="FFFF0000"/>
        <rFont val="Calibri"/>
        <family val="2"/>
        <scheme val="minor"/>
      </rPr>
      <t>+ 9ml</t>
    </r>
  </si>
  <si>
    <r>
      <t xml:space="preserve">Total m3 Interieure de </t>
    </r>
    <r>
      <rPr>
        <b/>
        <i/>
        <sz val="11"/>
        <color theme="9" tint="-0.249977111117893"/>
        <rFont val="Calibri"/>
        <family val="2"/>
        <scheme val="minor"/>
      </rPr>
      <t>- 9ml</t>
    </r>
  </si>
  <si>
    <t>LC épicéa</t>
  </si>
  <si>
    <t>Sapin</t>
  </si>
  <si>
    <t>&lt; 9 ml</t>
  </si>
  <si>
    <t>&gt; 9 ml</t>
  </si>
  <si>
    <t>sapin</t>
  </si>
  <si>
    <t>mélèze  &lt; 9 ml</t>
  </si>
  <si>
    <t>mélèze  &gt; 9 ml</t>
  </si>
  <si>
    <t>épicéa &lt; 9 ml</t>
  </si>
  <si>
    <t>épicéa &gt; 9 ml</t>
  </si>
  <si>
    <t>sapin &lt; 9 ml</t>
  </si>
  <si>
    <t>sapin &gt; 9 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</si>
</sst>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4">
    <numFmt numFmtId="164" formatCode="0.000&quot; m3&quot;"/>
    <numFmt numFmtId="165" formatCode="#,##0&quot; €/m3&quot;"/>
    <numFmt numFmtId="166" formatCode="#,##0&quot; €&quot;"/>
    <numFmt numFmtId="167" formatCode="0.00&quot; €/ml&quot;"/>
    <numFmt numFmtId="169" formatCode="#,##0&quot; €/h&quot;"/>
    <numFmt numFmtId="170" formatCode="0.000"/>
    <numFmt numFmtId="171" formatCode="0.0&quot; ml&quot;"/>
    <numFmt numFmtId="172" formatCode="0&quot; h&quot;"/>
    <numFmt numFmtId="173" formatCode="0&quot; mn/pce&quot;"/>
    <numFmt numFmtId="174" formatCode="#,##0&quot; U&quot;"/>
    <numFmt numFmtId="175" formatCode="0&quot; €/U&quot;"/>
    <numFmt numFmtId="176" formatCode="#,##0.0&quot; €/km&quot;"/>
    <numFmt numFmtId="178" formatCode="0&quot; m²&quot;"/>
    <numFmt numFmtId="179" formatCode="#,##0.0&quot; €/m2&quot;"/>
    <numFmt numFmtId="180" formatCode="0.0&quot; €/ml&quot;"/>
    <numFmt numFmtId="182" formatCode="0.0&quot; €/U&quot;"/>
    <numFmt numFmtId="183" formatCode="#,##0.00&quot; €/m2&quot;"/>
    <numFmt numFmtId="186" formatCode="#,##0.0&quot; U&quot;"/>
    <numFmt numFmtId="187" formatCode="#,##0.00&quot; €/m3&quot;"/>
    <numFmt numFmtId="188" formatCode="0.00&quot; €/U&quot;"/>
    <numFmt numFmtId="191" formatCode="0&quot; €/ml&quot;"/>
    <numFmt numFmtId="199" formatCode="0&quot; km&quot;"/>
    <numFmt numFmtId="200" formatCode="#,##0.0&quot; €/h&quot;"/>
    <numFmt numFmtId="203" formatCode="&quot;+ &quot;#,##0&quot; €/m3&quot;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i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name val="Arial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0"/>
      <color rgb="FF7030A0"/>
      <name val="Calibri"/>
      <family val="2"/>
      <scheme val="minor"/>
    </font>
    <font>
      <i/>
      <sz val="10"/>
      <color rgb="FF7030A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b/>
      <i/>
      <sz val="11"/>
      <color rgb="FF7030A0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5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n">
        <color theme="5"/>
      </right>
      <top/>
      <bottom style="thin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indexed="64"/>
      </top>
      <bottom/>
      <diagonal/>
    </border>
    <border>
      <left style="thin">
        <color rgb="FFFF9933"/>
      </left>
      <right style="thin">
        <color rgb="FFFF9933"/>
      </right>
      <top style="thin">
        <color rgb="FFFF9933"/>
      </top>
      <bottom style="thin">
        <color rgb="FFFF9933"/>
      </bottom>
      <diagonal/>
    </border>
    <border>
      <left style="thin">
        <color rgb="FFFF9933"/>
      </left>
      <right/>
      <top style="thin">
        <color rgb="FFFF9933"/>
      </top>
      <bottom style="thin">
        <color rgb="FFFF9933"/>
      </bottom>
      <diagonal/>
    </border>
    <border>
      <left/>
      <right/>
      <top style="thin">
        <color rgb="FFFF9933"/>
      </top>
      <bottom style="thin">
        <color rgb="FFFF9933"/>
      </bottom>
      <diagonal/>
    </border>
    <border>
      <left/>
      <right style="thin">
        <color rgb="FFFF9933"/>
      </right>
      <top style="thin">
        <color rgb="FFFF9933"/>
      </top>
      <bottom style="thin">
        <color rgb="FFFF993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5"/>
      </left>
      <right style="thin">
        <color theme="5"/>
      </right>
      <top/>
      <bottom/>
      <diagonal/>
    </border>
  </borders>
  <cellStyleXfs count="1">
    <xf numFmtId="0" fontId="0" fillId="0" borderId="0"/>
  </cellStyleXfs>
  <cellXfs count="219">
    <xf numFmtId="0" fontId="0" fillId="0" borderId="0" xfId="0"/>
    <xf numFmtId="0" fontId="6" fillId="0" borderId="0" xfId="0" applyFont="1" applyAlignment="1">
      <alignment horizontal="right"/>
    </xf>
    <xf numFmtId="0" fontId="7" fillId="0" borderId="0" xfId="0" applyFont="1"/>
    <xf numFmtId="0" fontId="2" fillId="0" borderId="0" xfId="0" applyFont="1"/>
    <xf numFmtId="0" fontId="3" fillId="0" borderId="0" xfId="0" applyFont="1"/>
    <xf numFmtId="0" fontId="10" fillId="0" borderId="1" xfId="0" applyFont="1" applyBorder="1"/>
    <xf numFmtId="0" fontId="0" fillId="0" borderId="7" xfId="0" applyBorder="1"/>
    <xf numFmtId="0" fontId="0" fillId="0" borderId="8" xfId="0" applyBorder="1"/>
    <xf numFmtId="0" fontId="10" fillId="4" borderId="1" xfId="0" applyFont="1" applyFill="1" applyBorder="1" applyAlignment="1">
      <alignment horizontal="center"/>
    </xf>
    <xf numFmtId="164" fontId="14" fillId="0" borderId="7" xfId="0" applyNumberFormat="1" applyFont="1" applyFill="1" applyBorder="1" applyAlignment="1">
      <alignment horizontal="right"/>
    </xf>
    <xf numFmtId="0" fontId="15" fillId="0" borderId="0" xfId="0" applyFont="1" applyAlignment="1">
      <alignment horizontal="right"/>
    </xf>
    <xf numFmtId="164" fontId="14" fillId="0" borderId="9" xfId="0" applyNumberFormat="1" applyFont="1" applyFill="1" applyBorder="1" applyAlignment="1">
      <alignment horizontal="right"/>
    </xf>
    <xf numFmtId="164" fontId="1" fillId="5" borderId="2" xfId="0" applyNumberFormat="1" applyFont="1" applyFill="1" applyBorder="1"/>
    <xf numFmtId="164" fontId="1" fillId="2" borderId="2" xfId="0" applyNumberFormat="1" applyFont="1" applyFill="1" applyBorder="1"/>
    <xf numFmtId="164" fontId="1" fillId="4" borderId="2" xfId="0" applyNumberFormat="1" applyFont="1" applyFill="1" applyBorder="1"/>
    <xf numFmtId="0" fontId="10" fillId="6" borderId="1" xfId="0" applyFont="1" applyFill="1" applyBorder="1" applyAlignment="1">
      <alignment horizontal="center"/>
    </xf>
    <xf numFmtId="164" fontId="1" fillId="6" borderId="1" xfId="0" applyNumberFormat="1" applyFont="1" applyFill="1" applyBorder="1"/>
    <xf numFmtId="164" fontId="1" fillId="7" borderId="1" xfId="0" applyNumberFormat="1" applyFont="1" applyFill="1" applyBorder="1"/>
    <xf numFmtId="164" fontId="1" fillId="8" borderId="1" xfId="0" applyNumberFormat="1" applyFont="1" applyFill="1" applyBorder="1"/>
    <xf numFmtId="0" fontId="15" fillId="5" borderId="1" xfId="0" applyFont="1" applyFill="1" applyBorder="1" applyAlignment="1">
      <alignment horizontal="right"/>
    </xf>
    <xf numFmtId="164" fontId="7" fillId="0" borderId="1" xfId="0" applyNumberFormat="1" applyFont="1" applyFill="1" applyBorder="1"/>
    <xf numFmtId="0" fontId="15" fillId="2" borderId="1" xfId="0" applyFont="1" applyFill="1" applyBorder="1" applyAlignment="1">
      <alignment horizontal="right"/>
    </xf>
    <xf numFmtId="0" fontId="15" fillId="4" borderId="1" xfId="0" applyFont="1" applyFill="1" applyBorder="1" applyAlignment="1">
      <alignment horizontal="right"/>
    </xf>
    <xf numFmtId="0" fontId="15" fillId="6" borderId="1" xfId="0" applyFont="1" applyFill="1" applyBorder="1" applyAlignment="1">
      <alignment horizontal="right"/>
    </xf>
    <xf numFmtId="0" fontId="15" fillId="7" borderId="1" xfId="0" applyFont="1" applyFill="1" applyBorder="1" applyAlignment="1">
      <alignment horizontal="right"/>
    </xf>
    <xf numFmtId="0" fontId="15" fillId="8" borderId="1" xfId="0" applyFont="1" applyFill="1" applyBorder="1" applyAlignment="1">
      <alignment horizontal="right"/>
    </xf>
    <xf numFmtId="0" fontId="16" fillId="3" borderId="1" xfId="0" applyFont="1" applyFill="1" applyBorder="1" applyAlignment="1">
      <alignment horizontal="center"/>
    </xf>
    <xf numFmtId="165" fontId="11" fillId="3" borderId="1" xfId="0" applyNumberFormat="1" applyFont="1" applyFill="1" applyBorder="1" applyAlignment="1"/>
    <xf numFmtId="0" fontId="15" fillId="0" borderId="1" xfId="0" applyFont="1" applyFill="1" applyBorder="1" applyAlignment="1">
      <alignment horizontal="right"/>
    </xf>
    <xf numFmtId="166" fontId="7" fillId="0" borderId="1" xfId="0" applyNumberFormat="1" applyFont="1" applyBorder="1"/>
    <xf numFmtId="167" fontId="7" fillId="3" borderId="1" xfId="0" applyNumberFormat="1" applyFont="1" applyFill="1" applyBorder="1"/>
    <xf numFmtId="166" fontId="13" fillId="0" borderId="1" xfId="0" applyNumberFormat="1" applyFont="1" applyBorder="1"/>
    <xf numFmtId="165" fontId="7" fillId="3" borderId="1" xfId="0" applyNumberFormat="1" applyFont="1" applyFill="1" applyBorder="1"/>
    <xf numFmtId="165" fontId="12" fillId="3" borderId="1" xfId="0" applyNumberFormat="1" applyFont="1" applyFill="1" applyBorder="1" applyAlignment="1"/>
    <xf numFmtId="0" fontId="7" fillId="0" borderId="1" xfId="0" applyFont="1" applyBorder="1"/>
    <xf numFmtId="0" fontId="0" fillId="0" borderId="2" xfId="0" applyBorder="1"/>
    <xf numFmtId="169" fontId="11" fillId="3" borderId="1" xfId="0" applyNumberFormat="1" applyFont="1" applyFill="1" applyBorder="1" applyAlignment="1">
      <alignment horizontal="right"/>
    </xf>
    <xf numFmtId="171" fontId="0" fillId="0" borderId="1" xfId="0" applyNumberFormat="1" applyBorder="1"/>
    <xf numFmtId="171" fontId="0" fillId="0" borderId="10" xfId="0" applyNumberFormat="1" applyBorder="1" applyAlignment="1">
      <alignment horizontal="right"/>
    </xf>
    <xf numFmtId="171" fontId="0" fillId="0" borderId="7" xfId="0" applyNumberFormat="1" applyBorder="1" applyAlignment="1">
      <alignment horizontal="right"/>
    </xf>
    <xf numFmtId="171" fontId="7" fillId="0" borderId="1" xfId="0" applyNumberFormat="1" applyFont="1" applyBorder="1"/>
    <xf numFmtId="164" fontId="13" fillId="0" borderId="1" xfId="0" applyNumberFormat="1" applyFont="1" applyBorder="1"/>
    <xf numFmtId="172" fontId="7" fillId="0" borderId="1" xfId="0" applyNumberFormat="1" applyFont="1" applyBorder="1"/>
    <xf numFmtId="169" fontId="12" fillId="3" borderId="1" xfId="0" applyNumberFormat="1" applyFont="1" applyFill="1" applyBorder="1" applyAlignment="1">
      <alignment horizontal="right"/>
    </xf>
    <xf numFmtId="0" fontId="7" fillId="0" borderId="13" xfId="0" applyNumberFormat="1" applyFont="1" applyBorder="1" applyAlignment="1">
      <alignment horizontal="center"/>
    </xf>
    <xf numFmtId="174" fontId="7" fillId="0" borderId="1" xfId="0" applyNumberFormat="1" applyFont="1" applyBorder="1"/>
    <xf numFmtId="175" fontId="0" fillId="3" borderId="1" xfId="0" applyNumberFormat="1" applyFill="1" applyBorder="1"/>
    <xf numFmtId="176" fontId="11" fillId="3" borderId="1" xfId="0" applyNumberFormat="1" applyFont="1" applyFill="1" applyBorder="1" applyAlignment="1">
      <alignment horizontal="right"/>
    </xf>
    <xf numFmtId="176" fontId="12" fillId="3" borderId="1" xfId="0" applyNumberFormat="1" applyFont="1" applyFill="1" applyBorder="1" applyAlignment="1">
      <alignment horizontal="right"/>
    </xf>
    <xf numFmtId="175" fontId="12" fillId="3" borderId="1" xfId="0" applyNumberFormat="1" applyFont="1" applyFill="1" applyBorder="1" applyAlignment="1">
      <alignment horizontal="right"/>
    </xf>
    <xf numFmtId="175" fontId="11" fillId="3" borderId="1" xfId="0" applyNumberFormat="1" applyFont="1" applyFill="1" applyBorder="1" applyAlignment="1">
      <alignment horizontal="right"/>
    </xf>
    <xf numFmtId="164" fontId="13" fillId="0" borderId="0" xfId="0" applyNumberFormat="1" applyFont="1" applyBorder="1"/>
    <xf numFmtId="166" fontId="13" fillId="0" borderId="0" xfId="0" applyNumberFormat="1" applyFont="1" applyBorder="1"/>
    <xf numFmtId="0" fontId="8" fillId="3" borderId="0" xfId="0" applyFont="1" applyFill="1" applyAlignment="1">
      <alignment horizontal="right"/>
    </xf>
    <xf numFmtId="0" fontId="0" fillId="3" borderId="0" xfId="0" applyFill="1"/>
    <xf numFmtId="0" fontId="19" fillId="0" borderId="0" xfId="0" applyFont="1" applyFill="1"/>
    <xf numFmtId="0" fontId="0" fillId="0" borderId="0" xfId="0" applyFill="1"/>
    <xf numFmtId="0" fontId="4" fillId="0" borderId="0" xfId="0" applyFont="1" applyFill="1" applyBorder="1" applyAlignment="1"/>
    <xf numFmtId="0" fontId="15" fillId="0" borderId="0" xfId="0" applyFont="1" applyFill="1" applyBorder="1" applyAlignment="1">
      <alignment horizontal="right"/>
    </xf>
    <xf numFmtId="172" fontId="7" fillId="0" borderId="0" xfId="0" applyNumberFormat="1" applyFont="1" applyBorder="1"/>
    <xf numFmtId="169" fontId="12" fillId="0" borderId="0" xfId="0" applyNumberFormat="1" applyFont="1" applyFill="1" applyBorder="1" applyAlignment="1">
      <alignment horizontal="right"/>
    </xf>
    <xf numFmtId="0" fontId="18" fillId="0" borderId="1" xfId="0" applyFont="1" applyFill="1" applyBorder="1" applyAlignment="1">
      <alignment horizontal="right"/>
    </xf>
    <xf numFmtId="0" fontId="21" fillId="0" borderId="4" xfId="0" applyFont="1" applyBorder="1" applyAlignment="1">
      <alignment horizontal="right"/>
    </xf>
    <xf numFmtId="0" fontId="18" fillId="0" borderId="4" xfId="0" applyFont="1" applyFill="1" applyBorder="1" applyAlignment="1">
      <alignment horizontal="right"/>
    </xf>
    <xf numFmtId="0" fontId="7" fillId="0" borderId="0" xfId="0" applyNumberFormat="1" applyFont="1" applyBorder="1" applyAlignment="1">
      <alignment horizontal="center"/>
    </xf>
    <xf numFmtId="173" fontId="7" fillId="0" borderId="0" xfId="0" applyNumberFormat="1" applyFont="1" applyFill="1" applyBorder="1"/>
    <xf numFmtId="164" fontId="7" fillId="0" borderId="1" xfId="0" applyNumberFormat="1" applyFont="1" applyBorder="1"/>
    <xf numFmtId="165" fontId="12" fillId="3" borderId="1" xfId="0" applyNumberFormat="1" applyFont="1" applyFill="1" applyBorder="1" applyAlignment="1">
      <alignment horizontal="right"/>
    </xf>
    <xf numFmtId="0" fontId="18" fillId="0" borderId="0" xfId="0" applyFont="1" applyFill="1" applyBorder="1" applyAlignment="1">
      <alignment horizontal="right"/>
    </xf>
    <xf numFmtId="179" fontId="11" fillId="3" borderId="1" xfId="0" applyNumberFormat="1" applyFont="1" applyFill="1" applyBorder="1" applyAlignment="1"/>
    <xf numFmtId="180" fontId="11" fillId="3" borderId="1" xfId="0" applyNumberFormat="1" applyFont="1" applyFill="1" applyBorder="1" applyAlignment="1"/>
    <xf numFmtId="179" fontId="11" fillId="0" borderId="0" xfId="0" applyNumberFormat="1" applyFont="1" applyFill="1" applyBorder="1" applyAlignment="1"/>
    <xf numFmtId="0" fontId="0" fillId="0" borderId="0" xfId="0" applyFont="1" applyFill="1" applyBorder="1" applyAlignment="1">
      <alignment horizontal="right"/>
    </xf>
    <xf numFmtId="0" fontId="0" fillId="0" borderId="6" xfId="0" applyBorder="1"/>
    <xf numFmtId="0" fontId="0" fillId="0" borderId="5" xfId="0" applyBorder="1"/>
    <xf numFmtId="0" fontId="18" fillId="0" borderId="2" xfId="0" applyFont="1" applyBorder="1"/>
    <xf numFmtId="0" fontId="18" fillId="0" borderId="4" xfId="0" applyFont="1" applyBorder="1" applyAlignment="1">
      <alignment horizontal="right"/>
    </xf>
    <xf numFmtId="180" fontId="11" fillId="0" borderId="0" xfId="0" applyNumberFormat="1" applyFont="1" applyFill="1" applyBorder="1" applyAlignment="1"/>
    <xf numFmtId="174" fontId="7" fillId="9" borderId="1" xfId="0" applyNumberFormat="1" applyFont="1" applyFill="1" applyBorder="1"/>
    <xf numFmtId="0" fontId="0" fillId="9" borderId="11" xfId="0" applyFont="1" applyFill="1" applyBorder="1"/>
    <xf numFmtId="0" fontId="0" fillId="9" borderId="7" xfId="0" applyFill="1" applyBorder="1"/>
    <xf numFmtId="0" fontId="0" fillId="9" borderId="8" xfId="0" applyFill="1" applyBorder="1"/>
    <xf numFmtId="175" fontId="0" fillId="9" borderId="1" xfId="0" applyNumberFormat="1" applyFill="1" applyBorder="1"/>
    <xf numFmtId="0" fontId="7" fillId="9" borderId="12" xfId="0" applyNumberFormat="1" applyFont="1" applyFill="1" applyBorder="1"/>
    <xf numFmtId="172" fontId="7" fillId="9" borderId="1" xfId="0" applyNumberFormat="1" applyFont="1" applyFill="1" applyBorder="1"/>
    <xf numFmtId="166" fontId="7" fillId="9" borderId="1" xfId="0" applyNumberFormat="1" applyFont="1" applyFill="1" applyBorder="1"/>
    <xf numFmtId="166" fontId="13" fillId="9" borderId="1" xfId="0" applyNumberFormat="1" applyFont="1" applyFill="1" applyBorder="1"/>
    <xf numFmtId="0" fontId="0" fillId="0" borderId="0" xfId="0" applyAlignment="1">
      <alignment horizontal="center"/>
    </xf>
    <xf numFmtId="0" fontId="4" fillId="0" borderId="18" xfId="0" applyFont="1" applyFill="1" applyBorder="1" applyAlignment="1"/>
    <xf numFmtId="0" fontId="1" fillId="0" borderId="1" xfId="0" applyFont="1" applyBorder="1"/>
    <xf numFmtId="0" fontId="0" fillId="9" borderId="9" xfId="0" applyFill="1" applyBorder="1"/>
    <xf numFmtId="166" fontId="7" fillId="0" borderId="1" xfId="0" applyNumberFormat="1" applyFont="1" applyFill="1" applyBorder="1"/>
    <xf numFmtId="183" fontId="11" fillId="3" borderId="1" xfId="0" applyNumberFormat="1" applyFont="1" applyFill="1" applyBorder="1" applyAlignment="1"/>
    <xf numFmtId="174" fontId="7" fillId="0" borderId="1" xfId="0" applyNumberFormat="1" applyFont="1" applyFill="1" applyBorder="1"/>
    <xf numFmtId="169" fontId="12" fillId="0" borderId="1" xfId="0" applyNumberFormat="1" applyFont="1" applyFill="1" applyBorder="1" applyAlignment="1">
      <alignment horizontal="right"/>
    </xf>
    <xf numFmtId="175" fontId="12" fillId="0" borderId="1" xfId="0" applyNumberFormat="1" applyFont="1" applyFill="1" applyBorder="1" applyAlignment="1">
      <alignment horizontal="right"/>
    </xf>
    <xf numFmtId="171" fontId="0" fillId="9" borderId="7" xfId="0" applyNumberFormat="1" applyFill="1" applyBorder="1" applyAlignment="1">
      <alignment horizontal="right"/>
    </xf>
    <xf numFmtId="171" fontId="0" fillId="9" borderId="9" xfId="0" applyNumberFormat="1" applyFill="1" applyBorder="1" applyAlignment="1">
      <alignment horizontal="right"/>
    </xf>
    <xf numFmtId="171" fontId="0" fillId="9" borderId="7" xfId="0" applyNumberFormat="1" applyFill="1" applyBorder="1"/>
    <xf numFmtId="171" fontId="0" fillId="9" borderId="9" xfId="0" applyNumberFormat="1" applyFill="1" applyBorder="1"/>
    <xf numFmtId="186" fontId="7" fillId="9" borderId="1" xfId="0" applyNumberFormat="1" applyFont="1" applyFill="1" applyBorder="1"/>
    <xf numFmtId="0" fontId="4" fillId="0" borderId="3" xfId="0" applyFont="1" applyFill="1" applyBorder="1" applyAlignment="1"/>
    <xf numFmtId="167" fontId="11" fillId="3" borderId="1" xfId="0" applyNumberFormat="1" applyFont="1" applyFill="1" applyBorder="1" applyAlignment="1"/>
    <xf numFmtId="187" fontId="11" fillId="3" borderId="1" xfId="0" applyNumberFormat="1" applyFont="1" applyFill="1" applyBorder="1" applyAlignment="1"/>
    <xf numFmtId="14" fontId="0" fillId="0" borderId="0" xfId="0" applyNumberFormat="1"/>
    <xf numFmtId="0" fontId="22" fillId="0" borderId="0" xfId="0" applyFont="1"/>
    <xf numFmtId="0" fontId="23" fillId="0" borderId="0" xfId="0" applyFont="1"/>
    <xf numFmtId="0" fontId="23" fillId="0" borderId="0" xfId="0" applyFont="1" applyAlignment="1">
      <alignment horizontal="center"/>
    </xf>
    <xf numFmtId="0" fontId="23" fillId="0" borderId="0" xfId="0" applyFont="1" applyAlignment="1">
      <alignment horizontal="right"/>
    </xf>
    <xf numFmtId="0" fontId="7" fillId="10" borderId="12" xfId="0" applyNumberFormat="1" applyFont="1" applyFill="1" applyBorder="1"/>
    <xf numFmtId="0" fontId="25" fillId="0" borderId="0" xfId="0" applyNumberFormat="1" applyFont="1" applyBorder="1"/>
    <xf numFmtId="0" fontId="26" fillId="0" borderId="0" xfId="0" applyNumberFormat="1" applyFont="1" applyBorder="1" applyAlignment="1">
      <alignment horizontal="left"/>
    </xf>
    <xf numFmtId="173" fontId="26" fillId="0" borderId="0" xfId="0" applyNumberFormat="1" applyFont="1" applyFill="1" applyBorder="1"/>
    <xf numFmtId="171" fontId="0" fillId="0" borderId="0" xfId="0" applyNumberFormat="1" applyBorder="1"/>
    <xf numFmtId="164" fontId="1" fillId="0" borderId="0" xfId="0" applyNumberFormat="1" applyFont="1" applyFill="1" applyBorder="1"/>
    <xf numFmtId="0" fontId="24" fillId="0" borderId="0" xfId="0" applyFont="1" applyBorder="1"/>
    <xf numFmtId="169" fontId="12" fillId="9" borderId="1" xfId="0" applyNumberFormat="1" applyFont="1" applyFill="1" applyBorder="1" applyAlignment="1">
      <alignment horizontal="right"/>
    </xf>
    <xf numFmtId="175" fontId="12" fillId="9" borderId="1" xfId="0" applyNumberFormat="1" applyFont="1" applyFill="1" applyBorder="1" applyAlignment="1">
      <alignment horizontal="right"/>
    </xf>
    <xf numFmtId="173" fontId="7" fillId="9" borderId="14" xfId="0" applyNumberFormat="1" applyFont="1" applyFill="1" applyBorder="1"/>
    <xf numFmtId="0" fontId="0" fillId="10" borderId="7" xfId="0" applyFill="1" applyBorder="1"/>
    <xf numFmtId="164" fontId="14" fillId="0" borderId="8" xfId="0" applyNumberFormat="1" applyFont="1" applyFill="1" applyBorder="1" applyAlignment="1">
      <alignment horizontal="right"/>
    </xf>
    <xf numFmtId="171" fontId="0" fillId="0" borderId="8" xfId="0" applyNumberFormat="1" applyBorder="1" applyAlignment="1">
      <alignment horizontal="right"/>
    </xf>
    <xf numFmtId="165" fontId="11" fillId="12" borderId="1" xfId="0" applyNumberFormat="1" applyFont="1" applyFill="1" applyBorder="1" applyAlignment="1">
      <alignment horizontal="center"/>
    </xf>
    <xf numFmtId="188" fontId="12" fillId="0" borderId="1" xfId="0" applyNumberFormat="1" applyFont="1" applyFill="1" applyBorder="1" applyAlignment="1">
      <alignment horizontal="right"/>
    </xf>
    <xf numFmtId="0" fontId="22" fillId="0" borderId="0" xfId="0" applyFont="1" applyFill="1"/>
    <xf numFmtId="0" fontId="27" fillId="0" borderId="0" xfId="0" applyNumberFormat="1" applyFont="1" applyBorder="1"/>
    <xf numFmtId="0" fontId="0" fillId="9" borderId="11" xfId="0" applyFont="1" applyFill="1" applyBorder="1" applyAlignment="1">
      <alignment horizontal="center"/>
    </xf>
    <xf numFmtId="166" fontId="20" fillId="13" borderId="0" xfId="0" applyNumberFormat="1" applyFont="1" applyFill="1"/>
    <xf numFmtId="171" fontId="0" fillId="0" borderId="22" xfId="0" applyNumberFormat="1" applyBorder="1" applyAlignment="1">
      <alignment horizontal="right"/>
    </xf>
    <xf numFmtId="164" fontId="7" fillId="0" borderId="4" xfId="0" applyNumberFormat="1" applyFont="1" applyBorder="1"/>
    <xf numFmtId="0" fontId="5" fillId="0" borderId="0" xfId="0" applyFont="1" applyBorder="1" applyAlignment="1"/>
    <xf numFmtId="0" fontId="0" fillId="0" borderId="16" xfId="0" applyBorder="1"/>
    <xf numFmtId="0" fontId="0" fillId="0" borderId="21" xfId="0" applyBorder="1"/>
    <xf numFmtId="188" fontId="29" fillId="3" borderId="1" xfId="0" applyNumberFormat="1" applyFont="1" applyFill="1" applyBorder="1"/>
    <xf numFmtId="183" fontId="29" fillId="3" borderId="1" xfId="0" applyNumberFormat="1" applyFont="1" applyFill="1" applyBorder="1"/>
    <xf numFmtId="167" fontId="29" fillId="3" borderId="1" xfId="0" applyNumberFormat="1" applyFont="1" applyFill="1" applyBorder="1"/>
    <xf numFmtId="175" fontId="29" fillId="3" borderId="1" xfId="0" applyNumberFormat="1" applyFont="1" applyFill="1" applyBorder="1"/>
    <xf numFmtId="179" fontId="29" fillId="3" borderId="1" xfId="0" applyNumberFormat="1" applyFont="1" applyFill="1" applyBorder="1"/>
    <xf numFmtId="180" fontId="29" fillId="3" borderId="1" xfId="0" applyNumberFormat="1" applyFont="1" applyFill="1" applyBorder="1"/>
    <xf numFmtId="180" fontId="29" fillId="11" borderId="1" xfId="0" applyNumberFormat="1" applyFont="1" applyFill="1" applyBorder="1"/>
    <xf numFmtId="183" fontId="29" fillId="0" borderId="1" xfId="0" applyNumberFormat="1" applyFont="1" applyFill="1" applyBorder="1"/>
    <xf numFmtId="182" fontId="29" fillId="3" borderId="1" xfId="0" applyNumberFormat="1" applyFont="1" applyFill="1" applyBorder="1"/>
    <xf numFmtId="0" fontId="18" fillId="16" borderId="1" xfId="0" applyFont="1" applyFill="1" applyBorder="1" applyAlignment="1">
      <alignment horizontal="right"/>
    </xf>
    <xf numFmtId="0" fontId="30" fillId="0" borderId="0" xfId="0" applyFont="1"/>
    <xf numFmtId="0" fontId="18" fillId="0" borderId="17" xfId="0" applyFont="1" applyFill="1" applyBorder="1" applyAlignment="1">
      <alignment horizontal="right" vertical="center"/>
    </xf>
    <xf numFmtId="0" fontId="1" fillId="0" borderId="0" xfId="0" applyFont="1" applyBorder="1"/>
    <xf numFmtId="0" fontId="18" fillId="18" borderId="17" xfId="0" applyFont="1" applyFill="1" applyBorder="1" applyAlignment="1">
      <alignment horizontal="right" vertical="center"/>
    </xf>
    <xf numFmtId="187" fontId="7" fillId="3" borderId="1" xfId="0" applyNumberFormat="1" applyFont="1" applyFill="1" applyBorder="1"/>
    <xf numFmtId="0" fontId="15" fillId="18" borderId="17" xfId="0" applyFont="1" applyFill="1" applyBorder="1" applyAlignment="1">
      <alignment horizontal="right"/>
    </xf>
    <xf numFmtId="0" fontId="15" fillId="17" borderId="1" xfId="0" applyFont="1" applyFill="1" applyBorder="1" applyAlignment="1">
      <alignment horizontal="right"/>
    </xf>
    <xf numFmtId="179" fontId="29" fillId="3" borderId="2" xfId="0" applyNumberFormat="1" applyFont="1" applyFill="1" applyBorder="1"/>
    <xf numFmtId="0" fontId="0" fillId="3" borderId="4" xfId="0" applyFill="1" applyBorder="1"/>
    <xf numFmtId="180" fontId="29" fillId="3" borderId="2" xfId="0" applyNumberFormat="1" applyFont="1" applyFill="1" applyBorder="1"/>
    <xf numFmtId="175" fontId="29" fillId="3" borderId="2" xfId="0" applyNumberFormat="1" applyFont="1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left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70" fontId="0" fillId="0" borderId="19" xfId="0" applyNumberFormat="1" applyBorder="1"/>
    <xf numFmtId="0" fontId="0" fillId="0" borderId="20" xfId="0" applyBorder="1" applyAlignment="1">
      <alignment horizontal="center"/>
    </xf>
    <xf numFmtId="169" fontId="0" fillId="0" borderId="20" xfId="0" applyNumberFormat="1" applyBorder="1"/>
    <xf numFmtId="0" fontId="0" fillId="0" borderId="2" xfId="0" applyBorder="1" applyAlignment="1">
      <alignment horizontal="center"/>
    </xf>
    <xf numFmtId="183" fontId="29" fillId="3" borderId="2" xfId="0" applyNumberFormat="1" applyFont="1" applyFill="1" applyBorder="1"/>
    <xf numFmtId="0" fontId="0" fillId="17" borderId="2" xfId="0" applyFill="1" applyBorder="1"/>
    <xf numFmtId="0" fontId="18" fillId="17" borderId="4" xfId="0" applyFont="1" applyFill="1" applyBorder="1" applyAlignment="1">
      <alignment horizontal="right"/>
    </xf>
    <xf numFmtId="191" fontId="29" fillId="3" borderId="1" xfId="0" applyNumberFormat="1" applyFont="1" applyFill="1" applyBorder="1"/>
    <xf numFmtId="0" fontId="0" fillId="19" borderId="2" xfId="0" applyFill="1" applyBorder="1"/>
    <xf numFmtId="0" fontId="18" fillId="19" borderId="4" xfId="0" applyFont="1" applyFill="1" applyBorder="1" applyAlignment="1">
      <alignment horizontal="right"/>
    </xf>
    <xf numFmtId="0" fontId="0" fillId="0" borderId="4" xfId="0" applyFont="1" applyFill="1" applyBorder="1" applyAlignment="1">
      <alignment horizontal="right"/>
    </xf>
    <xf numFmtId="0" fontId="0" fillId="0" borderId="4" xfId="0" applyBorder="1"/>
    <xf numFmtId="0" fontId="0" fillId="18" borderId="19" xfId="0" applyFill="1" applyBorder="1" applyAlignment="1">
      <alignment horizontal="left"/>
    </xf>
    <xf numFmtId="0" fontId="0" fillId="18" borderId="21" xfId="0" applyFill="1" applyBorder="1"/>
    <xf numFmtId="0" fontId="0" fillId="2" borderId="2" xfId="0" applyFill="1" applyBorder="1"/>
    <xf numFmtId="0" fontId="18" fillId="2" borderId="4" xfId="0" applyFont="1" applyFill="1" applyBorder="1" applyAlignment="1">
      <alignment horizontal="right"/>
    </xf>
    <xf numFmtId="0" fontId="28" fillId="0" borderId="0" xfId="0" applyFont="1"/>
    <xf numFmtId="14" fontId="7" fillId="0" borderId="0" xfId="0" applyNumberFormat="1" applyFont="1"/>
    <xf numFmtId="199" fontId="7" fillId="0" borderId="1" xfId="0" applyNumberFormat="1" applyFont="1" applyFill="1" applyBorder="1"/>
    <xf numFmtId="199" fontId="7" fillId="0" borderId="1" xfId="0" applyNumberFormat="1" applyFont="1" applyBorder="1"/>
    <xf numFmtId="164" fontId="0" fillId="0" borderId="0" xfId="0" applyNumberFormat="1"/>
    <xf numFmtId="0" fontId="7" fillId="2" borderId="1" xfId="0" applyFont="1" applyFill="1" applyBorder="1" applyAlignment="1">
      <alignment horizontal="right"/>
    </xf>
    <xf numFmtId="0" fontId="0" fillId="20" borderId="2" xfId="0" applyFill="1" applyBorder="1"/>
    <xf numFmtId="0" fontId="7" fillId="20" borderId="1" xfId="0" applyFont="1" applyFill="1" applyBorder="1" applyAlignment="1">
      <alignment horizontal="right"/>
    </xf>
    <xf numFmtId="200" fontId="11" fillId="3" borderId="1" xfId="0" applyNumberFormat="1" applyFont="1" applyFill="1" applyBorder="1" applyAlignment="1">
      <alignment horizontal="right"/>
    </xf>
    <xf numFmtId="0" fontId="10" fillId="9" borderId="1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10" fillId="8" borderId="1" xfId="0" applyFont="1" applyFill="1" applyBorder="1" applyAlignment="1">
      <alignment horizontal="center"/>
    </xf>
    <xf numFmtId="0" fontId="15" fillId="21" borderId="17" xfId="0" applyFont="1" applyFill="1" applyBorder="1" applyAlignment="1">
      <alignment horizontal="right"/>
    </xf>
    <xf numFmtId="0" fontId="15" fillId="21" borderId="15" xfId="0" applyFont="1" applyFill="1" applyBorder="1" applyAlignment="1">
      <alignment horizontal="right"/>
    </xf>
    <xf numFmtId="0" fontId="15" fillId="15" borderId="17" xfId="0" applyFont="1" applyFill="1" applyBorder="1" applyAlignment="1">
      <alignment horizontal="right"/>
    </xf>
    <xf numFmtId="0" fontId="15" fillId="15" borderId="15" xfId="0" applyFont="1" applyFill="1" applyBorder="1" applyAlignment="1">
      <alignment horizontal="right"/>
    </xf>
    <xf numFmtId="203" fontId="11" fillId="3" borderId="1" xfId="0" applyNumberFormat="1" applyFont="1" applyFill="1" applyBorder="1" applyAlignment="1"/>
    <xf numFmtId="0" fontId="17" fillId="3" borderId="2" xfId="0" applyFont="1" applyFill="1" applyBorder="1" applyAlignment="1">
      <alignment horizontal="center"/>
    </xf>
    <xf numFmtId="0" fontId="17" fillId="3" borderId="3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178" fontId="15" fillId="14" borderId="2" xfId="0" applyNumberFormat="1" applyFont="1" applyFill="1" applyBorder="1" applyAlignment="1">
      <alignment horizontal="center"/>
    </xf>
    <xf numFmtId="178" fontId="15" fillId="14" borderId="4" xfId="0" applyNumberFormat="1" applyFont="1" applyFill="1" applyBorder="1" applyAlignment="1">
      <alignment horizontal="center"/>
    </xf>
    <xf numFmtId="0" fontId="8" fillId="0" borderId="0" xfId="0" applyFont="1" applyAlignment="1">
      <alignment horizontal="right"/>
    </xf>
    <xf numFmtId="0" fontId="9" fillId="0" borderId="0" xfId="0" applyFont="1" applyAlignment="1">
      <alignment horizontal="right"/>
    </xf>
    <xf numFmtId="0" fontId="5" fillId="0" borderId="0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5" fillId="21" borderId="1" xfId="0" applyFont="1" applyFill="1" applyBorder="1" applyAlignment="1">
      <alignment horizontal="center" vertical="center"/>
    </xf>
    <xf numFmtId="0" fontId="15" fillId="15" borderId="1" xfId="0" applyFont="1" applyFill="1" applyBorder="1" applyAlignment="1">
      <alignment horizontal="center" vertical="center"/>
    </xf>
    <xf numFmtId="0" fontId="10" fillId="21" borderId="2" xfId="0" applyFont="1" applyFill="1" applyBorder="1" applyAlignment="1">
      <alignment horizontal="center"/>
    </xf>
    <xf numFmtId="0" fontId="10" fillId="21" borderId="3" xfId="0" applyFont="1" applyFill="1" applyBorder="1" applyAlignment="1">
      <alignment horizontal="center"/>
    </xf>
    <xf numFmtId="0" fontId="10" fillId="21" borderId="4" xfId="0" applyFont="1" applyFill="1" applyBorder="1" applyAlignment="1">
      <alignment horizontal="center"/>
    </xf>
    <xf numFmtId="0" fontId="10" fillId="15" borderId="2" xfId="0" applyFont="1" applyFill="1" applyBorder="1" applyAlignment="1">
      <alignment horizontal="center"/>
    </xf>
    <xf numFmtId="0" fontId="10" fillId="15" borderId="3" xfId="0" applyFont="1" applyFill="1" applyBorder="1" applyAlignment="1">
      <alignment horizontal="center"/>
    </xf>
    <xf numFmtId="0" fontId="10" fillId="15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99"/>
      <color rgb="FFFF5050"/>
      <color rgb="FFFF66FF"/>
      <color rgb="FFFFCCFF"/>
      <color rgb="FFFFFF99"/>
      <color rgb="FFCCFF99"/>
      <color rgb="FFCCCC00"/>
      <color rgb="FFFFCC66"/>
      <color rgb="FFFF9933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2"/>
  <sheetViews>
    <sheetView zoomScaleNormal="100" workbookViewId="0">
      <selection activeCell="I11" sqref="I11"/>
    </sheetView>
  </sheetViews>
  <sheetFormatPr baseColWidth="10" defaultColWidth="9" defaultRowHeight="15" x14ac:dyDescent="0.25"/>
  <cols>
    <col min="1" max="1" width="34.42578125" customWidth="1"/>
    <col min="2" max="2" width="9.5703125" customWidth="1"/>
    <col min="3" max="3" width="8.5703125" bestFit="1" customWidth="1"/>
    <col min="4" max="4" width="15.140625" customWidth="1"/>
    <col min="5" max="5" width="11.42578125" customWidth="1"/>
    <col min="6" max="6" width="8.28515625" customWidth="1"/>
    <col min="7" max="7" width="10.7109375" bestFit="1" customWidth="1"/>
  </cols>
  <sheetData>
    <row r="1" spans="1:7" ht="20.100000000000001" customHeight="1" x14ac:dyDescent="0.35">
      <c r="A1" s="198" t="s">
        <v>0</v>
      </c>
      <c r="B1" s="198"/>
      <c r="C1" s="4" t="e">
        <f>#REF!</f>
        <v>#REF!</v>
      </c>
      <c r="D1" s="4"/>
    </row>
    <row r="2" spans="1:7" ht="18" customHeight="1" x14ac:dyDescent="0.3">
      <c r="A2" s="199" t="s">
        <v>1</v>
      </c>
      <c r="B2" s="199"/>
      <c r="C2" s="3" t="e">
        <f>#REF!</f>
        <v>#REF!</v>
      </c>
      <c r="D2" s="3"/>
      <c r="E2" s="1"/>
      <c r="F2" s="1" t="s">
        <v>2</v>
      </c>
      <c r="G2" s="104">
        <v>43265</v>
      </c>
    </row>
    <row r="3" spans="1:7" ht="23.25" x14ac:dyDescent="0.35">
      <c r="A3" s="200" t="e">
        <f>#REF!</f>
        <v>#REF!</v>
      </c>
      <c r="B3" s="200"/>
      <c r="C3" s="200"/>
      <c r="D3" s="200"/>
      <c r="E3" s="200"/>
      <c r="F3" s="200"/>
    </row>
    <row r="4" spans="1:7" ht="23.25" x14ac:dyDescent="0.35">
      <c r="A4" s="201" t="s">
        <v>16</v>
      </c>
      <c r="B4" s="202"/>
      <c r="C4" s="202"/>
      <c r="D4" s="202"/>
      <c r="E4" s="202"/>
      <c r="F4" s="202"/>
      <c r="G4" s="203"/>
    </row>
    <row r="5" spans="1:7" ht="24.75" customHeight="1" x14ac:dyDescent="0.35">
      <c r="A5" s="57"/>
      <c r="B5" s="57"/>
      <c r="C5" s="57"/>
      <c r="D5" s="57"/>
      <c r="E5" s="57"/>
      <c r="F5" s="57"/>
    </row>
    <row r="6" spans="1:7" x14ac:dyDescent="0.25">
      <c r="A6" s="26" t="s">
        <v>16</v>
      </c>
      <c r="B6" s="26" t="s">
        <v>263</v>
      </c>
      <c r="C6" s="26" t="s">
        <v>264</v>
      </c>
      <c r="D6" s="87" t="s">
        <v>143</v>
      </c>
    </row>
    <row r="7" spans="1:7" x14ac:dyDescent="0.25">
      <c r="A7" s="19" t="s">
        <v>19</v>
      </c>
      <c r="B7" s="27">
        <v>1300</v>
      </c>
      <c r="C7" s="192">
        <v>570</v>
      </c>
      <c r="D7" s="122">
        <v>750</v>
      </c>
    </row>
    <row r="8" spans="1:7" x14ac:dyDescent="0.25">
      <c r="A8" s="21" t="s">
        <v>20</v>
      </c>
      <c r="B8" s="27">
        <v>330</v>
      </c>
      <c r="C8" s="192">
        <v>570</v>
      </c>
    </row>
    <row r="9" spans="1:7" x14ac:dyDescent="0.25">
      <c r="A9" s="22" t="s">
        <v>265</v>
      </c>
      <c r="B9" s="27">
        <v>280</v>
      </c>
      <c r="C9" s="192">
        <v>440</v>
      </c>
    </row>
    <row r="10" spans="1:7" x14ac:dyDescent="0.25">
      <c r="A10" s="23" t="s">
        <v>21</v>
      </c>
      <c r="B10" s="27">
        <v>606</v>
      </c>
    </row>
    <row r="11" spans="1:7" x14ac:dyDescent="0.25">
      <c r="A11" s="24" t="s">
        <v>22</v>
      </c>
      <c r="B11" s="27">
        <v>450</v>
      </c>
    </row>
    <row r="12" spans="1:7" x14ac:dyDescent="0.25">
      <c r="A12" s="25" t="s">
        <v>23</v>
      </c>
      <c r="B12" s="27">
        <v>895</v>
      </c>
    </row>
    <row r="14" spans="1:7" x14ac:dyDescent="0.25">
      <c r="B14" s="26" t="s">
        <v>16</v>
      </c>
      <c r="E14" s="196" t="s">
        <v>188</v>
      </c>
      <c r="F14" s="197"/>
    </row>
    <row r="15" spans="1:7" x14ac:dyDescent="0.25">
      <c r="A15" s="61" t="s">
        <v>94</v>
      </c>
      <c r="B15" s="92">
        <v>6.65</v>
      </c>
      <c r="E15" s="154"/>
      <c r="F15" s="155"/>
    </row>
    <row r="16" spans="1:7" x14ac:dyDescent="0.25">
      <c r="A16" s="61" t="s">
        <v>99</v>
      </c>
      <c r="B16" s="92">
        <v>3.5</v>
      </c>
      <c r="E16" s="154"/>
      <c r="F16" s="155"/>
    </row>
    <row r="17" spans="1:6" x14ac:dyDescent="0.25">
      <c r="A17" s="61" t="s">
        <v>89</v>
      </c>
      <c r="B17" s="92">
        <v>6.05</v>
      </c>
      <c r="E17" s="154"/>
      <c r="F17" s="155"/>
    </row>
    <row r="18" spans="1:6" x14ac:dyDescent="0.25">
      <c r="A18" s="61" t="s">
        <v>87</v>
      </c>
      <c r="B18" s="92">
        <v>12.19</v>
      </c>
      <c r="E18" s="157">
        <v>35</v>
      </c>
      <c r="F18" s="158" t="s">
        <v>187</v>
      </c>
    </row>
    <row r="19" spans="1:6" x14ac:dyDescent="0.25">
      <c r="A19" s="61" t="s">
        <v>88</v>
      </c>
      <c r="B19" s="92">
        <v>18.940000000000001</v>
      </c>
      <c r="E19" s="157">
        <v>35</v>
      </c>
      <c r="F19" s="158" t="s">
        <v>187</v>
      </c>
    </row>
    <row r="20" spans="1:6" x14ac:dyDescent="0.25">
      <c r="A20" s="61" t="s">
        <v>250</v>
      </c>
      <c r="B20" s="92">
        <v>34.270000000000003</v>
      </c>
      <c r="E20" s="157">
        <v>37</v>
      </c>
      <c r="F20" s="158" t="s">
        <v>187</v>
      </c>
    </row>
    <row r="21" spans="1:6" x14ac:dyDescent="0.25">
      <c r="A21" s="61" t="s">
        <v>170</v>
      </c>
      <c r="B21" s="92">
        <v>20</v>
      </c>
      <c r="E21" s="154">
        <v>35</v>
      </c>
      <c r="F21" s="159" t="s">
        <v>187</v>
      </c>
    </row>
    <row r="22" spans="1:6" x14ac:dyDescent="0.25">
      <c r="A22" s="61" t="s">
        <v>251</v>
      </c>
      <c r="B22" s="92">
        <v>35.33</v>
      </c>
      <c r="E22" s="154">
        <v>37</v>
      </c>
      <c r="F22" s="159" t="s">
        <v>187</v>
      </c>
    </row>
    <row r="23" spans="1:6" x14ac:dyDescent="0.25">
      <c r="A23" s="61" t="s">
        <v>252</v>
      </c>
      <c r="B23" s="92">
        <v>40.6</v>
      </c>
      <c r="E23" s="154">
        <v>37</v>
      </c>
      <c r="F23" s="159" t="s">
        <v>187</v>
      </c>
    </row>
    <row r="24" spans="1:6" x14ac:dyDescent="0.25">
      <c r="A24" s="61" t="s">
        <v>254</v>
      </c>
      <c r="B24" s="92">
        <v>40</v>
      </c>
      <c r="E24" s="154">
        <v>35</v>
      </c>
      <c r="F24" s="159" t="s">
        <v>187</v>
      </c>
    </row>
    <row r="25" spans="1:6" x14ac:dyDescent="0.25">
      <c r="A25" s="61" t="s">
        <v>255</v>
      </c>
      <c r="B25" s="92">
        <v>55.33</v>
      </c>
      <c r="E25" s="154">
        <v>37</v>
      </c>
      <c r="F25" s="159" t="s">
        <v>187</v>
      </c>
    </row>
    <row r="26" spans="1:6" x14ac:dyDescent="0.25">
      <c r="A26" s="68"/>
      <c r="B26" s="71"/>
    </row>
    <row r="27" spans="1:6" x14ac:dyDescent="0.25">
      <c r="B27" s="26" t="s">
        <v>16</v>
      </c>
    </row>
    <row r="28" spans="1:6" x14ac:dyDescent="0.25">
      <c r="A28" s="61" t="s">
        <v>107</v>
      </c>
      <c r="B28" s="92">
        <v>14.03</v>
      </c>
    </row>
    <row r="29" spans="1:6" x14ac:dyDescent="0.25">
      <c r="A29" s="61" t="s">
        <v>118</v>
      </c>
      <c r="B29" s="92">
        <v>22.18</v>
      </c>
    </row>
    <row r="30" spans="1:6" x14ac:dyDescent="0.25">
      <c r="A30" s="61" t="s">
        <v>108</v>
      </c>
      <c r="B30" s="92">
        <v>25.25</v>
      </c>
    </row>
    <row r="31" spans="1:6" x14ac:dyDescent="0.25">
      <c r="A31" s="61" t="s">
        <v>238</v>
      </c>
      <c r="B31" s="92">
        <v>33.950000000000003</v>
      </c>
    </row>
    <row r="32" spans="1:6" x14ac:dyDescent="0.25">
      <c r="A32" s="61" t="s">
        <v>109</v>
      </c>
      <c r="B32" s="92">
        <v>22.36</v>
      </c>
    </row>
    <row r="33" spans="1:6" x14ac:dyDescent="0.25">
      <c r="A33" s="61" t="s">
        <v>110</v>
      </c>
      <c r="B33" s="92">
        <v>33.58</v>
      </c>
    </row>
    <row r="34" spans="1:6" x14ac:dyDescent="0.25">
      <c r="A34" s="72"/>
      <c r="B34" s="71"/>
    </row>
    <row r="35" spans="1:6" x14ac:dyDescent="0.25">
      <c r="A35" s="21" t="s">
        <v>20</v>
      </c>
      <c r="B35" s="26" t="s">
        <v>16</v>
      </c>
    </row>
    <row r="36" spans="1:6" x14ac:dyDescent="0.25">
      <c r="A36" s="61" t="s">
        <v>120</v>
      </c>
      <c r="B36" s="70">
        <v>21</v>
      </c>
    </row>
    <row r="37" spans="1:6" x14ac:dyDescent="0.25">
      <c r="A37" s="61" t="s">
        <v>119</v>
      </c>
      <c r="B37" s="70">
        <v>21</v>
      </c>
    </row>
    <row r="38" spans="1:6" x14ac:dyDescent="0.25">
      <c r="A38" s="68"/>
      <c r="B38" s="77"/>
    </row>
    <row r="39" spans="1:6" x14ac:dyDescent="0.25">
      <c r="A39" s="19" t="s">
        <v>19</v>
      </c>
      <c r="B39" s="26" t="s">
        <v>16</v>
      </c>
    </row>
    <row r="40" spans="1:6" x14ac:dyDescent="0.25">
      <c r="A40" s="61" t="s">
        <v>121</v>
      </c>
      <c r="B40" s="70">
        <v>31</v>
      </c>
    </row>
    <row r="41" spans="1:6" x14ac:dyDescent="0.25">
      <c r="A41" s="61" t="s">
        <v>119</v>
      </c>
      <c r="B41" s="70">
        <v>31</v>
      </c>
    </row>
    <row r="42" spans="1:6" x14ac:dyDescent="0.25">
      <c r="A42" s="68"/>
      <c r="B42" s="71"/>
    </row>
    <row r="43" spans="1:6" x14ac:dyDescent="0.25">
      <c r="B43" s="26" t="s">
        <v>16</v>
      </c>
      <c r="E43" s="196" t="s">
        <v>188</v>
      </c>
      <c r="F43" s="197"/>
    </row>
    <row r="44" spans="1:6" x14ac:dyDescent="0.25">
      <c r="A44" s="61" t="s">
        <v>102</v>
      </c>
      <c r="B44" s="102">
        <v>2.42</v>
      </c>
      <c r="E44" s="154">
        <v>15</v>
      </c>
      <c r="F44" s="155" t="s">
        <v>189</v>
      </c>
    </row>
    <row r="45" spans="1:6" x14ac:dyDescent="0.25">
      <c r="A45" s="61" t="s">
        <v>103</v>
      </c>
      <c r="B45" s="102">
        <v>1.95</v>
      </c>
      <c r="E45" s="154">
        <v>15</v>
      </c>
      <c r="F45" s="155" t="s">
        <v>189</v>
      </c>
    </row>
    <row r="46" spans="1:6" x14ac:dyDescent="0.25">
      <c r="A46" s="61" t="s">
        <v>129</v>
      </c>
      <c r="B46" s="102">
        <v>1.33</v>
      </c>
      <c r="E46" s="154">
        <v>15</v>
      </c>
      <c r="F46" s="155" t="s">
        <v>189</v>
      </c>
    </row>
    <row r="47" spans="1:6" x14ac:dyDescent="0.25">
      <c r="A47" s="61" t="s">
        <v>130</v>
      </c>
      <c r="B47" s="102">
        <v>1.18</v>
      </c>
      <c r="E47" s="154">
        <v>15</v>
      </c>
      <c r="F47" s="155" t="s">
        <v>189</v>
      </c>
    </row>
    <row r="48" spans="1:6" x14ac:dyDescent="0.25">
      <c r="A48" s="61" t="s">
        <v>191</v>
      </c>
      <c r="B48" s="102">
        <v>1.18</v>
      </c>
      <c r="E48" s="154">
        <v>3</v>
      </c>
      <c r="F48" s="155" t="s">
        <v>189</v>
      </c>
    </row>
    <row r="49" spans="1:2" x14ac:dyDescent="0.25">
      <c r="A49" s="68"/>
      <c r="B49" s="71"/>
    </row>
    <row r="50" spans="1:2" x14ac:dyDescent="0.25">
      <c r="B50" s="26" t="s">
        <v>16</v>
      </c>
    </row>
    <row r="51" spans="1:2" x14ac:dyDescent="0.25">
      <c r="A51" s="61" t="s">
        <v>90</v>
      </c>
      <c r="B51" s="102">
        <v>7</v>
      </c>
    </row>
    <row r="52" spans="1:2" x14ac:dyDescent="0.25">
      <c r="A52" s="61" t="s">
        <v>93</v>
      </c>
      <c r="B52" s="102">
        <v>10</v>
      </c>
    </row>
    <row r="54" spans="1:2" x14ac:dyDescent="0.25">
      <c r="B54" s="26" t="s">
        <v>16</v>
      </c>
    </row>
    <row r="55" spans="1:2" x14ac:dyDescent="0.25">
      <c r="A55" s="142" t="s">
        <v>175</v>
      </c>
      <c r="B55" s="102">
        <v>6.3</v>
      </c>
    </row>
    <row r="56" spans="1:2" x14ac:dyDescent="0.25">
      <c r="A56" s="142" t="s">
        <v>176</v>
      </c>
      <c r="B56" s="102">
        <v>3.6</v>
      </c>
    </row>
    <row r="57" spans="1:2" x14ac:dyDescent="0.25">
      <c r="A57" s="61" t="s">
        <v>177</v>
      </c>
      <c r="B57" s="102">
        <v>1.1000000000000001</v>
      </c>
    </row>
    <row r="58" spans="1:2" x14ac:dyDescent="0.25">
      <c r="A58" s="61" t="s">
        <v>91</v>
      </c>
      <c r="B58" s="102">
        <v>1</v>
      </c>
    </row>
    <row r="59" spans="1:2" x14ac:dyDescent="0.25">
      <c r="A59" s="61" t="s">
        <v>225</v>
      </c>
      <c r="B59" s="102">
        <v>0.3</v>
      </c>
    </row>
    <row r="60" spans="1:2" x14ac:dyDescent="0.25">
      <c r="A60" s="61" t="s">
        <v>226</v>
      </c>
      <c r="B60" s="102">
        <v>0.7</v>
      </c>
    </row>
    <row r="61" spans="1:2" x14ac:dyDescent="0.25">
      <c r="A61" s="61" t="s">
        <v>86</v>
      </c>
      <c r="B61" s="102">
        <v>0.86</v>
      </c>
    </row>
    <row r="62" spans="1:2" x14ac:dyDescent="0.25">
      <c r="A62" s="61" t="s">
        <v>227</v>
      </c>
      <c r="B62" s="102">
        <v>0.7</v>
      </c>
    </row>
    <row r="64" spans="1:2" x14ac:dyDescent="0.25">
      <c r="A64" s="28" t="s">
        <v>132</v>
      </c>
      <c r="B64" s="26" t="s">
        <v>16</v>
      </c>
    </row>
    <row r="65" spans="1:7" x14ac:dyDescent="0.25">
      <c r="A65" s="61" t="s">
        <v>123</v>
      </c>
      <c r="B65" s="92">
        <v>20.57</v>
      </c>
    </row>
    <row r="66" spans="1:7" x14ac:dyDescent="0.25">
      <c r="A66" s="61" t="s">
        <v>124</v>
      </c>
      <c r="B66" s="92">
        <v>24.07</v>
      </c>
    </row>
    <row r="67" spans="1:7" x14ac:dyDescent="0.25">
      <c r="A67" s="61" t="s">
        <v>125</v>
      </c>
      <c r="B67" s="69">
        <v>48</v>
      </c>
    </row>
    <row r="68" spans="1:7" x14ac:dyDescent="0.25">
      <c r="A68" s="68"/>
      <c r="B68" s="71"/>
    </row>
    <row r="69" spans="1:7" x14ac:dyDescent="0.25">
      <c r="B69" s="26" t="s">
        <v>16</v>
      </c>
    </row>
    <row r="70" spans="1:7" x14ac:dyDescent="0.25">
      <c r="A70" s="149" t="s">
        <v>184</v>
      </c>
      <c r="B70" s="32">
        <v>125</v>
      </c>
    </row>
    <row r="71" spans="1:7" x14ac:dyDescent="0.25">
      <c r="B71" s="56"/>
    </row>
    <row r="72" spans="1:7" x14ac:dyDescent="0.25">
      <c r="B72" s="26" t="s">
        <v>16</v>
      </c>
    </row>
    <row r="73" spans="1:7" x14ac:dyDescent="0.25">
      <c r="A73" s="28" t="s">
        <v>179</v>
      </c>
      <c r="B73" s="32">
        <v>60</v>
      </c>
    </row>
    <row r="74" spans="1:7" x14ac:dyDescent="0.25">
      <c r="B74" s="56"/>
    </row>
    <row r="75" spans="1:7" x14ac:dyDescent="0.25">
      <c r="B75" s="26" t="s">
        <v>16</v>
      </c>
      <c r="D75" s="73">
        <v>3</v>
      </c>
      <c r="E75" s="74" t="s">
        <v>33</v>
      </c>
      <c r="F75" s="74"/>
      <c r="G75" s="131"/>
    </row>
    <row r="76" spans="1:7" x14ac:dyDescent="0.25">
      <c r="A76" s="28" t="s">
        <v>10</v>
      </c>
      <c r="B76" s="30">
        <f>D76*F76</f>
        <v>0.45555555555555555</v>
      </c>
      <c r="D76" s="160">
        <f>2/60/D75</f>
        <v>1.1111111111111112E-2</v>
      </c>
      <c r="E76" s="161" t="s">
        <v>134</v>
      </c>
      <c r="F76" s="162">
        <f>C92</f>
        <v>41</v>
      </c>
      <c r="G76" s="132"/>
    </row>
    <row r="78" spans="1:7" x14ac:dyDescent="0.25">
      <c r="B78" s="26" t="s">
        <v>16</v>
      </c>
      <c r="D78" s="73">
        <v>2</v>
      </c>
      <c r="E78" s="74" t="s">
        <v>33</v>
      </c>
      <c r="F78" s="74"/>
      <c r="G78" s="131"/>
    </row>
    <row r="79" spans="1:7" x14ac:dyDescent="0.25">
      <c r="A79" s="28" t="s">
        <v>11</v>
      </c>
      <c r="B79" s="30">
        <f>D79*F79</f>
        <v>0.68333333333333335</v>
      </c>
      <c r="D79" s="160">
        <f>2/60/D78</f>
        <v>1.6666666666666666E-2</v>
      </c>
      <c r="E79" s="161" t="s">
        <v>134</v>
      </c>
      <c r="F79" s="162">
        <f>C92</f>
        <v>41</v>
      </c>
      <c r="G79" s="132"/>
    </row>
    <row r="81" spans="1:7" x14ac:dyDescent="0.25">
      <c r="B81" s="26" t="s">
        <v>16</v>
      </c>
      <c r="D81" s="73">
        <v>4</v>
      </c>
      <c r="E81" s="74" t="s">
        <v>33</v>
      </c>
      <c r="F81" s="74"/>
      <c r="G81" s="131"/>
    </row>
    <row r="82" spans="1:7" x14ac:dyDescent="0.25">
      <c r="A82" s="28" t="s">
        <v>24</v>
      </c>
      <c r="B82" s="30">
        <f>D82*F82</f>
        <v>0.34166666666666667</v>
      </c>
      <c r="D82" s="160">
        <f>2/60/D81</f>
        <v>8.3333333333333332E-3</v>
      </c>
      <c r="E82" s="161" t="s">
        <v>134</v>
      </c>
      <c r="F82" s="162">
        <f>C92</f>
        <v>41</v>
      </c>
      <c r="G82" s="132"/>
    </row>
    <row r="84" spans="1:7" x14ac:dyDescent="0.25">
      <c r="B84" s="26" t="s">
        <v>16</v>
      </c>
    </row>
    <row r="85" spans="1:7" x14ac:dyDescent="0.25">
      <c r="A85" s="146" t="s">
        <v>180</v>
      </c>
      <c r="B85" s="103">
        <v>20</v>
      </c>
    </row>
    <row r="86" spans="1:7" x14ac:dyDescent="0.25">
      <c r="A86" s="144" t="s">
        <v>128</v>
      </c>
      <c r="B86" s="92">
        <v>5</v>
      </c>
    </row>
    <row r="87" spans="1:7" x14ac:dyDescent="0.25">
      <c r="A87" s="61" t="s">
        <v>126</v>
      </c>
      <c r="B87" s="92">
        <v>7</v>
      </c>
    </row>
    <row r="88" spans="1:7" x14ac:dyDescent="0.25">
      <c r="A88" s="61" t="s">
        <v>127</v>
      </c>
      <c r="B88" s="92">
        <v>7</v>
      </c>
    </row>
    <row r="90" spans="1:7" ht="15.75" x14ac:dyDescent="0.25">
      <c r="A90" s="193" t="s">
        <v>25</v>
      </c>
      <c r="B90" s="194"/>
      <c r="C90" s="195"/>
    </row>
    <row r="91" spans="1:7" x14ac:dyDescent="0.25">
      <c r="A91" s="75"/>
      <c r="B91" s="76" t="s">
        <v>26</v>
      </c>
      <c r="C91" s="36">
        <v>58</v>
      </c>
    </row>
    <row r="92" spans="1:7" x14ac:dyDescent="0.25">
      <c r="A92" s="75"/>
      <c r="B92" s="76" t="s">
        <v>31</v>
      </c>
      <c r="C92" s="36">
        <v>41</v>
      </c>
    </row>
    <row r="93" spans="1:7" x14ac:dyDescent="0.25">
      <c r="A93" s="75"/>
      <c r="B93" s="76" t="s">
        <v>117</v>
      </c>
      <c r="C93" s="36">
        <v>41</v>
      </c>
    </row>
    <row r="94" spans="1:7" x14ac:dyDescent="0.25">
      <c r="A94" s="75"/>
      <c r="B94" s="76" t="s">
        <v>27</v>
      </c>
      <c r="C94" s="36">
        <v>92</v>
      </c>
    </row>
    <row r="95" spans="1:7" x14ac:dyDescent="0.25">
      <c r="A95" s="75"/>
      <c r="B95" s="76" t="s">
        <v>28</v>
      </c>
      <c r="C95" s="36">
        <v>92</v>
      </c>
    </row>
    <row r="96" spans="1:7" x14ac:dyDescent="0.25">
      <c r="A96" s="75"/>
      <c r="B96" s="76" t="s">
        <v>29</v>
      </c>
      <c r="C96" s="184" t="e">
        <f>IF(#REF!="NON",41,58.5)</f>
        <v>#REF!</v>
      </c>
      <c r="D96" s="176" t="s">
        <v>256</v>
      </c>
    </row>
    <row r="97" spans="1:4" x14ac:dyDescent="0.25">
      <c r="A97" s="75"/>
      <c r="B97" s="76" t="s">
        <v>150</v>
      </c>
      <c r="C97" s="36" t="e">
        <f>C96+8</f>
        <v>#REF!</v>
      </c>
      <c r="D97" s="124" t="s">
        <v>151</v>
      </c>
    </row>
    <row r="98" spans="1:4" x14ac:dyDescent="0.25">
      <c r="A98" s="75"/>
      <c r="B98" s="76" t="s">
        <v>30</v>
      </c>
      <c r="C98" s="184" t="e">
        <f>IF(#REF!="NON",41,58.5)</f>
        <v>#REF!</v>
      </c>
      <c r="D98" s="176" t="s">
        <v>256</v>
      </c>
    </row>
    <row r="99" spans="1:4" x14ac:dyDescent="0.25">
      <c r="A99" s="75"/>
      <c r="B99" s="76" t="s">
        <v>32</v>
      </c>
      <c r="C99" s="36">
        <v>41</v>
      </c>
    </row>
    <row r="101" spans="1:4" ht="15.75" x14ac:dyDescent="0.25">
      <c r="A101" s="193" t="s">
        <v>42</v>
      </c>
      <c r="B101" s="194"/>
      <c r="C101" s="195"/>
    </row>
    <row r="102" spans="1:4" x14ac:dyDescent="0.25">
      <c r="A102" s="75"/>
      <c r="B102" s="76" t="s">
        <v>43</v>
      </c>
      <c r="C102" s="47">
        <v>0.3</v>
      </c>
    </row>
    <row r="103" spans="1:4" x14ac:dyDescent="0.25">
      <c r="A103" s="75"/>
      <c r="B103" s="76" t="s">
        <v>44</v>
      </c>
      <c r="C103" s="47">
        <v>0.6</v>
      </c>
    </row>
    <row r="104" spans="1:4" x14ac:dyDescent="0.25">
      <c r="A104" s="75"/>
      <c r="B104" s="76" t="s">
        <v>45</v>
      </c>
      <c r="C104" s="47">
        <v>1.5</v>
      </c>
    </row>
    <row r="105" spans="1:4" x14ac:dyDescent="0.25">
      <c r="A105" s="75"/>
      <c r="B105" s="76" t="s">
        <v>46</v>
      </c>
      <c r="C105" s="47">
        <v>1.5</v>
      </c>
    </row>
    <row r="107" spans="1:4" ht="15.75" x14ac:dyDescent="0.25">
      <c r="A107" s="193" t="s">
        <v>50</v>
      </c>
      <c r="B107" s="194"/>
      <c r="C107" s="195"/>
    </row>
    <row r="108" spans="1:4" x14ac:dyDescent="0.25">
      <c r="A108" s="75"/>
      <c r="B108" s="76" t="s">
        <v>41</v>
      </c>
      <c r="C108" s="50">
        <v>17</v>
      </c>
    </row>
    <row r="109" spans="1:4" x14ac:dyDescent="0.25">
      <c r="A109" s="75"/>
      <c r="B109" s="76" t="s">
        <v>51</v>
      </c>
      <c r="C109" s="50">
        <v>83</v>
      </c>
    </row>
    <row r="115" spans="1:3" ht="15.75" x14ac:dyDescent="0.25">
      <c r="A115" s="193" t="s">
        <v>68</v>
      </c>
      <c r="B115" s="194"/>
      <c r="C115" s="195"/>
    </row>
    <row r="116" spans="1:3" x14ac:dyDescent="0.25">
      <c r="A116" s="35"/>
      <c r="B116" s="63" t="s">
        <v>57</v>
      </c>
      <c r="C116" s="133">
        <v>1.3</v>
      </c>
    </row>
    <row r="117" spans="1:3" x14ac:dyDescent="0.25">
      <c r="A117" s="35"/>
      <c r="B117" s="63" t="s">
        <v>61</v>
      </c>
      <c r="C117" s="133">
        <v>22</v>
      </c>
    </row>
    <row r="118" spans="1:3" x14ac:dyDescent="0.25">
      <c r="A118" s="35"/>
      <c r="B118" s="63" t="s">
        <v>58</v>
      </c>
      <c r="C118" s="133">
        <v>1.9</v>
      </c>
    </row>
    <row r="119" spans="1:3" x14ac:dyDescent="0.25">
      <c r="A119" s="35"/>
      <c r="B119" s="63" t="s">
        <v>59</v>
      </c>
      <c r="C119" s="133">
        <v>5.6</v>
      </c>
    </row>
    <row r="120" spans="1:3" x14ac:dyDescent="0.25">
      <c r="A120" s="35"/>
      <c r="B120" s="63" t="s">
        <v>60</v>
      </c>
      <c r="C120" s="133">
        <v>16</v>
      </c>
    </row>
    <row r="121" spans="1:3" x14ac:dyDescent="0.25">
      <c r="A121" s="35"/>
      <c r="B121" s="63" t="s">
        <v>62</v>
      </c>
      <c r="C121" s="133">
        <v>5.93</v>
      </c>
    </row>
    <row r="122" spans="1:3" x14ac:dyDescent="0.25">
      <c r="A122" s="35"/>
      <c r="B122" s="63" t="s">
        <v>234</v>
      </c>
      <c r="C122" s="133">
        <v>60</v>
      </c>
    </row>
    <row r="123" spans="1:3" x14ac:dyDescent="0.25">
      <c r="A123" s="35"/>
      <c r="B123" s="63" t="s">
        <v>63</v>
      </c>
      <c r="C123" s="133">
        <v>1</v>
      </c>
    </row>
    <row r="125" spans="1:3" ht="15.75" x14ac:dyDescent="0.25">
      <c r="A125" s="193" t="s">
        <v>76</v>
      </c>
      <c r="B125" s="194"/>
      <c r="C125" s="195"/>
    </row>
    <row r="126" spans="1:3" x14ac:dyDescent="0.25">
      <c r="A126" s="35"/>
      <c r="B126" s="63" t="s">
        <v>64</v>
      </c>
      <c r="C126" s="134">
        <v>8.3000000000000007</v>
      </c>
    </row>
    <row r="127" spans="1:3" x14ac:dyDescent="0.25">
      <c r="A127" s="35"/>
      <c r="B127" s="63" t="s">
        <v>59</v>
      </c>
      <c r="C127" s="135">
        <v>17.36</v>
      </c>
    </row>
    <row r="128" spans="1:3" x14ac:dyDescent="0.25">
      <c r="A128" s="35"/>
      <c r="B128" s="63" t="s">
        <v>65</v>
      </c>
      <c r="C128" s="135">
        <v>7</v>
      </c>
    </row>
    <row r="129" spans="1:4" x14ac:dyDescent="0.25">
      <c r="A129" s="35"/>
      <c r="B129" s="63" t="s">
        <v>66</v>
      </c>
      <c r="C129" s="135">
        <v>13.44</v>
      </c>
    </row>
    <row r="130" spans="1:4" x14ac:dyDescent="0.25">
      <c r="A130" s="35"/>
      <c r="B130" s="63" t="s">
        <v>67</v>
      </c>
      <c r="C130" s="136">
        <v>200</v>
      </c>
    </row>
    <row r="131" spans="1:4" x14ac:dyDescent="0.25">
      <c r="A131" s="35"/>
      <c r="B131" s="63" t="s">
        <v>77</v>
      </c>
      <c r="C131" s="133">
        <v>2.4300000000000002</v>
      </c>
    </row>
    <row r="132" spans="1:4" x14ac:dyDescent="0.25">
      <c r="A132" s="35"/>
      <c r="B132" s="63" t="s">
        <v>133</v>
      </c>
      <c r="C132" s="133">
        <v>0.47</v>
      </c>
    </row>
    <row r="133" spans="1:4" x14ac:dyDescent="0.25">
      <c r="A133" s="35"/>
      <c r="B133" s="63" t="s">
        <v>136</v>
      </c>
      <c r="C133" s="133">
        <v>0.18</v>
      </c>
    </row>
    <row r="135" spans="1:4" ht="15.75" x14ac:dyDescent="0.25">
      <c r="A135" s="193" t="s">
        <v>69</v>
      </c>
      <c r="B135" s="194"/>
      <c r="C135" s="195"/>
    </row>
    <row r="136" spans="1:4" x14ac:dyDescent="0.25">
      <c r="A136" s="35"/>
      <c r="B136" s="63" t="s">
        <v>75</v>
      </c>
      <c r="C136" s="150">
        <v>70</v>
      </c>
      <c r="D136" s="151" t="s">
        <v>185</v>
      </c>
    </row>
    <row r="137" spans="1:4" x14ac:dyDescent="0.25">
      <c r="A137" s="35"/>
      <c r="B137" s="63" t="s">
        <v>70</v>
      </c>
      <c r="C137" s="152">
        <v>30</v>
      </c>
      <c r="D137" s="151" t="s">
        <v>185</v>
      </c>
    </row>
    <row r="138" spans="1:4" x14ac:dyDescent="0.25">
      <c r="A138" s="35"/>
      <c r="B138" s="63" t="s">
        <v>72</v>
      </c>
      <c r="C138" s="152">
        <v>30</v>
      </c>
      <c r="D138" s="151" t="s">
        <v>185</v>
      </c>
    </row>
    <row r="139" spans="1:4" x14ac:dyDescent="0.25">
      <c r="A139" s="35"/>
      <c r="B139" s="63" t="s">
        <v>73</v>
      </c>
      <c r="C139" s="152">
        <v>30</v>
      </c>
      <c r="D139" s="151" t="s">
        <v>185</v>
      </c>
    </row>
    <row r="140" spans="1:4" x14ac:dyDescent="0.25">
      <c r="A140" s="35"/>
      <c r="B140" s="63" t="s">
        <v>74</v>
      </c>
      <c r="C140" s="153">
        <v>200</v>
      </c>
      <c r="D140" s="151" t="s">
        <v>185</v>
      </c>
    </row>
    <row r="141" spans="1:4" x14ac:dyDescent="0.25">
      <c r="A141" s="35"/>
      <c r="B141" s="63" t="s">
        <v>71</v>
      </c>
      <c r="C141" s="139">
        <v>72</v>
      </c>
    </row>
    <row r="143" spans="1:4" ht="15.75" x14ac:dyDescent="0.25">
      <c r="A143" s="193" t="s">
        <v>78</v>
      </c>
      <c r="B143" s="194"/>
      <c r="C143" s="195"/>
    </row>
    <row r="144" spans="1:4" x14ac:dyDescent="0.25">
      <c r="A144" s="35"/>
      <c r="B144" s="63" t="s">
        <v>79</v>
      </c>
      <c r="C144" s="152">
        <v>70</v>
      </c>
      <c r="D144" s="151" t="s">
        <v>185</v>
      </c>
    </row>
    <row r="145" spans="1:4" x14ac:dyDescent="0.25">
      <c r="A145" s="35"/>
      <c r="B145" s="63" t="s">
        <v>80</v>
      </c>
      <c r="C145" s="152">
        <v>15</v>
      </c>
      <c r="D145" s="151" t="s">
        <v>185</v>
      </c>
    </row>
    <row r="146" spans="1:4" x14ac:dyDescent="0.25">
      <c r="A146" s="35"/>
      <c r="B146" s="63" t="s">
        <v>81</v>
      </c>
      <c r="C146" s="152">
        <v>62</v>
      </c>
      <c r="D146" s="151" t="s">
        <v>185</v>
      </c>
    </row>
    <row r="147" spans="1:4" x14ac:dyDescent="0.25">
      <c r="A147" s="35"/>
      <c r="B147" s="63" t="s">
        <v>82</v>
      </c>
      <c r="C147" s="152">
        <v>40</v>
      </c>
      <c r="D147" s="151" t="s">
        <v>185</v>
      </c>
    </row>
    <row r="148" spans="1:4" x14ac:dyDescent="0.25">
      <c r="A148" s="35"/>
      <c r="B148" s="63" t="s">
        <v>83</v>
      </c>
      <c r="C148" s="152">
        <v>20</v>
      </c>
      <c r="D148" s="151" t="s">
        <v>185</v>
      </c>
    </row>
    <row r="150" spans="1:4" ht="15.75" x14ac:dyDescent="0.25">
      <c r="A150" s="193" t="s">
        <v>84</v>
      </c>
      <c r="B150" s="194"/>
      <c r="C150" s="195"/>
    </row>
    <row r="151" spans="1:4" x14ac:dyDescent="0.25">
      <c r="A151" s="35"/>
      <c r="B151" s="63" t="s">
        <v>79</v>
      </c>
      <c r="C151" s="152">
        <v>100</v>
      </c>
      <c r="D151" s="151" t="s">
        <v>185</v>
      </c>
    </row>
    <row r="152" spans="1:4" x14ac:dyDescent="0.25">
      <c r="A152" s="35"/>
      <c r="B152" s="63" t="s">
        <v>80</v>
      </c>
      <c r="C152" s="152">
        <v>25</v>
      </c>
      <c r="D152" s="151" t="s">
        <v>185</v>
      </c>
    </row>
    <row r="153" spans="1:4" x14ac:dyDescent="0.25">
      <c r="A153" s="35"/>
      <c r="B153" s="63" t="s">
        <v>81</v>
      </c>
      <c r="C153" s="152">
        <v>72</v>
      </c>
      <c r="D153" s="151" t="s">
        <v>185</v>
      </c>
    </row>
    <row r="154" spans="1:4" x14ac:dyDescent="0.25">
      <c r="A154" s="35"/>
      <c r="B154" s="63" t="s">
        <v>82</v>
      </c>
      <c r="C154" s="152">
        <v>60</v>
      </c>
      <c r="D154" s="151" t="s">
        <v>185</v>
      </c>
    </row>
    <row r="155" spans="1:4" x14ac:dyDescent="0.25">
      <c r="A155" s="35"/>
      <c r="B155" s="63" t="s">
        <v>83</v>
      </c>
      <c r="C155" s="152">
        <v>25</v>
      </c>
      <c r="D155" s="151" t="s">
        <v>185</v>
      </c>
    </row>
    <row r="157" spans="1:4" ht="15.75" x14ac:dyDescent="0.25">
      <c r="A157" s="193" t="s">
        <v>98</v>
      </c>
      <c r="B157" s="194"/>
      <c r="C157" s="195"/>
    </row>
    <row r="158" spans="1:4" x14ac:dyDescent="0.25">
      <c r="A158" s="35"/>
      <c r="B158" s="63" t="s">
        <v>95</v>
      </c>
      <c r="C158" s="136">
        <v>876</v>
      </c>
    </row>
    <row r="159" spans="1:4" x14ac:dyDescent="0.25">
      <c r="A159" s="35"/>
      <c r="B159" s="63" t="s">
        <v>96</v>
      </c>
      <c r="C159" s="138">
        <v>104.26</v>
      </c>
    </row>
    <row r="160" spans="1:4" x14ac:dyDescent="0.25">
      <c r="A160" s="35"/>
      <c r="B160" s="63" t="s">
        <v>97</v>
      </c>
      <c r="C160" s="136">
        <v>785</v>
      </c>
    </row>
    <row r="162" spans="1:6" ht="15.75" x14ac:dyDescent="0.25">
      <c r="A162" s="193" t="s">
        <v>146</v>
      </c>
      <c r="B162" s="194"/>
      <c r="C162" s="195"/>
    </row>
    <row r="163" spans="1:6" x14ac:dyDescent="0.25">
      <c r="A163" s="35"/>
      <c r="B163" s="63" t="s">
        <v>147</v>
      </c>
      <c r="C163" s="134">
        <v>1.1299999999999999</v>
      </c>
    </row>
    <row r="164" spans="1:6" x14ac:dyDescent="0.25">
      <c r="A164" s="35"/>
      <c r="B164" s="63" t="s">
        <v>148</v>
      </c>
      <c r="C164" s="134">
        <v>4.75</v>
      </c>
    </row>
    <row r="165" spans="1:6" x14ac:dyDescent="0.25">
      <c r="A165" s="35"/>
      <c r="B165" s="63" t="s">
        <v>154</v>
      </c>
      <c r="C165" s="134">
        <v>24.6</v>
      </c>
    </row>
    <row r="166" spans="1:6" x14ac:dyDescent="0.25">
      <c r="A166" s="35"/>
      <c r="B166" s="63" t="s">
        <v>149</v>
      </c>
      <c r="C166" s="134">
        <v>32</v>
      </c>
    </row>
    <row r="167" spans="1:6" x14ac:dyDescent="0.25">
      <c r="A167" s="35"/>
      <c r="B167" s="63" t="s">
        <v>101</v>
      </c>
      <c r="C167" s="133">
        <v>1.9</v>
      </c>
    </row>
    <row r="168" spans="1:6" x14ac:dyDescent="0.25">
      <c r="A168" s="35"/>
      <c r="B168" s="63" t="s">
        <v>92</v>
      </c>
      <c r="C168" s="134">
        <v>2</v>
      </c>
      <c r="E168" s="196" t="s">
        <v>186</v>
      </c>
      <c r="F168" s="197"/>
    </row>
    <row r="169" spans="1:6" x14ac:dyDescent="0.25">
      <c r="A169" s="35"/>
      <c r="B169" s="63" t="s">
        <v>190</v>
      </c>
      <c r="C169" s="134">
        <v>1.4</v>
      </c>
      <c r="E169" s="154">
        <v>10</v>
      </c>
      <c r="F169" s="155" t="s">
        <v>187</v>
      </c>
    </row>
    <row r="171" spans="1:6" ht="15.75" x14ac:dyDescent="0.25">
      <c r="A171" s="193" t="s">
        <v>54</v>
      </c>
      <c r="B171" s="194"/>
      <c r="C171" s="195"/>
      <c r="E171" s="196" t="s">
        <v>186</v>
      </c>
      <c r="F171" s="197"/>
    </row>
    <row r="172" spans="1:6" x14ac:dyDescent="0.25">
      <c r="A172" s="75"/>
      <c r="B172" s="63" t="s">
        <v>104</v>
      </c>
      <c r="C172" s="134">
        <v>4</v>
      </c>
      <c r="E172" s="154">
        <v>15</v>
      </c>
      <c r="F172" s="155" t="s">
        <v>187</v>
      </c>
    </row>
    <row r="173" spans="1:6" x14ac:dyDescent="0.25">
      <c r="A173" s="75"/>
      <c r="B173" s="63" t="s">
        <v>253</v>
      </c>
      <c r="C173" s="134">
        <v>7.4</v>
      </c>
      <c r="E173" s="154">
        <v>20</v>
      </c>
      <c r="F173" s="155" t="s">
        <v>187</v>
      </c>
    </row>
    <row r="174" spans="1:6" x14ac:dyDescent="0.25">
      <c r="A174" s="75"/>
      <c r="B174" s="63" t="s">
        <v>105</v>
      </c>
      <c r="C174" s="134">
        <v>6.4</v>
      </c>
      <c r="E174" s="154">
        <v>30</v>
      </c>
      <c r="F174" s="155" t="s">
        <v>187</v>
      </c>
    </row>
    <row r="175" spans="1:6" x14ac:dyDescent="0.25">
      <c r="A175" s="75"/>
      <c r="B175" s="63" t="s">
        <v>236</v>
      </c>
      <c r="C175" s="134">
        <v>16.600000000000001</v>
      </c>
      <c r="E175" s="35"/>
      <c r="F175" s="156"/>
    </row>
    <row r="176" spans="1:6" x14ac:dyDescent="0.25">
      <c r="A176" s="75"/>
      <c r="B176" s="63" t="s">
        <v>230</v>
      </c>
      <c r="C176" s="134">
        <v>8.6</v>
      </c>
      <c r="E176" s="154">
        <v>10</v>
      </c>
      <c r="F176" s="159" t="s">
        <v>187</v>
      </c>
    </row>
    <row r="177" spans="1:6" x14ac:dyDescent="0.25">
      <c r="A177" s="75"/>
      <c r="B177" s="63" t="s">
        <v>231</v>
      </c>
      <c r="C177" s="134">
        <v>7.6</v>
      </c>
      <c r="E177" s="154">
        <v>10</v>
      </c>
      <c r="F177" s="159" t="s">
        <v>187</v>
      </c>
    </row>
    <row r="178" spans="1:6" x14ac:dyDescent="0.25">
      <c r="A178" s="75"/>
      <c r="B178" s="63" t="s">
        <v>232</v>
      </c>
      <c r="C178" s="134">
        <v>5.71</v>
      </c>
      <c r="E178" s="154">
        <v>10</v>
      </c>
      <c r="F178" s="159" t="s">
        <v>187</v>
      </c>
    </row>
    <row r="179" spans="1:6" x14ac:dyDescent="0.25">
      <c r="A179" s="75"/>
      <c r="B179" s="63" t="s">
        <v>233</v>
      </c>
      <c r="C179" s="134">
        <v>3.8</v>
      </c>
      <c r="E179" s="154">
        <v>10</v>
      </c>
      <c r="F179" s="159" t="s">
        <v>187</v>
      </c>
    </row>
    <row r="180" spans="1:6" x14ac:dyDescent="0.25">
      <c r="A180" s="75"/>
      <c r="B180" s="63" t="s">
        <v>178</v>
      </c>
      <c r="C180" s="134">
        <v>1.9</v>
      </c>
      <c r="E180" s="154">
        <v>10</v>
      </c>
      <c r="F180" s="159" t="s">
        <v>187</v>
      </c>
    </row>
    <row r="181" spans="1:6" x14ac:dyDescent="0.25">
      <c r="A181" s="75"/>
      <c r="B181" s="63" t="s">
        <v>237</v>
      </c>
      <c r="C181" s="134">
        <v>3.4</v>
      </c>
      <c r="E181" s="163">
        <v>10</v>
      </c>
      <c r="F181" s="156" t="s">
        <v>187</v>
      </c>
    </row>
    <row r="182" spans="1:6" x14ac:dyDescent="0.25">
      <c r="A182" s="75"/>
      <c r="B182" s="63" t="s">
        <v>106</v>
      </c>
      <c r="C182" s="140">
        <f>C163</f>
        <v>1.1299999999999999</v>
      </c>
    </row>
    <row r="183" spans="1:6" x14ac:dyDescent="0.25">
      <c r="A183" s="75"/>
      <c r="B183" s="63" t="s">
        <v>111</v>
      </c>
      <c r="C183" s="134">
        <v>3.09</v>
      </c>
    </row>
    <row r="184" spans="1:6" x14ac:dyDescent="0.25">
      <c r="A184" s="75"/>
      <c r="B184" s="63" t="s">
        <v>135</v>
      </c>
      <c r="C184" s="141">
        <v>20</v>
      </c>
    </row>
    <row r="185" spans="1:6" x14ac:dyDescent="0.25">
      <c r="A185" s="75"/>
      <c r="B185" s="63" t="s">
        <v>224</v>
      </c>
      <c r="C185" s="138">
        <v>2</v>
      </c>
    </row>
    <row r="186" spans="1:6" x14ac:dyDescent="0.25">
      <c r="A186" s="75"/>
      <c r="B186" s="63" t="s">
        <v>112</v>
      </c>
      <c r="C186" s="134">
        <v>15.5</v>
      </c>
    </row>
    <row r="187" spans="1:6" x14ac:dyDescent="0.25">
      <c r="A187" s="75"/>
      <c r="B187" s="63" t="s">
        <v>113</v>
      </c>
      <c r="C187" s="134">
        <v>27.5</v>
      </c>
    </row>
    <row r="188" spans="1:6" x14ac:dyDescent="0.25">
      <c r="A188" s="75"/>
      <c r="B188" s="63" t="s">
        <v>115</v>
      </c>
      <c r="C188" s="137">
        <v>60</v>
      </c>
    </row>
    <row r="189" spans="1:6" x14ac:dyDescent="0.25">
      <c r="A189" s="75"/>
      <c r="B189" s="63" t="s">
        <v>114</v>
      </c>
      <c r="C189" s="137">
        <v>150</v>
      </c>
    </row>
    <row r="191" spans="1:6" ht="15.75" x14ac:dyDescent="0.25">
      <c r="A191" s="193" t="s">
        <v>131</v>
      </c>
      <c r="B191" s="194"/>
      <c r="C191" s="195"/>
    </row>
    <row r="192" spans="1:6" x14ac:dyDescent="0.25">
      <c r="A192" s="35"/>
      <c r="B192" s="63" t="s">
        <v>144</v>
      </c>
      <c r="C192" s="134">
        <v>13</v>
      </c>
    </row>
    <row r="193" spans="1:6" x14ac:dyDescent="0.25">
      <c r="A193" s="35"/>
      <c r="B193" s="63" t="s">
        <v>172</v>
      </c>
      <c r="C193" s="134">
        <v>16.399999999999999</v>
      </c>
    </row>
    <row r="194" spans="1:6" x14ac:dyDescent="0.25">
      <c r="A194" s="35"/>
      <c r="B194" s="63" t="s">
        <v>145</v>
      </c>
      <c r="C194" s="134">
        <v>31</v>
      </c>
    </row>
    <row r="195" spans="1:6" x14ac:dyDescent="0.25">
      <c r="A195" s="35"/>
      <c r="B195" s="63" t="s">
        <v>173</v>
      </c>
      <c r="C195" s="134">
        <v>50</v>
      </c>
    </row>
    <row r="196" spans="1:6" x14ac:dyDescent="0.25">
      <c r="A196" s="35"/>
      <c r="B196" s="63" t="s">
        <v>239</v>
      </c>
      <c r="C196" s="134">
        <v>68</v>
      </c>
    </row>
    <row r="197" spans="1:6" x14ac:dyDescent="0.25">
      <c r="A197" s="35"/>
      <c r="B197" s="63" t="s">
        <v>171</v>
      </c>
      <c r="C197" s="134">
        <v>18</v>
      </c>
    </row>
    <row r="198" spans="1:6" x14ac:dyDescent="0.25">
      <c r="A198" s="35"/>
      <c r="B198" s="63" t="s">
        <v>174</v>
      </c>
      <c r="C198" s="134">
        <v>21</v>
      </c>
    </row>
    <row r="200" spans="1:6" ht="15.75" x14ac:dyDescent="0.25">
      <c r="A200" s="193" t="s">
        <v>192</v>
      </c>
      <c r="B200" s="194"/>
      <c r="C200" s="195"/>
      <c r="E200" s="196" t="s">
        <v>186</v>
      </c>
      <c r="F200" s="197"/>
    </row>
    <row r="201" spans="1:6" x14ac:dyDescent="0.25">
      <c r="A201" s="35"/>
      <c r="B201" s="63" t="s">
        <v>193</v>
      </c>
      <c r="C201" s="134">
        <v>2</v>
      </c>
      <c r="E201" s="154">
        <v>28</v>
      </c>
      <c r="F201" s="155" t="s">
        <v>187</v>
      </c>
    </row>
    <row r="202" spans="1:6" x14ac:dyDescent="0.25">
      <c r="A202" s="35"/>
      <c r="B202" s="63" t="s">
        <v>222</v>
      </c>
      <c r="C202" s="134">
        <v>3.6</v>
      </c>
      <c r="E202" s="154">
        <v>28</v>
      </c>
      <c r="F202" s="155" t="s">
        <v>187</v>
      </c>
    </row>
    <row r="203" spans="1:6" x14ac:dyDescent="0.25">
      <c r="A203" s="35"/>
      <c r="B203" s="63" t="s">
        <v>194</v>
      </c>
      <c r="C203" s="134">
        <v>4.7</v>
      </c>
      <c r="E203" s="154">
        <v>28</v>
      </c>
      <c r="F203" s="155" t="s">
        <v>187</v>
      </c>
    </row>
    <row r="204" spans="1:6" x14ac:dyDescent="0.25">
      <c r="A204" s="35"/>
      <c r="B204" s="63" t="s">
        <v>195</v>
      </c>
      <c r="C204" s="134">
        <v>6.15</v>
      </c>
      <c r="E204" s="154">
        <v>28</v>
      </c>
      <c r="F204" s="155" t="s">
        <v>187</v>
      </c>
    </row>
    <row r="205" spans="1:6" x14ac:dyDescent="0.25">
      <c r="A205" s="35"/>
      <c r="B205" s="63" t="s">
        <v>196</v>
      </c>
      <c r="C205" s="134">
        <v>6.6</v>
      </c>
      <c r="E205" s="163">
        <v>30</v>
      </c>
      <c r="F205" s="156" t="s">
        <v>187</v>
      </c>
    </row>
    <row r="206" spans="1:6" x14ac:dyDescent="0.25">
      <c r="A206" s="35"/>
      <c r="B206" s="63" t="s">
        <v>197</v>
      </c>
      <c r="C206" s="164">
        <v>8</v>
      </c>
      <c r="D206" s="151" t="s">
        <v>185</v>
      </c>
      <c r="E206" s="35"/>
      <c r="F206" s="156"/>
    </row>
    <row r="207" spans="1:6" x14ac:dyDescent="0.25">
      <c r="A207" s="35"/>
      <c r="B207" s="63" t="s">
        <v>198</v>
      </c>
      <c r="C207" s="164">
        <v>10</v>
      </c>
      <c r="D207" s="151" t="s">
        <v>185</v>
      </c>
      <c r="E207" s="35"/>
      <c r="F207" s="156"/>
    </row>
    <row r="208" spans="1:6" x14ac:dyDescent="0.25">
      <c r="A208" s="35"/>
      <c r="B208" s="63" t="s">
        <v>199</v>
      </c>
      <c r="C208" s="164">
        <v>15</v>
      </c>
      <c r="D208" s="151" t="s">
        <v>185</v>
      </c>
      <c r="E208" s="35"/>
      <c r="F208" s="156"/>
    </row>
    <row r="209" spans="1:6" x14ac:dyDescent="0.25">
      <c r="A209" s="35"/>
      <c r="B209" s="63"/>
      <c r="C209" s="134"/>
      <c r="E209" s="35"/>
      <c r="F209" s="156"/>
    </row>
    <row r="210" spans="1:6" x14ac:dyDescent="0.25">
      <c r="A210" s="35"/>
      <c r="B210" s="63" t="s">
        <v>200</v>
      </c>
      <c r="C210" s="134">
        <v>8.5</v>
      </c>
      <c r="E210" s="163">
        <v>15</v>
      </c>
      <c r="F210" s="156" t="s">
        <v>187</v>
      </c>
    </row>
    <row r="211" spans="1:6" x14ac:dyDescent="0.25">
      <c r="A211" s="35"/>
      <c r="B211" s="63"/>
      <c r="C211" s="134"/>
      <c r="E211" s="35"/>
      <c r="F211" s="156"/>
    </row>
    <row r="212" spans="1:6" x14ac:dyDescent="0.25">
      <c r="A212" s="35"/>
      <c r="B212" s="63" t="s">
        <v>201</v>
      </c>
      <c r="C212" s="134">
        <v>63</v>
      </c>
      <c r="E212" s="163">
        <v>60</v>
      </c>
      <c r="F212" s="156" t="s">
        <v>187</v>
      </c>
    </row>
    <row r="213" spans="1:6" x14ac:dyDescent="0.25">
      <c r="A213" s="35"/>
      <c r="B213" s="63" t="s">
        <v>202</v>
      </c>
      <c r="C213" s="135">
        <v>5</v>
      </c>
      <c r="E213" s="163">
        <v>12</v>
      </c>
      <c r="F213" s="156" t="s">
        <v>189</v>
      </c>
    </row>
    <row r="214" spans="1:6" x14ac:dyDescent="0.25">
      <c r="A214" s="35"/>
      <c r="B214" s="63" t="s">
        <v>203</v>
      </c>
      <c r="C214" s="134">
        <v>18.5</v>
      </c>
      <c r="E214" s="163">
        <v>40</v>
      </c>
      <c r="F214" s="156" t="s">
        <v>187</v>
      </c>
    </row>
    <row r="215" spans="1:6" x14ac:dyDescent="0.25">
      <c r="A215" s="35"/>
      <c r="B215" s="63" t="s">
        <v>204</v>
      </c>
      <c r="C215" s="135">
        <v>3</v>
      </c>
      <c r="E215" s="163">
        <v>12</v>
      </c>
      <c r="F215" s="156" t="s">
        <v>189</v>
      </c>
    </row>
    <row r="216" spans="1:6" x14ac:dyDescent="0.25">
      <c r="A216" s="35"/>
      <c r="B216" s="63" t="s">
        <v>205</v>
      </c>
      <c r="C216" s="135">
        <v>1.7</v>
      </c>
      <c r="E216" s="163">
        <v>12</v>
      </c>
      <c r="F216" s="156" t="s">
        <v>189</v>
      </c>
    </row>
    <row r="218" spans="1:6" ht="15.75" x14ac:dyDescent="0.25">
      <c r="A218" s="193" t="s">
        <v>206</v>
      </c>
      <c r="B218" s="194"/>
      <c r="C218" s="195"/>
      <c r="E218" s="196" t="s">
        <v>186</v>
      </c>
      <c r="F218" s="197"/>
    </row>
    <row r="219" spans="1:6" x14ac:dyDescent="0.25">
      <c r="A219" s="35"/>
      <c r="B219" s="63" t="s">
        <v>207</v>
      </c>
      <c r="C219" s="136">
        <v>500</v>
      </c>
      <c r="E219" s="154">
        <v>2</v>
      </c>
      <c r="F219" s="155" t="s">
        <v>228</v>
      </c>
    </row>
    <row r="220" spans="1:6" x14ac:dyDescent="0.25">
      <c r="A220" s="35"/>
      <c r="B220" s="63" t="s">
        <v>208</v>
      </c>
      <c r="C220" s="136">
        <v>1100</v>
      </c>
      <c r="E220" s="154">
        <v>10</v>
      </c>
      <c r="F220" s="155" t="s">
        <v>228</v>
      </c>
    </row>
    <row r="221" spans="1:6" x14ac:dyDescent="0.25">
      <c r="A221" s="35"/>
      <c r="B221" s="63" t="s">
        <v>209</v>
      </c>
      <c r="C221" s="136">
        <v>1400</v>
      </c>
      <c r="E221" s="154">
        <v>15</v>
      </c>
      <c r="F221" s="155" t="s">
        <v>228</v>
      </c>
    </row>
    <row r="222" spans="1:6" x14ac:dyDescent="0.25">
      <c r="A222" s="35"/>
      <c r="B222" s="63" t="s">
        <v>210</v>
      </c>
      <c r="C222" s="136">
        <v>1510</v>
      </c>
      <c r="E222" s="163">
        <v>20</v>
      </c>
      <c r="F222" s="155" t="s">
        <v>228</v>
      </c>
    </row>
    <row r="223" spans="1:6" x14ac:dyDescent="0.25">
      <c r="A223" s="165"/>
      <c r="B223" s="166" t="s">
        <v>211</v>
      </c>
      <c r="C223" s="136">
        <v>230</v>
      </c>
      <c r="E223" s="163"/>
      <c r="F223" s="155"/>
    </row>
    <row r="224" spans="1:6" x14ac:dyDescent="0.25">
      <c r="A224" s="165"/>
      <c r="B224" s="166" t="s">
        <v>212</v>
      </c>
      <c r="C224" s="136">
        <v>225</v>
      </c>
      <c r="E224" s="163"/>
      <c r="F224" s="155"/>
    </row>
    <row r="225" spans="1:6" x14ac:dyDescent="0.25">
      <c r="A225" s="35"/>
      <c r="B225" s="63" t="s">
        <v>213</v>
      </c>
      <c r="C225" s="167">
        <v>240</v>
      </c>
      <c r="E225" s="163">
        <v>1</v>
      </c>
      <c r="F225" s="155" t="s">
        <v>229</v>
      </c>
    </row>
    <row r="226" spans="1:6" x14ac:dyDescent="0.25">
      <c r="A226" s="35"/>
      <c r="B226" s="63" t="s">
        <v>214</v>
      </c>
      <c r="C226" s="167">
        <v>210</v>
      </c>
      <c r="E226" s="163">
        <v>1</v>
      </c>
      <c r="F226" s="155" t="s">
        <v>229</v>
      </c>
    </row>
    <row r="227" spans="1:6" x14ac:dyDescent="0.25">
      <c r="A227" s="168"/>
      <c r="B227" s="169" t="s">
        <v>215</v>
      </c>
      <c r="C227" s="167">
        <v>20</v>
      </c>
    </row>
    <row r="228" spans="1:6" x14ac:dyDescent="0.25">
      <c r="A228" s="174"/>
      <c r="B228" s="175" t="s">
        <v>235</v>
      </c>
      <c r="C228" s="136">
        <v>940</v>
      </c>
    </row>
    <row r="230" spans="1:6" ht="15.75" x14ac:dyDescent="0.25">
      <c r="A230" s="193" t="s">
        <v>216</v>
      </c>
      <c r="B230" s="194"/>
      <c r="C230" s="195"/>
      <c r="E230" s="196" t="s">
        <v>186</v>
      </c>
      <c r="F230" s="197"/>
    </row>
    <row r="231" spans="1:6" x14ac:dyDescent="0.25">
      <c r="A231" s="35"/>
      <c r="B231" s="170" t="s">
        <v>217</v>
      </c>
      <c r="C231" s="136">
        <v>900</v>
      </c>
      <c r="E231" s="154">
        <v>3</v>
      </c>
      <c r="F231" s="155" t="s">
        <v>228</v>
      </c>
    </row>
    <row r="232" spans="1:6" x14ac:dyDescent="0.25">
      <c r="A232" s="35"/>
      <c r="B232" s="170" t="s">
        <v>218</v>
      </c>
      <c r="C232" s="136">
        <v>75</v>
      </c>
      <c r="E232" s="154">
        <v>2</v>
      </c>
      <c r="F232" s="155" t="s">
        <v>228</v>
      </c>
    </row>
    <row r="233" spans="1:6" x14ac:dyDescent="0.25">
      <c r="A233" s="174"/>
      <c r="B233" s="181" t="s">
        <v>244</v>
      </c>
      <c r="C233" s="136">
        <v>345</v>
      </c>
      <c r="E233" s="154">
        <v>3</v>
      </c>
      <c r="F233" s="155" t="s">
        <v>228</v>
      </c>
    </row>
    <row r="234" spans="1:6" x14ac:dyDescent="0.25">
      <c r="A234" s="174"/>
      <c r="B234" s="181" t="s">
        <v>245</v>
      </c>
      <c r="C234" s="136">
        <v>500</v>
      </c>
      <c r="E234" s="163">
        <v>4</v>
      </c>
      <c r="F234" s="155" t="s">
        <v>228</v>
      </c>
    </row>
    <row r="235" spans="1:6" x14ac:dyDescent="0.25">
      <c r="A235" s="174"/>
      <c r="B235" s="181" t="s">
        <v>246</v>
      </c>
      <c r="C235" s="136">
        <v>660</v>
      </c>
      <c r="E235" s="163">
        <v>4</v>
      </c>
      <c r="F235" s="155" t="s">
        <v>228</v>
      </c>
    </row>
    <row r="236" spans="1:6" x14ac:dyDescent="0.25">
      <c r="A236" s="182"/>
      <c r="B236" s="183" t="s">
        <v>247</v>
      </c>
      <c r="C236" s="136">
        <v>515</v>
      </c>
      <c r="E236" s="163">
        <v>3</v>
      </c>
      <c r="F236" s="155" t="s">
        <v>228</v>
      </c>
    </row>
    <row r="237" spans="1:6" x14ac:dyDescent="0.25">
      <c r="A237" s="182"/>
      <c r="B237" s="183" t="s">
        <v>248</v>
      </c>
      <c r="C237" s="136">
        <v>670</v>
      </c>
      <c r="E237" s="163">
        <v>4</v>
      </c>
      <c r="F237" s="155" t="s">
        <v>228</v>
      </c>
    </row>
    <row r="238" spans="1:6" x14ac:dyDescent="0.25">
      <c r="A238" s="182"/>
      <c r="B238" s="183" t="s">
        <v>249</v>
      </c>
      <c r="C238" s="136">
        <v>830</v>
      </c>
      <c r="E238" s="163">
        <v>4</v>
      </c>
      <c r="F238" s="155" t="s">
        <v>228</v>
      </c>
    </row>
    <row r="239" spans="1:6" x14ac:dyDescent="0.25">
      <c r="A239" s="35"/>
      <c r="B239" s="171"/>
      <c r="C239" s="136"/>
      <c r="E239" s="163"/>
      <c r="F239" s="155"/>
    </row>
    <row r="240" spans="1:6" x14ac:dyDescent="0.25">
      <c r="A240" s="35"/>
      <c r="B240" s="170" t="s">
        <v>219</v>
      </c>
      <c r="C240" s="136">
        <v>185</v>
      </c>
      <c r="E240" s="163">
        <v>3</v>
      </c>
      <c r="F240" s="155" t="s">
        <v>228</v>
      </c>
    </row>
    <row r="241" spans="1:6" x14ac:dyDescent="0.25">
      <c r="A241" s="35"/>
      <c r="B241" s="170" t="s">
        <v>220</v>
      </c>
      <c r="C241" s="136">
        <v>260</v>
      </c>
      <c r="E241" s="163">
        <v>4</v>
      </c>
      <c r="F241" s="155" t="s">
        <v>228</v>
      </c>
    </row>
    <row r="242" spans="1:6" x14ac:dyDescent="0.25">
      <c r="A242" s="35"/>
      <c r="B242" s="170" t="s">
        <v>221</v>
      </c>
      <c r="C242" s="136">
        <v>485</v>
      </c>
      <c r="E242" s="163">
        <v>4</v>
      </c>
      <c r="F242" s="155" t="s">
        <v>228</v>
      </c>
    </row>
  </sheetData>
  <mergeCells count="26">
    <mergeCell ref="A1:B1"/>
    <mergeCell ref="A2:B2"/>
    <mergeCell ref="A150:C150"/>
    <mergeCell ref="A191:C191"/>
    <mergeCell ref="A157:C157"/>
    <mergeCell ref="A101:C101"/>
    <mergeCell ref="A107:C107"/>
    <mergeCell ref="A3:F3"/>
    <mergeCell ref="A90:C90"/>
    <mergeCell ref="A4:G4"/>
    <mergeCell ref="A171:C171"/>
    <mergeCell ref="A115:C115"/>
    <mergeCell ref="A125:C125"/>
    <mergeCell ref="A135:C135"/>
    <mergeCell ref="A143:C143"/>
    <mergeCell ref="E43:F43"/>
    <mergeCell ref="E14:F14"/>
    <mergeCell ref="E168:F168"/>
    <mergeCell ref="A200:C200"/>
    <mergeCell ref="E200:F200"/>
    <mergeCell ref="A162:C162"/>
    <mergeCell ref="A218:C218"/>
    <mergeCell ref="E218:F218"/>
    <mergeCell ref="A230:C230"/>
    <mergeCell ref="E230:F230"/>
    <mergeCell ref="E171:F171"/>
  </mergeCells>
  <pageMargins left="0.7" right="0.7" top="0.75" bottom="0.75" header="0.3" footer="0.3"/>
  <pageSetup paperSize="9" scale="8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7"/>
  <sheetViews>
    <sheetView tabSelected="1" zoomScaleNormal="100" workbookViewId="0">
      <selection activeCell="F6" sqref="F6"/>
    </sheetView>
  </sheetViews>
  <sheetFormatPr baseColWidth="10" defaultColWidth="9" defaultRowHeight="15" x14ac:dyDescent="0.25"/>
  <cols>
    <col min="1" max="1" width="27.28515625" customWidth="1"/>
    <col min="2" max="2" width="9.42578125" customWidth="1"/>
    <col min="3" max="3" width="10.85546875" customWidth="1"/>
    <col min="4" max="4" width="7.5703125" customWidth="1"/>
    <col min="5" max="5" width="9.7109375" customWidth="1"/>
    <col min="6" max="6" width="15.140625" customWidth="1"/>
    <col min="7" max="7" width="9.85546875" customWidth="1"/>
    <col min="8" max="8" width="9.140625" customWidth="1"/>
    <col min="9" max="9" width="13.42578125" customWidth="1"/>
    <col min="15" max="15" width="17.140625" bestFit="1" customWidth="1"/>
    <col min="18" max="18" width="10.5703125" bestFit="1" customWidth="1"/>
  </cols>
  <sheetData>
    <row r="1" spans="1:18" ht="20.100000000000001" customHeight="1" x14ac:dyDescent="0.35">
      <c r="A1" s="198" t="s">
        <v>0</v>
      </c>
      <c r="B1" s="198"/>
      <c r="C1" s="198"/>
      <c r="D1" s="4" t="e">
        <f>#REF!</f>
        <v>#REF!</v>
      </c>
    </row>
    <row r="2" spans="1:18" ht="18" customHeight="1" x14ac:dyDescent="0.3">
      <c r="A2" s="199" t="s">
        <v>1</v>
      </c>
      <c r="B2" s="199"/>
      <c r="C2" s="199"/>
      <c r="D2" s="3" t="e">
        <f>#REF!</f>
        <v>#REF!</v>
      </c>
      <c r="H2" s="1" t="s">
        <v>2</v>
      </c>
      <c r="I2" s="177" t="e">
        <f>#REF!</f>
        <v>#REF!</v>
      </c>
      <c r="J2" s="2"/>
    </row>
    <row r="3" spans="1:18" ht="23.25" x14ac:dyDescent="0.35">
      <c r="A3" s="204" t="e">
        <f>#REF!</f>
        <v>#REF!</v>
      </c>
      <c r="B3" s="204"/>
      <c r="C3" s="204"/>
      <c r="D3" s="204"/>
      <c r="E3" s="204"/>
      <c r="F3" s="204"/>
      <c r="G3" s="204"/>
      <c r="H3" s="204"/>
      <c r="I3" s="204"/>
      <c r="J3" s="130"/>
      <c r="K3" s="130"/>
      <c r="P3" t="s">
        <v>263</v>
      </c>
    </row>
    <row r="4" spans="1:18" ht="23.25" x14ac:dyDescent="0.35">
      <c r="A4" s="201" t="s">
        <v>3</v>
      </c>
      <c r="B4" s="202"/>
      <c r="C4" s="202"/>
      <c r="D4" s="202"/>
      <c r="E4" s="202"/>
      <c r="F4" s="202"/>
      <c r="G4" s="202"/>
      <c r="H4" s="202"/>
      <c r="I4" s="202"/>
      <c r="J4" s="88"/>
      <c r="K4" s="57"/>
      <c r="O4" t="s">
        <v>266</v>
      </c>
      <c r="P4">
        <f>SUMIFS(F9:F28,J9:J28,"mélèze",E9:E28,"&lt;9")</f>
        <v>0</v>
      </c>
      <c r="Q4" t="str">
        <f>IF($P$4:$P$12&gt;0,ROW()-3,"")</f>
        <v/>
      </c>
      <c r="R4" t="e">
        <f>SMALL(IFERROR(Q4,"")*Q4:Q12,Q4:Q12)</f>
        <v>#VALUE!</v>
      </c>
    </row>
    <row r="5" spans="1:18" ht="23.25" x14ac:dyDescent="0.35">
      <c r="A5" s="101"/>
      <c r="B5" s="57"/>
      <c r="C5" s="57"/>
      <c r="D5" s="57"/>
      <c r="E5" s="57"/>
      <c r="F5" s="57"/>
      <c r="G5" s="57"/>
      <c r="H5" s="57"/>
      <c r="I5" s="57"/>
      <c r="O5" t="s">
        <v>267</v>
      </c>
      <c r="P5">
        <f>SUMIFS(F9:F28,J9:J28,"mélèze",E9:E28,"&gt;9")</f>
        <v>0</v>
      </c>
      <c r="Q5" t="str">
        <f t="shared" ref="Q5:Q12" si="0">IF($P$4:$P$12&gt;0,ROW()-3,"")</f>
        <v/>
      </c>
      <c r="R5" t="e">
        <f>SMALL(Q4:Q12,Q4:Q12)</f>
        <v>#VALUE!</v>
      </c>
    </row>
    <row r="6" spans="1:18" ht="15.75" x14ac:dyDescent="0.25">
      <c r="A6" s="5" t="s">
        <v>4</v>
      </c>
      <c r="B6" s="210" t="s">
        <v>5</v>
      </c>
      <c r="C6" s="210"/>
      <c r="D6" s="5" t="s">
        <v>34</v>
      </c>
      <c r="E6" s="5" t="s">
        <v>12</v>
      </c>
      <c r="F6" s="185" t="s">
        <v>19</v>
      </c>
      <c r="G6" s="5" t="s">
        <v>10</v>
      </c>
      <c r="H6" s="5" t="s">
        <v>11</v>
      </c>
      <c r="I6" s="5" t="s">
        <v>24</v>
      </c>
      <c r="O6" t="s">
        <v>268</v>
      </c>
      <c r="P6">
        <f>SUMIFS(F9:F28,J9:J28,"épicéa",E9:E28,"&lt;9")</f>
        <v>0.3024</v>
      </c>
      <c r="Q6">
        <f t="shared" si="0"/>
        <v>3</v>
      </c>
      <c r="R6">
        <f>SMALL(Q4:Q12,Q4:Q12)</f>
        <v>5</v>
      </c>
    </row>
    <row r="7" spans="1:18" ht="15.75" x14ac:dyDescent="0.25">
      <c r="A7" s="213" t="s">
        <v>241</v>
      </c>
      <c r="B7" s="214"/>
      <c r="C7" s="214"/>
      <c r="D7" s="214"/>
      <c r="E7" s="214"/>
      <c r="F7" s="214"/>
      <c r="G7" s="214"/>
      <c r="H7" s="214"/>
      <c r="I7" s="215"/>
      <c r="O7" t="s">
        <v>269</v>
      </c>
      <c r="P7">
        <f>SUMIFS(F9:F28,J9:J28,"épicéa",E9:E28,"&gt;9")</f>
        <v>0.216</v>
      </c>
      <c r="Q7">
        <f t="shared" si="0"/>
        <v>4</v>
      </c>
      <c r="R7">
        <f>SMALL(Q4:Q12,Q4:Q12)</f>
        <v>6</v>
      </c>
    </row>
    <row r="8" spans="1:18" x14ac:dyDescent="0.25">
      <c r="A8" s="7"/>
      <c r="B8" s="7"/>
      <c r="C8" s="7"/>
      <c r="D8" s="7"/>
      <c r="E8" s="7"/>
      <c r="F8" s="120">
        <f t="shared" ref="F8:F18" si="1">D8*E8*B8*C8/10000</f>
        <v>0</v>
      </c>
      <c r="G8" s="128">
        <f>D8*E8</f>
        <v>0</v>
      </c>
      <c r="H8" s="128">
        <f>3*D8*E8</f>
        <v>0</v>
      </c>
      <c r="I8" s="128">
        <f>2*D8*E8</f>
        <v>0</v>
      </c>
      <c r="O8" t="s">
        <v>270</v>
      </c>
      <c r="P8">
        <f>SUMIFS(F9:F28,J9:J28,"sapin",E9:E28,"&lt;9")</f>
        <v>0.32</v>
      </c>
      <c r="Q8">
        <f t="shared" si="0"/>
        <v>5</v>
      </c>
      <c r="R8">
        <f>SMALL(Q4:Q12,Q4:Q12)</f>
        <v>7</v>
      </c>
    </row>
    <row r="9" spans="1:18" x14ac:dyDescent="0.25">
      <c r="A9" s="6" t="s">
        <v>158</v>
      </c>
      <c r="B9" s="80">
        <v>12</v>
      </c>
      <c r="C9" s="80">
        <v>25</v>
      </c>
      <c r="D9" s="80">
        <v>0</v>
      </c>
      <c r="E9" s="80">
        <v>8</v>
      </c>
      <c r="F9" s="9">
        <f t="shared" si="1"/>
        <v>0</v>
      </c>
      <c r="G9" s="39">
        <f>D9*E9</f>
        <v>0</v>
      </c>
      <c r="H9" s="96"/>
      <c r="I9" s="96"/>
      <c r="J9" t="s">
        <v>19</v>
      </c>
      <c r="O9" t="s">
        <v>271</v>
      </c>
      <c r="P9">
        <f>SUMIFS(F9:F28,J9:J28,"sapin",E9:E28,"&gt;9")</f>
        <v>3.6</v>
      </c>
      <c r="Q9">
        <f t="shared" si="0"/>
        <v>6</v>
      </c>
      <c r="R9">
        <f>SMALL(Q4:Q12,Q4:Q12)</f>
        <v>8</v>
      </c>
    </row>
    <row r="10" spans="1:18" x14ac:dyDescent="0.25">
      <c r="A10" s="6" t="s">
        <v>158</v>
      </c>
      <c r="B10" s="80">
        <v>12</v>
      </c>
      <c r="C10" s="80">
        <v>25</v>
      </c>
      <c r="D10" s="80">
        <v>0</v>
      </c>
      <c r="E10" s="80">
        <v>10</v>
      </c>
      <c r="F10" s="9">
        <f t="shared" si="1"/>
        <v>0</v>
      </c>
      <c r="G10" s="39">
        <f>D10*E10</f>
        <v>0</v>
      </c>
      <c r="H10" s="96"/>
      <c r="I10" s="96"/>
      <c r="J10" t="s">
        <v>19</v>
      </c>
      <c r="O10" t="s">
        <v>21</v>
      </c>
      <c r="P10">
        <f>SUMIF(J9:J28,"LC épicéa Simonin",F9:F28)</f>
        <v>7.2</v>
      </c>
      <c r="Q10">
        <f t="shared" si="0"/>
        <v>7</v>
      </c>
      <c r="R10">
        <f>SMALL(Q4:Q12,Q4:Q12)</f>
        <v>9</v>
      </c>
    </row>
    <row r="11" spans="1:18" x14ac:dyDescent="0.25">
      <c r="A11" s="6" t="s">
        <v>158</v>
      </c>
      <c r="B11" s="80">
        <v>12</v>
      </c>
      <c r="C11" s="80">
        <v>12</v>
      </c>
      <c r="D11" s="80">
        <v>3</v>
      </c>
      <c r="E11" s="80">
        <v>7</v>
      </c>
      <c r="F11" s="9">
        <f t="shared" si="1"/>
        <v>0.3024</v>
      </c>
      <c r="G11" s="39">
        <f t="shared" ref="G11:G28" si="2">D11*E11</f>
        <v>21</v>
      </c>
      <c r="H11" s="96"/>
      <c r="I11" s="96"/>
      <c r="J11" t="s">
        <v>20</v>
      </c>
      <c r="O11" t="s">
        <v>22</v>
      </c>
      <c r="P11">
        <f>SUMIF(J9:J28,"CC épicéa",F9:F28)</f>
        <v>5.3125</v>
      </c>
      <c r="Q11">
        <f t="shared" si="0"/>
        <v>8</v>
      </c>
      <c r="R11" t="e">
        <f>SMALL(Q4:Q12,Q4:Q12)</f>
        <v>#NUM!</v>
      </c>
    </row>
    <row r="12" spans="1:18" x14ac:dyDescent="0.25">
      <c r="A12" s="6" t="s">
        <v>158</v>
      </c>
      <c r="B12" s="80">
        <v>12</v>
      </c>
      <c r="C12" s="80">
        <v>12</v>
      </c>
      <c r="D12" s="80">
        <v>1</v>
      </c>
      <c r="E12" s="80">
        <v>15</v>
      </c>
      <c r="F12" s="9">
        <f t="shared" si="1"/>
        <v>0.216</v>
      </c>
      <c r="G12" s="39">
        <f t="shared" si="2"/>
        <v>15</v>
      </c>
      <c r="H12" s="96"/>
      <c r="I12" s="96"/>
      <c r="J12" t="s">
        <v>20</v>
      </c>
      <c r="O12" t="s">
        <v>23</v>
      </c>
      <c r="P12">
        <f>SUMIF(J9:J28,"CC mélèze",F9:F28)</f>
        <v>5.625</v>
      </c>
      <c r="Q12">
        <f t="shared" si="0"/>
        <v>9</v>
      </c>
      <c r="R12" t="e">
        <f>SMALL(Q4:Q12,Q4:Q12)</f>
        <v>#NUM!</v>
      </c>
    </row>
    <row r="13" spans="1:18" x14ac:dyDescent="0.25">
      <c r="A13" s="6" t="s">
        <v>159</v>
      </c>
      <c r="B13" s="80">
        <v>20</v>
      </c>
      <c r="C13" s="80">
        <v>20</v>
      </c>
      <c r="D13" s="80">
        <v>1</v>
      </c>
      <c r="E13" s="80">
        <v>8</v>
      </c>
      <c r="F13" s="9">
        <f t="shared" si="1"/>
        <v>0.32</v>
      </c>
      <c r="G13" s="39">
        <f t="shared" si="2"/>
        <v>8</v>
      </c>
      <c r="H13" s="96"/>
      <c r="I13" s="96"/>
      <c r="J13" t="s">
        <v>265</v>
      </c>
    </row>
    <row r="14" spans="1:18" x14ac:dyDescent="0.25">
      <c r="A14" s="6" t="s">
        <v>159</v>
      </c>
      <c r="B14" s="80">
        <v>20</v>
      </c>
      <c r="C14" s="80">
        <v>20</v>
      </c>
      <c r="D14" s="80">
        <v>5</v>
      </c>
      <c r="E14" s="80">
        <v>18</v>
      </c>
      <c r="F14" s="9">
        <f t="shared" si="1"/>
        <v>3.6</v>
      </c>
      <c r="G14" s="39">
        <f t="shared" si="2"/>
        <v>90</v>
      </c>
      <c r="H14" s="96"/>
      <c r="I14" s="96"/>
      <c r="J14" t="s">
        <v>265</v>
      </c>
    </row>
    <row r="15" spans="1:18" x14ac:dyDescent="0.25">
      <c r="A15" s="6" t="s">
        <v>159</v>
      </c>
      <c r="B15" s="80">
        <v>20</v>
      </c>
      <c r="C15" s="80">
        <v>20</v>
      </c>
      <c r="D15" s="80">
        <v>12</v>
      </c>
      <c r="E15" s="80">
        <v>15</v>
      </c>
      <c r="F15" s="9">
        <f t="shared" si="1"/>
        <v>7.2</v>
      </c>
      <c r="G15" s="39">
        <f t="shared" si="2"/>
        <v>180</v>
      </c>
      <c r="H15" s="96"/>
      <c r="I15" s="96"/>
      <c r="J15" t="s">
        <v>21</v>
      </c>
    </row>
    <row r="16" spans="1:18" x14ac:dyDescent="0.25">
      <c r="A16" s="6" t="s">
        <v>160</v>
      </c>
      <c r="B16" s="80">
        <v>25</v>
      </c>
      <c r="C16" s="80">
        <v>25</v>
      </c>
      <c r="D16" s="80">
        <v>17</v>
      </c>
      <c r="E16" s="80">
        <v>5</v>
      </c>
      <c r="F16" s="9">
        <f t="shared" si="1"/>
        <v>5.3125</v>
      </c>
      <c r="G16" s="39">
        <f t="shared" si="2"/>
        <v>85</v>
      </c>
      <c r="H16" s="96"/>
      <c r="I16" s="96"/>
      <c r="J16" t="s">
        <v>22</v>
      </c>
    </row>
    <row r="17" spans="1:10" x14ac:dyDescent="0.25">
      <c r="A17" s="6" t="s">
        <v>160</v>
      </c>
      <c r="B17" s="80">
        <v>25</v>
      </c>
      <c r="C17" s="80">
        <v>25</v>
      </c>
      <c r="D17" s="80">
        <v>5</v>
      </c>
      <c r="E17" s="80">
        <v>18</v>
      </c>
      <c r="F17" s="9">
        <f t="shared" si="1"/>
        <v>5.625</v>
      </c>
      <c r="G17" s="39">
        <f t="shared" si="2"/>
        <v>90</v>
      </c>
      <c r="H17" s="96"/>
      <c r="I17" s="96"/>
      <c r="J17" t="s">
        <v>23</v>
      </c>
    </row>
    <row r="18" spans="1:10" x14ac:dyDescent="0.25">
      <c r="A18" s="6" t="s">
        <v>160</v>
      </c>
      <c r="B18" s="80">
        <v>25</v>
      </c>
      <c r="C18" s="80">
        <v>25</v>
      </c>
      <c r="D18" s="80"/>
      <c r="E18" s="80"/>
      <c r="F18" s="9">
        <f t="shared" si="1"/>
        <v>0</v>
      </c>
      <c r="G18" s="39">
        <f t="shared" si="2"/>
        <v>0</v>
      </c>
      <c r="H18" s="96"/>
      <c r="I18" s="96"/>
    </row>
    <row r="19" spans="1:10" x14ac:dyDescent="0.25">
      <c r="A19" s="6" t="s">
        <v>160</v>
      </c>
      <c r="B19" s="80">
        <v>25</v>
      </c>
      <c r="C19" s="80">
        <v>25</v>
      </c>
      <c r="D19" s="80"/>
      <c r="E19" s="80"/>
      <c r="F19" s="9">
        <f>D19*E19*B19*C19/10000</f>
        <v>0</v>
      </c>
      <c r="G19" s="39">
        <f t="shared" si="2"/>
        <v>0</v>
      </c>
      <c r="H19" s="96"/>
      <c r="I19" s="96"/>
    </row>
    <row r="20" spans="1:10" x14ac:dyDescent="0.25">
      <c r="A20" s="6" t="s">
        <v>160</v>
      </c>
      <c r="B20" s="80">
        <v>25</v>
      </c>
      <c r="C20" s="80">
        <v>25</v>
      </c>
      <c r="D20" s="80"/>
      <c r="E20" s="80"/>
      <c r="F20" s="9">
        <f>D20*E20*B20*C20/10000</f>
        <v>0</v>
      </c>
      <c r="G20" s="39">
        <f t="shared" si="2"/>
        <v>0</v>
      </c>
      <c r="H20" s="96"/>
      <c r="I20" s="96"/>
    </row>
    <row r="21" spans="1:10" x14ac:dyDescent="0.25">
      <c r="A21" s="6" t="s">
        <v>160</v>
      </c>
      <c r="B21" s="80">
        <v>25</v>
      </c>
      <c r="C21" s="80">
        <v>25</v>
      </c>
      <c r="D21" s="80"/>
      <c r="E21" s="80"/>
      <c r="F21" s="9">
        <f t="shared" ref="F21:F28" si="3">D21*E21*B21*C21/10000</f>
        <v>0</v>
      </c>
      <c r="G21" s="39">
        <f t="shared" si="2"/>
        <v>0</v>
      </c>
      <c r="H21" s="96"/>
      <c r="I21" s="96"/>
    </row>
    <row r="22" spans="1:10" x14ac:dyDescent="0.25">
      <c r="A22" s="6" t="s">
        <v>160</v>
      </c>
      <c r="B22" s="80">
        <v>25</v>
      </c>
      <c r="C22" s="80">
        <v>25</v>
      </c>
      <c r="D22" s="80"/>
      <c r="E22" s="80"/>
      <c r="F22" s="9">
        <f t="shared" si="3"/>
        <v>0</v>
      </c>
      <c r="G22" s="39">
        <f t="shared" si="2"/>
        <v>0</v>
      </c>
      <c r="H22" s="96"/>
      <c r="I22" s="96"/>
    </row>
    <row r="23" spans="1:10" x14ac:dyDescent="0.25">
      <c r="A23" s="6" t="s">
        <v>161</v>
      </c>
      <c r="B23" s="80">
        <v>5</v>
      </c>
      <c r="C23" s="80">
        <v>25</v>
      </c>
      <c r="D23" s="80"/>
      <c r="E23" s="80"/>
      <c r="F23" s="9">
        <f t="shared" si="3"/>
        <v>0</v>
      </c>
      <c r="G23" s="39">
        <f t="shared" si="2"/>
        <v>0</v>
      </c>
      <c r="H23" s="96"/>
      <c r="I23" s="96"/>
    </row>
    <row r="24" spans="1:10" x14ac:dyDescent="0.25">
      <c r="A24" s="6" t="s">
        <v>161</v>
      </c>
      <c r="B24" s="80">
        <v>5</v>
      </c>
      <c r="C24" s="80">
        <v>25</v>
      </c>
      <c r="D24" s="80"/>
      <c r="E24" s="80"/>
      <c r="F24" s="9">
        <f t="shared" si="3"/>
        <v>0</v>
      </c>
      <c r="G24" s="39">
        <f t="shared" si="2"/>
        <v>0</v>
      </c>
      <c r="H24" s="96"/>
      <c r="I24" s="96"/>
    </row>
    <row r="25" spans="1:10" x14ac:dyDescent="0.25">
      <c r="A25" s="6" t="s">
        <v>161</v>
      </c>
      <c r="B25" s="80">
        <v>5</v>
      </c>
      <c r="C25" s="80">
        <v>25</v>
      </c>
      <c r="D25" s="80"/>
      <c r="E25" s="80"/>
      <c r="F25" s="9">
        <f t="shared" si="3"/>
        <v>0</v>
      </c>
      <c r="G25" s="39">
        <f t="shared" si="2"/>
        <v>0</v>
      </c>
      <c r="H25" s="96"/>
      <c r="I25" s="96"/>
    </row>
    <row r="26" spans="1:10" x14ac:dyDescent="0.25">
      <c r="A26" s="6" t="s">
        <v>161</v>
      </c>
      <c r="B26" s="80">
        <v>5</v>
      </c>
      <c r="C26" s="80">
        <v>25</v>
      </c>
      <c r="D26" s="80"/>
      <c r="E26" s="80"/>
      <c r="F26" s="9">
        <f t="shared" si="3"/>
        <v>0</v>
      </c>
      <c r="G26" s="39">
        <f t="shared" si="2"/>
        <v>0</v>
      </c>
      <c r="H26" s="96"/>
      <c r="I26" s="96"/>
    </row>
    <row r="27" spans="1:10" x14ac:dyDescent="0.25">
      <c r="A27" s="6" t="s">
        <v>122</v>
      </c>
      <c r="B27" s="80">
        <v>17.5</v>
      </c>
      <c r="C27" s="80">
        <v>20</v>
      </c>
      <c r="D27" s="119"/>
      <c r="E27" s="80"/>
      <c r="F27" s="9">
        <f t="shared" si="3"/>
        <v>0</v>
      </c>
      <c r="G27" s="39">
        <f t="shared" si="2"/>
        <v>0</v>
      </c>
      <c r="H27" s="96"/>
      <c r="I27" s="96"/>
    </row>
    <row r="28" spans="1:10" x14ac:dyDescent="0.25">
      <c r="A28" s="6"/>
      <c r="B28" s="80"/>
      <c r="C28" s="80"/>
      <c r="D28" s="80"/>
      <c r="E28" s="80"/>
      <c r="F28" s="9">
        <f t="shared" si="3"/>
        <v>0</v>
      </c>
      <c r="G28" s="39">
        <f t="shared" si="2"/>
        <v>0</v>
      </c>
      <c r="H28" s="96"/>
      <c r="I28" s="96"/>
    </row>
    <row r="29" spans="1:10" x14ac:dyDescent="0.25">
      <c r="D29" s="89">
        <f>SUM(D8:D28)</f>
        <v>44</v>
      </c>
      <c r="E29" s="10" t="s">
        <v>17</v>
      </c>
      <c r="F29" s="12">
        <f>SUM(F8:F28)</f>
        <v>22.575900000000001</v>
      </c>
      <c r="G29" s="37">
        <f>SUM(G8:G28)</f>
        <v>489</v>
      </c>
      <c r="H29" s="37">
        <f>SUM(H8:H28)</f>
        <v>0</v>
      </c>
      <c r="I29" s="37">
        <f>SUM(I8:I28)</f>
        <v>0</v>
      </c>
    </row>
    <row r="30" spans="1:10" x14ac:dyDescent="0.25">
      <c r="D30" s="145"/>
      <c r="E30" s="10"/>
      <c r="F30" s="114"/>
      <c r="G30" s="113"/>
      <c r="H30" s="113"/>
      <c r="I30" s="113"/>
    </row>
    <row r="31" spans="1:10" ht="16.5" customHeight="1" x14ac:dyDescent="0.25">
      <c r="A31" s="5" t="s">
        <v>4</v>
      </c>
      <c r="B31" s="210" t="s">
        <v>5</v>
      </c>
      <c r="C31" s="210"/>
      <c r="D31" s="5" t="s">
        <v>34</v>
      </c>
      <c r="E31" s="5" t="s">
        <v>12</v>
      </c>
      <c r="F31" s="185" t="s">
        <v>20</v>
      </c>
      <c r="G31" s="5" t="s">
        <v>10</v>
      </c>
      <c r="H31" s="5" t="s">
        <v>11</v>
      </c>
      <c r="I31" s="5" t="s">
        <v>24</v>
      </c>
    </row>
    <row r="32" spans="1:10" ht="15.75" x14ac:dyDescent="0.25">
      <c r="A32" s="216" t="s">
        <v>242</v>
      </c>
      <c r="B32" s="217"/>
      <c r="C32" s="217"/>
      <c r="D32" s="217"/>
      <c r="E32" s="217"/>
      <c r="F32" s="217"/>
      <c r="G32" s="217"/>
      <c r="H32" s="217"/>
      <c r="I32" s="218"/>
    </row>
    <row r="33" spans="1:9" x14ac:dyDescent="0.25">
      <c r="A33" s="7"/>
      <c r="B33" s="7"/>
      <c r="C33" s="7"/>
      <c r="D33" s="7"/>
      <c r="E33" s="7"/>
      <c r="F33" s="120">
        <f t="shared" ref="F33:F58" si="4">D33*E33*B33*C33/10000</f>
        <v>0</v>
      </c>
      <c r="G33" s="128">
        <f>D33*E33</f>
        <v>0</v>
      </c>
      <c r="H33" s="128">
        <f>3*D33*E33</f>
        <v>0</v>
      </c>
      <c r="I33" s="128">
        <f>2*D33*E33</f>
        <v>0</v>
      </c>
    </row>
    <row r="34" spans="1:9" x14ac:dyDescent="0.25">
      <c r="A34" s="6" t="s">
        <v>155</v>
      </c>
      <c r="B34" s="80">
        <v>12</v>
      </c>
      <c r="C34" s="80">
        <v>25</v>
      </c>
      <c r="D34" s="80"/>
      <c r="E34" s="80"/>
      <c r="F34" s="9">
        <f t="shared" si="4"/>
        <v>0</v>
      </c>
      <c r="G34" s="39">
        <f>D34*E34</f>
        <v>0</v>
      </c>
      <c r="H34" s="96"/>
      <c r="I34" s="96"/>
    </row>
    <row r="35" spans="1:9" x14ac:dyDescent="0.25">
      <c r="A35" s="6" t="s">
        <v>155</v>
      </c>
      <c r="B35" s="80">
        <v>12</v>
      </c>
      <c r="C35" s="80">
        <v>25</v>
      </c>
      <c r="D35" s="80"/>
      <c r="E35" s="80"/>
      <c r="F35" s="9">
        <f t="shared" si="4"/>
        <v>0</v>
      </c>
      <c r="G35" s="39">
        <f t="shared" ref="G35:G58" si="5">D35*E35</f>
        <v>0</v>
      </c>
      <c r="H35" s="96"/>
      <c r="I35" s="96"/>
    </row>
    <row r="36" spans="1:9" x14ac:dyDescent="0.25">
      <c r="A36" s="6" t="s">
        <v>162</v>
      </c>
      <c r="B36" s="80">
        <v>2.7</v>
      </c>
      <c r="C36" s="80">
        <v>10</v>
      </c>
      <c r="D36" s="80"/>
      <c r="E36" s="80"/>
      <c r="F36" s="9">
        <f t="shared" si="4"/>
        <v>0</v>
      </c>
      <c r="G36" s="39">
        <f t="shared" si="5"/>
        <v>0</v>
      </c>
      <c r="H36" s="96"/>
      <c r="I36" s="96"/>
    </row>
    <row r="37" spans="1:9" x14ac:dyDescent="0.25">
      <c r="A37" s="6" t="s">
        <v>156</v>
      </c>
      <c r="B37" s="80">
        <v>12</v>
      </c>
      <c r="C37" s="80">
        <v>20</v>
      </c>
      <c r="D37" s="80"/>
      <c r="E37" s="80"/>
      <c r="F37" s="9">
        <f t="shared" si="4"/>
        <v>0</v>
      </c>
      <c r="G37" s="39">
        <f t="shared" si="5"/>
        <v>0</v>
      </c>
      <c r="H37" s="96"/>
      <c r="I37" s="96"/>
    </row>
    <row r="38" spans="1:9" x14ac:dyDescent="0.25">
      <c r="A38" s="6" t="s">
        <v>156</v>
      </c>
      <c r="B38" s="80">
        <v>12</v>
      </c>
      <c r="C38" s="80">
        <v>20</v>
      </c>
      <c r="D38" s="80"/>
      <c r="E38" s="80"/>
      <c r="F38" s="9">
        <f t="shared" si="4"/>
        <v>0</v>
      </c>
      <c r="G38" s="39">
        <f t="shared" si="5"/>
        <v>0</v>
      </c>
      <c r="H38" s="96"/>
      <c r="I38" s="96"/>
    </row>
    <row r="39" spans="1:9" x14ac:dyDescent="0.25">
      <c r="A39" s="6" t="s">
        <v>156</v>
      </c>
      <c r="B39" s="80">
        <v>12</v>
      </c>
      <c r="C39" s="80">
        <v>20</v>
      </c>
      <c r="D39" s="80"/>
      <c r="E39" s="80"/>
      <c r="F39" s="9">
        <f t="shared" si="4"/>
        <v>0</v>
      </c>
      <c r="G39" s="39">
        <f t="shared" si="5"/>
        <v>0</v>
      </c>
      <c r="H39" s="96"/>
      <c r="I39" s="96"/>
    </row>
    <row r="40" spans="1:9" x14ac:dyDescent="0.25">
      <c r="A40" s="6" t="s">
        <v>156</v>
      </c>
      <c r="B40" s="80">
        <v>12</v>
      </c>
      <c r="C40" s="80">
        <v>20</v>
      </c>
      <c r="D40" s="80"/>
      <c r="E40" s="80"/>
      <c r="F40" s="9">
        <f t="shared" si="4"/>
        <v>0</v>
      </c>
      <c r="G40" s="39">
        <f t="shared" si="5"/>
        <v>0</v>
      </c>
      <c r="H40" s="96"/>
      <c r="I40" s="96"/>
    </row>
    <row r="41" spans="1:9" x14ac:dyDescent="0.25">
      <c r="A41" s="6" t="s">
        <v>156</v>
      </c>
      <c r="B41" s="80">
        <v>12</v>
      </c>
      <c r="C41" s="80">
        <v>20</v>
      </c>
      <c r="D41" s="80"/>
      <c r="E41" s="80"/>
      <c r="F41" s="9">
        <f t="shared" si="4"/>
        <v>0</v>
      </c>
      <c r="G41" s="39">
        <f t="shared" si="5"/>
        <v>0</v>
      </c>
      <c r="H41" s="96"/>
      <c r="I41" s="96"/>
    </row>
    <row r="42" spans="1:9" x14ac:dyDescent="0.25">
      <c r="A42" s="6" t="s">
        <v>156</v>
      </c>
      <c r="B42" s="80">
        <v>12</v>
      </c>
      <c r="C42" s="80">
        <v>20</v>
      </c>
      <c r="D42" s="80"/>
      <c r="E42" s="80"/>
      <c r="F42" s="9">
        <f t="shared" si="4"/>
        <v>0</v>
      </c>
      <c r="G42" s="39">
        <f t="shared" si="5"/>
        <v>0</v>
      </c>
      <c r="H42" s="96"/>
      <c r="I42" s="96"/>
    </row>
    <row r="43" spans="1:9" x14ac:dyDescent="0.25">
      <c r="A43" s="6" t="s">
        <v>163</v>
      </c>
      <c r="B43" s="80">
        <v>20</v>
      </c>
      <c r="C43" s="80">
        <v>25</v>
      </c>
      <c r="D43" s="80"/>
      <c r="E43" s="80"/>
      <c r="F43" s="9">
        <f t="shared" si="4"/>
        <v>0</v>
      </c>
      <c r="G43" s="39">
        <f t="shared" si="5"/>
        <v>0</v>
      </c>
      <c r="H43" s="96"/>
      <c r="I43" s="96"/>
    </row>
    <row r="44" spans="1:9" x14ac:dyDescent="0.25">
      <c r="A44" s="6" t="s">
        <v>163</v>
      </c>
      <c r="B44" s="80">
        <v>20</v>
      </c>
      <c r="C44" s="80">
        <v>25</v>
      </c>
      <c r="D44" s="80"/>
      <c r="E44" s="80"/>
      <c r="F44" s="9">
        <f t="shared" si="4"/>
        <v>0</v>
      </c>
      <c r="G44" s="39">
        <f t="shared" si="5"/>
        <v>0</v>
      </c>
      <c r="H44" s="96"/>
      <c r="I44" s="96"/>
    </row>
    <row r="45" spans="1:9" x14ac:dyDescent="0.25">
      <c r="A45" s="6" t="s">
        <v>163</v>
      </c>
      <c r="B45" s="80">
        <v>20</v>
      </c>
      <c r="C45" s="80">
        <v>25</v>
      </c>
      <c r="D45" s="80"/>
      <c r="E45" s="80"/>
      <c r="F45" s="9">
        <f t="shared" si="4"/>
        <v>0</v>
      </c>
      <c r="G45" s="39">
        <f t="shared" si="5"/>
        <v>0</v>
      </c>
      <c r="H45" s="96"/>
      <c r="I45" s="96"/>
    </row>
    <row r="46" spans="1:9" x14ac:dyDescent="0.25">
      <c r="A46" s="6" t="s">
        <v>164</v>
      </c>
      <c r="B46" s="80">
        <v>12</v>
      </c>
      <c r="C46" s="80">
        <v>15</v>
      </c>
      <c r="D46" s="119"/>
      <c r="E46" s="80"/>
      <c r="F46" s="9">
        <f t="shared" si="4"/>
        <v>0</v>
      </c>
      <c r="G46" s="39">
        <f t="shared" si="5"/>
        <v>0</v>
      </c>
      <c r="H46" s="96"/>
      <c r="I46" s="96"/>
    </row>
    <row r="47" spans="1:9" x14ac:dyDescent="0.25">
      <c r="A47" s="6" t="s">
        <v>164</v>
      </c>
      <c r="B47" s="80">
        <v>12</v>
      </c>
      <c r="C47" s="80">
        <v>15</v>
      </c>
      <c r="D47" s="119"/>
      <c r="E47" s="80"/>
      <c r="F47" s="9">
        <f t="shared" si="4"/>
        <v>0</v>
      </c>
      <c r="G47" s="39">
        <f t="shared" si="5"/>
        <v>0</v>
      </c>
      <c r="H47" s="96"/>
      <c r="I47" s="96"/>
    </row>
    <row r="48" spans="1:9" x14ac:dyDescent="0.25">
      <c r="A48" s="6" t="s">
        <v>164</v>
      </c>
      <c r="B48" s="80">
        <v>12</v>
      </c>
      <c r="C48" s="80">
        <v>15</v>
      </c>
      <c r="D48" s="119"/>
      <c r="E48" s="80"/>
      <c r="F48" s="9">
        <f t="shared" si="4"/>
        <v>0</v>
      </c>
      <c r="G48" s="39">
        <f t="shared" si="5"/>
        <v>0</v>
      </c>
      <c r="H48" s="96"/>
      <c r="I48" s="96"/>
    </row>
    <row r="49" spans="1:9" x14ac:dyDescent="0.25">
      <c r="A49" s="6" t="s">
        <v>164</v>
      </c>
      <c r="B49" s="80">
        <v>12</v>
      </c>
      <c r="C49" s="80">
        <v>15</v>
      </c>
      <c r="D49" s="119"/>
      <c r="E49" s="80"/>
      <c r="F49" s="9">
        <f t="shared" si="4"/>
        <v>0</v>
      </c>
      <c r="G49" s="39">
        <f t="shared" si="5"/>
        <v>0</v>
      </c>
      <c r="H49" s="96"/>
      <c r="I49" s="96"/>
    </row>
    <row r="50" spans="1:9" x14ac:dyDescent="0.25">
      <c r="A50" s="6" t="s">
        <v>122</v>
      </c>
      <c r="B50" s="80">
        <v>17.5</v>
      </c>
      <c r="C50" s="80">
        <v>20</v>
      </c>
      <c r="D50" s="119"/>
      <c r="E50" s="80"/>
      <c r="F50" s="9">
        <f t="shared" si="4"/>
        <v>0</v>
      </c>
      <c r="G50" s="39">
        <f t="shared" si="5"/>
        <v>0</v>
      </c>
      <c r="H50" s="96"/>
      <c r="I50" s="96"/>
    </row>
    <row r="51" spans="1:9" x14ac:dyDescent="0.25">
      <c r="A51" s="6" t="s">
        <v>157</v>
      </c>
      <c r="B51" s="80">
        <v>20</v>
      </c>
      <c r="C51" s="80">
        <v>20</v>
      </c>
      <c r="D51" s="80"/>
      <c r="E51" s="80"/>
      <c r="F51" s="9">
        <f t="shared" si="4"/>
        <v>0</v>
      </c>
      <c r="G51" s="39">
        <f t="shared" si="5"/>
        <v>0</v>
      </c>
      <c r="H51" s="96"/>
      <c r="I51" s="96"/>
    </row>
    <row r="52" spans="1:9" x14ac:dyDescent="0.25">
      <c r="A52" s="6" t="s">
        <v>157</v>
      </c>
      <c r="B52" s="80">
        <v>20</v>
      </c>
      <c r="C52" s="80">
        <v>20</v>
      </c>
      <c r="D52" s="80"/>
      <c r="E52" s="80"/>
      <c r="F52" s="9">
        <f t="shared" si="4"/>
        <v>0</v>
      </c>
      <c r="G52" s="39">
        <f t="shared" si="5"/>
        <v>0</v>
      </c>
      <c r="H52" s="96"/>
      <c r="I52" s="96"/>
    </row>
    <row r="53" spans="1:9" x14ac:dyDescent="0.25">
      <c r="A53" s="6" t="s">
        <v>6</v>
      </c>
      <c r="B53" s="80">
        <v>15</v>
      </c>
      <c r="C53" s="80">
        <v>25</v>
      </c>
      <c r="D53" s="80"/>
      <c r="E53" s="80"/>
      <c r="F53" s="9">
        <f t="shared" si="4"/>
        <v>0</v>
      </c>
      <c r="G53" s="39">
        <f t="shared" si="5"/>
        <v>0</v>
      </c>
      <c r="H53" s="96"/>
      <c r="I53" s="96"/>
    </row>
    <row r="54" spans="1:9" x14ac:dyDescent="0.25">
      <c r="A54" s="6" t="s">
        <v>7</v>
      </c>
      <c r="B54" s="80">
        <v>12</v>
      </c>
      <c r="C54" s="80">
        <v>25</v>
      </c>
      <c r="D54" s="80"/>
      <c r="E54" s="80"/>
      <c r="F54" s="9">
        <f t="shared" si="4"/>
        <v>0</v>
      </c>
      <c r="G54" s="39">
        <f t="shared" si="5"/>
        <v>0</v>
      </c>
      <c r="H54" s="96"/>
      <c r="I54" s="96"/>
    </row>
    <row r="55" spans="1:9" x14ac:dyDescent="0.25">
      <c r="A55" s="6" t="s">
        <v>8</v>
      </c>
      <c r="B55" s="80">
        <v>20</v>
      </c>
      <c r="C55" s="80">
        <v>20</v>
      </c>
      <c r="D55" s="80"/>
      <c r="E55" s="80"/>
      <c r="F55" s="9">
        <f t="shared" si="4"/>
        <v>0</v>
      </c>
      <c r="G55" s="39">
        <f t="shared" si="5"/>
        <v>0</v>
      </c>
      <c r="H55" s="96"/>
      <c r="I55" s="96"/>
    </row>
    <row r="56" spans="1:9" x14ac:dyDescent="0.25">
      <c r="A56" s="6" t="s">
        <v>9</v>
      </c>
      <c r="B56" s="80">
        <v>15</v>
      </c>
      <c r="C56" s="80">
        <v>25</v>
      </c>
      <c r="D56" s="80"/>
      <c r="E56" s="80"/>
      <c r="F56" s="9">
        <f t="shared" si="4"/>
        <v>0</v>
      </c>
      <c r="G56" s="39">
        <f t="shared" si="5"/>
        <v>0</v>
      </c>
      <c r="H56" s="96"/>
      <c r="I56" s="96"/>
    </row>
    <row r="57" spans="1:9" x14ac:dyDescent="0.25">
      <c r="A57" s="6" t="s">
        <v>165</v>
      </c>
      <c r="B57" s="80">
        <v>12</v>
      </c>
      <c r="C57" s="80">
        <v>20</v>
      </c>
      <c r="D57" s="80"/>
      <c r="E57" s="80"/>
      <c r="F57" s="9">
        <f t="shared" si="4"/>
        <v>0</v>
      </c>
      <c r="G57" s="39">
        <f t="shared" si="5"/>
        <v>0</v>
      </c>
      <c r="H57" s="96"/>
      <c r="I57" s="96"/>
    </row>
    <row r="58" spans="1:9" x14ac:dyDescent="0.25">
      <c r="A58" s="6"/>
      <c r="B58" s="80"/>
      <c r="C58" s="80"/>
      <c r="D58" s="90"/>
      <c r="E58" s="80"/>
      <c r="F58" s="11">
        <f t="shared" si="4"/>
        <v>0</v>
      </c>
      <c r="G58" s="39">
        <f t="shared" si="5"/>
        <v>0</v>
      </c>
      <c r="H58" s="97"/>
      <c r="I58" s="97"/>
    </row>
    <row r="59" spans="1:9" x14ac:dyDescent="0.25">
      <c r="D59" s="89">
        <f>SUM(D33:D58)</f>
        <v>0</v>
      </c>
      <c r="E59" s="10" t="s">
        <v>17</v>
      </c>
      <c r="F59" s="13">
        <f>SUM(F33:F58)</f>
        <v>0</v>
      </c>
      <c r="G59" s="37">
        <f>SUM(G33:G58)</f>
        <v>0</v>
      </c>
      <c r="H59" s="37">
        <f>SUM(H33:H58)</f>
        <v>0</v>
      </c>
      <c r="I59" s="37">
        <f>SUM(I33:I58)</f>
        <v>0</v>
      </c>
    </row>
    <row r="60" spans="1:9" x14ac:dyDescent="0.25">
      <c r="D60" s="145"/>
      <c r="E60" s="10"/>
      <c r="F60" s="114"/>
      <c r="G60" s="113"/>
      <c r="H60" s="113"/>
      <c r="I60" s="113"/>
    </row>
    <row r="61" spans="1:9" ht="15.75" x14ac:dyDescent="0.25">
      <c r="A61" s="5" t="s">
        <v>4</v>
      </c>
      <c r="B61" s="210" t="s">
        <v>5</v>
      </c>
      <c r="C61" s="210"/>
      <c r="D61" s="5" t="s">
        <v>34</v>
      </c>
      <c r="E61" s="5" t="s">
        <v>12</v>
      </c>
      <c r="F61" s="8" t="s">
        <v>262</v>
      </c>
      <c r="G61" s="5" t="s">
        <v>10</v>
      </c>
    </row>
    <row r="62" spans="1:9" ht="15.75" x14ac:dyDescent="0.25">
      <c r="A62" s="207" t="s">
        <v>243</v>
      </c>
      <c r="B62" s="208"/>
      <c r="C62" s="208"/>
      <c r="D62" s="208"/>
      <c r="E62" s="208"/>
      <c r="F62" s="208"/>
      <c r="G62" s="209"/>
    </row>
    <row r="63" spans="1:9" x14ac:dyDescent="0.25">
      <c r="A63" s="7" t="s">
        <v>166</v>
      </c>
      <c r="B63" s="81">
        <v>8</v>
      </c>
      <c r="C63" s="81">
        <v>16</v>
      </c>
      <c r="D63" s="80"/>
      <c r="E63" s="80"/>
      <c r="F63" s="120">
        <f>D63*E63*B63*C63/10000</f>
        <v>0</v>
      </c>
      <c r="G63" s="121">
        <f>D63*E63</f>
        <v>0</v>
      </c>
    </row>
    <row r="64" spans="1:9" x14ac:dyDescent="0.25">
      <c r="A64" s="7" t="s">
        <v>166</v>
      </c>
      <c r="B64" s="81">
        <v>8</v>
      </c>
      <c r="C64" s="81">
        <v>16</v>
      </c>
      <c r="D64" s="80"/>
      <c r="E64" s="80"/>
      <c r="F64" s="9">
        <f>D64*E64*B64*C64/10000</f>
        <v>0</v>
      </c>
      <c r="G64" s="39">
        <f>D64*E64</f>
        <v>0</v>
      </c>
    </row>
    <row r="65" spans="1:9" x14ac:dyDescent="0.25">
      <c r="A65" s="7" t="s">
        <v>167</v>
      </c>
      <c r="B65" s="81">
        <v>8</v>
      </c>
      <c r="C65" s="81">
        <v>16</v>
      </c>
      <c r="D65" s="80"/>
      <c r="E65" s="80"/>
      <c r="F65" s="9">
        <f>D65*E65*B65*C65/10000</f>
        <v>0</v>
      </c>
      <c r="G65" s="39">
        <f>D65*E65</f>
        <v>0</v>
      </c>
    </row>
    <row r="66" spans="1:9" x14ac:dyDescent="0.25">
      <c r="A66" s="6" t="s">
        <v>168</v>
      </c>
      <c r="B66" s="80">
        <v>16</v>
      </c>
      <c r="C66" s="80">
        <v>25</v>
      </c>
      <c r="D66" s="80"/>
      <c r="E66" s="80"/>
      <c r="F66" s="120">
        <f>D66*E66*B66*C66/10000</f>
        <v>0</v>
      </c>
      <c r="G66" s="121">
        <f>D66*E66</f>
        <v>0</v>
      </c>
    </row>
    <row r="67" spans="1:9" x14ac:dyDescent="0.25">
      <c r="A67" s="6" t="s">
        <v>157</v>
      </c>
      <c r="B67" s="80">
        <v>16</v>
      </c>
      <c r="C67" s="80">
        <v>16</v>
      </c>
      <c r="D67" s="80"/>
      <c r="E67" s="80"/>
      <c r="F67" s="9">
        <f t="shared" ref="F67:F70" si="6">D67*E67*B67*C67/10000</f>
        <v>0</v>
      </c>
      <c r="G67" s="39">
        <f t="shared" ref="G67:G70" si="7">D67*E67</f>
        <v>0</v>
      </c>
    </row>
    <row r="68" spans="1:9" x14ac:dyDescent="0.25">
      <c r="A68" s="6" t="s">
        <v>157</v>
      </c>
      <c r="B68" s="80">
        <v>10</v>
      </c>
      <c r="C68" s="80">
        <v>16</v>
      </c>
      <c r="D68" s="80"/>
      <c r="E68" s="80"/>
      <c r="F68" s="9">
        <f>D68*E68*B68*C68/10000</f>
        <v>0</v>
      </c>
      <c r="G68" s="39">
        <f>D68*E68</f>
        <v>0</v>
      </c>
    </row>
    <row r="69" spans="1:9" x14ac:dyDescent="0.25">
      <c r="A69" s="6" t="s">
        <v>169</v>
      </c>
      <c r="B69" s="80">
        <v>10</v>
      </c>
      <c r="C69" s="80">
        <v>16</v>
      </c>
      <c r="D69" s="80"/>
      <c r="E69" s="80"/>
      <c r="F69" s="9">
        <f t="shared" si="6"/>
        <v>0</v>
      </c>
      <c r="G69" s="39">
        <f t="shared" si="7"/>
        <v>0</v>
      </c>
    </row>
    <row r="70" spans="1:9" x14ac:dyDescent="0.25">
      <c r="A70" s="6"/>
      <c r="B70" s="80"/>
      <c r="C70" s="80"/>
      <c r="D70" s="90"/>
      <c r="E70" s="80"/>
      <c r="F70" s="11">
        <f t="shared" si="6"/>
        <v>0</v>
      </c>
      <c r="G70" s="39">
        <f t="shared" si="7"/>
        <v>0</v>
      </c>
    </row>
    <row r="71" spans="1:9" x14ac:dyDescent="0.25">
      <c r="D71" s="89">
        <f>SUM(D63:D70)</f>
        <v>0</v>
      </c>
      <c r="E71" s="10" t="s">
        <v>17</v>
      </c>
      <c r="F71" s="14">
        <f>SUM(F63:F70)</f>
        <v>0</v>
      </c>
      <c r="G71" s="37">
        <f>SUM(G63:G70)</f>
        <v>0</v>
      </c>
    </row>
    <row r="73" spans="1:9" ht="15.75" x14ac:dyDescent="0.25">
      <c r="A73" s="5" t="s">
        <v>4</v>
      </c>
      <c r="B73" s="210" t="s">
        <v>5</v>
      </c>
      <c r="C73" s="210"/>
      <c r="D73" s="5" t="s">
        <v>34</v>
      </c>
      <c r="E73" s="5" t="s">
        <v>12</v>
      </c>
      <c r="F73" s="15" t="s">
        <v>261</v>
      </c>
      <c r="G73" s="5"/>
      <c r="H73" s="5" t="s">
        <v>11</v>
      </c>
      <c r="I73" s="5" t="s">
        <v>24</v>
      </c>
    </row>
    <row r="74" spans="1:9" x14ac:dyDescent="0.25">
      <c r="A74" s="6"/>
      <c r="B74" s="6"/>
      <c r="C74" s="6"/>
      <c r="D74" s="6"/>
      <c r="E74" s="6"/>
      <c r="F74" s="9">
        <f t="shared" ref="F74:F76" si="8">D74*E74*B74*C74/10000</f>
        <v>0</v>
      </c>
      <c r="G74" s="6"/>
      <c r="H74" s="38">
        <f>3*D74*E74</f>
        <v>0</v>
      </c>
      <c r="I74" s="38">
        <f>2*D74*E74</f>
        <v>0</v>
      </c>
    </row>
    <row r="75" spans="1:9" x14ac:dyDescent="0.25">
      <c r="A75" s="6"/>
      <c r="B75" s="80">
        <v>16</v>
      </c>
      <c r="C75" s="80">
        <v>32</v>
      </c>
      <c r="D75" s="80"/>
      <c r="E75" s="80"/>
      <c r="F75" s="9">
        <f t="shared" si="8"/>
        <v>0</v>
      </c>
      <c r="G75" s="6"/>
      <c r="H75" s="96"/>
      <c r="I75" s="96"/>
    </row>
    <row r="76" spans="1:9" x14ac:dyDescent="0.25">
      <c r="A76" s="6"/>
      <c r="B76" s="80"/>
      <c r="C76" s="80"/>
      <c r="D76" s="90"/>
      <c r="E76" s="80"/>
      <c r="F76" s="11">
        <f t="shared" si="8"/>
        <v>0</v>
      </c>
      <c r="G76" s="6"/>
      <c r="H76" s="99"/>
      <c r="I76" s="99"/>
    </row>
    <row r="77" spans="1:9" x14ac:dyDescent="0.25">
      <c r="D77" s="89">
        <f>SUM(D74:D76)</f>
        <v>0</v>
      </c>
      <c r="E77" s="10" t="s">
        <v>17</v>
      </c>
      <c r="F77" s="16">
        <f>SUM(F74:F76)</f>
        <v>0</v>
      </c>
      <c r="H77" s="37">
        <f>SUM(H74:H76)</f>
        <v>0</v>
      </c>
      <c r="I77" s="37">
        <f>SUM(I74:I76)</f>
        <v>0</v>
      </c>
    </row>
    <row r="79" spans="1:9" ht="15.75" x14ac:dyDescent="0.25">
      <c r="A79" s="5" t="s">
        <v>4</v>
      </c>
      <c r="B79" s="210" t="s">
        <v>5</v>
      </c>
      <c r="C79" s="210"/>
      <c r="D79" s="5" t="s">
        <v>34</v>
      </c>
      <c r="E79" s="5" t="s">
        <v>12</v>
      </c>
      <c r="F79" s="186" t="s">
        <v>22</v>
      </c>
      <c r="G79" s="5"/>
      <c r="H79" s="5" t="s">
        <v>11</v>
      </c>
      <c r="I79" s="5" t="s">
        <v>24</v>
      </c>
    </row>
    <row r="80" spans="1:9" x14ac:dyDescent="0.25">
      <c r="A80" s="6"/>
      <c r="B80" s="6"/>
      <c r="C80" s="6"/>
      <c r="D80" s="6"/>
      <c r="E80" s="6"/>
      <c r="F80" s="9">
        <f t="shared" ref="F80:F83" si="9">D80*E80*B80*C80/10000</f>
        <v>0</v>
      </c>
      <c r="G80" s="6"/>
      <c r="H80" s="38">
        <f>3*D80*E80</f>
        <v>0</v>
      </c>
      <c r="I80" s="38">
        <f>2*D80*E80</f>
        <v>0</v>
      </c>
    </row>
    <row r="81" spans="1:9" x14ac:dyDescent="0.25">
      <c r="A81" s="6"/>
      <c r="B81" s="80">
        <v>10</v>
      </c>
      <c r="C81" s="80">
        <v>22</v>
      </c>
      <c r="D81" s="80"/>
      <c r="E81" s="80"/>
      <c r="F81" s="9">
        <f t="shared" si="9"/>
        <v>0</v>
      </c>
      <c r="G81" s="6"/>
      <c r="H81" s="96"/>
      <c r="I81" s="96"/>
    </row>
    <row r="82" spans="1:9" x14ac:dyDescent="0.25">
      <c r="A82" s="6"/>
      <c r="B82" s="80"/>
      <c r="C82" s="80"/>
      <c r="D82" s="80"/>
      <c r="E82" s="80"/>
      <c r="F82" s="9">
        <f t="shared" si="9"/>
        <v>0</v>
      </c>
      <c r="G82" s="6"/>
      <c r="H82" s="98"/>
      <c r="I82" s="98"/>
    </row>
    <row r="83" spans="1:9" x14ac:dyDescent="0.25">
      <c r="A83" s="6"/>
      <c r="B83" s="80"/>
      <c r="C83" s="80"/>
      <c r="D83" s="90"/>
      <c r="E83" s="80"/>
      <c r="F83" s="11">
        <f t="shared" si="9"/>
        <v>0</v>
      </c>
      <c r="G83" s="6"/>
      <c r="H83" s="99"/>
      <c r="I83" s="99"/>
    </row>
    <row r="84" spans="1:9" x14ac:dyDescent="0.25">
      <c r="D84" s="89">
        <f>SUM(D80:D83)</f>
        <v>0</v>
      </c>
      <c r="E84" s="10" t="s">
        <v>17</v>
      </c>
      <c r="F84" s="17">
        <f>SUM(F80:F83)</f>
        <v>0</v>
      </c>
      <c r="H84" s="37">
        <f>SUM(H80:H83)</f>
        <v>0</v>
      </c>
      <c r="I84" s="37">
        <f>SUM(I80:I83)</f>
        <v>0</v>
      </c>
    </row>
    <row r="86" spans="1:9" ht="15.75" x14ac:dyDescent="0.25">
      <c r="A86" s="5" t="s">
        <v>4</v>
      </c>
      <c r="B86" s="210" t="s">
        <v>5</v>
      </c>
      <c r="C86" s="210"/>
      <c r="D86" s="5" t="s">
        <v>34</v>
      </c>
      <c r="E86" s="5" t="s">
        <v>12</v>
      </c>
      <c r="F86" s="187" t="s">
        <v>23</v>
      </c>
      <c r="G86" s="5"/>
      <c r="H86" s="5" t="s">
        <v>11</v>
      </c>
      <c r="I86" s="5" t="s">
        <v>24</v>
      </c>
    </row>
    <row r="87" spans="1:9" x14ac:dyDescent="0.25">
      <c r="A87" s="6"/>
      <c r="B87" s="6"/>
      <c r="C87" s="6"/>
      <c r="D87" s="6"/>
      <c r="E87" s="6"/>
      <c r="F87" s="9">
        <f t="shared" ref="F87:F90" si="10">D87*E87*B87*C87/10000</f>
        <v>0</v>
      </c>
      <c r="G87" s="6"/>
      <c r="H87" s="38">
        <f>3*D87*E87</f>
        <v>0</v>
      </c>
      <c r="I87" s="38">
        <f>2*D87*E87</f>
        <v>0</v>
      </c>
    </row>
    <row r="88" spans="1:9" x14ac:dyDescent="0.25">
      <c r="A88" s="6"/>
      <c r="B88" s="80">
        <v>10</v>
      </c>
      <c r="C88" s="80">
        <v>22</v>
      </c>
      <c r="D88" s="80"/>
      <c r="E88" s="80"/>
      <c r="F88" s="9">
        <f t="shared" si="10"/>
        <v>0</v>
      </c>
      <c r="G88" s="6"/>
      <c r="H88" s="96"/>
      <c r="I88" s="96"/>
    </row>
    <row r="89" spans="1:9" x14ac:dyDescent="0.25">
      <c r="A89" s="6"/>
      <c r="B89" s="80"/>
      <c r="C89" s="80"/>
      <c r="D89" s="80"/>
      <c r="E89" s="80"/>
      <c r="F89" s="9">
        <f t="shared" si="10"/>
        <v>0</v>
      </c>
      <c r="G89" s="6"/>
      <c r="H89" s="98"/>
      <c r="I89" s="98"/>
    </row>
    <row r="90" spans="1:9" x14ac:dyDescent="0.25">
      <c r="A90" s="6"/>
      <c r="B90" s="80"/>
      <c r="C90" s="80"/>
      <c r="D90" s="90"/>
      <c r="E90" s="80"/>
      <c r="F90" s="11">
        <f t="shared" si="10"/>
        <v>0</v>
      </c>
      <c r="G90" s="6"/>
      <c r="H90" s="99"/>
      <c r="I90" s="99"/>
    </row>
    <row r="91" spans="1:9" x14ac:dyDescent="0.25">
      <c r="D91" s="89">
        <f>SUM(D87:D90)</f>
        <v>0</v>
      </c>
      <c r="E91" s="10" t="s">
        <v>17</v>
      </c>
      <c r="F91" s="18">
        <f>SUM(F87:F90)</f>
        <v>0</v>
      </c>
      <c r="H91" s="37">
        <f>SUM(H87:H90)</f>
        <v>0</v>
      </c>
      <c r="I91" s="37">
        <f>SUM(I87:I90)</f>
        <v>0</v>
      </c>
    </row>
    <row r="92" spans="1:9" x14ac:dyDescent="0.25">
      <c r="C92" s="108" t="s">
        <v>141</v>
      </c>
      <c r="D92" s="115">
        <f>SUM(D29,D59,D71,D77,D84,D91)</f>
        <v>44</v>
      </c>
      <c r="E92" s="10"/>
      <c r="F92" s="114"/>
      <c r="H92" s="113"/>
      <c r="I92" s="113"/>
    </row>
    <row r="94" spans="1:9" x14ac:dyDescent="0.25">
      <c r="C94" s="26" t="s">
        <v>16</v>
      </c>
      <c r="D94" s="34"/>
    </row>
    <row r="95" spans="1:9" x14ac:dyDescent="0.25">
      <c r="A95" s="188" t="s">
        <v>257</v>
      </c>
      <c r="B95" s="20">
        <f>SUMIF(E8:E28,"&gt;=9",F8:F28)</f>
        <v>16.640999999999998</v>
      </c>
      <c r="C95" s="33">
        <f>IF(F6="épicéa",Prix!B8,Prix!B7)</f>
        <v>1300</v>
      </c>
      <c r="D95" s="29">
        <f>B95*C95</f>
        <v>21633.3</v>
      </c>
      <c r="E95" s="211" t="str">
        <f>F6</f>
        <v>mélèze</v>
      </c>
    </row>
    <row r="96" spans="1:9" x14ac:dyDescent="0.25">
      <c r="A96" s="189" t="s">
        <v>258</v>
      </c>
      <c r="B96" s="20">
        <f>SUMIF(E8:E28,"&lt;9",F8:F28)</f>
        <v>5.9348999999999998</v>
      </c>
      <c r="C96" s="33" t="e">
        <f>IF(F6="épicéa",Prix!#REF!,Prix!#REF!)</f>
        <v>#REF!</v>
      </c>
      <c r="D96" s="29" t="e">
        <f>B96*C96</f>
        <v>#REF!</v>
      </c>
      <c r="E96" s="211"/>
      <c r="F96" s="180"/>
    </row>
    <row r="97" spans="1:6" x14ac:dyDescent="0.25">
      <c r="A97" s="190" t="s">
        <v>259</v>
      </c>
      <c r="B97" s="20">
        <f>SUMIF(E33:E58,"&gt;=9",F33:F58)</f>
        <v>0</v>
      </c>
      <c r="C97" s="33">
        <f>IF(F31="épicéa",Prix!B8,Prix!B7)</f>
        <v>330</v>
      </c>
      <c r="D97" s="29">
        <f t="shared" ref="D97:D103" si="11">B97*C97</f>
        <v>0</v>
      </c>
      <c r="E97" s="212" t="str">
        <f>F31</f>
        <v>épicéa</v>
      </c>
    </row>
    <row r="98" spans="1:6" x14ac:dyDescent="0.25">
      <c r="A98" s="191" t="s">
        <v>260</v>
      </c>
      <c r="B98" s="20">
        <f>SUMIF(E33:E58,"&lt;9",F33:F58)</f>
        <v>0</v>
      </c>
      <c r="C98" s="33" t="e">
        <f>IF(F31="épicéa",Prix!#REF!,Prix!#REF!)</f>
        <v>#REF!</v>
      </c>
      <c r="D98" s="29" t="e">
        <f t="shared" ref="D98" si="12">B98*C98</f>
        <v>#REF!</v>
      </c>
      <c r="E98" s="212"/>
      <c r="F98" s="180"/>
    </row>
    <row r="99" spans="1:6" x14ac:dyDescent="0.25">
      <c r="A99" s="22" t="s">
        <v>182</v>
      </c>
      <c r="B99" s="20">
        <f>SUMIF(E63:E70,"&gt;=9",F63:F70)</f>
        <v>0</v>
      </c>
      <c r="C99" s="32">
        <f>Prix!B9</f>
        <v>280</v>
      </c>
      <c r="D99" s="29">
        <f t="shared" si="11"/>
        <v>0</v>
      </c>
    </row>
    <row r="100" spans="1:6" x14ac:dyDescent="0.25">
      <c r="A100" s="22" t="s">
        <v>183</v>
      </c>
      <c r="B100" s="20">
        <f>SUMIF(E63:E70,"&lt;9",F63:F70)</f>
        <v>0</v>
      </c>
      <c r="C100" s="32" t="e">
        <f>Prix!#REF!</f>
        <v>#REF!</v>
      </c>
      <c r="D100" s="29" t="e">
        <f t="shared" ref="D100" si="13">B100*C100</f>
        <v>#REF!</v>
      </c>
      <c r="F100" s="180"/>
    </row>
    <row r="101" spans="1:6" x14ac:dyDescent="0.25">
      <c r="A101" s="23" t="s">
        <v>13</v>
      </c>
      <c r="B101" s="20">
        <f>F77</f>
        <v>0</v>
      </c>
      <c r="C101" s="32">
        <f>Prix!B10</f>
        <v>606</v>
      </c>
      <c r="D101" s="29">
        <f t="shared" si="11"/>
        <v>0</v>
      </c>
    </row>
    <row r="102" spans="1:6" x14ac:dyDescent="0.25">
      <c r="A102" s="24" t="s">
        <v>14</v>
      </c>
      <c r="B102" s="20">
        <f>F84</f>
        <v>0</v>
      </c>
      <c r="C102" s="32">
        <f>Prix!B11</f>
        <v>450</v>
      </c>
      <c r="D102" s="29">
        <f t="shared" si="11"/>
        <v>0</v>
      </c>
    </row>
    <row r="103" spans="1:6" x14ac:dyDescent="0.25">
      <c r="A103" s="25" t="s">
        <v>15</v>
      </c>
      <c r="B103" s="20">
        <f>F91</f>
        <v>0</v>
      </c>
      <c r="C103" s="32">
        <f>Prix!B12</f>
        <v>895</v>
      </c>
      <c r="D103" s="29">
        <f t="shared" si="11"/>
        <v>0</v>
      </c>
    </row>
    <row r="104" spans="1:6" x14ac:dyDescent="0.25">
      <c r="B104" s="41">
        <f>SUM(B95:B103)</f>
        <v>22.575899999999997</v>
      </c>
      <c r="D104" s="31" t="e">
        <f>SUM(D95:D103)</f>
        <v>#REF!</v>
      </c>
    </row>
    <row r="105" spans="1:6" x14ac:dyDescent="0.25">
      <c r="B105" s="51"/>
      <c r="D105" s="52"/>
    </row>
    <row r="106" spans="1:6" x14ac:dyDescent="0.25">
      <c r="C106" s="26" t="s">
        <v>16</v>
      </c>
      <c r="D106" s="34"/>
    </row>
    <row r="107" spans="1:6" x14ac:dyDescent="0.25">
      <c r="A107" s="28" t="s">
        <v>52</v>
      </c>
      <c r="B107" s="78">
        <v>0</v>
      </c>
      <c r="C107" s="82">
        <v>600</v>
      </c>
      <c r="D107" s="31">
        <f>B107*C107</f>
        <v>0</v>
      </c>
    </row>
    <row r="108" spans="1:6" x14ac:dyDescent="0.25">
      <c r="B108" s="51"/>
      <c r="D108" s="52"/>
    </row>
    <row r="109" spans="1:6" x14ac:dyDescent="0.25">
      <c r="C109" s="26" t="s">
        <v>16</v>
      </c>
      <c r="D109" s="34"/>
    </row>
    <row r="110" spans="1:6" x14ac:dyDescent="0.25">
      <c r="A110" s="149" t="s">
        <v>184</v>
      </c>
      <c r="B110" s="66"/>
      <c r="C110" s="32">
        <f>Prix!B70</f>
        <v>125</v>
      </c>
      <c r="D110" s="31">
        <f>B110*C110</f>
        <v>0</v>
      </c>
    </row>
    <row r="111" spans="1:6" x14ac:dyDescent="0.25">
      <c r="B111" s="51"/>
      <c r="D111" s="52"/>
    </row>
    <row r="112" spans="1:6" x14ac:dyDescent="0.25">
      <c r="C112" s="26" t="s">
        <v>16</v>
      </c>
      <c r="D112" s="34"/>
    </row>
    <row r="113" spans="1:8" x14ac:dyDescent="0.25">
      <c r="A113" s="28" t="s">
        <v>181</v>
      </c>
      <c r="B113" s="66">
        <f>SUM(F59,F71)</f>
        <v>0</v>
      </c>
      <c r="C113" s="147">
        <f>Prix!B73</f>
        <v>60</v>
      </c>
      <c r="D113" s="31">
        <f>B113*C113</f>
        <v>0</v>
      </c>
    </row>
    <row r="114" spans="1:8" x14ac:dyDescent="0.25">
      <c r="B114" s="51"/>
      <c r="D114" s="52"/>
    </row>
    <row r="115" spans="1:8" x14ac:dyDescent="0.25">
      <c r="C115" s="26" t="s">
        <v>16</v>
      </c>
      <c r="D115" s="34"/>
    </row>
    <row r="116" spans="1:8" x14ac:dyDescent="0.25">
      <c r="A116" s="28" t="s">
        <v>18</v>
      </c>
      <c r="B116" s="40">
        <f>SUM(G29,G59,G71)</f>
        <v>489</v>
      </c>
      <c r="C116" s="30">
        <f>Prix!B76</f>
        <v>0.45555555555555555</v>
      </c>
      <c r="D116" s="31">
        <f>B116*C116</f>
        <v>222.76666666666665</v>
      </c>
    </row>
    <row r="117" spans="1:8" x14ac:dyDescent="0.25">
      <c r="D117" s="2"/>
    </row>
    <row r="118" spans="1:8" x14ac:dyDescent="0.25">
      <c r="C118" s="26" t="s">
        <v>16</v>
      </c>
      <c r="D118" s="34"/>
    </row>
    <row r="119" spans="1:8" x14ac:dyDescent="0.25">
      <c r="A119" s="28" t="s">
        <v>37</v>
      </c>
      <c r="B119" s="40">
        <f>SUM(H29,H59,H77,H84,H91)</f>
        <v>0</v>
      </c>
      <c r="C119" s="30">
        <f>Prix!B79</f>
        <v>0.68333333333333335</v>
      </c>
      <c r="D119" s="31">
        <f>B119*C119</f>
        <v>0</v>
      </c>
    </row>
    <row r="120" spans="1:8" x14ac:dyDescent="0.25">
      <c r="D120" s="2"/>
    </row>
    <row r="121" spans="1:8" x14ac:dyDescent="0.25">
      <c r="C121" s="26" t="s">
        <v>16</v>
      </c>
      <c r="D121" s="34"/>
    </row>
    <row r="122" spans="1:8" x14ac:dyDescent="0.25">
      <c r="A122" s="28" t="s">
        <v>38</v>
      </c>
      <c r="B122" s="40">
        <f>SUM(I29,I59,I77,I84,I91)</f>
        <v>0</v>
      </c>
      <c r="C122" s="30">
        <f>Prix!B82</f>
        <v>0.34166666666666667</v>
      </c>
      <c r="D122" s="31">
        <f>B122*C122</f>
        <v>0</v>
      </c>
    </row>
    <row r="124" spans="1:8" x14ac:dyDescent="0.25">
      <c r="C124" s="26" t="s">
        <v>16</v>
      </c>
      <c r="D124" s="34"/>
    </row>
    <row r="125" spans="1:8" x14ac:dyDescent="0.25">
      <c r="A125" s="28" t="s">
        <v>35</v>
      </c>
      <c r="B125" s="42">
        <f>ROUNDUP((F125*H125/60),0)</f>
        <v>0</v>
      </c>
      <c r="C125" s="43">
        <f>Prix!C93</f>
        <v>41</v>
      </c>
      <c r="D125" s="31">
        <f>B125*C125</f>
        <v>0</v>
      </c>
      <c r="F125" s="83"/>
      <c r="G125" s="44" t="s">
        <v>36</v>
      </c>
      <c r="H125" s="118">
        <v>30</v>
      </c>
    </row>
    <row r="127" spans="1:8" x14ac:dyDescent="0.25">
      <c r="C127" s="26" t="s">
        <v>16</v>
      </c>
      <c r="D127" s="34"/>
    </row>
    <row r="128" spans="1:8" x14ac:dyDescent="0.25">
      <c r="A128" s="28" t="s">
        <v>139</v>
      </c>
      <c r="B128" s="42">
        <f>ROUNDUP((F128*H128/60),0)</f>
        <v>0</v>
      </c>
      <c r="C128" s="43">
        <f>Prix!C94</f>
        <v>92</v>
      </c>
      <c r="D128" s="31">
        <f>B128*C128</f>
        <v>0</v>
      </c>
      <c r="F128" s="109"/>
      <c r="G128" s="44" t="s">
        <v>36</v>
      </c>
      <c r="H128" s="118">
        <v>10</v>
      </c>
    </row>
    <row r="130" spans="1:10" x14ac:dyDescent="0.25">
      <c r="C130" s="26" t="s">
        <v>16</v>
      </c>
      <c r="D130" s="34"/>
    </row>
    <row r="131" spans="1:10" x14ac:dyDescent="0.25">
      <c r="A131" s="28" t="s">
        <v>139</v>
      </c>
      <c r="B131" s="42">
        <f>ROUNDUP((F131*H131/60),0)</f>
        <v>0</v>
      </c>
      <c r="C131" s="43">
        <f>Prix!C95</f>
        <v>92</v>
      </c>
      <c r="D131" s="31">
        <f>B131*C131</f>
        <v>0</v>
      </c>
      <c r="F131" s="83"/>
      <c r="G131" s="44" t="s">
        <v>36</v>
      </c>
      <c r="H131" s="118">
        <v>30</v>
      </c>
    </row>
    <row r="132" spans="1:10" x14ac:dyDescent="0.25">
      <c r="A132" s="58"/>
      <c r="B132" s="59"/>
      <c r="C132" s="60"/>
      <c r="D132" s="52"/>
      <c r="F132" s="110">
        <f>F125+F128+F131</f>
        <v>0</v>
      </c>
      <c r="G132" s="111" t="s">
        <v>140</v>
      </c>
      <c r="H132" s="112"/>
    </row>
    <row r="133" spans="1:10" x14ac:dyDescent="0.25">
      <c r="A133" s="58"/>
      <c r="B133" s="59"/>
      <c r="C133" s="60"/>
      <c r="D133" s="52"/>
      <c r="F133" s="125"/>
      <c r="G133" s="64"/>
      <c r="H133" s="65"/>
    </row>
    <row r="134" spans="1:10" x14ac:dyDescent="0.25">
      <c r="C134" s="26" t="s">
        <v>16</v>
      </c>
      <c r="D134" s="34"/>
    </row>
    <row r="135" spans="1:10" x14ac:dyDescent="0.25">
      <c r="A135" s="148" t="s">
        <v>85</v>
      </c>
      <c r="B135" s="129">
        <f>F71+(IF(F6="épicéa",F29,0))</f>
        <v>0</v>
      </c>
      <c r="C135" s="67">
        <f>Prix!B85</f>
        <v>20</v>
      </c>
      <c r="D135" s="31">
        <f>B135*C135</f>
        <v>0</v>
      </c>
      <c r="F135" s="143"/>
    </row>
    <row r="136" spans="1:10" x14ac:dyDescent="0.25">
      <c r="A136" s="172" t="s">
        <v>223</v>
      </c>
      <c r="B136" s="173"/>
      <c r="J136" s="59"/>
    </row>
    <row r="137" spans="1:10" x14ac:dyDescent="0.25">
      <c r="C137" s="26" t="s">
        <v>16</v>
      </c>
      <c r="D137" s="34"/>
    </row>
    <row r="138" spans="1:10" x14ac:dyDescent="0.25">
      <c r="A138" s="28" t="s">
        <v>26</v>
      </c>
      <c r="B138" s="84"/>
      <c r="C138" s="43">
        <f>Prix!C91</f>
        <v>58</v>
      </c>
      <c r="D138" s="31">
        <f>B138*C138</f>
        <v>0</v>
      </c>
    </row>
    <row r="140" spans="1:10" x14ac:dyDescent="0.25">
      <c r="C140" s="26" t="s">
        <v>16</v>
      </c>
      <c r="D140" s="34"/>
    </row>
    <row r="141" spans="1:10" x14ac:dyDescent="0.25">
      <c r="A141" s="28" t="s">
        <v>39</v>
      </c>
      <c r="B141" s="84"/>
      <c r="C141" s="43">
        <f>Prix!C93</f>
        <v>41</v>
      </c>
      <c r="D141" s="31">
        <f>B141*C141</f>
        <v>0</v>
      </c>
      <c r="F141" s="105" t="s">
        <v>47</v>
      </c>
    </row>
    <row r="143" spans="1:10" x14ac:dyDescent="0.25">
      <c r="C143" s="26" t="s">
        <v>16</v>
      </c>
      <c r="D143" s="34"/>
    </row>
    <row r="144" spans="1:10" x14ac:dyDescent="0.25">
      <c r="A144" s="28" t="s">
        <v>40</v>
      </c>
      <c r="B144" s="100"/>
      <c r="C144" s="46" t="e">
        <f>#REF!</f>
        <v>#REF!</v>
      </c>
      <c r="D144" s="31" t="e">
        <f>B144*C144</f>
        <v>#REF!</v>
      </c>
    </row>
    <row r="146" spans="1:9" x14ac:dyDescent="0.25">
      <c r="C146" s="26" t="s">
        <v>16</v>
      </c>
      <c r="D146" s="34"/>
    </row>
    <row r="147" spans="1:9" x14ac:dyDescent="0.25">
      <c r="A147" s="28" t="s">
        <v>48</v>
      </c>
      <c r="B147" s="42" t="e">
        <f>F147*#REF!*H147</f>
        <v>#REF!</v>
      </c>
      <c r="C147" s="43" t="e">
        <f>Prix!C96</f>
        <v>#REF!</v>
      </c>
      <c r="D147" s="29" t="e">
        <f>B147*C147</f>
        <v>#REF!</v>
      </c>
      <c r="F147" s="79">
        <v>0</v>
      </c>
      <c r="G147" s="107" t="s">
        <v>152</v>
      </c>
      <c r="H147" s="126">
        <v>3</v>
      </c>
      <c r="I147" s="106" t="s">
        <v>153</v>
      </c>
    </row>
    <row r="148" spans="1:9" x14ac:dyDescent="0.25">
      <c r="A148" s="28" t="s">
        <v>49</v>
      </c>
      <c r="B148" s="179" t="e">
        <f>#REF!*2</f>
        <v>#REF!</v>
      </c>
      <c r="C148" s="48">
        <f>Prix!C104</f>
        <v>1.5</v>
      </c>
      <c r="D148" s="29" t="e">
        <f t="shared" ref="D148:D154" si="14">B148*C148</f>
        <v>#REF!</v>
      </c>
      <c r="F148" s="176"/>
    </row>
    <row r="149" spans="1:9" x14ac:dyDescent="0.25">
      <c r="A149" s="28" t="s">
        <v>44</v>
      </c>
      <c r="B149" s="178" t="e">
        <f>IF(#REF!&lt;#REF!,F147*2*#REF!,ROUNDUP((F147/4*2),0)*#REF!)</f>
        <v>#REF!</v>
      </c>
      <c r="C149" s="48">
        <f>Prix!C103</f>
        <v>0.6</v>
      </c>
      <c r="D149" s="29" t="e">
        <f t="shared" ref="D149" si="15">B149*C149</f>
        <v>#REF!</v>
      </c>
    </row>
    <row r="150" spans="1:9" x14ac:dyDescent="0.25">
      <c r="A150" s="28" t="s">
        <v>142</v>
      </c>
      <c r="B150" s="84"/>
      <c r="C150" s="43" t="e">
        <f>Prix!C97</f>
        <v>#REF!</v>
      </c>
      <c r="D150" s="29" t="e">
        <f t="shared" si="14"/>
        <v>#REF!</v>
      </c>
    </row>
    <row r="151" spans="1:9" x14ac:dyDescent="0.25">
      <c r="A151" s="28" t="s">
        <v>53</v>
      </c>
      <c r="B151" s="84"/>
      <c r="C151" s="116"/>
      <c r="D151" s="29">
        <f t="shared" ref="D151" si="16">B151*C151</f>
        <v>0</v>
      </c>
    </row>
    <row r="152" spans="1:9" x14ac:dyDescent="0.25">
      <c r="A152" s="28" t="s">
        <v>41</v>
      </c>
      <c r="B152" s="93">
        <f>F147*H147</f>
        <v>0</v>
      </c>
      <c r="C152" s="49">
        <f>Prix!C108</f>
        <v>17</v>
      </c>
      <c r="D152" s="29">
        <f t="shared" si="14"/>
        <v>0</v>
      </c>
    </row>
    <row r="153" spans="1:9" x14ac:dyDescent="0.25">
      <c r="A153" s="28" t="s">
        <v>55</v>
      </c>
      <c r="B153" s="45"/>
      <c r="C153" s="95"/>
      <c r="D153" s="85"/>
    </row>
    <row r="154" spans="1:9" x14ac:dyDescent="0.25">
      <c r="A154" s="28" t="s">
        <v>51</v>
      </c>
      <c r="B154" s="93" t="e">
        <f>ROUNDUP(IF(#REF!&gt;=#REF!,(F147/4)*3*H147,0),0)</f>
        <v>#REF!</v>
      </c>
      <c r="C154" s="49">
        <f>Prix!C109</f>
        <v>83</v>
      </c>
      <c r="D154" s="29" t="e">
        <f t="shared" si="14"/>
        <v>#REF!</v>
      </c>
    </row>
    <row r="155" spans="1:9" x14ac:dyDescent="0.25">
      <c r="B155" s="35"/>
      <c r="C155" s="62" t="s">
        <v>100</v>
      </c>
      <c r="D155" s="31" t="e">
        <f>SUM(D147:D154)</f>
        <v>#REF!</v>
      </c>
    </row>
    <row r="157" spans="1:9" x14ac:dyDescent="0.25">
      <c r="A157" s="205" t="s">
        <v>137</v>
      </c>
      <c r="B157" s="206"/>
      <c r="C157" s="26" t="s">
        <v>16</v>
      </c>
      <c r="D157" s="34"/>
    </row>
    <row r="158" spans="1:9" x14ac:dyDescent="0.25">
      <c r="A158" s="61" t="s">
        <v>138</v>
      </c>
      <c r="B158" s="78"/>
      <c r="C158" s="123" t="e">
        <f>#REF!</f>
        <v>#REF!</v>
      </c>
      <c r="D158" s="91" t="e">
        <f>B158*C158</f>
        <v>#REF!</v>
      </c>
    </row>
    <row r="159" spans="1:9" x14ac:dyDescent="0.25">
      <c r="A159" s="28"/>
      <c r="B159" s="78"/>
      <c r="C159" s="117"/>
      <c r="D159" s="85"/>
    </row>
    <row r="160" spans="1:9" x14ac:dyDescent="0.25">
      <c r="B160" s="35"/>
      <c r="C160" s="62" t="s">
        <v>116</v>
      </c>
      <c r="D160" s="31" t="e">
        <f>SUM(D158:D159)</f>
        <v>#REF!</v>
      </c>
    </row>
    <row r="162" spans="1:9" x14ac:dyDescent="0.25">
      <c r="C162" s="26" t="s">
        <v>16</v>
      </c>
      <c r="D162" s="34"/>
    </row>
    <row r="163" spans="1:9" x14ac:dyDescent="0.25">
      <c r="A163" s="28" t="s">
        <v>56</v>
      </c>
      <c r="B163" s="42"/>
      <c r="C163" s="94"/>
      <c r="D163" s="86"/>
    </row>
    <row r="164" spans="1:9" x14ac:dyDescent="0.25">
      <c r="A164" s="58"/>
      <c r="B164" s="59"/>
      <c r="C164" s="60"/>
      <c r="D164" s="52"/>
    </row>
    <row r="165" spans="1:9" ht="21" x14ac:dyDescent="0.35">
      <c r="A165" s="54"/>
      <c r="B165" s="54"/>
      <c r="C165" s="54"/>
      <c r="D165" s="54"/>
      <c r="E165" s="53" t="s">
        <v>240</v>
      </c>
    </row>
    <row r="166" spans="1:9" ht="21" x14ac:dyDescent="0.35">
      <c r="A166" s="54"/>
      <c r="B166" s="54"/>
      <c r="C166" s="54"/>
      <c r="D166" s="54"/>
      <c r="E166" s="53" t="str">
        <f>A4</f>
        <v>CHARPENTE</v>
      </c>
      <c r="F166" s="127" t="e">
        <f>D104+D107+D110+D113+D116+D119+D122+D125+D128+D131+D135+D138+D141+D144+D155+D160+D163</f>
        <v>#REF!</v>
      </c>
      <c r="G166" s="55"/>
      <c r="H166" s="55"/>
      <c r="I166" s="55"/>
    </row>
    <row r="167" spans="1:9" ht="21" x14ac:dyDescent="0.35">
      <c r="A167" s="55"/>
      <c r="B167" s="55"/>
      <c r="C167" s="55"/>
      <c r="D167" s="55"/>
      <c r="E167" s="56"/>
      <c r="F167" s="56"/>
      <c r="G167" s="56"/>
      <c r="H167" s="56"/>
      <c r="I167" s="56"/>
    </row>
  </sheetData>
  <mergeCells count="16">
    <mergeCell ref="A2:C2"/>
    <mergeCell ref="A1:C1"/>
    <mergeCell ref="B61:C61"/>
    <mergeCell ref="A3:I3"/>
    <mergeCell ref="B6:C6"/>
    <mergeCell ref="A7:I7"/>
    <mergeCell ref="B31:C31"/>
    <mergeCell ref="A32:I32"/>
    <mergeCell ref="A4:I4"/>
    <mergeCell ref="A62:G62"/>
    <mergeCell ref="A157:B157"/>
    <mergeCell ref="B73:C73"/>
    <mergeCell ref="B79:C79"/>
    <mergeCell ref="B86:C86"/>
    <mergeCell ref="E95:E96"/>
    <mergeCell ref="E97:E98"/>
  </mergeCells>
  <pageMargins left="0.7" right="0.7" top="0.75" bottom="0.75" header="0.3" footer="0.3"/>
  <pageSetup paperSize="9" scale="75" orientation="landscape" r:id="rId1"/>
  <rowBreaks count="4" manualBreakCount="4">
    <brk id="30" max="8" man="1"/>
    <brk id="60" max="8" man="1"/>
    <brk id="93" max="8" man="1"/>
    <brk id="132" max="8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Prix!$A$7:$A$12</xm:f>
          </x14:formula1>
          <xm:sqref>J9:J28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Prix</vt:lpstr>
      <vt:lpstr>Charpente</vt:lpstr>
      <vt:lpstr>Charpente!Zone_d_impression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2018-06-28T07:51:33Z</dcterms:modified>
</cp:coreProperties>
</file>