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" yWindow="0" windowWidth="20730" windowHeight="11760"/>
  </bookViews>
  <sheets>
    <sheet name="Feuil1" sheetId="1" r:id="rId1"/>
    <sheet name="Feuil2" sheetId="2" r:id="rId2"/>
  </sheets>
  <definedNames>
    <definedName name="_xlnm._FilterDatabase" localSheetId="0" hidden="1">Feuil1!$A$6:$S$24</definedName>
  </definedNames>
  <calcPr calcId="125725"/>
</workbook>
</file>

<file path=xl/calcChain.xml><?xml version="1.0" encoding="utf-8"?>
<calcChain xmlns="http://schemas.openxmlformats.org/spreadsheetml/2006/main">
  <c r="E7" i="1"/>
  <c r="E8"/>
  <c r="E9"/>
  <c r="E10"/>
  <c r="E11"/>
  <c r="E12"/>
  <c r="E13"/>
  <c r="E14"/>
  <c r="E15"/>
  <c r="E16"/>
  <c r="E17"/>
  <c r="E18"/>
  <c r="E19"/>
  <c r="E20"/>
  <c r="E21"/>
  <c r="E22"/>
  <c r="E23"/>
  <c r="E24"/>
  <c r="B18" i="2" l="1"/>
  <c r="C26"/>
  <c r="B26"/>
  <c r="F26"/>
  <c r="F18"/>
  <c r="C27"/>
  <c r="F24"/>
  <c r="B22"/>
  <c r="C28"/>
  <c r="F28"/>
  <c r="C24"/>
  <c r="F27"/>
  <c r="B25"/>
  <c r="C22"/>
  <c r="F25"/>
  <c r="B28"/>
  <c r="C25"/>
  <c r="F22"/>
  <c r="B23"/>
  <c r="C23"/>
  <c r="B29"/>
  <c r="F23"/>
  <c r="C29"/>
  <c r="B24"/>
  <c r="F29"/>
  <c r="B27"/>
  <c r="C20"/>
  <c r="C16"/>
  <c r="C19"/>
  <c r="C21"/>
  <c r="B16"/>
  <c r="B21"/>
  <c r="F15"/>
  <c r="C18"/>
  <c r="F21"/>
  <c r="B19"/>
  <c r="F17"/>
  <c r="C14"/>
  <c r="C17"/>
  <c r="B20"/>
  <c r="C15"/>
  <c r="F20"/>
  <c r="F14"/>
  <c r="B15"/>
  <c r="B17"/>
  <c r="F19"/>
  <c r="B14"/>
  <c r="F16"/>
  <c r="B30" l="1"/>
  <c r="F34"/>
</calcChain>
</file>

<file path=xl/sharedStrings.xml><?xml version="1.0" encoding="utf-8"?>
<sst xmlns="http://schemas.openxmlformats.org/spreadsheetml/2006/main" count="216" uniqueCount="122">
  <si>
    <t>Critère(s) de sélection:</t>
  </si>
  <si>
    <t>BORDEREAU APPEL DE COTISATION</t>
  </si>
  <si>
    <t>APPEL DE COTISATION</t>
  </si>
  <si>
    <t>Période</t>
  </si>
  <si>
    <t>Référence</t>
  </si>
  <si>
    <t>Collectivité</t>
  </si>
  <si>
    <t xml:space="preserve">N° Contrat </t>
  </si>
  <si>
    <t>GARANTIE</t>
  </si>
  <si>
    <t>EFFECTIF ASSURE</t>
  </si>
  <si>
    <r>
      <t xml:space="preserve">      </t>
    </r>
    <r>
      <rPr>
        <b/>
        <sz val="11"/>
        <color theme="0"/>
        <rFont val="Calibri"/>
        <family val="2"/>
        <scheme val="minor"/>
      </rPr>
      <t xml:space="preserve">ASSIETTE                         </t>
    </r>
    <r>
      <rPr>
        <b/>
        <sz val="10"/>
        <color theme="0"/>
        <rFont val="Calibri"/>
        <family val="2"/>
        <scheme val="minor"/>
      </rPr>
      <t xml:space="preserve">                     traitement brut en Euro                 de la période considérée</t>
    </r>
  </si>
  <si>
    <t>BASE</t>
  </si>
  <si>
    <t>TAUX</t>
  </si>
  <si>
    <t>COTISATION</t>
  </si>
  <si>
    <t>TBI + NBI + RI si choisi</t>
  </si>
  <si>
    <t>apprenti</t>
  </si>
  <si>
    <t>Vous pouvez vous aider du fichier type fourni</t>
  </si>
  <si>
    <t>cae emploi</t>
  </si>
  <si>
    <t>irc ircantec</t>
  </si>
  <si>
    <t>COTISATION TOTALE A REGLER</t>
  </si>
  <si>
    <t>cnr cnracl</t>
  </si>
  <si>
    <t>Merci de nous indiquer le motif des éventuelles modifications ou régularisations apportées sur cet appel de cotisation</t>
  </si>
  <si>
    <t>non vides</t>
  </si>
  <si>
    <t>ligne vides</t>
  </si>
  <si>
    <t>Fait le :</t>
  </si>
  <si>
    <t xml:space="preserve">Cachet et signature </t>
  </si>
  <si>
    <t>Par :</t>
  </si>
  <si>
    <t>Qualité du signataire</t>
  </si>
  <si>
    <t>Téléphone :</t>
  </si>
  <si>
    <t xml:space="preserve">A retourner à : </t>
  </si>
  <si>
    <t>(indiquez la période de référence)</t>
  </si>
  <si>
    <t>(indiquez votre code APP)</t>
  </si>
  <si>
    <t>(indiquez le nom de votre collectivité)</t>
  </si>
  <si>
    <t>(indiquez le n° de contrat)</t>
  </si>
  <si>
    <t>Non-Tit Base</t>
  </si>
  <si>
    <t>Non-Tit Base + Option 1</t>
  </si>
  <si>
    <t>Non-Tit Base + Option 2</t>
  </si>
  <si>
    <t>Non-Tit Base + Option 3</t>
  </si>
  <si>
    <t>Non-Tit Base + Option 1,2</t>
  </si>
  <si>
    <t>Non-Tit Base + Option 1,2,3</t>
  </si>
  <si>
    <t>Non-Tit Base + Option 1,3</t>
  </si>
  <si>
    <t>Non-Tit Base + Option 2,3</t>
  </si>
  <si>
    <t>Tit Base</t>
  </si>
  <si>
    <t>Tit Base + Option 1</t>
  </si>
  <si>
    <t>Tit Base + Option 2</t>
  </si>
  <si>
    <t>Tit Base + Option 3</t>
  </si>
  <si>
    <t>Tit Base + Option 1,2</t>
  </si>
  <si>
    <t>Tit Base + Option 1,2,3</t>
  </si>
  <si>
    <t>Tit Base + Option 1,3</t>
  </si>
  <si>
    <t>Tit Base + Option 2,3</t>
  </si>
  <si>
    <t>Réglé par :</t>
  </si>
  <si>
    <t xml:space="preserve"> mandat administratif du (des) montant(s) suivant(s) :</t>
  </si>
  <si>
    <t>Chèque Bancaire</t>
  </si>
  <si>
    <t>Etablissement</t>
  </si>
  <si>
    <t>position</t>
  </si>
  <si>
    <t>Agent:</t>
  </si>
  <si>
    <t>N³ SS:</t>
  </si>
  <si>
    <t>Assiette</t>
  </si>
  <si>
    <t>Cot. Rég base</t>
  </si>
  <si>
    <t>Tx régime de base</t>
  </si>
  <si>
    <t>Cot. Opt1</t>
  </si>
  <si>
    <t>Tx option 1</t>
  </si>
  <si>
    <t>Cot. Opt2</t>
  </si>
  <si>
    <t>Tx option 2</t>
  </si>
  <si>
    <t>Cot. Opt3</t>
  </si>
  <si>
    <t>Tx option 3</t>
  </si>
  <si>
    <t>Total taux</t>
  </si>
  <si>
    <t>Total Cotis.</t>
  </si>
  <si>
    <t>NTCONT</t>
  </si>
  <si>
    <t>Contractuel ind.</t>
  </si>
  <si>
    <t>TITCNR</t>
  </si>
  <si>
    <t>Titulaire CNRACL</t>
  </si>
  <si>
    <t>Position</t>
  </si>
  <si>
    <t>001</t>
  </si>
  <si>
    <t>00109754</t>
  </si>
  <si>
    <t>00116930</t>
  </si>
  <si>
    <t>00122583</t>
  </si>
  <si>
    <t>00123390</t>
  </si>
  <si>
    <t>002</t>
  </si>
  <si>
    <t>00200889</t>
  </si>
  <si>
    <t>00200890</t>
  </si>
  <si>
    <t>00202634</t>
  </si>
  <si>
    <t>00203414</t>
  </si>
  <si>
    <t>00214562</t>
  </si>
  <si>
    <t>008</t>
  </si>
  <si>
    <t>00815590</t>
  </si>
  <si>
    <t>00826707</t>
  </si>
  <si>
    <t>00824957</t>
  </si>
  <si>
    <t>010</t>
  </si>
  <si>
    <t>01001387</t>
  </si>
  <si>
    <t>01001487</t>
  </si>
  <si>
    <t>01002841</t>
  </si>
  <si>
    <t>01003852</t>
  </si>
  <si>
    <t>FMPE</t>
  </si>
  <si>
    <t>00105869</t>
  </si>
  <si>
    <t>Total</t>
  </si>
  <si>
    <t>Fichier prevoyance collecteam - Janvier 2018 à Mars 2018</t>
  </si>
  <si>
    <t>Date de début de paie entre le 01/01/2018 et le 31/03/2018</t>
  </si>
  <si>
    <t>00103260</t>
  </si>
  <si>
    <t>coll1</t>
  </si>
  <si>
    <t>Coll2</t>
  </si>
  <si>
    <t>Coll3</t>
  </si>
  <si>
    <t>Coll4</t>
  </si>
  <si>
    <t>nom prenom1</t>
  </si>
  <si>
    <t>nom prenom2</t>
  </si>
  <si>
    <t>nom prenom3</t>
  </si>
  <si>
    <t>nom prenom4</t>
  </si>
  <si>
    <t>nom prenom5</t>
  </si>
  <si>
    <t>nom prenom6</t>
  </si>
  <si>
    <t>nom prenom7</t>
  </si>
  <si>
    <t>nom prenom8</t>
  </si>
  <si>
    <t>nom prenom9</t>
  </si>
  <si>
    <t>nom prenom10</t>
  </si>
  <si>
    <t>nom prenom11</t>
  </si>
  <si>
    <t>nom prenom12</t>
  </si>
  <si>
    <t>nom prenom13</t>
  </si>
  <si>
    <t>nom prenom14</t>
  </si>
  <si>
    <t>nom prenom15</t>
  </si>
  <si>
    <t>nom prenom16</t>
  </si>
  <si>
    <t>nom prenom17</t>
  </si>
  <si>
    <t>nom prenom18</t>
  </si>
  <si>
    <t>1245646465456460</t>
  </si>
  <si>
    <t>a l'ordre de</t>
  </si>
</sst>
</file>

<file path=xl/styles.xml><?xml version="1.0" encoding="utf-8"?>
<styleSheet xmlns="http://schemas.openxmlformats.org/spreadsheetml/2006/main"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color theme="1"/>
      <name val="Verdana"/>
      <family val="2"/>
    </font>
    <font>
      <b/>
      <sz val="14"/>
      <color theme="0"/>
      <name val="Verdana"/>
      <family val="2"/>
    </font>
    <font>
      <b/>
      <sz val="10"/>
      <color theme="0"/>
      <name val="Calibri"/>
      <family val="2"/>
      <scheme val="minor"/>
    </font>
    <font>
      <sz val="10"/>
      <color theme="0"/>
      <name val="Arial"/>
      <family val="2"/>
    </font>
    <font>
      <i/>
      <sz val="8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  <font>
      <b/>
      <sz val="14"/>
      <name val="Arial"/>
    </font>
    <font>
      <b/>
      <i/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00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6" fillId="0" borderId="0"/>
    <xf numFmtId="0" fontId="27" fillId="0" borderId="0"/>
  </cellStyleXfs>
  <cellXfs count="39">
    <xf numFmtId="0" fontId="0" fillId="0" borderId="0" xfId="0"/>
    <xf numFmtId="0" fontId="18" fillId="0" borderId="0" xfId="42"/>
    <xf numFmtId="0" fontId="16" fillId="0" borderId="0" xfId="42" applyFont="1"/>
    <xf numFmtId="0" fontId="13" fillId="33" borderId="11" xfId="42" applyFont="1" applyFill="1" applyBorder="1" applyAlignment="1">
      <alignment horizontal="center" vertical="center" wrapText="1"/>
    </xf>
    <xf numFmtId="0" fontId="21" fillId="33" borderId="11" xfId="42" applyFont="1" applyFill="1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/>
    <xf numFmtId="0" fontId="18" fillId="0" borderId="0" xfId="42" applyAlignment="1">
      <alignment horizontal="center" vertical="center" wrapText="1"/>
    </xf>
    <xf numFmtId="0" fontId="18" fillId="0" borderId="15" xfId="42" applyBorder="1"/>
    <xf numFmtId="0" fontId="18" fillId="0" borderId="16" xfId="42" applyBorder="1"/>
    <xf numFmtId="0" fontId="18" fillId="0" borderId="17" xfId="42" applyBorder="1"/>
    <xf numFmtId="0" fontId="18" fillId="0" borderId="18" xfId="42" applyBorder="1"/>
    <xf numFmtId="0" fontId="18" fillId="0" borderId="19" xfId="42" applyBorder="1"/>
    <xf numFmtId="0" fontId="18" fillId="0" borderId="20" xfId="42" applyBorder="1"/>
    <xf numFmtId="0" fontId="18" fillId="0" borderId="11" xfId="42" applyBorder="1" applyAlignment="1">
      <alignment horizontal="center" vertical="center"/>
    </xf>
    <xf numFmtId="10" fontId="18" fillId="0" borderId="11" xfId="42" applyNumberFormat="1" applyBorder="1" applyAlignment="1">
      <alignment horizontal="center" vertical="center"/>
    </xf>
    <xf numFmtId="0" fontId="22" fillId="0" borderId="0" xfId="42" applyFont="1"/>
    <xf numFmtId="0" fontId="18" fillId="0" borderId="0" xfId="42"/>
    <xf numFmtId="0" fontId="18" fillId="0" borderId="0" xfId="42" applyBorder="1"/>
    <xf numFmtId="0" fontId="18" fillId="0" borderId="21" xfId="42" applyBorder="1"/>
    <xf numFmtId="0" fontId="23" fillId="0" borderId="0" xfId="42" applyFont="1"/>
    <xf numFmtId="0" fontId="18" fillId="0" borderId="22" xfId="42" applyBorder="1"/>
    <xf numFmtId="0" fontId="25" fillId="1" borderId="0" xfId="0" applyFont="1" applyFill="1"/>
    <xf numFmtId="0" fontId="25" fillId="1" borderId="0" xfId="0" applyFont="1" applyFill="1" applyAlignment="1">
      <alignment horizontal="center"/>
    </xf>
    <xf numFmtId="0" fontId="26" fillId="0" borderId="0" xfId="43"/>
    <xf numFmtId="0" fontId="24" fillId="0" borderId="0" xfId="43" applyFont="1"/>
    <xf numFmtId="0" fontId="27" fillId="0" borderId="0" xfId="44"/>
    <xf numFmtId="0" fontId="28" fillId="0" borderId="0" xfId="44" applyFont="1"/>
    <xf numFmtId="0" fontId="29" fillId="0" borderId="10" xfId="44" applyFont="1" applyBorder="1"/>
    <xf numFmtId="0" fontId="27" fillId="0" borderId="0" xfId="44"/>
    <xf numFmtId="0" fontId="27" fillId="0" borderId="0" xfId="44"/>
    <xf numFmtId="0" fontId="19" fillId="0" borderId="11" xfId="42" applyFont="1" applyBorder="1" applyAlignment="1">
      <alignment horizontal="center" vertical="center"/>
    </xf>
    <xf numFmtId="0" fontId="20" fillId="33" borderId="12" xfId="42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0" fontId="18" fillId="0" borderId="0" xfId="42" applyAlignment="1">
      <alignment horizontal="center" vertical="center" wrapText="1"/>
    </xf>
    <xf numFmtId="0" fontId="16" fillId="0" borderId="12" xfId="42" applyFont="1" applyBorder="1" applyAlignment="1">
      <alignment horizontal="left" vertical="center" wrapText="1"/>
    </xf>
    <xf numFmtId="0" fontId="16" fillId="0" borderId="13" xfId="42" applyFont="1" applyBorder="1" applyAlignment="1">
      <alignment horizontal="left" vertical="center" wrapText="1"/>
    </xf>
    <xf numFmtId="0" fontId="16" fillId="0" borderId="14" xfId="42" applyFont="1" applyBorder="1" applyAlignment="1">
      <alignment horizontal="left" vertical="center" wrapText="1"/>
    </xf>
    <xf numFmtId="49" fontId="18" fillId="0" borderId="0" xfId="44" quotePrefix="1" applyNumberFormat="1" applyFont="1"/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3" xfId="43"/>
    <cellStyle name="Normal 4" xfId="44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4"/>
  <sheetViews>
    <sheetView tabSelected="1" topLeftCell="A4" workbookViewId="0">
      <selection activeCell="E8" sqref="E8"/>
    </sheetView>
  </sheetViews>
  <sheetFormatPr baseColWidth="10" defaultColWidth="11.7109375" defaultRowHeight="15"/>
  <cols>
    <col min="1" max="1" width="20.42578125" customWidth="1"/>
    <col min="2" max="2" width="89.7109375" customWidth="1"/>
    <col min="3" max="3" width="12.140625" bestFit="1" customWidth="1"/>
    <col min="4" max="5" width="32.7109375" customWidth="1"/>
    <col min="6" max="6" width="11.7109375" customWidth="1"/>
    <col min="7" max="7" width="32.7109375" customWidth="1"/>
    <col min="8" max="8" width="18.7109375" customWidth="1"/>
    <col min="9" max="9" width="9.7109375" customWidth="1"/>
    <col min="10" max="10" width="14.7109375" customWidth="1"/>
    <col min="11" max="11" width="22.7109375" bestFit="1" customWidth="1"/>
    <col min="12" max="12" width="10.7109375" customWidth="1"/>
    <col min="13" max="13" width="12.7109375" customWidth="1"/>
    <col min="14" max="14" width="13.85546875" bestFit="1" customWidth="1"/>
    <col min="15" max="15" width="15.7109375" bestFit="1" customWidth="1"/>
    <col min="16" max="16" width="10.7109375" customWidth="1"/>
    <col min="17" max="17" width="12.7109375" customWidth="1"/>
    <col min="18" max="18" width="11.7109375" customWidth="1"/>
    <col min="19" max="19" width="13.7109375" customWidth="1"/>
  </cols>
  <sheetData>
    <row r="1" spans="1:19" ht="18">
      <c r="A1" s="27" t="s">
        <v>95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2" spans="1:19" ht="15" customHeight="1"/>
    <row r="3" spans="1:19">
      <c r="A3" s="28" t="s">
        <v>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</row>
    <row r="4" spans="1:19">
      <c r="A4" s="28" t="s">
        <v>96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</row>
    <row r="5" spans="1:19">
      <c r="A5" s="25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</row>
    <row r="6" spans="1:19" ht="27.75" customHeight="1">
      <c r="A6" s="22" t="s">
        <v>52</v>
      </c>
      <c r="B6" s="23"/>
      <c r="C6" s="23" t="s">
        <v>71</v>
      </c>
      <c r="D6" s="23"/>
      <c r="E6" s="23" t="s">
        <v>53</v>
      </c>
      <c r="F6" s="23" t="s">
        <v>54</v>
      </c>
      <c r="G6" s="23"/>
      <c r="H6" s="23" t="s">
        <v>55</v>
      </c>
      <c r="I6" s="23" t="s">
        <v>56</v>
      </c>
      <c r="J6" s="23" t="s">
        <v>57</v>
      </c>
      <c r="K6" s="23" t="s">
        <v>58</v>
      </c>
      <c r="L6" s="23" t="s">
        <v>59</v>
      </c>
      <c r="M6" s="23" t="s">
        <v>60</v>
      </c>
      <c r="N6" s="23" t="s">
        <v>61</v>
      </c>
      <c r="O6" s="23" t="s">
        <v>62</v>
      </c>
      <c r="P6" s="23" t="s">
        <v>63</v>
      </c>
      <c r="Q6" s="23" t="s">
        <v>64</v>
      </c>
      <c r="R6" s="23" t="s">
        <v>65</v>
      </c>
      <c r="S6" s="23" t="s">
        <v>66</v>
      </c>
    </row>
    <row r="7" spans="1:19" ht="15" customHeight="1">
      <c r="A7" s="29" t="s">
        <v>72</v>
      </c>
      <c r="B7" s="30" t="s">
        <v>98</v>
      </c>
      <c r="C7" s="29" t="s">
        <v>92</v>
      </c>
      <c r="D7" s="29" t="s">
        <v>92</v>
      </c>
      <c r="E7" t="str">
        <f>IF((OR(C7="FMPE",C7="TITCNR",C7="TITIRC",C7="STAIRC",C7="STACNR")),"TIT","NONTIT")</f>
        <v>TIT</v>
      </c>
      <c r="F7" s="30" t="s">
        <v>97</v>
      </c>
      <c r="G7" s="30" t="s">
        <v>102</v>
      </c>
      <c r="H7" s="38" t="s">
        <v>120</v>
      </c>
      <c r="I7" s="30">
        <v>3734.11</v>
      </c>
      <c r="J7" s="30">
        <v>49.29</v>
      </c>
      <c r="K7" s="30">
        <v>1.32</v>
      </c>
      <c r="L7" s="30">
        <v>0</v>
      </c>
      <c r="M7" s="30">
        <v>0</v>
      </c>
      <c r="N7" s="30">
        <v>0</v>
      </c>
      <c r="O7" s="30">
        <v>0</v>
      </c>
      <c r="P7" s="30">
        <v>0</v>
      </c>
      <c r="Q7" s="30">
        <v>0</v>
      </c>
      <c r="R7" s="30">
        <v>1.32</v>
      </c>
      <c r="S7" s="30">
        <v>49.29</v>
      </c>
    </row>
    <row r="8" spans="1:19" ht="15" customHeight="1">
      <c r="A8" s="29" t="s">
        <v>72</v>
      </c>
      <c r="B8" s="30" t="s">
        <v>98</v>
      </c>
      <c r="C8" s="29" t="s">
        <v>92</v>
      </c>
      <c r="D8" s="29" t="s">
        <v>92</v>
      </c>
      <c r="E8" t="str">
        <f t="shared" ref="E8:E12" si="0">IF((OR(C8="FMPE",C8="TITCNR",C8="TITIRC",C8="STAIRC",C8="STACNR")),"TIT","NONTIT")</f>
        <v>TIT</v>
      </c>
      <c r="F8" s="30" t="s">
        <v>93</v>
      </c>
      <c r="G8" s="30" t="s">
        <v>103</v>
      </c>
      <c r="H8" s="38" t="s">
        <v>120</v>
      </c>
      <c r="I8" s="30">
        <v>5706.04</v>
      </c>
      <c r="J8" s="30">
        <v>141.33000000000001</v>
      </c>
      <c r="K8" s="30">
        <v>1.32</v>
      </c>
      <c r="L8" s="30">
        <v>0</v>
      </c>
      <c r="M8" s="30">
        <v>0</v>
      </c>
      <c r="N8" s="30">
        <v>0</v>
      </c>
      <c r="O8" s="30">
        <v>0</v>
      </c>
      <c r="P8" s="30">
        <v>0</v>
      </c>
      <c r="Q8" s="30">
        <v>0</v>
      </c>
      <c r="R8" s="30">
        <v>1.32</v>
      </c>
      <c r="S8" s="30">
        <v>141.33000000000001</v>
      </c>
    </row>
    <row r="9" spans="1:19" ht="15" customHeight="1">
      <c r="A9" s="29" t="s">
        <v>72</v>
      </c>
      <c r="B9" s="30" t="s">
        <v>98</v>
      </c>
      <c r="C9" s="29" t="s">
        <v>67</v>
      </c>
      <c r="D9" s="29" t="s">
        <v>68</v>
      </c>
      <c r="E9" t="str">
        <f t="shared" si="0"/>
        <v>NONTIT</v>
      </c>
      <c r="F9" s="30" t="s">
        <v>73</v>
      </c>
      <c r="G9" s="30" t="s">
        <v>104</v>
      </c>
      <c r="H9" s="38" t="s">
        <v>120</v>
      </c>
      <c r="I9" s="30">
        <v>7481.43</v>
      </c>
      <c r="J9" s="30">
        <v>98.76</v>
      </c>
      <c r="K9" s="30">
        <v>1.32</v>
      </c>
      <c r="L9" s="30">
        <v>0</v>
      </c>
      <c r="M9" s="30">
        <v>0</v>
      </c>
      <c r="N9" s="30">
        <v>0</v>
      </c>
      <c r="O9" s="30">
        <v>0</v>
      </c>
      <c r="P9" s="30">
        <v>0</v>
      </c>
      <c r="Q9" s="30">
        <v>0</v>
      </c>
      <c r="R9" s="30">
        <v>1.32</v>
      </c>
      <c r="S9" s="30">
        <v>98.76</v>
      </c>
    </row>
    <row r="10" spans="1:19" ht="15" customHeight="1">
      <c r="A10" s="29" t="s">
        <v>72</v>
      </c>
      <c r="B10" s="30" t="s">
        <v>98</v>
      </c>
      <c r="C10" s="29" t="s">
        <v>67</v>
      </c>
      <c r="D10" s="29" t="s">
        <v>68</v>
      </c>
      <c r="E10" t="str">
        <f t="shared" si="0"/>
        <v>NONTIT</v>
      </c>
      <c r="F10" s="30" t="s">
        <v>74</v>
      </c>
      <c r="G10" s="30" t="s">
        <v>105</v>
      </c>
      <c r="H10" s="38" t="s">
        <v>120</v>
      </c>
      <c r="I10" s="30">
        <v>22240.3</v>
      </c>
      <c r="J10" s="30">
        <v>293.57</v>
      </c>
      <c r="K10" s="30">
        <v>1.32</v>
      </c>
      <c r="L10" s="30">
        <v>0</v>
      </c>
      <c r="M10" s="30">
        <v>0</v>
      </c>
      <c r="N10" s="30">
        <v>53.38</v>
      </c>
      <c r="O10" s="30">
        <v>0.24</v>
      </c>
      <c r="P10" s="30">
        <v>0</v>
      </c>
      <c r="Q10" s="30">
        <v>0</v>
      </c>
      <c r="R10" s="30">
        <v>1.56</v>
      </c>
      <c r="S10" s="30">
        <v>346.95</v>
      </c>
    </row>
    <row r="11" spans="1:19" ht="15" customHeight="1">
      <c r="A11" s="29" t="s">
        <v>72</v>
      </c>
      <c r="B11" s="30" t="s">
        <v>98</v>
      </c>
      <c r="C11" s="29" t="s">
        <v>67</v>
      </c>
      <c r="D11" s="29" t="s">
        <v>68</v>
      </c>
      <c r="E11" t="str">
        <f t="shared" si="0"/>
        <v>NONTIT</v>
      </c>
      <c r="F11" s="30" t="s">
        <v>75</v>
      </c>
      <c r="G11" s="30" t="s">
        <v>106</v>
      </c>
      <c r="H11" s="38" t="s">
        <v>120</v>
      </c>
      <c r="I11" s="30">
        <v>8273.44</v>
      </c>
      <c r="J11" s="30">
        <v>294</v>
      </c>
      <c r="K11" s="30">
        <v>1.32</v>
      </c>
      <c r="L11" s="30">
        <v>0</v>
      </c>
      <c r="M11" s="30">
        <v>0</v>
      </c>
      <c r="N11" s="30">
        <v>0</v>
      </c>
      <c r="O11" s="30">
        <v>0</v>
      </c>
      <c r="P11" s="30">
        <v>86.88</v>
      </c>
      <c r="Q11" s="30">
        <v>0.39</v>
      </c>
      <c r="R11" s="30">
        <v>1.71</v>
      </c>
      <c r="S11" s="30">
        <v>380.88</v>
      </c>
    </row>
    <row r="12" spans="1:19" ht="15" customHeight="1">
      <c r="A12" s="29" t="s">
        <v>72</v>
      </c>
      <c r="B12" s="30" t="s">
        <v>98</v>
      </c>
      <c r="C12" s="29" t="s">
        <v>67</v>
      </c>
      <c r="D12" s="29" t="s">
        <v>68</v>
      </c>
      <c r="E12" t="str">
        <f t="shared" si="0"/>
        <v>NONTIT</v>
      </c>
      <c r="F12" s="30" t="s">
        <v>76</v>
      </c>
      <c r="G12" s="30" t="s">
        <v>107</v>
      </c>
      <c r="H12" s="38" t="s">
        <v>120</v>
      </c>
      <c r="I12" s="30">
        <v>8273.44</v>
      </c>
      <c r="J12" s="30">
        <v>294</v>
      </c>
      <c r="K12" s="30">
        <v>1.32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1.32</v>
      </c>
      <c r="S12" s="30">
        <v>294</v>
      </c>
    </row>
    <row r="13" spans="1:19">
      <c r="A13" s="29" t="s">
        <v>77</v>
      </c>
      <c r="B13" s="30" t="s">
        <v>99</v>
      </c>
      <c r="C13" s="29" t="s">
        <v>69</v>
      </c>
      <c r="D13" s="29" t="s">
        <v>70</v>
      </c>
      <c r="E13" t="str">
        <f t="shared" ref="E13:E24" si="1">IF((OR(C13="FMPE",C13="TITCNR",C13="TITIRC",C13="STAIRC",C13="STACNR")),"TIT","NONTIT")</f>
        <v>TIT</v>
      </c>
      <c r="F13" s="30" t="s">
        <v>78</v>
      </c>
      <c r="G13" s="30" t="s">
        <v>108</v>
      </c>
      <c r="H13" s="38" t="s">
        <v>120</v>
      </c>
      <c r="I13" s="30">
        <v>6947.29</v>
      </c>
      <c r="J13" s="30">
        <v>91.7</v>
      </c>
      <c r="K13" s="30">
        <v>1.32</v>
      </c>
      <c r="L13" s="30">
        <v>15.29</v>
      </c>
      <c r="M13" s="30">
        <v>0.22</v>
      </c>
      <c r="N13" s="30">
        <v>0</v>
      </c>
      <c r="O13" s="30">
        <v>0</v>
      </c>
      <c r="P13" s="30">
        <v>0</v>
      </c>
      <c r="Q13" s="30">
        <v>0</v>
      </c>
      <c r="R13" s="30">
        <v>1.54</v>
      </c>
      <c r="S13" s="30">
        <v>106.99</v>
      </c>
    </row>
    <row r="14" spans="1:19">
      <c r="A14" s="29" t="s">
        <v>77</v>
      </c>
      <c r="B14" s="30" t="s">
        <v>99</v>
      </c>
      <c r="C14" s="29" t="s">
        <v>69</v>
      </c>
      <c r="D14" s="29" t="s">
        <v>70</v>
      </c>
      <c r="E14" t="str">
        <f t="shared" si="1"/>
        <v>TIT</v>
      </c>
      <c r="F14" s="30" t="s">
        <v>79</v>
      </c>
      <c r="G14" s="30" t="s">
        <v>109</v>
      </c>
      <c r="H14" s="38" t="s">
        <v>120</v>
      </c>
      <c r="I14" s="30">
        <v>7167.49</v>
      </c>
      <c r="J14" s="30">
        <v>94.6</v>
      </c>
      <c r="K14" s="30">
        <v>1.32</v>
      </c>
      <c r="L14" s="30">
        <v>15.77</v>
      </c>
      <c r="M14" s="30">
        <v>0.22</v>
      </c>
      <c r="N14" s="30">
        <v>0</v>
      </c>
      <c r="O14" s="30">
        <v>0</v>
      </c>
      <c r="P14" s="30">
        <v>0</v>
      </c>
      <c r="Q14" s="30">
        <v>0</v>
      </c>
      <c r="R14" s="30">
        <v>1.54</v>
      </c>
      <c r="S14" s="30">
        <v>110.37</v>
      </c>
    </row>
    <row r="15" spans="1:19">
      <c r="A15" s="29" t="s">
        <v>77</v>
      </c>
      <c r="B15" s="30" t="s">
        <v>99</v>
      </c>
      <c r="C15" s="29" t="s">
        <v>69</v>
      </c>
      <c r="D15" s="29" t="s">
        <v>70</v>
      </c>
      <c r="E15" t="str">
        <f t="shared" si="1"/>
        <v>TIT</v>
      </c>
      <c r="F15" s="30" t="s">
        <v>80</v>
      </c>
      <c r="G15" s="30" t="s">
        <v>110</v>
      </c>
      <c r="H15" s="38" t="s">
        <v>120</v>
      </c>
      <c r="I15" s="30">
        <v>6680.4</v>
      </c>
      <c r="J15" s="30">
        <v>88.17</v>
      </c>
      <c r="K15" s="30">
        <v>1.32</v>
      </c>
      <c r="L15" s="30">
        <v>14.7</v>
      </c>
      <c r="M15" s="30">
        <v>0.22</v>
      </c>
      <c r="N15" s="30">
        <v>0</v>
      </c>
      <c r="O15" s="30">
        <v>0</v>
      </c>
      <c r="P15" s="30">
        <v>0</v>
      </c>
      <c r="Q15" s="30">
        <v>0</v>
      </c>
      <c r="R15" s="30">
        <v>1.54</v>
      </c>
      <c r="S15" s="30">
        <v>102.87</v>
      </c>
    </row>
    <row r="16" spans="1:19">
      <c r="A16" s="29" t="s">
        <v>77</v>
      </c>
      <c r="B16" s="30" t="s">
        <v>99</v>
      </c>
      <c r="C16" s="29" t="s">
        <v>69</v>
      </c>
      <c r="D16" s="29" t="s">
        <v>70</v>
      </c>
      <c r="E16" t="str">
        <f t="shared" si="1"/>
        <v>TIT</v>
      </c>
      <c r="F16" s="30" t="s">
        <v>81</v>
      </c>
      <c r="G16" s="30" t="s">
        <v>111</v>
      </c>
      <c r="H16" s="38" t="s">
        <v>120</v>
      </c>
      <c r="I16" s="30">
        <v>14165.1</v>
      </c>
      <c r="J16" s="30">
        <v>186.99</v>
      </c>
      <c r="K16" s="30">
        <v>1.32</v>
      </c>
      <c r="L16" s="30">
        <v>31.17</v>
      </c>
      <c r="M16" s="30">
        <v>0.22</v>
      </c>
      <c r="N16" s="30">
        <v>0</v>
      </c>
      <c r="O16" s="30">
        <v>0</v>
      </c>
      <c r="P16" s="30">
        <v>0</v>
      </c>
      <c r="Q16" s="30">
        <v>0</v>
      </c>
      <c r="R16" s="30">
        <v>1.54</v>
      </c>
      <c r="S16" s="30">
        <v>218.16</v>
      </c>
    </row>
    <row r="17" spans="1:19">
      <c r="A17" s="29" t="s">
        <v>77</v>
      </c>
      <c r="B17" s="30" t="s">
        <v>99</v>
      </c>
      <c r="C17" s="29" t="s">
        <v>69</v>
      </c>
      <c r="D17" s="29" t="s">
        <v>70</v>
      </c>
      <c r="E17" t="str">
        <f t="shared" si="1"/>
        <v>TIT</v>
      </c>
      <c r="F17" s="30" t="s">
        <v>82</v>
      </c>
      <c r="G17" s="30" t="s">
        <v>112</v>
      </c>
      <c r="H17" s="38" t="s">
        <v>120</v>
      </c>
      <c r="I17" s="30">
        <v>4851</v>
      </c>
      <c r="J17" s="30">
        <v>64.040000000000006</v>
      </c>
      <c r="K17" s="30">
        <v>1.32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1.32</v>
      </c>
      <c r="S17" s="30">
        <v>64.040000000000006</v>
      </c>
    </row>
    <row r="18" spans="1:19">
      <c r="A18" s="29" t="s">
        <v>83</v>
      </c>
      <c r="B18" s="30" t="s">
        <v>100</v>
      </c>
      <c r="C18" s="29" t="s">
        <v>69</v>
      </c>
      <c r="D18" s="29" t="s">
        <v>70</v>
      </c>
      <c r="E18" t="str">
        <f t="shared" si="1"/>
        <v>TIT</v>
      </c>
      <c r="F18" s="30" t="s">
        <v>84</v>
      </c>
      <c r="G18" s="30" t="s">
        <v>113</v>
      </c>
      <c r="H18" s="38" t="s">
        <v>120</v>
      </c>
      <c r="I18" s="30">
        <v>6729.09</v>
      </c>
      <c r="J18" s="30">
        <v>88.82</v>
      </c>
      <c r="K18" s="30">
        <v>1.32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1.32</v>
      </c>
      <c r="S18" s="30">
        <v>88.82</v>
      </c>
    </row>
    <row r="19" spans="1:19">
      <c r="A19" s="29" t="s">
        <v>83</v>
      </c>
      <c r="B19" s="30" t="s">
        <v>100</v>
      </c>
      <c r="C19" s="29" t="s">
        <v>69</v>
      </c>
      <c r="D19" s="29" t="s">
        <v>70</v>
      </c>
      <c r="E19" t="str">
        <f t="shared" si="1"/>
        <v>TIT</v>
      </c>
      <c r="F19" s="30" t="s">
        <v>86</v>
      </c>
      <c r="G19" s="30" t="s">
        <v>114</v>
      </c>
      <c r="H19" s="38" t="s">
        <v>120</v>
      </c>
      <c r="I19" s="30">
        <v>4802.9399999999996</v>
      </c>
      <c r="J19" s="30">
        <v>63.4</v>
      </c>
      <c r="K19" s="30">
        <v>1.32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1.32</v>
      </c>
      <c r="S19" s="30">
        <v>63.4</v>
      </c>
    </row>
    <row r="20" spans="1:19">
      <c r="A20" s="29" t="s">
        <v>83</v>
      </c>
      <c r="B20" s="30" t="s">
        <v>100</v>
      </c>
      <c r="C20" s="29" t="s">
        <v>69</v>
      </c>
      <c r="D20" s="29" t="s">
        <v>70</v>
      </c>
      <c r="E20" t="str">
        <f t="shared" si="1"/>
        <v>TIT</v>
      </c>
      <c r="F20" s="30" t="s">
        <v>85</v>
      </c>
      <c r="G20" s="30" t="s">
        <v>115</v>
      </c>
      <c r="H20" s="38" t="s">
        <v>120</v>
      </c>
      <c r="I20" s="30">
        <v>6157.41</v>
      </c>
      <c r="J20" s="30">
        <v>81.27</v>
      </c>
      <c r="K20" s="30">
        <v>1.32</v>
      </c>
      <c r="L20" s="30">
        <v>13.56</v>
      </c>
      <c r="M20" s="30">
        <v>0.22</v>
      </c>
      <c r="N20" s="30">
        <v>0</v>
      </c>
      <c r="O20" s="30">
        <v>0</v>
      </c>
      <c r="P20" s="30">
        <v>0</v>
      </c>
      <c r="Q20" s="30">
        <v>0</v>
      </c>
      <c r="R20" s="30">
        <v>1.54</v>
      </c>
      <c r="S20" s="30">
        <v>94.83</v>
      </c>
    </row>
    <row r="21" spans="1:19">
      <c r="A21" s="29" t="s">
        <v>87</v>
      </c>
      <c r="B21" s="30" t="s">
        <v>101</v>
      </c>
      <c r="C21" s="29" t="s">
        <v>69</v>
      </c>
      <c r="D21" s="29" t="s">
        <v>70</v>
      </c>
      <c r="E21" t="str">
        <f t="shared" si="1"/>
        <v>TIT</v>
      </c>
      <c r="F21" s="30" t="s">
        <v>88</v>
      </c>
      <c r="G21" s="30" t="s">
        <v>116</v>
      </c>
      <c r="H21" s="38" t="s">
        <v>120</v>
      </c>
      <c r="I21" s="30">
        <v>4806.3</v>
      </c>
      <c r="J21" s="30">
        <v>63.45</v>
      </c>
      <c r="K21" s="30">
        <v>1.32</v>
      </c>
      <c r="L21" s="30">
        <v>10.56</v>
      </c>
      <c r="M21" s="30">
        <v>0.22</v>
      </c>
      <c r="N21" s="30">
        <v>0</v>
      </c>
      <c r="O21" s="30">
        <v>0</v>
      </c>
      <c r="P21" s="30">
        <v>0</v>
      </c>
      <c r="Q21" s="30">
        <v>0</v>
      </c>
      <c r="R21" s="30">
        <v>1.54</v>
      </c>
      <c r="S21" s="30">
        <v>74.010000000000005</v>
      </c>
    </row>
    <row r="22" spans="1:19">
      <c r="A22" s="29" t="s">
        <v>87</v>
      </c>
      <c r="B22" s="30" t="s">
        <v>101</v>
      </c>
      <c r="C22" s="29" t="s">
        <v>69</v>
      </c>
      <c r="D22" s="29" t="s">
        <v>70</v>
      </c>
      <c r="E22" t="str">
        <f t="shared" si="1"/>
        <v>TIT</v>
      </c>
      <c r="F22" s="30" t="s">
        <v>89</v>
      </c>
      <c r="G22" s="30" t="s">
        <v>117</v>
      </c>
      <c r="H22" s="38" t="s">
        <v>120</v>
      </c>
      <c r="I22" s="30">
        <v>5532.69</v>
      </c>
      <c r="J22" s="30">
        <v>73.02</v>
      </c>
      <c r="K22" s="30">
        <v>1.32</v>
      </c>
      <c r="L22" s="30">
        <v>12.18</v>
      </c>
      <c r="M22" s="30">
        <v>0.22</v>
      </c>
      <c r="N22" s="30">
        <v>0</v>
      </c>
      <c r="O22" s="30">
        <v>0</v>
      </c>
      <c r="P22" s="30">
        <v>0</v>
      </c>
      <c r="Q22" s="30">
        <v>0</v>
      </c>
      <c r="R22" s="30">
        <v>1.54</v>
      </c>
      <c r="S22" s="30">
        <v>85.2</v>
      </c>
    </row>
    <row r="23" spans="1:19">
      <c r="A23" s="29" t="s">
        <v>87</v>
      </c>
      <c r="B23" s="30" t="s">
        <v>101</v>
      </c>
      <c r="C23" s="29" t="s">
        <v>69</v>
      </c>
      <c r="D23" s="29" t="s">
        <v>70</v>
      </c>
      <c r="E23" t="str">
        <f t="shared" si="1"/>
        <v>TIT</v>
      </c>
      <c r="F23" s="30" t="s">
        <v>90</v>
      </c>
      <c r="G23" s="30" t="s">
        <v>118</v>
      </c>
      <c r="H23" s="38" t="s">
        <v>120</v>
      </c>
      <c r="I23" s="30">
        <v>7119.36</v>
      </c>
      <c r="J23" s="30">
        <v>93.99</v>
      </c>
      <c r="K23" s="30">
        <v>1.32</v>
      </c>
      <c r="L23" s="30">
        <v>15.66</v>
      </c>
      <c r="M23" s="30">
        <v>0.22</v>
      </c>
      <c r="N23" s="30">
        <v>0</v>
      </c>
      <c r="O23" s="30">
        <v>0</v>
      </c>
      <c r="P23" s="30">
        <v>0</v>
      </c>
      <c r="Q23" s="30">
        <v>0</v>
      </c>
      <c r="R23" s="30">
        <v>1.54</v>
      </c>
      <c r="S23" s="30">
        <v>109.65</v>
      </c>
    </row>
    <row r="24" spans="1:19">
      <c r="A24" s="29" t="s">
        <v>87</v>
      </c>
      <c r="B24" s="30" t="s">
        <v>101</v>
      </c>
      <c r="C24" s="29" t="s">
        <v>69</v>
      </c>
      <c r="D24" s="29" t="s">
        <v>70</v>
      </c>
      <c r="E24" t="str">
        <f t="shared" si="1"/>
        <v>TIT</v>
      </c>
      <c r="F24" s="30" t="s">
        <v>91</v>
      </c>
      <c r="G24" s="30" t="s">
        <v>119</v>
      </c>
      <c r="H24" s="38" t="s">
        <v>120</v>
      </c>
      <c r="I24" s="30">
        <v>7058.33</v>
      </c>
      <c r="J24" s="30">
        <v>93.18</v>
      </c>
      <c r="K24" s="30">
        <v>1.32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1.32</v>
      </c>
      <c r="S24" s="30">
        <v>93.18</v>
      </c>
    </row>
  </sheetData>
  <autoFilter ref="A6:S24">
    <filterColumn colId="0"/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52"/>
  <sheetViews>
    <sheetView topLeftCell="A29" workbookViewId="0">
      <selection activeCell="C48" sqref="C48:C52"/>
    </sheetView>
  </sheetViews>
  <sheetFormatPr baseColWidth="10" defaultColWidth="15.42578125" defaultRowHeight="15"/>
  <sheetData>
    <row r="2" spans="1:6">
      <c r="A2" s="31" t="s">
        <v>1</v>
      </c>
      <c r="B2" s="31"/>
      <c r="C2" s="31"/>
      <c r="D2" s="31"/>
      <c r="E2" s="31"/>
      <c r="F2" s="31"/>
    </row>
    <row r="5" spans="1:6" ht="18">
      <c r="A5" s="32" t="s">
        <v>2</v>
      </c>
      <c r="B5" s="33"/>
      <c r="C5" s="33"/>
      <c r="D5" s="33"/>
      <c r="E5" s="33"/>
      <c r="F5" s="33"/>
    </row>
    <row r="7" spans="1:6">
      <c r="A7" s="2" t="s">
        <v>3</v>
      </c>
      <c r="B7" s="20" t="s">
        <v>29</v>
      </c>
      <c r="C7" s="1"/>
      <c r="D7" s="19"/>
      <c r="E7" s="19"/>
      <c r="F7" s="1"/>
    </row>
    <row r="8" spans="1:6">
      <c r="A8" s="2" t="s">
        <v>4</v>
      </c>
      <c r="B8" s="20" t="s">
        <v>30</v>
      </c>
      <c r="C8" s="1"/>
      <c r="D8" s="21"/>
      <c r="E8" s="21"/>
      <c r="F8" s="1"/>
    </row>
    <row r="9" spans="1:6">
      <c r="A9" s="2" t="s">
        <v>5</v>
      </c>
      <c r="B9" s="20" t="s">
        <v>31</v>
      </c>
      <c r="C9" s="1"/>
      <c r="D9" s="21"/>
      <c r="E9" s="21"/>
      <c r="F9" s="1"/>
    </row>
    <row r="10" spans="1:6">
      <c r="A10" s="2" t="s">
        <v>6</v>
      </c>
      <c r="B10" s="20" t="s">
        <v>32</v>
      </c>
      <c r="C10" s="1"/>
      <c r="D10" s="21"/>
      <c r="E10" s="21"/>
      <c r="F10" s="1"/>
    </row>
    <row r="13" spans="1:6" ht="66">
      <c r="A13" s="3" t="s">
        <v>7</v>
      </c>
      <c r="B13" s="3" t="s">
        <v>8</v>
      </c>
      <c r="C13" s="4" t="s">
        <v>9</v>
      </c>
      <c r="D13" s="3" t="s">
        <v>10</v>
      </c>
      <c r="E13" s="3" t="s">
        <v>11</v>
      </c>
      <c r="F13" s="3" t="s">
        <v>12</v>
      </c>
    </row>
    <row r="14" spans="1:6" ht="25.5">
      <c r="A14" s="5" t="s">
        <v>33</v>
      </c>
      <c r="B14" s="14">
        <f>COUNTIFS(Feuil1!E7:E149,"NONTIT",Feuil1!R7:R149,"1,32")</f>
        <v>2</v>
      </c>
      <c r="C14" s="14">
        <f>(SUMIFS(Feuil1!I7:I149,Feuil1!E7:E149,"NONTIT",Feuil1!R7:R149,"1,32"))</f>
        <v>15754.87</v>
      </c>
      <c r="D14" s="5" t="s">
        <v>13</v>
      </c>
      <c r="E14" s="15">
        <v>1.32E-2</v>
      </c>
      <c r="F14" s="14">
        <f>(SUMIFS(Feuil1!S7:S149,Feuil1!E7:E149,"NONTIT",Feuil1!R7:R149,"1,32"))</f>
        <v>392.76</v>
      </c>
    </row>
    <row r="15" spans="1:6" ht="25.5">
      <c r="A15" s="5" t="s">
        <v>34</v>
      </c>
      <c r="B15" s="14">
        <f>COUNTIFS(Feuil1!E7:E149,"NONTIT",Feuil1!R7:R149,"1,54")</f>
        <v>0</v>
      </c>
      <c r="C15" s="14">
        <f>(SUMIFS(Feuil1!I7:I149,Feuil1!E7:E149,"NONTIT",Feuil1!R7:R149,"1,54"))</f>
        <v>0</v>
      </c>
      <c r="D15" s="5" t="s">
        <v>13</v>
      </c>
      <c r="E15" s="15">
        <v>1.54E-2</v>
      </c>
      <c r="F15" s="14">
        <f>(SUMIFS(Feuil1!S7:S149,Feuil1!E7:E149,"NONTIT",Feuil1!R7:R149,"1,54"))</f>
        <v>0</v>
      </c>
    </row>
    <row r="16" spans="1:6" ht="25.5">
      <c r="A16" s="5" t="s">
        <v>35</v>
      </c>
      <c r="B16" s="14">
        <f>COUNTIFS(Feuil1!E7:E149,"NONTIT",Feuil1!R7:R149,"1,56")</f>
        <v>1</v>
      </c>
      <c r="C16" s="14">
        <f>(SUMIFS(Feuil1!I7:I149,Feuil1!E7:E149,"NONTIT",Feuil1!R7:R149,"1,56"))</f>
        <v>22240.3</v>
      </c>
      <c r="D16" s="5" t="s">
        <v>13</v>
      </c>
      <c r="E16" s="15">
        <v>1.5599999999999999E-2</v>
      </c>
      <c r="F16" s="14">
        <f>(SUMIFS(Feuil1!S7:S149,Feuil1!E7:E149,"NONTIT",Feuil1!R7:R149,"1,56"))</f>
        <v>346.95</v>
      </c>
    </row>
    <row r="17" spans="1:10" ht="25.5">
      <c r="A17" s="5" t="s">
        <v>36</v>
      </c>
      <c r="B17" s="14">
        <f>COUNTIFS(Feuil1!E7:E149,"NONTIT",Feuil1!R7:R149,"1,71")</f>
        <v>1</v>
      </c>
      <c r="C17" s="14">
        <f>(SUMIFS(Feuil1!I7:I149,Feuil1!E7:E149,"NONTIT",Feuil1!R7:R149,"1,71"))</f>
        <v>8273.44</v>
      </c>
      <c r="D17" s="5" t="s">
        <v>13</v>
      </c>
      <c r="E17" s="15">
        <v>1.7100000000000001E-2</v>
      </c>
      <c r="F17" s="14">
        <f>(SUMIFS(Feuil1!S7:S149,Feuil1!E7:E149,"NONTIT",Feuil1!R7:R149,"1,71"))</f>
        <v>380.88</v>
      </c>
      <c r="G17" s="1"/>
      <c r="H17" s="1"/>
      <c r="I17" s="1"/>
      <c r="J17" s="1"/>
    </row>
    <row r="18" spans="1:10" ht="25.5">
      <c r="A18" s="5" t="s">
        <v>37</v>
      </c>
      <c r="B18" s="14">
        <f>COUNTIFS(Feuil1!E7:E149,"NONTIT",Feuil1!R7:R149,"1,78")</f>
        <v>0</v>
      </c>
      <c r="C18" s="14">
        <f>(SUMIFS(Feuil1!I7:I149,Feuil1!E7:E149,"NONTIT",Feuil1!R7:R149,"1,88"))</f>
        <v>0</v>
      </c>
      <c r="D18" s="5" t="s">
        <v>13</v>
      </c>
      <c r="E18" s="15">
        <v>1.78E-2</v>
      </c>
      <c r="F18" s="14">
        <f>(SUMIFS(Feuil1!S7:S149,Feuil1!E7:E149,"NONTIT",Feuil1!R7:R149,"1,78"))</f>
        <v>0</v>
      </c>
      <c r="G18" s="1"/>
      <c r="H18" s="1"/>
      <c r="I18" s="1"/>
      <c r="J18" s="1"/>
    </row>
    <row r="19" spans="1:10" ht="25.5">
      <c r="A19" s="5" t="s">
        <v>38</v>
      </c>
      <c r="B19" s="14">
        <f>COUNTIFS(Feuil1!E7:E149,"NONTIT",Feuil1!R7:R149,"2,17")</f>
        <v>0</v>
      </c>
      <c r="C19" s="14">
        <f>(SUMIFS(Feuil1!I7:I149,Feuil1!E7:E149,"NONTIT",Feuil1!R7:R149,"2,17"))</f>
        <v>0</v>
      </c>
      <c r="D19" s="5" t="s">
        <v>13</v>
      </c>
      <c r="E19" s="15">
        <v>2.1700000000000001E-2</v>
      </c>
      <c r="F19" s="14">
        <f>(SUMIFS(Feuil1!S7:S149,Feuil1!E7:E149,"NONTIT",Feuil1!R7:R149,"2,17"))</f>
        <v>0</v>
      </c>
      <c r="G19" s="1"/>
      <c r="H19" s="1"/>
      <c r="I19" s="1"/>
      <c r="J19" s="1"/>
    </row>
    <row r="20" spans="1:10" ht="25.5">
      <c r="A20" s="5" t="s">
        <v>39</v>
      </c>
      <c r="B20" s="14">
        <f>COUNTIFS(Feuil1!E7:E149,"NONTIT",Feuil1!R7:R149,"1,93")</f>
        <v>0</v>
      </c>
      <c r="C20" s="14">
        <f>(SUMIFS(Feuil1!I7:I149,Feuil1!E7:E149,"NONTIT",Feuil1!R7:R149,"1,93"))</f>
        <v>0</v>
      </c>
      <c r="D20" s="5" t="s">
        <v>13</v>
      </c>
      <c r="E20" s="15">
        <v>1.9300000000000001E-2</v>
      </c>
      <c r="F20" s="14">
        <f>(SUMIFS(Feuil1!S7:S149,Feuil1!E7:E149,"NONTIT",Feuil1!R7:R149,"1,93"))</f>
        <v>0</v>
      </c>
      <c r="G20" s="17"/>
      <c r="H20" s="17"/>
      <c r="I20" s="17"/>
      <c r="J20" s="17"/>
    </row>
    <row r="21" spans="1:10" ht="25.5">
      <c r="A21" s="5" t="s">
        <v>40</v>
      </c>
      <c r="B21" s="14">
        <f>COUNTIFS(Feuil1!E7:E149,"NONTIT",Feuil1!R7:R149,"1,95")</f>
        <v>0</v>
      </c>
      <c r="C21" s="14">
        <f>(SUMIFS(Feuil1!I7:I149,Feuil1!E7:E149,"NONTIT",Feuil1!R7:R149,"1,95"))</f>
        <v>0</v>
      </c>
      <c r="D21" s="5" t="s">
        <v>13</v>
      </c>
      <c r="E21" s="15">
        <v>1.95E-2</v>
      </c>
      <c r="F21" s="14">
        <f>(SUMIFS(Feuil1!S7:S149,Feuil1!E7:E149,"NONTIT",Feuil1!R7:R149,"1,95"))</f>
        <v>0</v>
      </c>
      <c r="G21" s="1"/>
      <c r="H21" s="1"/>
      <c r="I21" s="1"/>
      <c r="J21" s="1"/>
    </row>
    <row r="22" spans="1:10" ht="25.5">
      <c r="A22" s="5" t="s">
        <v>41</v>
      </c>
      <c r="B22" s="14">
        <f>COUNTIFS(Feuil1!E7:E149,"TIT",Feuil1!R7:R149,"1,32")</f>
        <v>6</v>
      </c>
      <c r="C22" s="14">
        <f>(SUMIFS(Feuil1!I7:I149,Feuil1!E7:E149,"TIT",Feuil1!R7:R149,"1,32"))</f>
        <v>32881.509999999995</v>
      </c>
      <c r="D22" s="5" t="s">
        <v>13</v>
      </c>
      <c r="E22" s="15">
        <v>1.32E-2</v>
      </c>
      <c r="F22" s="14">
        <f>(SUMIFS(Feuil1!S7:S149,Feuil1!E7:E149,"TIT",Feuil1!R7:R149,"1,32"))</f>
        <v>500.06</v>
      </c>
    </row>
    <row r="23" spans="1:10" ht="25.5">
      <c r="A23" s="5" t="s">
        <v>42</v>
      </c>
      <c r="B23" s="14">
        <f>COUNTIFS(Feuil1!E7:E149,"TIT",Feuil1!R7:R149,"1,54")</f>
        <v>8</v>
      </c>
      <c r="C23" s="14">
        <f>(SUMIFS(Feuil1!I7:I149,Feuil1!E7:E149,"TIT",Feuil1!R7:R149,"1,54"))</f>
        <v>58576.040000000008</v>
      </c>
      <c r="D23" s="5" t="s">
        <v>13</v>
      </c>
      <c r="E23" s="15">
        <v>1.54E-2</v>
      </c>
      <c r="F23" s="14">
        <f>(SUMIFS(Feuil1!S7:S149,Feuil1!E7:E149,"TIT",Feuil1!R7:R149,"1,54"))</f>
        <v>902.08</v>
      </c>
    </row>
    <row r="24" spans="1:10" ht="25.5">
      <c r="A24" s="5" t="s">
        <v>43</v>
      </c>
      <c r="B24" s="14">
        <f>COUNTIFS(Feuil1!E7:E149,"TIT",Feuil1!R7:R149,"1,56")</f>
        <v>0</v>
      </c>
      <c r="C24" s="14">
        <f>(SUMIFS(Feuil1!I7:I149,Feuil1!E7:E149,"TIT",Feuil1!R7:R149,"1,56"))</f>
        <v>0</v>
      </c>
      <c r="D24" s="5" t="s">
        <v>13</v>
      </c>
      <c r="E24" s="15">
        <v>1.5599999999999999E-2</v>
      </c>
      <c r="F24" s="14">
        <f>(SUMIFS(Feuil1!S7:S149,Feuil1!E7:E149,"TIT",Feuil1!R7:R149,"1,56"))</f>
        <v>0</v>
      </c>
    </row>
    <row r="25" spans="1:10" ht="25.5">
      <c r="A25" s="5" t="s">
        <v>44</v>
      </c>
      <c r="B25" s="14">
        <f>COUNTIFS(Feuil1!E7:E149,"TIT",Feuil1!R7:R149,"1,71")</f>
        <v>0</v>
      </c>
      <c r="C25" s="14">
        <f>(SUMIFS(Feuil1!I7:I149,Feuil1!E7:E149,"TIT",Feuil1!R7:R149,"1,71"))</f>
        <v>0</v>
      </c>
      <c r="D25" s="5" t="s">
        <v>13</v>
      </c>
      <c r="E25" s="15">
        <v>1.7100000000000001E-2</v>
      </c>
      <c r="F25" s="14">
        <f>(SUMIFS(Feuil1!S7:S149,Feuil1!E7:E149,"TIT",Feuil1!R7:R149,"1,71"))</f>
        <v>0</v>
      </c>
      <c r="G25" s="17"/>
      <c r="H25" s="17"/>
      <c r="I25" s="17"/>
      <c r="J25" s="17"/>
    </row>
    <row r="26" spans="1:10" ht="25.5">
      <c r="A26" s="5" t="s">
        <v>45</v>
      </c>
      <c r="B26" s="14">
        <f>COUNTIFS(Feuil1!E7:E149,"TIT",Feuil1!R7:R149,"1,78")</f>
        <v>0</v>
      </c>
      <c r="C26" s="14">
        <f>(SUMIFS(Feuil1!I7:I149,Feuil1!E7:E149,"TIT",Feuil1!R7:R149,"1,78"))</f>
        <v>0</v>
      </c>
      <c r="D26" s="5" t="s">
        <v>13</v>
      </c>
      <c r="E26" s="15">
        <v>1.78E-2</v>
      </c>
      <c r="F26" s="14">
        <f>(SUMIFS(Feuil1!S7:S149,Feuil1!E7:E149,"TIT",Feuil1!R7:R149,"1,78"))</f>
        <v>0</v>
      </c>
      <c r="G26" s="17"/>
      <c r="H26" s="17"/>
      <c r="I26" s="17"/>
      <c r="J26" s="17"/>
    </row>
    <row r="27" spans="1:10" ht="25.5">
      <c r="A27" s="5" t="s">
        <v>46</v>
      </c>
      <c r="B27" s="14">
        <f>COUNTIFS(Feuil1!E7:E149,"TIT",Feuil1!R7:R149,"2,17")</f>
        <v>0</v>
      </c>
      <c r="C27" s="14">
        <f>(SUMIFS(Feuil1!I7:I149,Feuil1!E7:E149,"TIT",Feuil1!R7:R149,"2,17"))</f>
        <v>0</v>
      </c>
      <c r="D27" s="5" t="s">
        <v>13</v>
      </c>
      <c r="E27" s="15">
        <v>2.1700000000000001E-2</v>
      </c>
      <c r="F27" s="14">
        <f>(SUMIFS(Feuil1!S7:S149,Feuil1!E7:E149,"TIT",Feuil1!R7:R149,"2,17"))</f>
        <v>0</v>
      </c>
      <c r="G27" s="17"/>
      <c r="H27" s="17"/>
      <c r="I27" s="17"/>
      <c r="J27" s="17"/>
    </row>
    <row r="28" spans="1:10" ht="25.5">
      <c r="A28" s="5" t="s">
        <v>47</v>
      </c>
      <c r="B28" s="14">
        <f>COUNTIFS(Feuil1!E7:E149,"TIT",Feuil1!R7:R149,"1,93")</f>
        <v>0</v>
      </c>
      <c r="C28" s="14">
        <f>(SUMIFS(Feuil1!I7:I149,Feuil1!E7:E149,"TIT",Feuil1!R7:R149,"1,93"))</f>
        <v>0</v>
      </c>
      <c r="D28" s="5" t="s">
        <v>13</v>
      </c>
      <c r="E28" s="15">
        <v>1.9300000000000001E-2</v>
      </c>
      <c r="F28" s="14">
        <f>(SUMIFS(Feuil1!S7:S149,Feuil1!E7:E149,"TIT",Feuil1!R7:R149,"1,93"))</f>
        <v>0</v>
      </c>
      <c r="G28" s="17"/>
      <c r="H28" s="17"/>
      <c r="I28" s="17"/>
      <c r="J28" s="17"/>
    </row>
    <row r="29" spans="1:10" ht="25.5">
      <c r="A29" s="5" t="s">
        <v>48</v>
      </c>
      <c r="B29" s="14">
        <f>COUNTIFS(Feuil1!E7:E149,"TIT",Feuil1!R7:R149,"1,95")</f>
        <v>0</v>
      </c>
      <c r="C29" s="14">
        <f>(SUMIFS(Feuil1!I7:I149,Feuil1!E7:E149,"TIT",Feuil1!R7:R149,"1,95"))</f>
        <v>0</v>
      </c>
      <c r="D29" s="5" t="s">
        <v>13</v>
      </c>
      <c r="E29" s="15">
        <v>1.95E-2</v>
      </c>
      <c r="F29" s="14">
        <f>(SUMIFS(Feuil1!S7:S149,Feuil1!E7:E149,"TIT",Feuil1!R7:R149,"1,95"))</f>
        <v>0</v>
      </c>
      <c r="G29" s="17"/>
      <c r="H29" s="17"/>
      <c r="I29" s="17"/>
      <c r="J29" s="17"/>
    </row>
    <row r="30" spans="1:10">
      <c r="A30" s="5" t="s">
        <v>94</v>
      </c>
      <c r="B30" s="14">
        <f>SUM(B14:B29)</f>
        <v>18</v>
      </c>
      <c r="C30" s="14"/>
      <c r="D30" s="5"/>
      <c r="E30" s="15"/>
      <c r="F30" s="14"/>
      <c r="G30" s="1"/>
      <c r="H30" s="1"/>
      <c r="I30" s="16"/>
      <c r="J30" s="16"/>
    </row>
    <row r="31" spans="1:10">
      <c r="A31" s="7"/>
      <c r="B31" s="1"/>
      <c r="C31" s="1"/>
      <c r="D31" s="1"/>
      <c r="E31" s="1"/>
      <c r="F31" s="1"/>
      <c r="G31" s="1"/>
      <c r="H31" s="1"/>
      <c r="I31" s="16" t="s">
        <v>14</v>
      </c>
      <c r="J31" s="16">
        <v>1</v>
      </c>
    </row>
    <row r="32" spans="1:10">
      <c r="A32" s="34" t="s">
        <v>15</v>
      </c>
      <c r="B32" s="34"/>
      <c r="C32" s="34"/>
      <c r="D32" s="34"/>
      <c r="E32" s="1"/>
      <c r="F32" s="1"/>
      <c r="G32" s="1"/>
      <c r="H32" s="1"/>
      <c r="I32" s="16" t="s">
        <v>16</v>
      </c>
      <c r="J32" s="16">
        <v>6</v>
      </c>
    </row>
    <row r="33" spans="1:10">
      <c r="A33" s="7"/>
      <c r="B33" s="1"/>
      <c r="C33" s="1"/>
      <c r="D33" s="1"/>
      <c r="E33" s="1"/>
      <c r="F33" s="1"/>
      <c r="G33" s="1"/>
      <c r="H33" s="1"/>
      <c r="I33" s="16" t="s">
        <v>17</v>
      </c>
      <c r="J33" s="16">
        <v>140</v>
      </c>
    </row>
    <row r="34" spans="1:10">
      <c r="A34" s="35" t="s">
        <v>18</v>
      </c>
      <c r="B34" s="36"/>
      <c r="C34" s="36"/>
      <c r="D34" s="36"/>
      <c r="E34" s="37"/>
      <c r="F34" s="6">
        <f>SUM(F14:F30)</f>
        <v>2522.73</v>
      </c>
      <c r="G34" s="1"/>
      <c r="H34" s="1"/>
      <c r="I34" s="16"/>
      <c r="J34" s="16">
        <v>148</v>
      </c>
    </row>
    <row r="35" spans="1:10">
      <c r="A35" s="7"/>
      <c r="B35" s="1"/>
      <c r="C35" s="1"/>
      <c r="D35" s="1"/>
      <c r="E35" s="1"/>
      <c r="F35" s="1"/>
      <c r="G35" s="1"/>
      <c r="H35" s="1"/>
      <c r="I35" s="16" t="s">
        <v>19</v>
      </c>
      <c r="J35" s="16">
        <v>467</v>
      </c>
    </row>
    <row r="36" spans="1:10">
      <c r="A36" s="2" t="s">
        <v>20</v>
      </c>
      <c r="B36" s="1"/>
      <c r="C36" s="1"/>
      <c r="D36" s="1"/>
      <c r="E36" s="1"/>
      <c r="F36" s="1"/>
      <c r="G36" s="1"/>
      <c r="H36" s="1"/>
      <c r="I36" s="16">
        <v>327</v>
      </c>
      <c r="J36" s="16"/>
    </row>
    <row r="37" spans="1:10">
      <c r="A37" s="1"/>
      <c r="B37" s="1"/>
      <c r="C37" s="1"/>
      <c r="D37" s="1"/>
      <c r="E37" s="1"/>
      <c r="F37" s="1"/>
      <c r="G37" s="1"/>
      <c r="H37" s="1"/>
      <c r="I37" s="16">
        <v>0</v>
      </c>
      <c r="J37" s="16"/>
    </row>
    <row r="38" spans="1:10">
      <c r="A38" s="8" t="s">
        <v>49</v>
      </c>
      <c r="B38" s="9"/>
      <c r="C38" s="9" t="s">
        <v>50</v>
      </c>
      <c r="D38" s="9"/>
      <c r="E38" s="9"/>
      <c r="F38" s="10"/>
      <c r="G38" s="1"/>
      <c r="H38" s="1"/>
      <c r="I38" s="16" t="s">
        <v>21</v>
      </c>
      <c r="J38" s="16">
        <v>615</v>
      </c>
    </row>
    <row r="39" spans="1:10">
      <c r="A39" s="11"/>
      <c r="B39" s="12"/>
      <c r="C39" s="12"/>
      <c r="D39" s="12"/>
      <c r="E39" s="12"/>
      <c r="F39" s="13"/>
      <c r="G39" s="1"/>
      <c r="H39" s="1"/>
      <c r="I39" s="16" t="s">
        <v>22</v>
      </c>
      <c r="J39" s="16">
        <v>179</v>
      </c>
    </row>
    <row r="40" spans="1:10">
      <c r="A40" s="18"/>
      <c r="B40" s="18"/>
      <c r="C40" s="18"/>
      <c r="D40" s="18"/>
      <c r="E40" s="18"/>
      <c r="F40" s="18"/>
      <c r="G40" s="17"/>
      <c r="H40" s="17"/>
      <c r="I40" s="16"/>
      <c r="J40" s="16"/>
    </row>
    <row r="41" spans="1:10">
      <c r="A41" s="8" t="s">
        <v>49</v>
      </c>
      <c r="B41" s="9"/>
      <c r="C41" s="9" t="s">
        <v>51</v>
      </c>
      <c r="D41" s="9"/>
      <c r="E41" s="9"/>
      <c r="F41" s="10"/>
      <c r="G41" s="17"/>
      <c r="H41" s="17"/>
      <c r="I41" s="16" t="s">
        <v>21</v>
      </c>
      <c r="J41" s="16">
        <v>615</v>
      </c>
    </row>
    <row r="42" spans="1:10">
      <c r="A42" s="11" t="s">
        <v>121</v>
      </c>
      <c r="B42" s="12"/>
      <c r="C42" s="12"/>
      <c r="D42" s="12"/>
      <c r="E42" s="12"/>
      <c r="F42" s="13"/>
      <c r="G42" s="17"/>
      <c r="H42" s="17"/>
      <c r="I42" s="16" t="s">
        <v>22</v>
      </c>
      <c r="J42" s="16">
        <v>179</v>
      </c>
    </row>
    <row r="43" spans="1:10">
      <c r="A43" s="18"/>
      <c r="B43" s="18"/>
      <c r="C43" s="18"/>
      <c r="D43" s="18"/>
      <c r="E43" s="18"/>
      <c r="F43" s="18"/>
      <c r="G43" s="17"/>
      <c r="H43" s="17"/>
      <c r="I43" s="16"/>
      <c r="J43" s="16"/>
    </row>
    <row r="44" spans="1:10">
      <c r="A44" s="2" t="s">
        <v>23</v>
      </c>
      <c r="B44" s="1"/>
      <c r="C44" s="1"/>
      <c r="D44" s="1"/>
      <c r="E44" s="2" t="s">
        <v>24</v>
      </c>
      <c r="F44" s="1"/>
      <c r="G44" s="1"/>
      <c r="H44" s="1"/>
      <c r="I44" s="1"/>
      <c r="J44" s="1"/>
    </row>
    <row r="45" spans="1:10">
      <c r="A45" s="2" t="s">
        <v>25</v>
      </c>
      <c r="B45" s="1"/>
      <c r="C45" s="1"/>
      <c r="D45" s="1"/>
      <c r="E45" s="2" t="s">
        <v>26</v>
      </c>
    </row>
    <row r="46" spans="1:10">
      <c r="A46" s="2" t="s">
        <v>27</v>
      </c>
      <c r="B46" s="1"/>
      <c r="C46" s="1"/>
      <c r="D46" s="1"/>
      <c r="E46" s="1"/>
    </row>
    <row r="47" spans="1:10">
      <c r="A47" s="2"/>
      <c r="B47" s="1"/>
      <c r="C47" s="1"/>
      <c r="D47" s="1"/>
      <c r="E47" s="1"/>
    </row>
    <row r="48" spans="1:10">
      <c r="A48" s="2" t="s">
        <v>28</v>
      </c>
      <c r="B48" s="1"/>
      <c r="C48" s="2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</sheetData>
  <mergeCells count="4">
    <mergeCell ref="A2:F2"/>
    <mergeCell ref="A5:F5"/>
    <mergeCell ref="A32:D32"/>
    <mergeCell ref="A34:E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2013-03-21T09:54:34Z</dcterms:created>
  <dcterms:modified xsi:type="dcterms:W3CDTF">2018-06-28T22:02:05Z</dcterms:modified>
</cp:coreProperties>
</file>